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11.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2.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13.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14.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CII Section\SGC AHSC\AHSC FY18-19\QM\"/>
    </mc:Choice>
  </mc:AlternateContent>
  <workbookProtection workbookAlgorithmName="SHA-512" workbookHashValue="+E9fTlJj9gs/1qcKOlezznk/JqNyJ5r5j9opFsfhB/OTMMwPE6884Y+b5gvQrZJdci9NToXOtUOFtT/X3xOBUw==" workbookSaltValue="fG50gx8NJYq6z7EbfqeXGA==" workbookSpinCount="100000" lockStructure="1"/>
  <bookViews>
    <workbookView xWindow="0" yWindow="0" windowWidth="28800" windowHeight="14100"/>
  </bookViews>
  <sheets>
    <sheet name="Read Me" sheetId="17" r:id="rId1"/>
    <sheet name="Project Info" sheetId="24" r:id="rId2"/>
    <sheet name="Affordable Housing Inputs" sheetId="27" r:id="rId3"/>
    <sheet name="Active Transportation Inputs" sheetId="32" r:id="rId4"/>
    <sheet name="Transit Inputs" sheetId="33" r:id="rId5"/>
    <sheet name="Solar PV Inputs" sheetId="34" r:id="rId6"/>
    <sheet name="GHG Summary" sheetId="22" r:id="rId7"/>
    <sheet name="Co-benefits Summary" sheetId="28" r:id="rId8"/>
    <sheet name="Documentation" sheetId="26" r:id="rId9"/>
    <sheet name="Costs" sheetId="40" state="hidden" r:id="rId10"/>
    <sheet name="Transit Emissions" sheetId="52" state="hidden" r:id="rId11"/>
    <sheet name="Trip Generation" sheetId="31" state="hidden" r:id="rId12"/>
    <sheet name="Energy, Fuel, &amp; Travel Prices" sheetId="53" state="hidden" r:id="rId13"/>
    <sheet name="Active Transportation Factors" sheetId="37" state="hidden" r:id="rId14"/>
    <sheet name="Fuel-specific GHG" sheetId="45" state="hidden" r:id="rId15"/>
    <sheet name="Modes of Transportation GHG" sheetId="44" state="hidden" r:id="rId16"/>
    <sheet name="Passenger Auto GHG" sheetId="41" state="hidden" r:id="rId17"/>
    <sheet name="Passenger Auto Criteria &amp; Toxic" sheetId="42" state="hidden" r:id="rId18"/>
    <sheet name="Coach Criteria &amp; Toxic" sheetId="49" state="hidden" r:id="rId19"/>
    <sheet name="Cut-a-way Criteria &amp; Toxic" sheetId="50" state="hidden" r:id="rId20"/>
    <sheet name="Ferry Criteria &amp; Toxic" sheetId="46" state="hidden" r:id="rId21"/>
    <sheet name="Locomotive Criteria &amp; Toxic" sheetId="47" state="hidden" r:id="rId22"/>
    <sheet name="Transit Bus Criteria &amp; Toxic" sheetId="48" state="hidden" r:id="rId23"/>
    <sheet name="Van Criteria &amp; Toxic" sheetId="51" state="hidden" r:id="rId24"/>
    <sheet name="Grid Electricity" sheetId="43" state="hidden" r:id="rId25"/>
  </sheets>
  <definedNames>
    <definedName name="_xlnm._FilterDatabase" localSheetId="17" hidden="1">'Passenger Auto Criteria &amp; Toxic'!$B$32:$J$32</definedName>
    <definedName name="_xlnm._FilterDatabase" localSheetId="16" hidden="1">'Passenger Auto GHG'!$B$31:$E$2585</definedName>
    <definedName name="Affordability">'Affordable Housing Inputs'!$C$26</definedName>
    <definedName name="AffordableDUs">'Affordable Housing Inputs'!$C$17</definedName>
    <definedName name="AHDFuelReductions">'Affordable Housing Inputs'!$I$19</definedName>
    <definedName name="AHDGHGReductions">'Affordable Housing Inputs'!$I$14</definedName>
    <definedName name="AHDNOxReductions">'Affordable Housing Inputs'!$I$16</definedName>
    <definedName name="AHDPM10Reductions">'Affordable Housing Inputs'!$I$18</definedName>
    <definedName name="AHDPM2.5Reductions">'Affordable Housing Inputs'!$I$17</definedName>
    <definedName name="AHDROGReductions">'Affordable Housing Inputs'!$I$15</definedName>
    <definedName name="AHDVMTReductions">'Affordable Housing Inputs'!$I$13</definedName>
    <definedName name="AHDYear1">'Affordable Housing Inputs'!$C$13</definedName>
    <definedName name="AHSCFunds">'Project Info'!$E$31</definedName>
    <definedName name="AnnualAvoidedVMT">'Affordable Housing Inputs'!$F$34</definedName>
    <definedName name="AnnualkWh">'Solar PV Inputs'!$C$13</definedName>
    <definedName name="AvoidedVMT">'Affordable Housing Inputs'!$F$35</definedName>
    <definedName name="CBD">'Affordable Housing Inputs'!$C$22</definedName>
    <definedName name="Coach">'Energy, Fuel, &amp; Travel Prices'!$F$11:$F$19</definedName>
    <definedName name="Counties">RuralTripLength[County]</definedName>
    <definedName name="County">'Project Info'!$E$25</definedName>
    <definedName name="DefaultParking">'Affordable Housing Inputs'!$C$36</definedName>
    <definedName name="Density">'Affordable Housing Inputs'!$C$18</definedName>
    <definedName name="DensityIncrease">'Affordable Housing Inputs'!$C$27</definedName>
    <definedName name="DUs">'Affordable Housing Inputs'!$C$16</definedName>
    <definedName name="DwellingType">'Affordable Housing Inputs'!$C$14</definedName>
    <definedName name="ElectricityCosts">Costs!$L$16</definedName>
    <definedName name="ElectricityUse">'Solar PV Inputs'!$C$14</definedName>
    <definedName name="EnergyFuelCostSavings">Costs!$L$19</definedName>
    <definedName name="Fare">'Transit Inputs'!$B$22</definedName>
    <definedName name="Ferry">'Energy, Fuel, &amp; Travel Prices'!$B$11:$B$19</definedName>
    <definedName name="HeavyRail">'Energy, Fuel, &amp; Travel Prices'!$C$11:$C$18</definedName>
    <definedName name="LightRail">'Energy, Fuel, &amp; Travel Prices'!$D$11</definedName>
    <definedName name="LUIndex">'Affordable Housing Inputs'!$C$30</definedName>
    <definedName name="LUT_1">'Affordable Housing Inputs'!$F$13</definedName>
    <definedName name="LUT_3">'Affordable Housing Inputs'!$F$14</definedName>
    <definedName name="LUT_4">'Affordable Housing Inputs'!$F$15</definedName>
    <definedName name="LUT_6">'Affordable Housing Inputs'!$F$16</definedName>
    <definedName name="LUTTotal">'Affordable Housing Inputs'!$F$17</definedName>
    <definedName name="MUDev">'Affordable Housing Inputs'!$C$19</definedName>
    <definedName name="MUPercent">'Affordable Housing Inputs'!$C$28</definedName>
    <definedName name="MUSpace">'Affordable Housing Inputs'!$C$21</definedName>
    <definedName name="OnStreetCost">'Affordable Housing Inputs'!$C$35</definedName>
    <definedName name="OtherGGRFFunds">'Project Info'!$E$32</definedName>
    <definedName name="ParkingReduction">'Affordable Housing Inputs'!$C$37</definedName>
    <definedName name="ParkingSpaces">'Affordable Housing Inputs'!$C$33</definedName>
    <definedName name="PDT_1">'Affordable Housing Inputs'!$F$18</definedName>
    <definedName name="PDT_2">'Affordable Housing Inputs'!$F$19</definedName>
    <definedName name="PDT_3">'Affordable Housing Inputs'!$F$20</definedName>
    <definedName name="PDTTotal">'Affordable Housing Inputs'!$F$21</definedName>
    <definedName name="PercentSubsidies">'Affordable Housing Inputs'!$C$43</definedName>
    <definedName name="_xlnm.Print_Area" localSheetId="13">'Active Transportation Factors'!$A$1:$L$23</definedName>
    <definedName name="_xlnm.Print_Area" localSheetId="3">'Active Transportation Inputs'!$A$1:$Y$29</definedName>
    <definedName name="_xlnm.Print_Area" localSheetId="2">'Affordable Housing Inputs'!$B$1:$I$45</definedName>
    <definedName name="_xlnm.Print_Area" localSheetId="18">'Coach Criteria &amp; Toxic'!$A$1:$N$951</definedName>
    <definedName name="_xlnm.Print_Area" localSheetId="7">'Co-benefits Summary'!$A$1:$E$22</definedName>
    <definedName name="_xlnm.Print_Area" localSheetId="9">Costs!$A$1:$M$41</definedName>
    <definedName name="_xlnm.Print_Area" localSheetId="19">'Cut-a-way Criteria &amp; Toxic'!$A$1:$N$1595</definedName>
    <definedName name="_xlnm.Print_Area" localSheetId="8">Documentation!$A$1:$F$46</definedName>
    <definedName name="_xlnm.Print_Area" localSheetId="12">'Energy, Fuel, &amp; Travel Prices'!$A$1:$K$44</definedName>
    <definedName name="_xlnm.Print_Area" localSheetId="20">'Ferry Criteria &amp; Toxic'!$A$1:$R$102</definedName>
    <definedName name="_xlnm.Print_Area" localSheetId="14">'Fuel-specific GHG'!$A$1:$F$51</definedName>
    <definedName name="_xlnm.Print_Area" localSheetId="6">'GHG Summary'!$A$1:$D$19</definedName>
    <definedName name="_xlnm.Print_Area" localSheetId="24">'Grid Electricity'!$A$1:$L$58</definedName>
    <definedName name="_xlnm.Print_Area" localSheetId="21">'Locomotive Criteria &amp; Toxic'!$A$1:$K$43</definedName>
    <definedName name="_xlnm.Print_Area" localSheetId="15">'Modes of Transportation GHG'!$A$1:$I$31</definedName>
    <definedName name="_xlnm.Print_Area" localSheetId="17">'Passenger Auto Criteria &amp; Toxic'!$A$1:$L$2661</definedName>
    <definedName name="_xlnm.Print_Area" localSheetId="16">'Passenger Auto GHG'!$A$1:$K$2660</definedName>
    <definedName name="_xlnm.Print_Area" localSheetId="1">'Project Info'!$B$1:$E$41</definedName>
    <definedName name="_xlnm.Print_Area" localSheetId="0">'Read Me'!$A$1:$F$8</definedName>
    <definedName name="_xlnm.Print_Area" localSheetId="5">'Solar PV Inputs'!$A$1:$G$17</definedName>
    <definedName name="_xlnm.Print_Area" localSheetId="22">'Transit Bus Criteria &amp; Toxic'!$A$1:$S$574</definedName>
    <definedName name="_xlnm.Print_Area" localSheetId="10">'Transit Emissions'!$A$1:$U$71</definedName>
    <definedName name="_xlnm.Print_Area" localSheetId="4">'Transit Inputs'!$A$1:$AM$23</definedName>
    <definedName name="_xlnm.Print_Area" localSheetId="11">'Trip Generation'!$A$1:$Y$79</definedName>
    <definedName name="_xlnm.Print_Area" localSheetId="23">'Van Criteria &amp; Toxic'!$A$1:$R$1647</definedName>
    <definedName name="ProjectAreaType">'Project Info'!$E$26</definedName>
    <definedName name="ProjectName">'Project Info'!$E$23</definedName>
    <definedName name="ReductionsTotal">'Affordable Housing Inputs'!$F$24</definedName>
    <definedName name="RemoteNOx">'Solar PV Inputs'!$F$15</definedName>
    <definedName name="RemotePM2.5">'Solar PV Inputs'!$F$16</definedName>
    <definedName name="RemoteROG">'Solar PV Inputs'!$F$14</definedName>
    <definedName name="ResidentialDailyTrips">'Affordable Housing Inputs'!$F$27</definedName>
    <definedName name="ResidentialOverallTrip">'Affordable Housing Inputs'!$F$29</definedName>
    <definedName name="ResidentialPercent">'Affordable Housing Inputs'!$C$29</definedName>
    <definedName name="ResidentialPrimaryTrip">'Affordable Housing Inputs'!$F$28</definedName>
    <definedName name="ResidentialSpace">'Affordable Housing Inputs'!$C$20</definedName>
    <definedName name="ResidentialTrips">'Affordable Housing Inputs'!$F$27</definedName>
    <definedName name="ResidentialType">'Affordable Housing Inputs'!$C$25</definedName>
    <definedName name="ResidentialUnmitigatedVMT">'Affordable Housing Inputs'!$F$30</definedName>
    <definedName name="SDT_2">'Affordable Housing Inputs'!$F$22</definedName>
    <definedName name="Setting">'Affordable Housing Inputs'!$C$24</definedName>
    <definedName name="Shuttle">'Energy, Fuel, &amp; Travel Prices'!$G$11:$G$19</definedName>
    <definedName name="SolarGHG">'Solar PV Inputs'!$F$13</definedName>
    <definedName name="Stories">'Affordable Housing Inputs'!$C$15</definedName>
    <definedName name="Streetcar">'Energy, Fuel, &amp; Travel Prices'!$H$11</definedName>
    <definedName name="Subsidies">'Affordable Housing Inputs'!$C$40</definedName>
    <definedName name="SubsidyDuration">'Affordable Housing Inputs'!$C$42</definedName>
    <definedName name="SubsidyTotal">'Affordable Housing Inputs'!$C$44</definedName>
    <definedName name="SubsidyValue">'Affordable Housing Inputs'!$C$41</definedName>
    <definedName name="TotalFunds">'Project Info'!$E$34</definedName>
    <definedName name="TotalGHG">'GHG Summary'!$C$15</definedName>
    <definedName name="TotalkWh">'Solar PV Inputs'!$C$15</definedName>
    <definedName name="TrafficCalming">'Affordable Housing Inputs'!$C$23</definedName>
    <definedName name="TransitBus">'Energy, Fuel, &amp; Travel Prices'!$E$11:$E$19</definedName>
    <definedName name="TransitTypes">'Energy, Fuel, &amp; Travel Prices'!$A$9:$I$9</definedName>
    <definedName name="TravelCostSavings">Costs!$L$13</definedName>
    <definedName name="TRT_4">'Affordable Housing Inputs'!$F$23</definedName>
    <definedName name="UmitigatedVMT">'Affordable Housing Inputs'!$F$31</definedName>
    <definedName name="UnbundledCost">'Affordable Housing Inputs'!$C$34</definedName>
    <definedName name="UnmitigatedVMT">'Affordable Housing Inputs'!$F$31</definedName>
    <definedName name="Vanpool">'Energy, Fuel, &amp; Travel Prices'!$I$11:$I$19</definedName>
    <definedName name="Z_DEDCE137_B42D_4581_9621_E878B14CB7C9_.wvu.FilterData" localSheetId="16" hidden="1">'Passenger Auto GHG'!$B$31:$E$2075</definedName>
  </definedNames>
  <calcPr calcId="162913" concurrentCalc="0"/>
  <customWorkbookViews>
    <customWorkbookView name="Jimmy Steele - Personal View" guid="{DEDCE137-B42D-4581-9621-E878B14CB7C9}" mergeInterval="0" personalView="1" maximized="1" xWindow="-8" yWindow="-8" windowWidth="1936" windowHeight="117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3" i="27" l="1"/>
  <c r="C27" i="27"/>
  <c r="K14" i="32"/>
  <c r="F14" i="32"/>
  <c r="N14" i="32"/>
  <c r="H14" i="32"/>
  <c r="E14" i="32"/>
  <c r="R14" i="32"/>
  <c r="D10" i="40"/>
  <c r="B10" i="40"/>
  <c r="G10" i="40"/>
  <c r="E10" i="40"/>
  <c r="H10" i="40"/>
  <c r="I10" i="40"/>
  <c r="F10" i="40"/>
  <c r="J10" i="40"/>
  <c r="B11" i="40"/>
  <c r="G11" i="40"/>
  <c r="E11" i="40"/>
  <c r="H11" i="40"/>
  <c r="I11" i="40"/>
  <c r="F11" i="40"/>
  <c r="J11" i="40"/>
  <c r="B12" i="40"/>
  <c r="G12" i="40"/>
  <c r="E12" i="40"/>
  <c r="H12" i="40"/>
  <c r="I12" i="40"/>
  <c r="F12" i="40"/>
  <c r="J12" i="40"/>
  <c r="B13" i="40"/>
  <c r="G13" i="40"/>
  <c r="E13" i="40"/>
  <c r="H13" i="40"/>
  <c r="I13" i="40"/>
  <c r="F13" i="40"/>
  <c r="J13" i="40"/>
  <c r="B14" i="40"/>
  <c r="G14" i="40"/>
  <c r="E14" i="40"/>
  <c r="H14" i="40"/>
  <c r="I14" i="40"/>
  <c r="F14" i="40"/>
  <c r="J14" i="40"/>
  <c r="B15" i="40"/>
  <c r="G15" i="40"/>
  <c r="E15" i="40"/>
  <c r="H15" i="40"/>
  <c r="I15" i="40"/>
  <c r="F15" i="40"/>
  <c r="J15" i="40"/>
  <c r="B16" i="40"/>
  <c r="G16" i="40"/>
  <c r="E16" i="40"/>
  <c r="H16" i="40"/>
  <c r="I16" i="40"/>
  <c r="F16" i="40"/>
  <c r="J16" i="40"/>
  <c r="B17" i="40"/>
  <c r="G17" i="40"/>
  <c r="E17" i="40"/>
  <c r="H17" i="40"/>
  <c r="I17" i="40"/>
  <c r="F17" i="40"/>
  <c r="J17" i="40"/>
  <c r="B18" i="40"/>
  <c r="G18" i="40"/>
  <c r="E18" i="40"/>
  <c r="H18" i="40"/>
  <c r="I18" i="40"/>
  <c r="F18" i="40"/>
  <c r="J18" i="40"/>
  <c r="B19" i="40"/>
  <c r="G19" i="40"/>
  <c r="E19" i="40"/>
  <c r="H19" i="40"/>
  <c r="I19" i="40"/>
  <c r="F19" i="40"/>
  <c r="J19" i="40"/>
  <c r="B20" i="40"/>
  <c r="G20" i="40"/>
  <c r="E20" i="40"/>
  <c r="H20" i="40"/>
  <c r="I20" i="40"/>
  <c r="F20" i="40"/>
  <c r="J20" i="40"/>
  <c r="B21" i="40"/>
  <c r="G21" i="40"/>
  <c r="E21" i="40"/>
  <c r="H21" i="40"/>
  <c r="I21" i="40"/>
  <c r="F21" i="40"/>
  <c r="J21" i="40"/>
  <c r="B22" i="40"/>
  <c r="G22" i="40"/>
  <c r="E22" i="40"/>
  <c r="H22" i="40"/>
  <c r="I22" i="40"/>
  <c r="F22" i="40"/>
  <c r="J22" i="40"/>
  <c r="B23" i="40"/>
  <c r="G23" i="40"/>
  <c r="E23" i="40"/>
  <c r="H23" i="40"/>
  <c r="I23" i="40"/>
  <c r="F23" i="40"/>
  <c r="J23" i="40"/>
  <c r="B24" i="40"/>
  <c r="G24" i="40"/>
  <c r="E24" i="40"/>
  <c r="H24" i="40"/>
  <c r="I24" i="40"/>
  <c r="F24" i="40"/>
  <c r="J24" i="40"/>
  <c r="C28" i="27"/>
  <c r="C29" i="27"/>
  <c r="C30" i="27"/>
  <c r="F14" i="27"/>
  <c r="F15" i="27"/>
  <c r="C26" i="27"/>
  <c r="F16" i="27"/>
  <c r="F17" i="27"/>
  <c r="C24" i="27"/>
  <c r="C44" i="27"/>
  <c r="C43" i="27"/>
  <c r="F23" i="27"/>
  <c r="C25" i="27"/>
  <c r="C36" i="27"/>
  <c r="C37" i="27"/>
  <c r="F18" i="27"/>
  <c r="F20" i="27"/>
  <c r="F19" i="27"/>
  <c r="F21" i="27"/>
  <c r="F22" i="27"/>
  <c r="F24" i="27"/>
  <c r="B42" i="52"/>
  <c r="L42" i="52"/>
  <c r="B43" i="52"/>
  <c r="N43" i="52"/>
  <c r="B44" i="52"/>
  <c r="N44" i="52"/>
  <c r="B45" i="52"/>
  <c r="N45" i="52"/>
  <c r="B46" i="52"/>
  <c r="N46" i="52"/>
  <c r="L45" i="52"/>
  <c r="P45" i="52"/>
  <c r="L44" i="52"/>
  <c r="P44" i="52"/>
  <c r="L43" i="52"/>
  <c r="P43" i="52"/>
  <c r="J43" i="52"/>
  <c r="L46" i="52"/>
  <c r="P46" i="52"/>
  <c r="J46" i="52"/>
  <c r="J45" i="52"/>
  <c r="J44" i="52"/>
  <c r="J42" i="52"/>
  <c r="P42" i="52"/>
  <c r="N42" i="52"/>
  <c r="B26" i="52"/>
  <c r="B27" i="52"/>
  <c r="B28" i="52"/>
  <c r="B29" i="52"/>
  <c r="B30" i="52"/>
  <c r="AF18" i="33"/>
  <c r="AE18" i="33"/>
  <c r="AD18" i="33"/>
  <c r="AC18" i="33"/>
  <c r="AB18" i="33"/>
  <c r="AF17" i="33"/>
  <c r="AE17" i="33"/>
  <c r="AD17" i="33"/>
  <c r="AC17" i="33"/>
  <c r="AB17" i="33"/>
  <c r="AF16" i="33"/>
  <c r="AE16" i="33"/>
  <c r="AD16" i="33"/>
  <c r="AC16" i="33"/>
  <c r="AB16" i="33"/>
  <c r="AF15" i="33"/>
  <c r="AE15" i="33"/>
  <c r="AD15" i="33"/>
  <c r="AC15" i="33"/>
  <c r="AB15" i="33"/>
  <c r="C15" i="34"/>
  <c r="H15" i="32"/>
  <c r="H16" i="32"/>
  <c r="H17" i="32"/>
  <c r="H18" i="32"/>
  <c r="H19" i="32"/>
  <c r="H20" i="32"/>
  <c r="H21" i="32"/>
  <c r="H22" i="32"/>
  <c r="H23" i="32"/>
  <c r="H24" i="32"/>
  <c r="H25" i="32"/>
  <c r="H26" i="32"/>
  <c r="H27" i="32"/>
  <c r="H28" i="32"/>
  <c r="C10" i="28"/>
  <c r="G28" i="40"/>
  <c r="G29" i="40"/>
  <c r="G30" i="40"/>
  <c r="G31" i="40"/>
  <c r="G32" i="40"/>
  <c r="K28" i="40"/>
  <c r="K29" i="40"/>
  <c r="K30" i="40"/>
  <c r="K31" i="40"/>
  <c r="K32" i="40"/>
  <c r="C11" i="22"/>
  <c r="C10" i="22"/>
  <c r="E34" i="24"/>
  <c r="B36" i="40"/>
  <c r="C36" i="40"/>
  <c r="D36" i="40"/>
  <c r="B37" i="40"/>
  <c r="C37" i="40"/>
  <c r="D37" i="40"/>
  <c r="B38" i="40"/>
  <c r="C38" i="40"/>
  <c r="D38" i="40"/>
  <c r="B39" i="40"/>
  <c r="C39" i="40"/>
  <c r="D39" i="40"/>
  <c r="B40" i="40"/>
  <c r="C40" i="40"/>
  <c r="D40" i="40"/>
  <c r="C10" i="52"/>
  <c r="C11" i="52"/>
  <c r="C12" i="52"/>
  <c r="C13" i="52"/>
  <c r="C14" i="52"/>
  <c r="C18" i="52"/>
  <c r="C19" i="52"/>
  <c r="C20" i="52"/>
  <c r="C21" i="52"/>
  <c r="C22" i="52"/>
  <c r="B58" i="52"/>
  <c r="B59" i="52"/>
  <c r="Q59" i="52"/>
  <c r="B60" i="52"/>
  <c r="Q60" i="52"/>
  <c r="B61" i="52"/>
  <c r="Q61" i="52"/>
  <c r="B62" i="52"/>
  <c r="Q62" i="52"/>
  <c r="E66" i="52"/>
  <c r="E67" i="52"/>
  <c r="E68" i="52"/>
  <c r="E69" i="52"/>
  <c r="E70" i="52"/>
  <c r="H66" i="52"/>
  <c r="H67" i="52"/>
  <c r="H68" i="52"/>
  <c r="H69" i="52"/>
  <c r="H70" i="52"/>
  <c r="G66" i="52"/>
  <c r="G67" i="52"/>
  <c r="G68" i="52"/>
  <c r="G69" i="52"/>
  <c r="G70" i="52"/>
  <c r="F66" i="52"/>
  <c r="F67" i="52"/>
  <c r="T67" i="52"/>
  <c r="F68" i="52"/>
  <c r="T68" i="52"/>
  <c r="F69" i="52"/>
  <c r="F70" i="52"/>
  <c r="D66" i="52"/>
  <c r="D67" i="52"/>
  <c r="D68" i="52"/>
  <c r="D69" i="52"/>
  <c r="D70" i="52"/>
  <c r="C66" i="52"/>
  <c r="C67" i="52"/>
  <c r="C68" i="52"/>
  <c r="C69" i="52"/>
  <c r="C70" i="52"/>
  <c r="B66" i="52"/>
  <c r="B67" i="52"/>
  <c r="B68" i="52"/>
  <c r="B69" i="52"/>
  <c r="B70" i="52"/>
  <c r="H58" i="52"/>
  <c r="H59" i="52"/>
  <c r="H60" i="52"/>
  <c r="H61" i="52"/>
  <c r="H62" i="52"/>
  <c r="G58" i="52"/>
  <c r="G59" i="52"/>
  <c r="G60" i="52"/>
  <c r="G61" i="52"/>
  <c r="G62" i="52"/>
  <c r="F58" i="52"/>
  <c r="F59" i="52"/>
  <c r="F60" i="52"/>
  <c r="F61" i="52"/>
  <c r="F62" i="52"/>
  <c r="E58" i="52"/>
  <c r="E59" i="52"/>
  <c r="E60" i="52"/>
  <c r="E61" i="52"/>
  <c r="E62" i="52"/>
  <c r="D58" i="52"/>
  <c r="D59" i="52"/>
  <c r="D60" i="52"/>
  <c r="D61" i="52"/>
  <c r="D62" i="52"/>
  <c r="C58" i="52"/>
  <c r="C59" i="52"/>
  <c r="C60" i="52"/>
  <c r="C61" i="52"/>
  <c r="C62" i="52"/>
  <c r="K59" i="52"/>
  <c r="L59" i="52"/>
  <c r="O59" i="52"/>
  <c r="M59" i="52"/>
  <c r="N59" i="52"/>
  <c r="Q58" i="52"/>
  <c r="R58" i="52"/>
  <c r="O58" i="52"/>
  <c r="K58" i="52"/>
  <c r="M58" i="52"/>
  <c r="N58" i="52"/>
  <c r="O70" i="52"/>
  <c r="K70" i="52"/>
  <c r="Q70" i="52"/>
  <c r="M70" i="52"/>
  <c r="Q69" i="52"/>
  <c r="R69" i="52"/>
  <c r="K69" i="52"/>
  <c r="L69" i="52"/>
  <c r="M69" i="52"/>
  <c r="N69" i="52"/>
  <c r="O69" i="52"/>
  <c r="P69" i="52"/>
  <c r="K68" i="52"/>
  <c r="Q68" i="52"/>
  <c r="R68" i="52"/>
  <c r="M68" i="52"/>
  <c r="O68" i="52"/>
  <c r="M62" i="52"/>
  <c r="N62" i="52"/>
  <c r="O62" i="52"/>
  <c r="K62" i="52"/>
  <c r="P62" i="52"/>
  <c r="Q67" i="52"/>
  <c r="R67" i="52"/>
  <c r="M67" i="52"/>
  <c r="N67" i="52"/>
  <c r="K67" i="52"/>
  <c r="O67" i="52"/>
  <c r="P67" i="52"/>
  <c r="O60" i="52"/>
  <c r="K60" i="52"/>
  <c r="L60" i="52"/>
  <c r="M60" i="52"/>
  <c r="N60" i="52"/>
  <c r="M61" i="52"/>
  <c r="N61" i="52"/>
  <c r="O61" i="52"/>
  <c r="K61" i="52"/>
  <c r="L61" i="52"/>
  <c r="M66" i="52"/>
  <c r="N66" i="52"/>
  <c r="O66" i="52"/>
  <c r="P66" i="52"/>
  <c r="Q66" i="52"/>
  <c r="R66" i="52"/>
  <c r="K66" i="52"/>
  <c r="L66" i="52"/>
  <c r="T59" i="52"/>
  <c r="T66" i="52"/>
  <c r="T69" i="52"/>
  <c r="S70" i="52"/>
  <c r="T70" i="52"/>
  <c r="I58" i="52"/>
  <c r="J58" i="52"/>
  <c r="S58" i="52"/>
  <c r="S69" i="52"/>
  <c r="I62" i="52"/>
  <c r="J62" i="52"/>
  <c r="S62" i="52"/>
  <c r="S68" i="52"/>
  <c r="I61" i="52"/>
  <c r="J61" i="52"/>
  <c r="S61" i="52"/>
  <c r="S67" i="52"/>
  <c r="R60" i="52"/>
  <c r="I60" i="52"/>
  <c r="J60" i="52"/>
  <c r="S60" i="52"/>
  <c r="S66" i="52"/>
  <c r="I59" i="52"/>
  <c r="J59" i="52"/>
  <c r="S59" i="52"/>
  <c r="R59" i="52"/>
  <c r="P70" i="52"/>
  <c r="L68" i="52"/>
  <c r="I66" i="52"/>
  <c r="J66" i="52"/>
  <c r="R62" i="52"/>
  <c r="R61" i="52"/>
  <c r="L70" i="52"/>
  <c r="R70" i="52"/>
  <c r="P68" i="52"/>
  <c r="N70" i="52"/>
  <c r="N68" i="52"/>
  <c r="L67" i="52"/>
  <c r="I68" i="52"/>
  <c r="J68" i="52"/>
  <c r="I70" i="52"/>
  <c r="J70" i="52"/>
  <c r="I69" i="52"/>
  <c r="J69" i="52"/>
  <c r="I67" i="52"/>
  <c r="J67" i="52"/>
  <c r="T58" i="52"/>
  <c r="T60" i="52"/>
  <c r="T61" i="52"/>
  <c r="T62" i="52"/>
  <c r="L62" i="52"/>
  <c r="P59" i="52"/>
  <c r="P60" i="52"/>
  <c r="P61" i="52"/>
  <c r="L58" i="52"/>
  <c r="P58" i="52"/>
  <c r="H50" i="52"/>
  <c r="H51" i="52"/>
  <c r="H52" i="52"/>
  <c r="H53" i="52"/>
  <c r="H54" i="52"/>
  <c r="G50" i="52"/>
  <c r="G51" i="52"/>
  <c r="G52" i="52"/>
  <c r="G53" i="52"/>
  <c r="G54" i="52"/>
  <c r="F50" i="52"/>
  <c r="F51" i="52"/>
  <c r="E51" i="52"/>
  <c r="I51" i="52"/>
  <c r="F52" i="52"/>
  <c r="E52" i="52"/>
  <c r="I52" i="52"/>
  <c r="F53" i="52"/>
  <c r="E53" i="52"/>
  <c r="I53" i="52"/>
  <c r="F54" i="52"/>
  <c r="E50" i="52"/>
  <c r="I50" i="52"/>
  <c r="E54" i="52"/>
  <c r="D50" i="52"/>
  <c r="D51" i="52"/>
  <c r="D52" i="52"/>
  <c r="D53" i="52"/>
  <c r="D54" i="52"/>
  <c r="C50" i="52"/>
  <c r="C51" i="52"/>
  <c r="C52" i="52"/>
  <c r="C53" i="52"/>
  <c r="C54" i="52"/>
  <c r="B50" i="52"/>
  <c r="B51" i="52"/>
  <c r="B52" i="52"/>
  <c r="B53" i="52"/>
  <c r="B54" i="52"/>
  <c r="Q54" i="52"/>
  <c r="I54" i="52"/>
  <c r="J54" i="52"/>
  <c r="S54" i="52"/>
  <c r="O53" i="52"/>
  <c r="P53" i="52"/>
  <c r="J53" i="52"/>
  <c r="S53" i="52"/>
  <c r="O52" i="52"/>
  <c r="P52" i="52"/>
  <c r="J50" i="52"/>
  <c r="S50" i="52"/>
  <c r="T51" i="52"/>
  <c r="O51" i="52"/>
  <c r="P51" i="52"/>
  <c r="O54" i="52"/>
  <c r="P54" i="52"/>
  <c r="O50" i="52"/>
  <c r="P50" i="52"/>
  <c r="Q52" i="52"/>
  <c r="R52" i="52"/>
  <c r="Q51" i="52"/>
  <c r="R51" i="52"/>
  <c r="Q53" i="52"/>
  <c r="R53" i="52"/>
  <c r="Q50" i="52"/>
  <c r="R50" i="52"/>
  <c r="M54" i="52"/>
  <c r="K54" i="52"/>
  <c r="L54" i="52"/>
  <c r="K52" i="52"/>
  <c r="L52" i="52"/>
  <c r="M52" i="52"/>
  <c r="M53" i="52"/>
  <c r="K53" i="52"/>
  <c r="L53" i="52"/>
  <c r="M50" i="52"/>
  <c r="N50" i="52"/>
  <c r="K50" i="52"/>
  <c r="L50" i="52"/>
  <c r="K51" i="52"/>
  <c r="L51" i="52"/>
  <c r="M51" i="52"/>
  <c r="J52" i="52"/>
  <c r="S52" i="52"/>
  <c r="J51" i="52"/>
  <c r="S51" i="52"/>
  <c r="R54" i="52"/>
  <c r="C42" i="52"/>
  <c r="C43" i="52"/>
  <c r="C44" i="52"/>
  <c r="C45" i="52"/>
  <c r="C46" i="52"/>
  <c r="T50" i="52"/>
  <c r="T52" i="52"/>
  <c r="T54" i="52"/>
  <c r="T53" i="52"/>
  <c r="N53" i="52"/>
  <c r="N52" i="52"/>
  <c r="N54" i="52"/>
  <c r="N51" i="52"/>
  <c r="G42" i="52"/>
  <c r="G43" i="52"/>
  <c r="G44" i="52"/>
  <c r="G45" i="52"/>
  <c r="G46" i="52"/>
  <c r="F42" i="52"/>
  <c r="F43" i="52"/>
  <c r="F44" i="52"/>
  <c r="F45" i="52"/>
  <c r="F46" i="52"/>
  <c r="E42" i="52"/>
  <c r="E43" i="52"/>
  <c r="E44" i="52"/>
  <c r="E45" i="52"/>
  <c r="E46" i="52"/>
  <c r="D42" i="52"/>
  <c r="D43" i="52"/>
  <c r="D44" i="52"/>
  <c r="D45" i="52"/>
  <c r="D46" i="52"/>
  <c r="M42" i="52"/>
  <c r="K42" i="52"/>
  <c r="O42" i="52"/>
  <c r="Q42" i="52"/>
  <c r="H44" i="52"/>
  <c r="I44" i="52"/>
  <c r="R44" i="52"/>
  <c r="S43" i="52"/>
  <c r="H43" i="52"/>
  <c r="I43" i="52"/>
  <c r="R43" i="52"/>
  <c r="H42" i="52"/>
  <c r="I42" i="52"/>
  <c r="R42" i="52"/>
  <c r="H45" i="52"/>
  <c r="I45" i="52"/>
  <c r="R45" i="52"/>
  <c r="H46" i="52"/>
  <c r="I46" i="52"/>
  <c r="Q44" i="52"/>
  <c r="O44" i="52"/>
  <c r="M44" i="52"/>
  <c r="K44" i="52"/>
  <c r="M46" i="52"/>
  <c r="Q46" i="52"/>
  <c r="O46" i="52"/>
  <c r="K46" i="52"/>
  <c r="K45" i="52"/>
  <c r="Q45" i="52"/>
  <c r="O45" i="52"/>
  <c r="M45" i="52"/>
  <c r="M43" i="52"/>
  <c r="O43" i="52"/>
  <c r="Q43" i="52"/>
  <c r="K43" i="52"/>
  <c r="B34" i="52"/>
  <c r="B35" i="52"/>
  <c r="B36" i="52"/>
  <c r="B37" i="52"/>
  <c r="B38" i="52"/>
  <c r="F34" i="52"/>
  <c r="F35" i="52"/>
  <c r="F36" i="52"/>
  <c r="F37" i="52"/>
  <c r="F38" i="52"/>
  <c r="E34" i="52"/>
  <c r="E35" i="52"/>
  <c r="E36" i="52"/>
  <c r="E37" i="52"/>
  <c r="E38" i="52"/>
  <c r="D34" i="52"/>
  <c r="D35" i="52"/>
  <c r="D36" i="52"/>
  <c r="D37" i="52"/>
  <c r="D38" i="52"/>
  <c r="C34" i="52"/>
  <c r="C35" i="52"/>
  <c r="C36" i="52"/>
  <c r="C37" i="52"/>
  <c r="C38" i="52"/>
  <c r="F26" i="52"/>
  <c r="F27" i="52"/>
  <c r="F28" i="52"/>
  <c r="F29" i="52"/>
  <c r="F30" i="52"/>
  <c r="C26" i="52"/>
  <c r="D26" i="52"/>
  <c r="E26" i="52"/>
  <c r="E27" i="52"/>
  <c r="E28" i="52"/>
  <c r="E29" i="52"/>
  <c r="E30" i="52"/>
  <c r="D27" i="52"/>
  <c r="D28" i="52"/>
  <c r="D29" i="52"/>
  <c r="D30" i="52"/>
  <c r="C27" i="52"/>
  <c r="C28" i="52"/>
  <c r="C29" i="52"/>
  <c r="C30" i="52"/>
  <c r="Q26" i="52"/>
  <c r="G26" i="52"/>
  <c r="H26" i="52"/>
  <c r="Q30" i="52"/>
  <c r="G30" i="52"/>
  <c r="Q29" i="52"/>
  <c r="G29" i="52"/>
  <c r="H29" i="52"/>
  <c r="J28" i="52"/>
  <c r="G28" i="52"/>
  <c r="H28" i="52"/>
  <c r="Q27" i="52"/>
  <c r="G27" i="52"/>
  <c r="H27" i="52"/>
  <c r="S42" i="52"/>
  <c r="S44" i="52"/>
  <c r="S46" i="52"/>
  <c r="R46" i="52"/>
  <c r="S45" i="52"/>
  <c r="H30" i="52"/>
  <c r="J30" i="52"/>
  <c r="G38" i="52"/>
  <c r="H38" i="52"/>
  <c r="R38" i="52"/>
  <c r="G37" i="52"/>
  <c r="H37" i="52"/>
  <c r="R37" i="52"/>
  <c r="P36" i="52"/>
  <c r="O36" i="52"/>
  <c r="I36" i="52"/>
  <c r="N36" i="52"/>
  <c r="M36" i="52"/>
  <c r="L36" i="52"/>
  <c r="K36" i="52"/>
  <c r="J36" i="52"/>
  <c r="Q36" i="52"/>
  <c r="O34" i="52"/>
  <c r="N34" i="52"/>
  <c r="P34" i="52"/>
  <c r="M34" i="52"/>
  <c r="L34" i="52"/>
  <c r="K34" i="52"/>
  <c r="J34" i="52"/>
  <c r="Q34" i="52"/>
  <c r="I34" i="52"/>
  <c r="G36" i="52"/>
  <c r="H36" i="52"/>
  <c r="G35" i="52"/>
  <c r="H35" i="52"/>
  <c r="R35" i="52"/>
  <c r="G34" i="52"/>
  <c r="H34" i="52"/>
  <c r="R34" i="52"/>
  <c r="J29" i="52"/>
  <c r="O35" i="52"/>
  <c r="N35" i="52"/>
  <c r="P35" i="52"/>
  <c r="M35" i="52"/>
  <c r="L35" i="52"/>
  <c r="Q35" i="52"/>
  <c r="I35" i="52"/>
  <c r="K35" i="52"/>
  <c r="J35" i="52"/>
  <c r="O38" i="52"/>
  <c r="N38" i="52"/>
  <c r="P38" i="52"/>
  <c r="M38" i="52"/>
  <c r="I38" i="52"/>
  <c r="L38" i="52"/>
  <c r="Q38" i="52"/>
  <c r="K38" i="52"/>
  <c r="J38" i="52"/>
  <c r="O37" i="52"/>
  <c r="N37" i="52"/>
  <c r="I37" i="52"/>
  <c r="M37" i="52"/>
  <c r="L37" i="52"/>
  <c r="K37" i="52"/>
  <c r="J37" i="52"/>
  <c r="Q37" i="52"/>
  <c r="P37" i="52"/>
  <c r="L30" i="52"/>
  <c r="L29" i="52"/>
  <c r="N30" i="52"/>
  <c r="N29" i="52"/>
  <c r="P30" i="52"/>
  <c r="P29" i="52"/>
  <c r="J27" i="52"/>
  <c r="L27" i="52"/>
  <c r="N27" i="52"/>
  <c r="P27" i="52"/>
  <c r="J26" i="52"/>
  <c r="L26" i="52"/>
  <c r="N26" i="52"/>
  <c r="P26" i="52"/>
  <c r="I30" i="52"/>
  <c r="K30" i="52"/>
  <c r="M30" i="52"/>
  <c r="O30" i="52"/>
  <c r="I29" i="52"/>
  <c r="K29" i="52"/>
  <c r="M29" i="52"/>
  <c r="O29" i="52"/>
  <c r="I27" i="52"/>
  <c r="K27" i="52"/>
  <c r="M27" i="52"/>
  <c r="O27" i="52"/>
  <c r="I26" i="52"/>
  <c r="K26" i="52"/>
  <c r="M26" i="52"/>
  <c r="O26" i="52"/>
  <c r="O28" i="52"/>
  <c r="L28" i="52"/>
  <c r="I28" i="52"/>
  <c r="Q28" i="52"/>
  <c r="N28" i="52"/>
  <c r="K28" i="52"/>
  <c r="P28" i="52"/>
  <c r="M28" i="52"/>
  <c r="H18" i="52"/>
  <c r="H19" i="52"/>
  <c r="H20" i="52"/>
  <c r="H21" i="52"/>
  <c r="H22" i="52"/>
  <c r="B18" i="52"/>
  <c r="B19" i="52"/>
  <c r="B20" i="52"/>
  <c r="B21" i="52"/>
  <c r="B22" i="52"/>
  <c r="G18" i="52"/>
  <c r="G19" i="52"/>
  <c r="G20" i="52"/>
  <c r="G21" i="52"/>
  <c r="G22" i="52"/>
  <c r="F18" i="52"/>
  <c r="F19" i="52"/>
  <c r="F20" i="52"/>
  <c r="F21" i="52"/>
  <c r="F22" i="52"/>
  <c r="E18" i="52"/>
  <c r="E19" i="52"/>
  <c r="E20" i="52"/>
  <c r="E21" i="52"/>
  <c r="E22" i="52"/>
  <c r="D18" i="52"/>
  <c r="D19" i="52"/>
  <c r="D20" i="52"/>
  <c r="D21" i="52"/>
  <c r="D22" i="52"/>
  <c r="B10" i="52"/>
  <c r="B11" i="52"/>
  <c r="B12" i="52"/>
  <c r="B13" i="52"/>
  <c r="B14" i="52"/>
  <c r="AA18" i="33"/>
  <c r="R29" i="52"/>
  <c r="AA17" i="33"/>
  <c r="R28" i="52"/>
  <c r="AA16" i="33"/>
  <c r="R27" i="52"/>
  <c r="AA15" i="33"/>
  <c r="R26" i="52"/>
  <c r="M21" i="52"/>
  <c r="Q21" i="52"/>
  <c r="O21" i="52"/>
  <c r="K21" i="52"/>
  <c r="M22" i="52"/>
  <c r="Q22" i="52"/>
  <c r="R22" i="52"/>
  <c r="O22" i="52"/>
  <c r="P22" i="52"/>
  <c r="K22" i="52"/>
  <c r="L22" i="52"/>
  <c r="M20" i="52"/>
  <c r="N20" i="52"/>
  <c r="Q20" i="52"/>
  <c r="O20" i="52"/>
  <c r="P20" i="52"/>
  <c r="K20" i="52"/>
  <c r="L20" i="52"/>
  <c r="T19" i="52"/>
  <c r="M19" i="52"/>
  <c r="N19" i="52"/>
  <c r="K19" i="52"/>
  <c r="L19" i="52"/>
  <c r="O19" i="52"/>
  <c r="P19" i="52"/>
  <c r="Q19" i="52"/>
  <c r="R19" i="52"/>
  <c r="M18" i="52"/>
  <c r="N18" i="52"/>
  <c r="K18" i="52"/>
  <c r="L18" i="52"/>
  <c r="Q18" i="52"/>
  <c r="R18" i="52"/>
  <c r="O18" i="52"/>
  <c r="P18" i="52"/>
  <c r="R36" i="52"/>
  <c r="E38" i="40"/>
  <c r="F38" i="40"/>
  <c r="R30" i="52"/>
  <c r="N22" i="52"/>
  <c r="N21" i="52"/>
  <c r="R21" i="52"/>
  <c r="L21" i="52"/>
  <c r="P21" i="52"/>
  <c r="R20" i="52"/>
  <c r="I22" i="52"/>
  <c r="J22" i="52"/>
  <c r="T22" i="52"/>
  <c r="I19" i="52"/>
  <c r="J19" i="52"/>
  <c r="S19" i="52"/>
  <c r="I21" i="52"/>
  <c r="J21" i="52"/>
  <c r="I20" i="52"/>
  <c r="J20" i="52"/>
  <c r="S20" i="52"/>
  <c r="I18" i="52"/>
  <c r="J18" i="52"/>
  <c r="T18" i="52"/>
  <c r="T20" i="52"/>
  <c r="S21" i="52"/>
  <c r="E39" i="40"/>
  <c r="F39" i="40"/>
  <c r="S22" i="52"/>
  <c r="T21" i="52"/>
  <c r="S18" i="52"/>
  <c r="R14" i="33"/>
  <c r="S14" i="33"/>
  <c r="X14" i="33"/>
  <c r="R15" i="33"/>
  <c r="S15" i="33"/>
  <c r="X15" i="33"/>
  <c r="R16" i="33"/>
  <c r="S16" i="33"/>
  <c r="X16" i="33"/>
  <c r="R17" i="33"/>
  <c r="S17" i="33"/>
  <c r="X17" i="33"/>
  <c r="R18" i="33"/>
  <c r="S18" i="33"/>
  <c r="X18" i="33"/>
  <c r="F15" i="34"/>
  <c r="F16" i="34"/>
  <c r="F13" i="34"/>
  <c r="F14" i="34"/>
  <c r="L16" i="40"/>
  <c r="T18" i="33"/>
  <c r="T14" i="33"/>
  <c r="T17" i="33"/>
  <c r="T16" i="33"/>
  <c r="T15" i="33"/>
  <c r="C28" i="40"/>
  <c r="C29" i="40"/>
  <c r="C30" i="40"/>
  <c r="C31" i="40"/>
  <c r="C32" i="40"/>
  <c r="B28" i="40"/>
  <c r="B29" i="40"/>
  <c r="H29" i="40"/>
  <c r="B30" i="40"/>
  <c r="H30" i="40"/>
  <c r="B31" i="40"/>
  <c r="H31" i="40"/>
  <c r="B32" i="40"/>
  <c r="H32" i="40"/>
  <c r="C10" i="40"/>
  <c r="C11" i="40"/>
  <c r="C12" i="40"/>
  <c r="C13" i="40"/>
  <c r="C14" i="40"/>
  <c r="C15" i="40"/>
  <c r="C16" i="40"/>
  <c r="C17" i="40"/>
  <c r="C18" i="40"/>
  <c r="C19" i="40"/>
  <c r="C20" i="40"/>
  <c r="C21" i="40"/>
  <c r="C22" i="40"/>
  <c r="C23" i="40"/>
  <c r="C24" i="40"/>
  <c r="H10" i="52"/>
  <c r="H11" i="52"/>
  <c r="H12" i="52"/>
  <c r="H13" i="52"/>
  <c r="H14" i="52"/>
  <c r="G10" i="52"/>
  <c r="G11" i="52"/>
  <c r="G12" i="52"/>
  <c r="G13" i="52"/>
  <c r="G14" i="52"/>
  <c r="F10" i="52"/>
  <c r="F11" i="52"/>
  <c r="F12" i="52"/>
  <c r="F13" i="52"/>
  <c r="F14" i="52"/>
  <c r="E10" i="52"/>
  <c r="E11" i="52"/>
  <c r="E12" i="52"/>
  <c r="E13" i="52"/>
  <c r="E14" i="52"/>
  <c r="D10" i="52"/>
  <c r="D11" i="52"/>
  <c r="D12" i="52"/>
  <c r="D13" i="52"/>
  <c r="D14" i="52"/>
  <c r="O13" i="52"/>
  <c r="P13" i="52"/>
  <c r="O14" i="52"/>
  <c r="P14" i="52"/>
  <c r="O12" i="52"/>
  <c r="T11" i="52"/>
  <c r="O11" i="52"/>
  <c r="P11" i="52"/>
  <c r="O10" i="52"/>
  <c r="P10" i="52"/>
  <c r="AD14" i="33"/>
  <c r="D32" i="40"/>
  <c r="D29" i="40"/>
  <c r="D30" i="40"/>
  <c r="D31" i="40"/>
  <c r="D28" i="40"/>
  <c r="H28" i="40"/>
  <c r="Q14" i="52"/>
  <c r="R14" i="52"/>
  <c r="M14" i="52"/>
  <c r="K14" i="52"/>
  <c r="L14" i="52"/>
  <c r="M12" i="52"/>
  <c r="P12" i="52"/>
  <c r="K12" i="52"/>
  <c r="L12" i="52"/>
  <c r="Q12" i="52"/>
  <c r="R12" i="52"/>
  <c r="M13" i="52"/>
  <c r="Q13" i="52"/>
  <c r="R13" i="52"/>
  <c r="K13" i="52"/>
  <c r="L13" i="52"/>
  <c r="K11" i="52"/>
  <c r="L11" i="52"/>
  <c r="M11" i="52"/>
  <c r="Q11" i="52"/>
  <c r="R11" i="52"/>
  <c r="K10" i="52"/>
  <c r="L10" i="52"/>
  <c r="AB14" i="33"/>
  <c r="Q10" i="52"/>
  <c r="R10" i="52"/>
  <c r="AE14" i="33"/>
  <c r="M10" i="52"/>
  <c r="N10" i="52"/>
  <c r="AC14" i="33"/>
  <c r="I14" i="52"/>
  <c r="J14" i="52"/>
  <c r="I13" i="52"/>
  <c r="J13" i="52"/>
  <c r="S13" i="52"/>
  <c r="I12" i="52"/>
  <c r="J12" i="52"/>
  <c r="S12" i="52"/>
  <c r="I11" i="52"/>
  <c r="J11" i="52"/>
  <c r="I10" i="52"/>
  <c r="J10" i="52"/>
  <c r="Z14" i="33"/>
  <c r="Z15" i="33"/>
  <c r="Z16" i="33"/>
  <c r="AL16" i="33"/>
  <c r="Z17" i="33"/>
  <c r="AL17" i="33"/>
  <c r="Z18" i="33"/>
  <c r="T10" i="52"/>
  <c r="AA14" i="33"/>
  <c r="S10" i="52"/>
  <c r="T12" i="52"/>
  <c r="T14" i="52"/>
  <c r="S14" i="52"/>
  <c r="T13" i="52"/>
  <c r="S11" i="52"/>
  <c r="E37" i="40"/>
  <c r="F37" i="40"/>
  <c r="N14" i="52"/>
  <c r="N11" i="52"/>
  <c r="AF14" i="33"/>
  <c r="AL14" i="33"/>
  <c r="AL18" i="33"/>
  <c r="E40" i="40"/>
  <c r="F40" i="40"/>
  <c r="AL15" i="33"/>
  <c r="N13" i="52"/>
  <c r="N12" i="52"/>
  <c r="E28" i="40"/>
  <c r="E29" i="40"/>
  <c r="E30" i="40"/>
  <c r="E31" i="40"/>
  <c r="E32" i="40"/>
  <c r="E36" i="40"/>
  <c r="F36" i="40"/>
  <c r="I28" i="40"/>
  <c r="J28" i="40"/>
  <c r="F29" i="40"/>
  <c r="G37" i="40"/>
  <c r="I29" i="40"/>
  <c r="J29" i="40"/>
  <c r="I31" i="40"/>
  <c r="J31" i="40"/>
  <c r="I32" i="40"/>
  <c r="J32" i="40"/>
  <c r="F30" i="40"/>
  <c r="G38" i="40"/>
  <c r="I30" i="40"/>
  <c r="J30" i="40"/>
  <c r="F32" i="40"/>
  <c r="G40" i="40"/>
  <c r="F31" i="40"/>
  <c r="G39" i="40"/>
  <c r="F28" i="40"/>
  <c r="G36" i="40"/>
  <c r="L19" i="40"/>
  <c r="L31" i="40"/>
  <c r="L29" i="40"/>
  <c r="L30" i="40"/>
  <c r="L32" i="40"/>
  <c r="U16" i="33"/>
  <c r="AG16" i="33"/>
  <c r="C21" i="28"/>
  <c r="AJ15" i="33"/>
  <c r="Y15" i="33"/>
  <c r="AK15" i="33"/>
  <c r="Y17" i="33"/>
  <c r="AK17" i="33"/>
  <c r="AJ17" i="33"/>
  <c r="AJ16" i="33"/>
  <c r="Y16" i="33"/>
  <c r="AK16" i="33"/>
  <c r="Y18" i="33"/>
  <c r="AK18" i="33"/>
  <c r="AJ18" i="33"/>
  <c r="W18" i="33"/>
  <c r="AI18" i="33"/>
  <c r="V18" i="33"/>
  <c r="AH18" i="33"/>
  <c r="W16" i="33"/>
  <c r="AI16" i="33"/>
  <c r="V16" i="33"/>
  <c r="AH16" i="33"/>
  <c r="W17" i="33"/>
  <c r="AI17" i="33"/>
  <c r="V17" i="33"/>
  <c r="AH17" i="33"/>
  <c r="V15" i="33"/>
  <c r="AH15" i="33"/>
  <c r="W15" i="33"/>
  <c r="AI15" i="33"/>
  <c r="U17" i="33"/>
  <c r="AG17" i="33"/>
  <c r="U15" i="33"/>
  <c r="AG15" i="33"/>
  <c r="U18" i="33"/>
  <c r="AG18" i="33"/>
  <c r="C9" i="22"/>
  <c r="C12" i="22"/>
  <c r="D21" i="28"/>
  <c r="D10" i="28"/>
  <c r="AJ14" i="33"/>
  <c r="Y14" i="33"/>
  <c r="AK14" i="33"/>
  <c r="V14" i="33"/>
  <c r="AH14" i="33"/>
  <c r="W14" i="33"/>
  <c r="AI14" i="33"/>
  <c r="U14" i="33"/>
  <c r="AG14" i="33"/>
  <c r="L28" i="40"/>
  <c r="E21" i="32"/>
  <c r="F21" i="32"/>
  <c r="N21" i="32"/>
  <c r="K21" i="32"/>
  <c r="R21" i="32"/>
  <c r="U21" i="32"/>
  <c r="T21" i="32"/>
  <c r="V21" i="32"/>
  <c r="S21" i="32"/>
  <c r="F28" i="27"/>
  <c r="F29" i="27"/>
  <c r="X21" i="32"/>
  <c r="D17" i="40"/>
  <c r="W21" i="32"/>
  <c r="F27" i="27"/>
  <c r="F30" i="27"/>
  <c r="F34" i="27"/>
  <c r="I17" i="27"/>
  <c r="F31" i="27"/>
  <c r="F35" i="27"/>
  <c r="K17" i="32"/>
  <c r="K18" i="32"/>
  <c r="K19" i="32"/>
  <c r="K22" i="32"/>
  <c r="K23" i="32"/>
  <c r="K24" i="32"/>
  <c r="K25" i="32"/>
  <c r="F25" i="32"/>
  <c r="N25" i="32"/>
  <c r="E25" i="32"/>
  <c r="R25" i="32"/>
  <c r="K26" i="32"/>
  <c r="K27" i="32"/>
  <c r="K28" i="32"/>
  <c r="E16" i="32"/>
  <c r="F16" i="32"/>
  <c r="N16" i="32"/>
  <c r="E17" i="32"/>
  <c r="F17" i="32"/>
  <c r="N17" i="32"/>
  <c r="E18" i="32"/>
  <c r="F18" i="32"/>
  <c r="N18" i="32"/>
  <c r="E19" i="32"/>
  <c r="F19" i="32"/>
  <c r="N19" i="32"/>
  <c r="E20" i="32"/>
  <c r="F20" i="32"/>
  <c r="N20" i="32"/>
  <c r="E22" i="32"/>
  <c r="F22" i="32"/>
  <c r="N22" i="32"/>
  <c r="E23" i="32"/>
  <c r="F23" i="32"/>
  <c r="N23" i="32"/>
  <c r="E24" i="32"/>
  <c r="F24" i="32"/>
  <c r="N24" i="32"/>
  <c r="E26" i="32"/>
  <c r="F26" i="32"/>
  <c r="N26" i="32"/>
  <c r="E27" i="32"/>
  <c r="F27" i="32"/>
  <c r="N27" i="32"/>
  <c r="E28" i="32"/>
  <c r="F28" i="32"/>
  <c r="N28" i="32"/>
  <c r="E15" i="32"/>
  <c r="F15" i="32"/>
  <c r="N15" i="32"/>
  <c r="K20" i="32"/>
  <c r="K16" i="32"/>
  <c r="R16" i="32"/>
  <c r="K15" i="32"/>
  <c r="R15" i="32"/>
  <c r="R24" i="32"/>
  <c r="R19" i="32"/>
  <c r="R20" i="32"/>
  <c r="T20" i="32"/>
  <c r="R23" i="32"/>
  <c r="V23" i="32"/>
  <c r="R22" i="32"/>
  <c r="S22" i="32"/>
  <c r="R28" i="32"/>
  <c r="R18" i="32"/>
  <c r="S18" i="32"/>
  <c r="R27" i="32"/>
  <c r="S27" i="32"/>
  <c r="R17" i="32"/>
  <c r="S17" i="32"/>
  <c r="R26" i="32"/>
  <c r="U14" i="32"/>
  <c r="U23" i="32"/>
  <c r="U20" i="32"/>
  <c r="U16" i="32"/>
  <c r="T16" i="32"/>
  <c r="V20" i="32"/>
  <c r="V16" i="32"/>
  <c r="S24" i="32"/>
  <c r="S19" i="32"/>
  <c r="S25" i="32"/>
  <c r="S16" i="32"/>
  <c r="S20" i="32"/>
  <c r="S14" i="32"/>
  <c r="I18" i="27"/>
  <c r="I16" i="27"/>
  <c r="I15" i="27"/>
  <c r="I14" i="27"/>
  <c r="I19" i="27"/>
  <c r="I13" i="27"/>
  <c r="C11" i="28"/>
  <c r="D11" i="28"/>
  <c r="S23" i="32"/>
  <c r="T23" i="32"/>
  <c r="V14" i="32"/>
  <c r="T14" i="32"/>
  <c r="U28" i="32"/>
  <c r="T28" i="32"/>
  <c r="U19" i="32"/>
  <c r="T19" i="32"/>
  <c r="U15" i="32"/>
  <c r="T15" i="32"/>
  <c r="U22" i="32"/>
  <c r="T22" i="32"/>
  <c r="U25" i="32"/>
  <c r="T25" i="32"/>
  <c r="U24" i="32"/>
  <c r="T24" i="32"/>
  <c r="U26" i="32"/>
  <c r="T26" i="32"/>
  <c r="U17" i="32"/>
  <c r="T17" i="32"/>
  <c r="U27" i="32"/>
  <c r="T27" i="32"/>
  <c r="U18" i="32"/>
  <c r="T18" i="32"/>
  <c r="S28" i="32"/>
  <c r="V26" i="32"/>
  <c r="V15" i="32"/>
  <c r="V17" i="32"/>
  <c r="V27" i="32"/>
  <c r="V18" i="32"/>
  <c r="V28" i="32"/>
  <c r="V19" i="32"/>
  <c r="V22" i="32"/>
  <c r="V25" i="32"/>
  <c r="V24" i="32"/>
  <c r="S26" i="32"/>
  <c r="S15" i="32"/>
  <c r="C9" i="28"/>
  <c r="D9" i="28"/>
  <c r="X27" i="32"/>
  <c r="D23" i="40"/>
  <c r="X18" i="32"/>
  <c r="D14" i="40"/>
  <c r="X22" i="32"/>
  <c r="D18" i="40"/>
  <c r="X20" i="32"/>
  <c r="D16" i="40"/>
  <c r="X16" i="32"/>
  <c r="D12" i="40"/>
  <c r="X24" i="32"/>
  <c r="D20" i="40"/>
  <c r="X19" i="32"/>
  <c r="D15" i="40"/>
  <c r="X25" i="32"/>
  <c r="D21" i="40"/>
  <c r="X23" i="32"/>
  <c r="D19" i="40"/>
  <c r="X14" i="32"/>
  <c r="X26" i="32"/>
  <c r="D22" i="40"/>
  <c r="X17" i="32"/>
  <c r="D13" i="40"/>
  <c r="X15" i="32"/>
  <c r="D11" i="40"/>
  <c r="X28" i="32"/>
  <c r="D24" i="40"/>
  <c r="W14" i="32"/>
  <c r="W26" i="32"/>
  <c r="W28" i="32"/>
  <c r="W16" i="32"/>
  <c r="W17" i="32"/>
  <c r="W25" i="32"/>
  <c r="W19" i="32"/>
  <c r="W27" i="32"/>
  <c r="W24" i="32"/>
  <c r="W22" i="32"/>
  <c r="W18" i="32"/>
  <c r="W15" i="32"/>
  <c r="W23" i="32"/>
  <c r="W20" i="32"/>
  <c r="C18" i="28"/>
  <c r="D18" i="28"/>
  <c r="C17" i="28"/>
  <c r="D17" i="28"/>
  <c r="C16" i="28"/>
  <c r="D16" i="28"/>
  <c r="C14" i="28"/>
  <c r="D14" i="28"/>
  <c r="C19" i="28"/>
  <c r="D19" i="28"/>
  <c r="C15" i="28"/>
  <c r="D15" i="28"/>
  <c r="C13" i="28"/>
  <c r="D13" i="28"/>
  <c r="C12" i="28"/>
  <c r="D12" i="28"/>
  <c r="C15" i="22"/>
  <c r="C17" i="22"/>
  <c r="C18" i="22"/>
  <c r="C16" i="22"/>
  <c r="L13" i="40"/>
  <c r="C20" i="28"/>
  <c r="D20" i="28"/>
</calcChain>
</file>

<file path=xl/sharedStrings.xml><?xml version="1.0" encoding="utf-8"?>
<sst xmlns="http://schemas.openxmlformats.org/spreadsheetml/2006/main" count="16937" uniqueCount="5149">
  <si>
    <t>Project Information</t>
  </si>
  <si>
    <t xml:space="preserve">Project Name </t>
  </si>
  <si>
    <t>GHG Summary</t>
  </si>
  <si>
    <t>Green</t>
  </si>
  <si>
    <t>Yellow</t>
  </si>
  <si>
    <t>Output field / not modifiable</t>
  </si>
  <si>
    <t>Required input field</t>
  </si>
  <si>
    <t>Total</t>
  </si>
  <si>
    <t>Helpful hints / important tips</t>
  </si>
  <si>
    <t>Completed?</t>
  </si>
  <si>
    <t>Not applicable</t>
  </si>
  <si>
    <t>Black</t>
  </si>
  <si>
    <t>TOD</t>
  </si>
  <si>
    <t>Dwelling Type</t>
  </si>
  <si>
    <t>Dwelling Units per Acre</t>
  </si>
  <si>
    <t>Stories</t>
  </si>
  <si>
    <t>Total Dwelling Units</t>
  </si>
  <si>
    <t>Affordable Dwelling Units</t>
  </si>
  <si>
    <t>Total Residential Space (square feet)</t>
  </si>
  <si>
    <t>Total Mixed-use Space (square feet)</t>
  </si>
  <si>
    <t>Mixed-use Development?</t>
  </si>
  <si>
    <t>Distance to Central Business District (miles)</t>
  </si>
  <si>
    <t>Traffic Calming Measures?</t>
  </si>
  <si>
    <t>Residential Parking Spaces</t>
  </si>
  <si>
    <t>Land Use Subtype</t>
  </si>
  <si>
    <t>Percentage of Affordable Units</t>
  </si>
  <si>
    <t>Project Area Type</t>
  </si>
  <si>
    <t>ICP</t>
  </si>
  <si>
    <t>RIPA</t>
  </si>
  <si>
    <t>N/A</t>
  </si>
  <si>
    <t>Affordable Housing Development</t>
  </si>
  <si>
    <t>Parking</t>
  </si>
  <si>
    <t>Transit Passes for Residents</t>
  </si>
  <si>
    <t>Rural Elasticity</t>
  </si>
  <si>
    <t>Urban Elasticity</t>
  </si>
  <si>
    <t>LUT</t>
  </si>
  <si>
    <t>Percent Residential Space</t>
  </si>
  <si>
    <t>Land Use Index</t>
  </si>
  <si>
    <t>Percent Mixed-use Space</t>
  </si>
  <si>
    <t>Reduction in Parking Spaces</t>
  </si>
  <si>
    <t>Default Parking Spaces</t>
  </si>
  <si>
    <t>Percentage of Units Receiving Passes</t>
  </si>
  <si>
    <t>Total Value of Transit Passes</t>
  </si>
  <si>
    <t>Primary Trip Length (miles)</t>
  </si>
  <si>
    <t>Overall Trip Length (miles)</t>
  </si>
  <si>
    <t>Residential VMT</t>
  </si>
  <si>
    <t>VMT Reductions</t>
  </si>
  <si>
    <t>Total VMT Reductions</t>
  </si>
  <si>
    <t>Density Increase over Requirement</t>
  </si>
  <si>
    <t>Senior Adult Housing (Attached)</t>
  </si>
  <si>
    <t>Weekday Trips</t>
  </si>
  <si>
    <t>Saturday Trips</t>
  </si>
  <si>
    <t>Sunday Trips</t>
  </si>
  <si>
    <t>Residential</t>
  </si>
  <si>
    <t>Apartments (Low-rise)</t>
  </si>
  <si>
    <t>Apartments (Mid-rise)</t>
  </si>
  <si>
    <t>Apartments (High-rise)</t>
  </si>
  <si>
    <t>Average Daily Trips per Dwelling Unit</t>
  </si>
  <si>
    <t>County</t>
  </si>
  <si>
    <t>Alameda</t>
  </si>
  <si>
    <t>Alpine</t>
  </si>
  <si>
    <t>Amador</t>
  </si>
  <si>
    <t>Butte</t>
  </si>
  <si>
    <t>Calaveras</t>
  </si>
  <si>
    <t>Colusa</t>
  </si>
  <si>
    <t>Contra Costa</t>
  </si>
  <si>
    <t>Del Norte</t>
  </si>
  <si>
    <t>Fresno</t>
  </si>
  <si>
    <t>Glenn</t>
  </si>
  <si>
    <t>Humboldt</t>
  </si>
  <si>
    <t>Imperial</t>
  </si>
  <si>
    <t>Inyo</t>
  </si>
  <si>
    <t>Kings</t>
  </si>
  <si>
    <t>Lake</t>
  </si>
  <si>
    <t>Lassen</t>
  </si>
  <si>
    <t>Madera</t>
  </si>
  <si>
    <t>Marin</t>
  </si>
  <si>
    <t>Mariposa</t>
  </si>
  <si>
    <t>Merced</t>
  </si>
  <si>
    <t>Modoc</t>
  </si>
  <si>
    <t>Mono</t>
  </si>
  <si>
    <t>Monterey</t>
  </si>
  <si>
    <t>Napa</t>
  </si>
  <si>
    <t>Nevada</t>
  </si>
  <si>
    <t>Orange</t>
  </si>
  <si>
    <t>Plumas</t>
  </si>
  <si>
    <t>Sacramento</t>
  </si>
  <si>
    <t>San Benito</t>
  </si>
  <si>
    <t>San Diego</t>
  </si>
  <si>
    <t>San Francisco</t>
  </si>
  <si>
    <t>San Joaquin</t>
  </si>
  <si>
    <t>San Luis Obispo</t>
  </si>
  <si>
    <t>San Mateo</t>
  </si>
  <si>
    <t>Santa Clara</t>
  </si>
  <si>
    <t>Santa Cruz</t>
  </si>
  <si>
    <t>Shasta</t>
  </si>
  <si>
    <t>Sierra</t>
  </si>
  <si>
    <t>Siskiyou</t>
  </si>
  <si>
    <t>Stanislaus</t>
  </si>
  <si>
    <t>Sutter</t>
  </si>
  <si>
    <t>Tehama</t>
  </si>
  <si>
    <t>Trinity</t>
  </si>
  <si>
    <t>Tulare</t>
  </si>
  <si>
    <t>Tuolumne</t>
  </si>
  <si>
    <t>Ventura</t>
  </si>
  <si>
    <t>Yolo</t>
  </si>
  <si>
    <t>Yuba</t>
  </si>
  <si>
    <t>Commercial</t>
  </si>
  <si>
    <t>Avoided VMT</t>
  </si>
  <si>
    <t>Solar Photovoltaic Electricity Generation</t>
  </si>
  <si>
    <t>Condo/Townhouse (Low-rise)</t>
  </si>
  <si>
    <t>Condo/Townhouse (Mid-rise)</t>
  </si>
  <si>
    <t>Condo/Townhouse (High-rise)</t>
  </si>
  <si>
    <t>Annual Solar PV Electricity Generation (kWh/year)</t>
  </si>
  <si>
    <t>Total Solar PV Electricity Generation (kWh)</t>
  </si>
  <si>
    <t>Primary Use of Electricity Generated</t>
  </si>
  <si>
    <t>Net Density (dwelling units/acre)</t>
  </si>
  <si>
    <t>Duration of Funding for Transit Passes (years)</t>
  </si>
  <si>
    <t>Year F</t>
  </si>
  <si>
    <t>Annual Days of Operation</t>
  </si>
  <si>
    <t>Activity Center Credit</t>
  </si>
  <si>
    <t>New Facility Type</t>
  </si>
  <si>
    <t>Length of Average Auto Trip Reduced (miles)</t>
  </si>
  <si>
    <t>Adjustment Factor</t>
  </si>
  <si>
    <t>One-way Facility Length (miles)</t>
  </si>
  <si>
    <t>Average Daily Traffic (trips/day)</t>
  </si>
  <si>
    <t>Bike Share Trips in Year 1</t>
  </si>
  <si>
    <t>≤ 1 Mile</t>
  </si>
  <si>
    <t>&gt; 2 Miles</t>
  </si>
  <si>
    <t>&gt; 1 and ≤ 2 Miles</t>
  </si>
  <si>
    <t>University Town with Population &lt; 250,000?</t>
  </si>
  <si>
    <t>Gray</t>
  </si>
  <si>
    <t>Setting</t>
  </si>
  <si>
    <t>Auto VMT Reductions</t>
  </si>
  <si>
    <t>Train</t>
  </si>
  <si>
    <t>New Transit Service or Infrastructure Type</t>
  </si>
  <si>
    <t>Ferry</t>
  </si>
  <si>
    <t>Paid Parking at Transit Facility?</t>
  </si>
  <si>
    <t>New or Expanded Transit Service and Capital Improvements</t>
  </si>
  <si>
    <t>Electric</t>
  </si>
  <si>
    <t>Year 1 Auto VMT Reductions</t>
  </si>
  <si>
    <t>Year F Auto VMT Reductions</t>
  </si>
  <si>
    <t>Name or Location</t>
  </si>
  <si>
    <t>Project Name</t>
  </si>
  <si>
    <t>Contact Name</t>
  </si>
  <si>
    <t>Contact Phone Number</t>
  </si>
  <si>
    <t>Contact Email</t>
  </si>
  <si>
    <t>Date Calculator Completed</t>
  </si>
  <si>
    <t>Renewable Energy Generation (kWh)</t>
  </si>
  <si>
    <t>Fossil Fuel Use Reductions (gallons)</t>
  </si>
  <si>
    <t>Passenger VMT Reductions (miles)</t>
  </si>
  <si>
    <t xml:space="preserve"> </t>
  </si>
  <si>
    <t>Local ROG Emission Reductions (lbs)</t>
  </si>
  <si>
    <t>Travel Cost Savings ($)</t>
  </si>
  <si>
    <t>Energy and Fuel Cost Savings ($)</t>
  </si>
  <si>
    <t>Diesel</t>
  </si>
  <si>
    <t>Biodiesel</t>
  </si>
  <si>
    <t>Hydrogen</t>
  </si>
  <si>
    <t>Gasoline</t>
  </si>
  <si>
    <t>Fuel</t>
  </si>
  <si>
    <t>Bicycle</t>
  </si>
  <si>
    <t>Foot</t>
  </si>
  <si>
    <t>Mode</t>
  </si>
  <si>
    <t>$ per Mile</t>
  </si>
  <si>
    <t>Transportation</t>
  </si>
  <si>
    <t>$ per kWh</t>
  </si>
  <si>
    <t>Use</t>
  </si>
  <si>
    <t>Within 1/4 Mile</t>
  </si>
  <si>
    <t>Within 1/2 Mile</t>
  </si>
  <si>
    <t>Renewable Diesel</t>
  </si>
  <si>
    <t>Electric (Trolley Bus, Cable Car, Street Car)</t>
  </si>
  <si>
    <t>Electric (Heavy Rail)</t>
  </si>
  <si>
    <t>Electric (Light Rail)</t>
  </si>
  <si>
    <t>Renewable Natural Gas</t>
  </si>
  <si>
    <t>$ per Day</t>
  </si>
  <si>
    <t>Toll Bridge</t>
  </si>
  <si>
    <t>Transit Facility</t>
  </si>
  <si>
    <t>Personal Auto</t>
  </si>
  <si>
    <t>Compressed Natural Gas</t>
  </si>
  <si>
    <t>Liquefied Natural Gas</t>
  </si>
  <si>
    <t>Active Transportation Costs</t>
  </si>
  <si>
    <t>GHG Emission Factors for Autos</t>
  </si>
  <si>
    <t>References</t>
  </si>
  <si>
    <t>Region Type:  County and Air Basin</t>
  </si>
  <si>
    <t>Region:  California</t>
  </si>
  <si>
    <t>Season:  Annual</t>
  </si>
  <si>
    <t>Model Year:  All model years</t>
  </si>
  <si>
    <t>Speed:  Aggregated</t>
  </si>
  <si>
    <t>Fuel:  All</t>
  </si>
  <si>
    <t>Units:  miles/day for VMT, trips/day for Trips, tons/day for Emissions, 1000 gallons/day for Fuel Consumption</t>
  </si>
  <si>
    <t xml:space="preserve">Data is derived from EMFAC. Available online at: 
</t>
  </si>
  <si>
    <t>Region</t>
  </si>
  <si>
    <t>CalYr</t>
  </si>
  <si>
    <t>Region_Yr</t>
  </si>
  <si>
    <t>Alameda_2015</t>
  </si>
  <si>
    <t>Alameda_2016</t>
  </si>
  <si>
    <t>Alpine_2015</t>
  </si>
  <si>
    <t>Alpine_2016</t>
  </si>
  <si>
    <t>Amador_2015</t>
  </si>
  <si>
    <t>Amador_2016</t>
  </si>
  <si>
    <t>Butte_2015</t>
  </si>
  <si>
    <t>Butte_2016</t>
  </si>
  <si>
    <t>Calaveras_2015</t>
  </si>
  <si>
    <t>Calaveras_2016</t>
  </si>
  <si>
    <t>Colusa _2015</t>
  </si>
  <si>
    <t>Colusa _2016</t>
  </si>
  <si>
    <t>Contra Costa_2015</t>
  </si>
  <si>
    <t>Contra Costa_2016</t>
  </si>
  <si>
    <t>Del Norte_2015</t>
  </si>
  <si>
    <t>Del Norte_2016</t>
  </si>
  <si>
    <t>Fresno_2015</t>
  </si>
  <si>
    <t>Fresno_2016</t>
  </si>
  <si>
    <t>Glenn_2015</t>
  </si>
  <si>
    <t>Glenn_2016</t>
  </si>
  <si>
    <t>Great Basin Valley</t>
  </si>
  <si>
    <t>Humboldt_2015</t>
  </si>
  <si>
    <t>Humboldt_2016</t>
  </si>
  <si>
    <t>Imperial_2015</t>
  </si>
  <si>
    <t>Imperial_2016</t>
  </si>
  <si>
    <t>Inyo_2015</t>
  </si>
  <si>
    <t>Inyo_2016</t>
  </si>
  <si>
    <t>Kern</t>
  </si>
  <si>
    <t>Kern_2015</t>
  </si>
  <si>
    <t>Kern_2016</t>
  </si>
  <si>
    <t>Kings_2015</t>
  </si>
  <si>
    <t>Kings_2016</t>
  </si>
  <si>
    <t>Lake County (Air Basin)</t>
  </si>
  <si>
    <t>Lake Tahoe</t>
  </si>
  <si>
    <t>Lake_2015</t>
  </si>
  <si>
    <t>Lake_2016</t>
  </si>
  <si>
    <t>Lassen_2015</t>
  </si>
  <si>
    <t>Lassen_2016</t>
  </si>
  <si>
    <t>Los Angeles</t>
  </si>
  <si>
    <t>Los Angeles_2015</t>
  </si>
  <si>
    <t>Los Angeles_2016</t>
  </si>
  <si>
    <t>Madera_2015</t>
  </si>
  <si>
    <t>Madera_2016</t>
  </si>
  <si>
    <t>Marin_2015</t>
  </si>
  <si>
    <t>Marin_2016</t>
  </si>
  <si>
    <t>Mariposa_2015</t>
  </si>
  <si>
    <t>Mariposa_2016</t>
  </si>
  <si>
    <t>Mendocino</t>
  </si>
  <si>
    <t>Mendocino_2015</t>
  </si>
  <si>
    <t>Mendocino_2016</t>
  </si>
  <si>
    <t>Merced_2015</t>
  </si>
  <si>
    <t>Merced_2016</t>
  </si>
  <si>
    <t>Modoc_2015</t>
  </si>
  <si>
    <t>Modoc_2016</t>
  </si>
  <si>
    <t>Mojave Desert</t>
  </si>
  <si>
    <t>Mono_2015</t>
  </si>
  <si>
    <t>Mono_2016</t>
  </si>
  <si>
    <t>Monterey_2015</t>
  </si>
  <si>
    <t>Monterey_2016</t>
  </si>
  <si>
    <t>Mountain Counties</t>
  </si>
  <si>
    <t>Napa_2015</t>
  </si>
  <si>
    <t>Napa_2016</t>
  </si>
  <si>
    <t>Nevada_2015</t>
  </si>
  <si>
    <t>Nevada_2016</t>
  </si>
  <si>
    <t>North Central Coast</t>
  </si>
  <si>
    <t>North Coast</t>
  </si>
  <si>
    <t>Northeast Plateau</t>
  </si>
  <si>
    <t>Orange_2015</t>
  </si>
  <si>
    <t>Orange_2016</t>
  </si>
  <si>
    <t>Plumas_2015</t>
  </si>
  <si>
    <t>Plumas_2016</t>
  </si>
  <si>
    <t>Riverside</t>
  </si>
  <si>
    <t>Riverside_2015</t>
  </si>
  <si>
    <t>Riverside_2016</t>
  </si>
  <si>
    <t>Sacramento Valley</t>
  </si>
  <si>
    <t>Sacramento_2015</t>
  </si>
  <si>
    <t>Sacramento_2016</t>
  </si>
  <si>
    <t>Salton Sea</t>
  </si>
  <si>
    <t>San Benito_2015</t>
  </si>
  <si>
    <t>San Benito_2016</t>
  </si>
  <si>
    <t>San Bernardino</t>
  </si>
  <si>
    <t>San Bernardino_2015</t>
  </si>
  <si>
    <t>San Bernardino_2016</t>
  </si>
  <si>
    <t>San Diego (Air Basin)</t>
  </si>
  <si>
    <t>San Diego_2015</t>
  </si>
  <si>
    <t>San Diego_2016</t>
  </si>
  <si>
    <t>San Francisco Bay Area</t>
  </si>
  <si>
    <t>San Francisco_2015</t>
  </si>
  <si>
    <t>San Francisco_2016</t>
  </si>
  <si>
    <t>San Joaquin Valley</t>
  </si>
  <si>
    <t>San Joaquin_2015</t>
  </si>
  <si>
    <t>San Joaquin_2016</t>
  </si>
  <si>
    <t>San Luis Obispo_2015</t>
  </si>
  <si>
    <t>San Luis Obispo_2016</t>
  </si>
  <si>
    <t>San Mateo_2015</t>
  </si>
  <si>
    <t>San Mateo_2016</t>
  </si>
  <si>
    <t>Santa Barbara</t>
  </si>
  <si>
    <t>Santa Barbara_2015</t>
  </si>
  <si>
    <t>Santa Barbara_2016</t>
  </si>
  <si>
    <t>Santa Clara_2015</t>
  </si>
  <si>
    <t>Santa Clara_2016</t>
  </si>
  <si>
    <t>Santa Cruz_2015</t>
  </si>
  <si>
    <t>Santa Cruz_2016</t>
  </si>
  <si>
    <t>Shasta_2015</t>
  </si>
  <si>
    <t>Shasta_2016</t>
  </si>
  <si>
    <t>Sierra_2015</t>
  </si>
  <si>
    <t>Sierra_2016</t>
  </si>
  <si>
    <t>Siskiyou_2015</t>
  </si>
  <si>
    <t>Siskiyou_2016</t>
  </si>
  <si>
    <t>Solano</t>
  </si>
  <si>
    <t>Solano_2015</t>
  </si>
  <si>
    <t>Solano_2016</t>
  </si>
  <si>
    <t>Sonoma</t>
  </si>
  <si>
    <t>Sonoma_2015</t>
  </si>
  <si>
    <t>Sonoma_2016</t>
  </si>
  <si>
    <t>South Central Coast</t>
  </si>
  <si>
    <t>South Coast</t>
  </si>
  <si>
    <t>Stanislaus_2015</t>
  </si>
  <si>
    <t>Stanislaus_2016</t>
  </si>
  <si>
    <t>Sutter_2015</t>
  </si>
  <si>
    <t>Sutter_2016</t>
  </si>
  <si>
    <t>Tehama_2015</t>
  </si>
  <si>
    <t>Tehama_2016</t>
  </si>
  <si>
    <t>Trinity_2015</t>
  </si>
  <si>
    <t>Trinity_2016</t>
  </si>
  <si>
    <t>Tulare_2015</t>
  </si>
  <si>
    <t>Tulare_2016</t>
  </si>
  <si>
    <t>Tuolumne_2015</t>
  </si>
  <si>
    <t>Tuolumne_2016</t>
  </si>
  <si>
    <t>Ventura_2015</t>
  </si>
  <si>
    <t>Ventura_2016</t>
  </si>
  <si>
    <t>Yolo_2015</t>
  </si>
  <si>
    <t>Yolo_2016</t>
  </si>
  <si>
    <t>Yuba_2015</t>
  </si>
  <si>
    <t>Yuba_2016</t>
  </si>
  <si>
    <t>Select Criteria and Toxic Air Pollutant Emission Factors for Passenger Autos</t>
  </si>
  <si>
    <t>Model Year:  Aggregated</t>
  </si>
  <si>
    <t>Units:  miles/day for VMT, trips/day for Trips, g/mile for RUNEX, PMBW and PMTW, g/trip for STREX, HTSK and</t>
  </si>
  <si>
    <t>RUNLS, g/vehicle/day for IDLEX, RESTL and DIURN</t>
  </si>
  <si>
    <t xml:space="preserve">Criteria </t>
  </si>
  <si>
    <t>Toxics</t>
  </si>
  <si>
    <t>Weighted ROG (g/mile)</t>
  </si>
  <si>
    <t>GHG Electricity Emissions Data (2016)</t>
  </si>
  <si>
    <t>Units and Conversions</t>
  </si>
  <si>
    <t>In-State</t>
  </si>
  <si>
    <t>Import</t>
  </si>
  <si>
    <t>Generation (GWh)</t>
  </si>
  <si>
    <t>Generation (MWh)</t>
  </si>
  <si>
    <t>California Average Grid GHG Electricity Emissions Factors (2010 - 2016)</t>
  </si>
  <si>
    <t>(lbs/MWh)</t>
  </si>
  <si>
    <t>(lbs/kWh)</t>
  </si>
  <si>
    <t>Select Criteria Pollutant Electricity Emissions Data (2012)</t>
  </si>
  <si>
    <t>In-State Criteria Pollutants - Tons per Day</t>
  </si>
  <si>
    <t>Year</t>
  </si>
  <si>
    <t>Subcategory</t>
  </si>
  <si>
    <t>ROG</t>
  </si>
  <si>
    <t>PM</t>
  </si>
  <si>
    <t>Electric Utilities</t>
  </si>
  <si>
    <t>Cogeneration</t>
  </si>
  <si>
    <t>In-State Criteria Pollutants - Tons per Year</t>
  </si>
  <si>
    <t>Total Generation-2012 (MWh)</t>
  </si>
  <si>
    <t>In-State Generation-2012 (MWh)</t>
  </si>
  <si>
    <t>(MT/MWh)</t>
  </si>
  <si>
    <t>(MT/kWh)</t>
  </si>
  <si>
    <t>Greenhouse Gases</t>
  </si>
  <si>
    <t>https://www.arb.ca.gov/cc/inventory/data/tables/ghg_inventory_sector_sum_2000-16.pdf</t>
  </si>
  <si>
    <t xml:space="preserve">Consumption data  were obtained from the CEC Energy Almanac, last updated May 2018 available online at: </t>
  </si>
  <si>
    <t>http://www.energy.ca.gov/almanac/electricity_data/electricity_generation.html</t>
  </si>
  <si>
    <t>Criteria Pollutants</t>
  </si>
  <si>
    <t>https://www.arb.ca.gov/app/emsinv/2017/emssumcat_query.php?F_YR=2012&amp;F_DIV=-4&amp;F_SEASON=A&amp;SP=SIP105ADJ&amp;F_AREA=CA#0</t>
  </si>
  <si>
    <t xml:space="preserve">Consumption data for in-state generation were obtained from the CEC Energy Almanac, last updated May 2018 available online at: </t>
  </si>
  <si>
    <t>Diesel (gal)</t>
  </si>
  <si>
    <t>Biodiesel (gal)</t>
  </si>
  <si>
    <t>Renewable Diesel (gal)</t>
  </si>
  <si>
    <t>CNG (scf)</t>
  </si>
  <si>
    <t>LNG (gal)</t>
  </si>
  <si>
    <t>Electric (kWh)</t>
  </si>
  <si>
    <t>Gasoline (gal)</t>
  </si>
  <si>
    <t>Low Carbon Fuel Standard (LCFS) GHG emission factors are derived from:</t>
  </si>
  <si>
    <t>Fuel Specific Factors</t>
  </si>
  <si>
    <t>Fuels (units)</t>
  </si>
  <si>
    <t>Energy Density*</t>
  </si>
  <si>
    <t>Carbon Intensity</t>
  </si>
  <si>
    <t>Carbon Content**</t>
  </si>
  <si>
    <t>126.13 (MJ/gal)</t>
  </si>
  <si>
    <t>134.47 (MJ/gal)</t>
  </si>
  <si>
    <t>3.60 (MJ/kWh)</t>
  </si>
  <si>
    <t>115.83 (MJ/gal)</t>
  </si>
  <si>
    <t>Hydrogen (kg)</t>
  </si>
  <si>
    <t>120.00 (MJ/kg)</t>
  </si>
  <si>
    <t>78.83 (MJ/gal)</t>
  </si>
  <si>
    <t>LPG / Propane (gal)</t>
  </si>
  <si>
    <t>89.63 (MJ/gal)</t>
  </si>
  <si>
    <t>Ethanol (gal)</t>
  </si>
  <si>
    <t>81.51 (MJ/gal)</t>
  </si>
  <si>
    <t>129.65 (MJ/gal)</t>
  </si>
  <si>
    <t>Renewable Electricity (kWh)</t>
  </si>
  <si>
    <t>Energy Economy Ratios</t>
  </si>
  <si>
    <t>EER Values Relative to Diesel</t>
  </si>
  <si>
    <t>EER Values Relative to Gas</t>
  </si>
  <si>
    <t>--</t>
  </si>
  <si>
    <t xml:space="preserve">    5.0 (Bus)        4.6 (Heavy Rail)     3.3 (Light Rail)    3.1 (Street Car)    3.8 (Forklift)          3.4 (TRU)           2.7 (CHE)          2.6 (OGV)</t>
  </si>
  <si>
    <t>Gas (gal)</t>
  </si>
  <si>
    <t>Hydrogen is volume-weighted based upon an assumption of 33.3% renewable content.</t>
  </si>
  <si>
    <t>Select Criteria and Toxic Air Pollutant Emission Factors for Ferries</t>
  </si>
  <si>
    <t>Ferry (g/gal) (ME + AE)</t>
  </si>
  <si>
    <t>Model Year</t>
  </si>
  <si>
    <t>1987-1994</t>
  </si>
  <si>
    <t>2014-2020</t>
  </si>
  <si>
    <t>Commercial Harbor Craft Emission Factor Table (g/hp-hr)</t>
  </si>
  <si>
    <t>Conversion Factor (gal/hp-hr)</t>
  </si>
  <si>
    <t>HP Range</t>
  </si>
  <si>
    <t>ME ROG</t>
  </si>
  <si>
    <t>AE ROG</t>
  </si>
  <si>
    <t>Brake Fuel Consumption Rate</t>
  </si>
  <si>
    <t>25-50 HP</t>
  </si>
  <si>
    <t>pre-1998</t>
  </si>
  <si>
    <t>1998-1999</t>
  </si>
  <si>
    <t>Load Factor</t>
  </si>
  <si>
    <t>2000-2004</t>
  </si>
  <si>
    <t>Main Engine</t>
  </si>
  <si>
    <t>2005-2008</t>
  </si>
  <si>
    <t>Auxiliary Engine</t>
  </si>
  <si>
    <t>2009-2020</t>
  </si>
  <si>
    <t>51-120 HP</t>
  </si>
  <si>
    <t>pre-1997</t>
  </si>
  <si>
    <t xml:space="preserve">Engine Deterioration Factor </t>
  </si>
  <si>
    <t>1997-1999</t>
  </si>
  <si>
    <t>Horsepower Range</t>
  </si>
  <si>
    <t>HC</t>
  </si>
  <si>
    <t>CO</t>
  </si>
  <si>
    <t>25-50</t>
  </si>
  <si>
    <t>51-250</t>
  </si>
  <si>
    <t>&gt;251</t>
  </si>
  <si>
    <t>121-175 HP</t>
  </si>
  <si>
    <t>pre-1971</t>
  </si>
  <si>
    <t>1971-1978</t>
  </si>
  <si>
    <t>Fuel Correction Factor</t>
  </si>
  <si>
    <t>1979-1983</t>
  </si>
  <si>
    <t>Calendar Years</t>
  </si>
  <si>
    <t>Model Years</t>
  </si>
  <si>
    <t>1984-1986</t>
  </si>
  <si>
    <t>1994-2006</t>
  </si>
  <si>
    <t>&lt;25</t>
  </si>
  <si>
    <t>Pre-1995</t>
  </si>
  <si>
    <t>1987-1995</t>
  </si>
  <si>
    <t>Pre-1999</t>
  </si>
  <si>
    <t>1996-1999</t>
  </si>
  <si>
    <t>51-100</t>
  </si>
  <si>
    <t>Pre-1998</t>
  </si>
  <si>
    <t>2000-2003</t>
  </si>
  <si>
    <t>101-175</t>
  </si>
  <si>
    <t>Pre-1997</t>
  </si>
  <si>
    <t>2004-2012</t>
  </si>
  <si>
    <t>176+</t>
  </si>
  <si>
    <t>Pre-1996</t>
  </si>
  <si>
    <t>2013-2020</t>
  </si>
  <si>
    <t>1995+</t>
  </si>
  <si>
    <t>176-250 HP</t>
  </si>
  <si>
    <t>1999-2010</t>
  </si>
  <si>
    <t>1998-2010</t>
  </si>
  <si>
    <t>1997-2010</t>
  </si>
  <si>
    <t>1996-2010</t>
  </si>
  <si>
    <t>2007+</t>
  </si>
  <si>
    <t>1995-1999</t>
  </si>
  <si>
    <t>2004-2013</t>
  </si>
  <si>
    <t>251-500 HP</t>
  </si>
  <si>
    <t>All</t>
  </si>
  <si>
    <t>2011+</t>
  </si>
  <si>
    <t>501-750 HP</t>
  </si>
  <si>
    <t>2000-2006</t>
  </si>
  <si>
    <t>2007-2012</t>
  </si>
  <si>
    <t>751-1900 HP</t>
  </si>
  <si>
    <t>1987-1998</t>
  </si>
  <si>
    <t>2007-2011</t>
  </si>
  <si>
    <t>2012-2016</t>
  </si>
  <si>
    <t>2017-2020</t>
  </si>
  <si>
    <t>1901-3300 HP</t>
  </si>
  <si>
    <t>2013-2015</t>
  </si>
  <si>
    <t>2016-2020</t>
  </si>
  <si>
    <t>3301-5000 HP</t>
  </si>
  <si>
    <t>2007-2013</t>
  </si>
  <si>
    <t>2014-2015</t>
  </si>
  <si>
    <t>https://www.arb.ca.gov/msei/chc-appendix-b-emission-estimates-ver02-27-2012.pdf</t>
  </si>
  <si>
    <t>Select Criteria and Toxic Air Pollutant Emission Factors for Locomotives</t>
  </si>
  <si>
    <t>Locomotive (g/mile)</t>
  </si>
  <si>
    <t>Tier 2</t>
  </si>
  <si>
    <t>Tier 4</t>
  </si>
  <si>
    <t>Locomotive (g/gal)</t>
  </si>
  <si>
    <t>Line Haul Emission Factors (g/bhp-hr)</t>
  </si>
  <si>
    <t>Criteria</t>
  </si>
  <si>
    <t>Locomotive Fuel Consumption Rate (gal/mile)</t>
  </si>
  <si>
    <t>Engine Tier</t>
  </si>
  <si>
    <t>State average fuel consumption rate</t>
  </si>
  <si>
    <t>UNCONTROLLED</t>
  </si>
  <si>
    <t>Tier 0</t>
  </si>
  <si>
    <t>Conversion Factors (bhp-hr/gal)</t>
  </si>
  <si>
    <t>Tier 0+</t>
  </si>
  <si>
    <t>Locomotive Application</t>
  </si>
  <si>
    <t>Conversion Factor (bhp-hr/gal)</t>
  </si>
  <si>
    <t>Tier 1</t>
  </si>
  <si>
    <t>Large Line-Haul and Passenger</t>
  </si>
  <si>
    <t>Tier 1+</t>
  </si>
  <si>
    <t>Small Line-Haul</t>
  </si>
  <si>
    <t>Switching</t>
  </si>
  <si>
    <t>Tier 2+ &amp; Tier 3</t>
  </si>
  <si>
    <t>+ Indicates that these are the revised standards in 40 CFR Part 1033</t>
  </si>
  <si>
    <t>Locomotive emission factors codified at 40 CFR part 1033, found at:</t>
  </si>
  <si>
    <t>https://www.epa.gov/regulations-emissions-vehicles-and-engines/final-rule-control-emissions-air-pollution-locomotive</t>
  </si>
  <si>
    <t>Criteria pollutant emission factors are derived from US EPA Emission Factors for Locomotives, EPA-420-F-09-025, found at:</t>
  </si>
  <si>
    <t>https://nepis.epa.gov/Exe/ZyPDF.cgi/P100500B.PDF?Dockey=P100500B.PDF</t>
  </si>
  <si>
    <t>Select Criteria and Toxic Air Pollutant Emission Factors for Transit Buses (Urban Buses)</t>
  </si>
  <si>
    <t>Region Type:  Statewide</t>
  </si>
  <si>
    <t xml:space="preserve">Units:  miles/day for VMT, trips/day for Trips, g/mile for RUNEX, PMBW and PMTW, g/trip for STREX, HTSK and </t>
  </si>
  <si>
    <t>ROG (g/mile)</t>
  </si>
  <si>
    <r>
      <t>NO</t>
    </r>
    <r>
      <rPr>
        <b/>
        <vertAlign val="subscript"/>
        <sz val="12"/>
        <color theme="1"/>
        <rFont val="Arial"/>
        <family val="2"/>
      </rPr>
      <t>x</t>
    </r>
    <r>
      <rPr>
        <b/>
        <sz val="12"/>
        <color theme="1"/>
        <rFont val="Arial"/>
        <family val="2"/>
      </rPr>
      <t xml:space="preserve"> (g/mile)</t>
    </r>
  </si>
  <si>
    <r>
      <t>PM</t>
    </r>
    <r>
      <rPr>
        <b/>
        <vertAlign val="subscript"/>
        <sz val="12"/>
        <color theme="1"/>
        <rFont val="Arial"/>
        <family val="2"/>
      </rPr>
      <t>2.5</t>
    </r>
    <r>
      <rPr>
        <b/>
        <sz val="12"/>
        <color theme="1"/>
        <rFont val="Arial"/>
        <family val="2"/>
      </rPr>
      <t xml:space="preserve"> (g/mile)</t>
    </r>
  </si>
  <si>
    <r>
      <t>DSL PM</t>
    </r>
    <r>
      <rPr>
        <b/>
        <vertAlign val="subscript"/>
        <sz val="12"/>
        <rFont val="Arial"/>
        <family val="2"/>
      </rPr>
      <t>10</t>
    </r>
    <r>
      <rPr>
        <b/>
        <sz val="12"/>
        <rFont val="Arial"/>
        <family val="2"/>
      </rPr>
      <t xml:space="preserve"> (g/mile)</t>
    </r>
  </si>
  <si>
    <t>MdlYr</t>
  </si>
  <si>
    <t>CalYR_MdlYr</t>
  </si>
  <si>
    <t>Gas</t>
  </si>
  <si>
    <t>Units:  miles/day for VMT, trips/day for Trips, g/mile for RUNEX, PMBW and PMTW, g/trip for STREX, HTSK and RUNLS, g/vehicle/day for IDLEX, RESTL and DIURN</t>
  </si>
  <si>
    <t>CalYr_MdlYr</t>
  </si>
  <si>
    <t>Select Criteria and Toxic Air Pollutant Emission Factors for Vans</t>
  </si>
  <si>
    <t xml:space="preserve">Toxics </t>
  </si>
  <si>
    <t>Active Mode Cost ($)</t>
  </si>
  <si>
    <t>Alameda_2017</t>
  </si>
  <si>
    <t>Alameda_2018</t>
  </si>
  <si>
    <t>Alameda_2019</t>
  </si>
  <si>
    <t>Alameda_2020</t>
  </si>
  <si>
    <t>Alameda_2021</t>
  </si>
  <si>
    <t>Alameda_2022</t>
  </si>
  <si>
    <t>Alameda_2023</t>
  </si>
  <si>
    <t>Alameda_2024</t>
  </si>
  <si>
    <t>Alameda_2025</t>
  </si>
  <si>
    <t>Alameda_2026</t>
  </si>
  <si>
    <t>Alameda_2027</t>
  </si>
  <si>
    <t>Alameda_2028</t>
  </si>
  <si>
    <t>Alameda_2029</t>
  </si>
  <si>
    <t>Alameda_2030</t>
  </si>
  <si>
    <t>Alameda_2031</t>
  </si>
  <si>
    <t>Alameda_2032</t>
  </si>
  <si>
    <t>Alameda_2033</t>
  </si>
  <si>
    <t>Alameda_2034</t>
  </si>
  <si>
    <t>Alameda_2035</t>
  </si>
  <si>
    <t>Alameda_2036</t>
  </si>
  <si>
    <t>Alameda_2037</t>
  </si>
  <si>
    <t>Alameda_2038</t>
  </si>
  <si>
    <t>Alameda_2039</t>
  </si>
  <si>
    <t>Alameda_2040</t>
  </si>
  <si>
    <t>Alameda_2041</t>
  </si>
  <si>
    <t>Alameda_2042</t>
  </si>
  <si>
    <t>Alameda_2043</t>
  </si>
  <si>
    <t>Alameda_2044</t>
  </si>
  <si>
    <t>Alameda_2045</t>
  </si>
  <si>
    <t>Alameda_2046</t>
  </si>
  <si>
    <t>Alameda_2047</t>
  </si>
  <si>
    <t>Alameda_2048</t>
  </si>
  <si>
    <t>Alameda_2049</t>
  </si>
  <si>
    <t>Alameda_2050</t>
  </si>
  <si>
    <t>Alpine_2017</t>
  </si>
  <si>
    <t>Alpine_2018</t>
  </si>
  <si>
    <t>Alpine_2019</t>
  </si>
  <si>
    <t>Alpine_2020</t>
  </si>
  <si>
    <t>Alpine_2021</t>
  </si>
  <si>
    <t>Alpine_2022</t>
  </si>
  <si>
    <t>Alpine_2023</t>
  </si>
  <si>
    <t>Alpine_2024</t>
  </si>
  <si>
    <t>Alpine_2025</t>
  </si>
  <si>
    <t>Alpine_2026</t>
  </si>
  <si>
    <t>Alpine_2027</t>
  </si>
  <si>
    <t>Alpine_2028</t>
  </si>
  <si>
    <t>Alpine_2029</t>
  </si>
  <si>
    <t>Alpine_2030</t>
  </si>
  <si>
    <t>Alpine_2031</t>
  </si>
  <si>
    <t>Alpine_2032</t>
  </si>
  <si>
    <t>Alpine_2033</t>
  </si>
  <si>
    <t>Alpine_2034</t>
  </si>
  <si>
    <t>Alpine_2035</t>
  </si>
  <si>
    <t>Alpine_2036</t>
  </si>
  <si>
    <t>Alpine_2037</t>
  </si>
  <si>
    <t>Alpine_2038</t>
  </si>
  <si>
    <t>Alpine_2039</t>
  </si>
  <si>
    <t>Alpine_2040</t>
  </si>
  <si>
    <t>Alpine_2041</t>
  </si>
  <si>
    <t>Alpine_2042</t>
  </si>
  <si>
    <t>Alpine_2043</t>
  </si>
  <si>
    <t>Alpine_2044</t>
  </si>
  <si>
    <t>Alpine_2045</t>
  </si>
  <si>
    <t>Alpine_2046</t>
  </si>
  <si>
    <t>Alpine_2047</t>
  </si>
  <si>
    <t>Alpine_2048</t>
  </si>
  <si>
    <t>Alpine_2049</t>
  </si>
  <si>
    <t>Alpine_2050</t>
  </si>
  <si>
    <t>Amador_2017</t>
  </si>
  <si>
    <t>Amador_2018</t>
  </si>
  <si>
    <t>Amador_2019</t>
  </si>
  <si>
    <t>Amador_2020</t>
  </si>
  <si>
    <t>Amador_2021</t>
  </si>
  <si>
    <t>Amador_2022</t>
  </si>
  <si>
    <t>Amador_2023</t>
  </si>
  <si>
    <t>Amador_2024</t>
  </si>
  <si>
    <t>Amador_2025</t>
  </si>
  <si>
    <t>Amador_2026</t>
  </si>
  <si>
    <t>Amador_2027</t>
  </si>
  <si>
    <t>Amador_2028</t>
  </si>
  <si>
    <t>Amador_2029</t>
  </si>
  <si>
    <t>Amador_2030</t>
  </si>
  <si>
    <t>Amador_2031</t>
  </si>
  <si>
    <t>Amador_2032</t>
  </si>
  <si>
    <t>Amador_2033</t>
  </si>
  <si>
    <t>Amador_2034</t>
  </si>
  <si>
    <t>Amador_2035</t>
  </si>
  <si>
    <t>Amador_2036</t>
  </si>
  <si>
    <t>Amador_2037</t>
  </si>
  <si>
    <t>Amador_2038</t>
  </si>
  <si>
    <t>Amador_2039</t>
  </si>
  <si>
    <t>Amador_2040</t>
  </si>
  <si>
    <t>Amador_2041</t>
  </si>
  <si>
    <t>Amador_2042</t>
  </si>
  <si>
    <t>Amador_2043</t>
  </si>
  <si>
    <t>Amador_2044</t>
  </si>
  <si>
    <t>Amador_2045</t>
  </si>
  <si>
    <t>Amador_2046</t>
  </si>
  <si>
    <t>Amador_2047</t>
  </si>
  <si>
    <t>Amador_2048</t>
  </si>
  <si>
    <t>Amador_2049</t>
  </si>
  <si>
    <t>Amador_2050</t>
  </si>
  <si>
    <t>Butte_2017</t>
  </si>
  <si>
    <t>Butte_2018</t>
  </si>
  <si>
    <t>Butte_2019</t>
  </si>
  <si>
    <t>Butte_2020</t>
  </si>
  <si>
    <t>Butte_2021</t>
  </si>
  <si>
    <t>Butte_2022</t>
  </si>
  <si>
    <t>Butte_2023</t>
  </si>
  <si>
    <t>Butte_2024</t>
  </si>
  <si>
    <t>Butte_2025</t>
  </si>
  <si>
    <t>Butte_2026</t>
  </si>
  <si>
    <t>Butte_2027</t>
  </si>
  <si>
    <t>Butte_2028</t>
  </si>
  <si>
    <t>Butte_2029</t>
  </si>
  <si>
    <t>Butte_2030</t>
  </si>
  <si>
    <t>Butte_2031</t>
  </si>
  <si>
    <t>Butte_2032</t>
  </si>
  <si>
    <t>Butte_2033</t>
  </si>
  <si>
    <t>Butte_2034</t>
  </si>
  <si>
    <t>Butte_2035</t>
  </si>
  <si>
    <t>Butte_2036</t>
  </si>
  <si>
    <t>Butte_2037</t>
  </si>
  <si>
    <t>Butte_2038</t>
  </si>
  <si>
    <t>Butte_2039</t>
  </si>
  <si>
    <t>Butte_2040</t>
  </si>
  <si>
    <t>Butte_2041</t>
  </si>
  <si>
    <t>Butte_2042</t>
  </si>
  <si>
    <t>Butte_2043</t>
  </si>
  <si>
    <t>Butte_2044</t>
  </si>
  <si>
    <t>Butte_2045</t>
  </si>
  <si>
    <t>Butte_2046</t>
  </si>
  <si>
    <t>Butte_2047</t>
  </si>
  <si>
    <t>Butte_2048</t>
  </si>
  <si>
    <t>Butte_2049</t>
  </si>
  <si>
    <t>Butte_2050</t>
  </si>
  <si>
    <t>Calaveras_2017</t>
  </si>
  <si>
    <t>Calaveras_2018</t>
  </si>
  <si>
    <t>Calaveras_2019</t>
  </si>
  <si>
    <t>Calaveras_2020</t>
  </si>
  <si>
    <t>Calaveras_2021</t>
  </si>
  <si>
    <t>Calaveras_2022</t>
  </si>
  <si>
    <t>Calaveras_2023</t>
  </si>
  <si>
    <t>Calaveras_2024</t>
  </si>
  <si>
    <t>Calaveras_2025</t>
  </si>
  <si>
    <t>Calaveras_2026</t>
  </si>
  <si>
    <t>Calaveras_2027</t>
  </si>
  <si>
    <t>Calaveras_2028</t>
  </si>
  <si>
    <t>Calaveras_2029</t>
  </si>
  <si>
    <t>Calaveras_2030</t>
  </si>
  <si>
    <t>Calaveras_2031</t>
  </si>
  <si>
    <t>Calaveras_2032</t>
  </si>
  <si>
    <t>Calaveras_2033</t>
  </si>
  <si>
    <t>Calaveras_2034</t>
  </si>
  <si>
    <t>Calaveras_2035</t>
  </si>
  <si>
    <t>Calaveras_2036</t>
  </si>
  <si>
    <t>Calaveras_2037</t>
  </si>
  <si>
    <t>Calaveras_2038</t>
  </si>
  <si>
    <t>Calaveras_2039</t>
  </si>
  <si>
    <t>Calaveras_2040</t>
  </si>
  <si>
    <t>Calaveras_2041</t>
  </si>
  <si>
    <t>Calaveras_2042</t>
  </si>
  <si>
    <t>Calaveras_2043</t>
  </si>
  <si>
    <t>Calaveras_2044</t>
  </si>
  <si>
    <t>Calaveras_2045</t>
  </si>
  <si>
    <t>Calaveras_2046</t>
  </si>
  <si>
    <t>Calaveras_2047</t>
  </si>
  <si>
    <t>Calaveras_2048</t>
  </si>
  <si>
    <t>Calaveras_2049</t>
  </si>
  <si>
    <t>Calaveras_2050</t>
  </si>
  <si>
    <t>Colusa_2017</t>
  </si>
  <si>
    <t>Colusa_2018</t>
  </si>
  <si>
    <t>Colusa_2019</t>
  </si>
  <si>
    <t>Colusa_2020</t>
  </si>
  <si>
    <t>Colusa_2021</t>
  </si>
  <si>
    <t>Colusa_2022</t>
  </si>
  <si>
    <t>Colusa_2023</t>
  </si>
  <si>
    <t>Colusa_2024</t>
  </si>
  <si>
    <t>Colusa_2025</t>
  </si>
  <si>
    <t>Colusa_2026</t>
  </si>
  <si>
    <t>Colusa_2027</t>
  </si>
  <si>
    <t>Colusa_2028</t>
  </si>
  <si>
    <t>Colusa_2029</t>
  </si>
  <si>
    <t>Colusa_2030</t>
  </si>
  <si>
    <t>Colusa_2031</t>
  </si>
  <si>
    <t>Colusa_2032</t>
  </si>
  <si>
    <t>Colusa_2033</t>
  </si>
  <si>
    <t>Colusa_2034</t>
  </si>
  <si>
    <t>Colusa_2035</t>
  </si>
  <si>
    <t>Colusa_2036</t>
  </si>
  <si>
    <t>Colusa_2037</t>
  </si>
  <si>
    <t>Colusa_2038</t>
  </si>
  <si>
    <t>Colusa_2039</t>
  </si>
  <si>
    <t>Colusa_2040</t>
  </si>
  <si>
    <t>Colusa_2041</t>
  </si>
  <si>
    <t>Colusa_2042</t>
  </si>
  <si>
    <t>Colusa_2043</t>
  </si>
  <si>
    <t>Colusa_2044</t>
  </si>
  <si>
    <t>Colusa_2045</t>
  </si>
  <si>
    <t>Colusa_2046</t>
  </si>
  <si>
    <t>Colusa_2047</t>
  </si>
  <si>
    <t>Colusa_2048</t>
  </si>
  <si>
    <t>Colusa_2049</t>
  </si>
  <si>
    <t>Colusa_2050</t>
  </si>
  <si>
    <t>Contra Costa_2017</t>
  </si>
  <si>
    <t>Contra Costa_2018</t>
  </si>
  <si>
    <t>Contra Costa_2019</t>
  </si>
  <si>
    <t>Contra Costa_2020</t>
  </si>
  <si>
    <t>Contra Costa_2021</t>
  </si>
  <si>
    <t>Contra Costa_2022</t>
  </si>
  <si>
    <t>Contra Costa_2023</t>
  </si>
  <si>
    <t>Contra Costa_2024</t>
  </si>
  <si>
    <t>Contra Costa_2025</t>
  </si>
  <si>
    <t>Contra Costa_2026</t>
  </si>
  <si>
    <t>Contra Costa_2027</t>
  </si>
  <si>
    <t>Contra Costa_2028</t>
  </si>
  <si>
    <t>Contra Costa_2029</t>
  </si>
  <si>
    <t>Contra Costa_2030</t>
  </si>
  <si>
    <t>Contra Costa_2031</t>
  </si>
  <si>
    <t>Contra Costa_2032</t>
  </si>
  <si>
    <t>Contra Costa_2033</t>
  </si>
  <si>
    <t>Contra Costa_2034</t>
  </si>
  <si>
    <t>Contra Costa_2035</t>
  </si>
  <si>
    <t>Contra Costa_2036</t>
  </si>
  <si>
    <t>Contra Costa_2037</t>
  </si>
  <si>
    <t>Contra Costa_2038</t>
  </si>
  <si>
    <t>Contra Costa_2039</t>
  </si>
  <si>
    <t>Contra Costa_2040</t>
  </si>
  <si>
    <t>Contra Costa_2041</t>
  </si>
  <si>
    <t>Contra Costa_2042</t>
  </si>
  <si>
    <t>Contra Costa_2043</t>
  </si>
  <si>
    <t>Contra Costa_2044</t>
  </si>
  <si>
    <t>Contra Costa_2045</t>
  </si>
  <si>
    <t>Contra Costa_2046</t>
  </si>
  <si>
    <t>Contra Costa_2047</t>
  </si>
  <si>
    <t>Contra Costa_2048</t>
  </si>
  <si>
    <t>Contra Costa_2049</t>
  </si>
  <si>
    <t>Contra Costa_2050</t>
  </si>
  <si>
    <t>Del Norte_2017</t>
  </si>
  <si>
    <t>Del Norte_2018</t>
  </si>
  <si>
    <t>Del Norte_2019</t>
  </si>
  <si>
    <t>Del Norte_2020</t>
  </si>
  <si>
    <t>Del Norte_2021</t>
  </si>
  <si>
    <t>Del Norte_2022</t>
  </si>
  <si>
    <t>Del Norte_2023</t>
  </si>
  <si>
    <t>Del Norte_2024</t>
  </si>
  <si>
    <t>Del Norte_2025</t>
  </si>
  <si>
    <t>Del Norte_2026</t>
  </si>
  <si>
    <t>Del Norte_2027</t>
  </si>
  <si>
    <t>Del Norte_2028</t>
  </si>
  <si>
    <t>Del Norte_2029</t>
  </si>
  <si>
    <t>Del Norte_2030</t>
  </si>
  <si>
    <t>Del Norte_2031</t>
  </si>
  <si>
    <t>Del Norte_2032</t>
  </si>
  <si>
    <t>Del Norte_2033</t>
  </si>
  <si>
    <t>Del Norte_2034</t>
  </si>
  <si>
    <t>Del Norte_2035</t>
  </si>
  <si>
    <t>Del Norte_2036</t>
  </si>
  <si>
    <t>Del Norte_2037</t>
  </si>
  <si>
    <t>Del Norte_2038</t>
  </si>
  <si>
    <t>Del Norte_2039</t>
  </si>
  <si>
    <t>Del Norte_2040</t>
  </si>
  <si>
    <t>Del Norte_2041</t>
  </si>
  <si>
    <t>Del Norte_2042</t>
  </si>
  <si>
    <t>Del Norte_2043</t>
  </si>
  <si>
    <t>Del Norte_2044</t>
  </si>
  <si>
    <t>Del Norte_2045</t>
  </si>
  <si>
    <t>Del Norte_2046</t>
  </si>
  <si>
    <t>Del Norte_2047</t>
  </si>
  <si>
    <t>Del Norte_2048</t>
  </si>
  <si>
    <t>Del Norte_2049</t>
  </si>
  <si>
    <t>Del Norte_2050</t>
  </si>
  <si>
    <t>Fresno_2017</t>
  </si>
  <si>
    <t>Fresno_2018</t>
  </si>
  <si>
    <t>Fresno_2019</t>
  </si>
  <si>
    <t>Fresno_2020</t>
  </si>
  <si>
    <t>Fresno_2021</t>
  </si>
  <si>
    <t>Fresno_2022</t>
  </si>
  <si>
    <t>Fresno_2023</t>
  </si>
  <si>
    <t>Fresno_2024</t>
  </si>
  <si>
    <t>Fresno_2025</t>
  </si>
  <si>
    <t>Fresno_2026</t>
  </si>
  <si>
    <t>Fresno_2027</t>
  </si>
  <si>
    <t>Fresno_2028</t>
  </si>
  <si>
    <t>Fresno_2029</t>
  </si>
  <si>
    <t>Fresno_2030</t>
  </si>
  <si>
    <t>Fresno_2031</t>
  </si>
  <si>
    <t>Fresno_2032</t>
  </si>
  <si>
    <t>Fresno_2033</t>
  </si>
  <si>
    <t>Fresno_2034</t>
  </si>
  <si>
    <t>Fresno_2035</t>
  </si>
  <si>
    <t>Fresno_2036</t>
  </si>
  <si>
    <t>Fresno_2037</t>
  </si>
  <si>
    <t>Fresno_2038</t>
  </si>
  <si>
    <t>Fresno_2039</t>
  </si>
  <si>
    <t>Fresno_2040</t>
  </si>
  <si>
    <t>Fresno_2041</t>
  </si>
  <si>
    <t>Fresno_2042</t>
  </si>
  <si>
    <t>Fresno_2043</t>
  </si>
  <si>
    <t>Fresno_2044</t>
  </si>
  <si>
    <t>Fresno_2045</t>
  </si>
  <si>
    <t>Fresno_2046</t>
  </si>
  <si>
    <t>Fresno_2047</t>
  </si>
  <si>
    <t>Fresno_2048</t>
  </si>
  <si>
    <t>Fresno_2049</t>
  </si>
  <si>
    <t>Fresno_2050</t>
  </si>
  <si>
    <t>Glenn_2017</t>
  </si>
  <si>
    <t>Glenn_2018</t>
  </si>
  <si>
    <t>Glenn_2019</t>
  </si>
  <si>
    <t>Glenn_2020</t>
  </si>
  <si>
    <t>Glenn_2021</t>
  </si>
  <si>
    <t>Glenn_2022</t>
  </si>
  <si>
    <t>Glenn_2023</t>
  </si>
  <si>
    <t>Glenn_2024</t>
  </si>
  <si>
    <t>Glenn_2025</t>
  </si>
  <si>
    <t>Glenn_2026</t>
  </si>
  <si>
    <t>Glenn_2027</t>
  </si>
  <si>
    <t>Glenn_2028</t>
  </si>
  <si>
    <t>Glenn_2029</t>
  </si>
  <si>
    <t>Glenn_2030</t>
  </si>
  <si>
    <t>Glenn_2031</t>
  </si>
  <si>
    <t>Glenn_2032</t>
  </si>
  <si>
    <t>Glenn_2033</t>
  </si>
  <si>
    <t>Glenn_2034</t>
  </si>
  <si>
    <t>Glenn_2035</t>
  </si>
  <si>
    <t>Glenn_2036</t>
  </si>
  <si>
    <t>Glenn_2037</t>
  </si>
  <si>
    <t>Glenn_2038</t>
  </si>
  <si>
    <t>Glenn_2039</t>
  </si>
  <si>
    <t>Glenn_2040</t>
  </si>
  <si>
    <t>Glenn_2041</t>
  </si>
  <si>
    <t>Glenn_2042</t>
  </si>
  <si>
    <t>Glenn_2043</t>
  </si>
  <si>
    <t>Glenn_2044</t>
  </si>
  <si>
    <t>Glenn_2045</t>
  </si>
  <si>
    <t>Glenn_2046</t>
  </si>
  <si>
    <t>Glenn_2047</t>
  </si>
  <si>
    <t>Glenn_2048</t>
  </si>
  <si>
    <t>Glenn_2049</t>
  </si>
  <si>
    <t>Glenn_2050</t>
  </si>
  <si>
    <t>Great Basin Valley_2015</t>
  </si>
  <si>
    <t>Great Basin Valley_2016</t>
  </si>
  <si>
    <t>Great Basin Valley_2017</t>
  </si>
  <si>
    <t>Great Basin Valley_2018</t>
  </si>
  <si>
    <t>Great Basin Valley_2019</t>
  </si>
  <si>
    <t>Great Basin Valley_2020</t>
  </si>
  <si>
    <t>Great Basin Valley_2021</t>
  </si>
  <si>
    <t>Great Basin Valley_2022</t>
  </si>
  <si>
    <t>Great Basin Valley_2023</t>
  </si>
  <si>
    <t>Great Basin Valley_2024</t>
  </si>
  <si>
    <t>Great Basin Valley_2025</t>
  </si>
  <si>
    <t>Great Basin Valley_2026</t>
  </si>
  <si>
    <t>Great Basin Valley_2027</t>
  </si>
  <si>
    <t>Great Basin Valley_2028</t>
  </si>
  <si>
    <t>Great Basin Valley_2029</t>
  </si>
  <si>
    <t>Great Basin Valley_2030</t>
  </si>
  <si>
    <t>Great Basin Valley_2031</t>
  </si>
  <si>
    <t>Great Basin Valley_2032</t>
  </si>
  <si>
    <t>Great Basin Valley_2033</t>
  </si>
  <si>
    <t>Great Basin Valley_2034</t>
  </si>
  <si>
    <t>Great Basin Valley_2035</t>
  </si>
  <si>
    <t>Great Basin Valley_2036</t>
  </si>
  <si>
    <t>Great Basin Valley_2037</t>
  </si>
  <si>
    <t>Great Basin Valley_2038</t>
  </si>
  <si>
    <t>Great Basin Valley_2039</t>
  </si>
  <si>
    <t>Great Basin Valley_2040</t>
  </si>
  <si>
    <t>Great Basin Valley_2041</t>
  </si>
  <si>
    <t>Great Basin Valley_2042</t>
  </si>
  <si>
    <t>Great Basin Valley_2043</t>
  </si>
  <si>
    <t>Great Basin Valley_2044</t>
  </si>
  <si>
    <t>Great Basin Valley_2045</t>
  </si>
  <si>
    <t>Great Basin Valley_2046</t>
  </si>
  <si>
    <t>Great Basin Valley_2047</t>
  </si>
  <si>
    <t>Great Basin Valley_2048</t>
  </si>
  <si>
    <t>Great Basin Valley_2049</t>
  </si>
  <si>
    <t>Great Basin Valley_2050</t>
  </si>
  <si>
    <t>Humboldt_2017</t>
  </si>
  <si>
    <t>Humboldt_2018</t>
  </si>
  <si>
    <t>Humboldt_2019</t>
  </si>
  <si>
    <t>Humboldt_2020</t>
  </si>
  <si>
    <t>Humboldt_2021</t>
  </si>
  <si>
    <t>Humboldt_2022</t>
  </si>
  <si>
    <t>Humboldt_2023</t>
  </si>
  <si>
    <t>Humboldt_2024</t>
  </si>
  <si>
    <t>Humboldt_2025</t>
  </si>
  <si>
    <t>Humboldt_2026</t>
  </si>
  <si>
    <t>Humboldt_2027</t>
  </si>
  <si>
    <t>Humboldt_2028</t>
  </si>
  <si>
    <t>Humboldt_2029</t>
  </si>
  <si>
    <t>Humboldt_2030</t>
  </si>
  <si>
    <t>Humboldt_2031</t>
  </si>
  <si>
    <t>Humboldt_2032</t>
  </si>
  <si>
    <t>Humboldt_2033</t>
  </si>
  <si>
    <t>Humboldt_2034</t>
  </si>
  <si>
    <t>Humboldt_2035</t>
  </si>
  <si>
    <t>Humboldt_2036</t>
  </si>
  <si>
    <t>Humboldt_2037</t>
  </si>
  <si>
    <t>Humboldt_2038</t>
  </si>
  <si>
    <t>Humboldt_2039</t>
  </si>
  <si>
    <t>Humboldt_2040</t>
  </si>
  <si>
    <t>Humboldt_2041</t>
  </si>
  <si>
    <t>Humboldt_2042</t>
  </si>
  <si>
    <t>Humboldt_2043</t>
  </si>
  <si>
    <t>Humboldt_2044</t>
  </si>
  <si>
    <t>Humboldt_2045</t>
  </si>
  <si>
    <t>Humboldt_2046</t>
  </si>
  <si>
    <t>Humboldt_2047</t>
  </si>
  <si>
    <t>Humboldt_2048</t>
  </si>
  <si>
    <t>Humboldt_2049</t>
  </si>
  <si>
    <t>Humboldt_2050</t>
  </si>
  <si>
    <t>Imperial_2017</t>
  </si>
  <si>
    <t>Imperial_2018</t>
  </si>
  <si>
    <t>Imperial_2019</t>
  </si>
  <si>
    <t>Imperial_2020</t>
  </si>
  <si>
    <t>Imperial_2021</t>
  </si>
  <si>
    <t>Imperial_2022</t>
  </si>
  <si>
    <t>Imperial_2023</t>
  </si>
  <si>
    <t>Imperial_2024</t>
  </si>
  <si>
    <t>Imperial_2025</t>
  </si>
  <si>
    <t>Imperial_2026</t>
  </si>
  <si>
    <t>Imperial_2027</t>
  </si>
  <si>
    <t>Imperial_2028</t>
  </si>
  <si>
    <t>Imperial_2029</t>
  </si>
  <si>
    <t>Imperial_2030</t>
  </si>
  <si>
    <t>Imperial_2031</t>
  </si>
  <si>
    <t>Imperial_2032</t>
  </si>
  <si>
    <t>Imperial_2033</t>
  </si>
  <si>
    <t>Imperial_2034</t>
  </si>
  <si>
    <t>Imperial_2035</t>
  </si>
  <si>
    <t>Imperial_2036</t>
  </si>
  <si>
    <t>Imperial_2037</t>
  </si>
  <si>
    <t>Imperial_2038</t>
  </si>
  <si>
    <t>Imperial_2039</t>
  </si>
  <si>
    <t>Imperial_2040</t>
  </si>
  <si>
    <t>Imperial_2041</t>
  </si>
  <si>
    <t>Imperial_2042</t>
  </si>
  <si>
    <t>Imperial_2043</t>
  </si>
  <si>
    <t>Imperial_2044</t>
  </si>
  <si>
    <t>Imperial_2045</t>
  </si>
  <si>
    <t>Imperial_2046</t>
  </si>
  <si>
    <t>Imperial_2047</t>
  </si>
  <si>
    <t>Imperial_2048</t>
  </si>
  <si>
    <t>Imperial_2049</t>
  </si>
  <si>
    <t>Imperial_2050</t>
  </si>
  <si>
    <t>Inyo_2017</t>
  </si>
  <si>
    <t>Inyo_2018</t>
  </si>
  <si>
    <t>Inyo_2019</t>
  </si>
  <si>
    <t>Inyo_2020</t>
  </si>
  <si>
    <t>Inyo_2021</t>
  </si>
  <si>
    <t>Inyo_2022</t>
  </si>
  <si>
    <t>Inyo_2023</t>
  </si>
  <si>
    <t>Inyo_2024</t>
  </si>
  <si>
    <t>Inyo_2025</t>
  </si>
  <si>
    <t>Inyo_2026</t>
  </si>
  <si>
    <t>Inyo_2027</t>
  </si>
  <si>
    <t>Inyo_2028</t>
  </si>
  <si>
    <t>Inyo_2029</t>
  </si>
  <si>
    <t>Inyo_2030</t>
  </si>
  <si>
    <t>Inyo_2031</t>
  </si>
  <si>
    <t>Inyo_2032</t>
  </si>
  <si>
    <t>Inyo_2033</t>
  </si>
  <si>
    <t>Inyo_2034</t>
  </si>
  <si>
    <t>Inyo_2035</t>
  </si>
  <si>
    <t>Inyo_2036</t>
  </si>
  <si>
    <t>Inyo_2037</t>
  </si>
  <si>
    <t>Inyo_2038</t>
  </si>
  <si>
    <t>Inyo_2039</t>
  </si>
  <si>
    <t>Inyo_2040</t>
  </si>
  <si>
    <t>Inyo_2041</t>
  </si>
  <si>
    <t>Inyo_2042</t>
  </si>
  <si>
    <t>Inyo_2043</t>
  </si>
  <si>
    <t>Inyo_2044</t>
  </si>
  <si>
    <t>Inyo_2045</t>
  </si>
  <si>
    <t>Inyo_2046</t>
  </si>
  <si>
    <t>Inyo_2047</t>
  </si>
  <si>
    <t>Inyo_2048</t>
  </si>
  <si>
    <t>Inyo_2049</t>
  </si>
  <si>
    <t>Inyo_2050</t>
  </si>
  <si>
    <t>Kern_2017</t>
  </si>
  <si>
    <t>Kern_2018</t>
  </si>
  <si>
    <t>Kern_2019</t>
  </si>
  <si>
    <t>Kern_2020</t>
  </si>
  <si>
    <t>Kern_2021</t>
  </si>
  <si>
    <t>Kern_2022</t>
  </si>
  <si>
    <t>Kern_2023</t>
  </si>
  <si>
    <t>Kern_2024</t>
  </si>
  <si>
    <t>Kern_2025</t>
  </si>
  <si>
    <t>Kern_2026</t>
  </si>
  <si>
    <t>Kern_2027</t>
  </si>
  <si>
    <t>Kern_2028</t>
  </si>
  <si>
    <t>Kern_2029</t>
  </si>
  <si>
    <t>Kern_2030</t>
  </si>
  <si>
    <t>Kern_2031</t>
  </si>
  <si>
    <t>Kern_2032</t>
  </si>
  <si>
    <t>Kern_2033</t>
  </si>
  <si>
    <t>Kern_2034</t>
  </si>
  <si>
    <t>Kern_2035</t>
  </si>
  <si>
    <t>Kern_2036</t>
  </si>
  <si>
    <t>Kern_2037</t>
  </si>
  <si>
    <t>Kern_2038</t>
  </si>
  <si>
    <t>Kern_2039</t>
  </si>
  <si>
    <t>Kern_2040</t>
  </si>
  <si>
    <t>Kern_2041</t>
  </si>
  <si>
    <t>Kern_2042</t>
  </si>
  <si>
    <t>Kern_2043</t>
  </si>
  <si>
    <t>Kern_2044</t>
  </si>
  <si>
    <t>Kern_2045</t>
  </si>
  <si>
    <t>Kern_2046</t>
  </si>
  <si>
    <t>Kern_2047</t>
  </si>
  <si>
    <t>Kern_2048</t>
  </si>
  <si>
    <t>Kern_2049</t>
  </si>
  <si>
    <t>Kern_2050</t>
  </si>
  <si>
    <t>Kings_2017</t>
  </si>
  <si>
    <t>Kings_2018</t>
  </si>
  <si>
    <t>Kings_2019</t>
  </si>
  <si>
    <t>Kings_2020</t>
  </si>
  <si>
    <t>Kings_2021</t>
  </si>
  <si>
    <t>Kings_2022</t>
  </si>
  <si>
    <t>Kings_2023</t>
  </si>
  <si>
    <t>Kings_2024</t>
  </si>
  <si>
    <t>Kings_2025</t>
  </si>
  <si>
    <t>Kings_2026</t>
  </si>
  <si>
    <t>Kings_2027</t>
  </si>
  <si>
    <t>Kings_2028</t>
  </si>
  <si>
    <t>Kings_2029</t>
  </si>
  <si>
    <t>Kings_2030</t>
  </si>
  <si>
    <t>Kings_2031</t>
  </si>
  <si>
    <t>Kings_2032</t>
  </si>
  <si>
    <t>Kings_2033</t>
  </si>
  <si>
    <t>Kings_2034</t>
  </si>
  <si>
    <t>Kings_2035</t>
  </si>
  <si>
    <t>Kings_2036</t>
  </si>
  <si>
    <t>Kings_2037</t>
  </si>
  <si>
    <t>Kings_2038</t>
  </si>
  <si>
    <t>Kings_2039</t>
  </si>
  <si>
    <t>Kings_2040</t>
  </si>
  <si>
    <t>Kings_2041</t>
  </si>
  <si>
    <t>Kings_2042</t>
  </si>
  <si>
    <t>Kings_2043</t>
  </si>
  <si>
    <t>Kings_2044</t>
  </si>
  <si>
    <t>Kings_2045</t>
  </si>
  <si>
    <t>Kings_2046</t>
  </si>
  <si>
    <t>Kings_2047</t>
  </si>
  <si>
    <t>Kings_2048</t>
  </si>
  <si>
    <t>Kings_2049</t>
  </si>
  <si>
    <t>Kings_2050</t>
  </si>
  <si>
    <t>Lake County (Air Basin)_2015</t>
  </si>
  <si>
    <t>Lake County (Air Basin)_2016</t>
  </si>
  <si>
    <t>Lake County (Air Basin)_2017</t>
  </si>
  <si>
    <t>Lake County (Air Basin)_2018</t>
  </si>
  <si>
    <t>Lake County (Air Basin)_2019</t>
  </si>
  <si>
    <t>Lake County (Air Basin)_2020</t>
  </si>
  <si>
    <t>Lake County (Air Basin)_2021</t>
  </si>
  <si>
    <t>Lake County (Air Basin)_2022</t>
  </si>
  <si>
    <t>Lake County (Air Basin)_2023</t>
  </si>
  <si>
    <t>Lake County (Air Basin)_2024</t>
  </si>
  <si>
    <t>Lake County (Air Basin)_2025</t>
  </si>
  <si>
    <t>Lake County (Air Basin)_2026</t>
  </si>
  <si>
    <t>Lake County (Air Basin)_2027</t>
  </si>
  <si>
    <t>Lake County (Air Basin)_2028</t>
  </si>
  <si>
    <t>Lake County (Air Basin)_2029</t>
  </si>
  <si>
    <t>Lake County (Air Basin)_2030</t>
  </si>
  <si>
    <t>Lake County (Air Basin)_2031</t>
  </si>
  <si>
    <t>Lake County (Air Basin)_2032</t>
  </si>
  <si>
    <t>Lake County (Air Basin)_2033</t>
  </si>
  <si>
    <t>Lake County (Air Basin)_2034</t>
  </si>
  <si>
    <t>Lake County (Air Basin)_2035</t>
  </si>
  <si>
    <t>Lake County (Air Basin)_2036</t>
  </si>
  <si>
    <t>Lake County (Air Basin)_2037</t>
  </si>
  <si>
    <t>Lake County (Air Basin)_2038</t>
  </si>
  <si>
    <t>Lake County (Air Basin)_2039</t>
  </si>
  <si>
    <t>Lake County (Air Basin)_2040</t>
  </si>
  <si>
    <t>Lake County (Air Basin)_2041</t>
  </si>
  <si>
    <t>Lake County (Air Basin)_2042</t>
  </si>
  <si>
    <t>Lake County (Air Basin)_2043</t>
  </si>
  <si>
    <t>Lake County (Air Basin)_2044</t>
  </si>
  <si>
    <t>Lake County (Air Basin)_2045</t>
  </si>
  <si>
    <t>Lake County (Air Basin)_2046</t>
  </si>
  <si>
    <t>Lake County (Air Basin)_2047</t>
  </si>
  <si>
    <t>Lake County (Air Basin)_2048</t>
  </si>
  <si>
    <t>Lake County (Air Basin)_2049</t>
  </si>
  <si>
    <t>Lake County (Air Basin)_2050</t>
  </si>
  <si>
    <t>Lake Tahoe_2015</t>
  </si>
  <si>
    <t>Lake Tahoe_2016</t>
  </si>
  <si>
    <t>Lake Tahoe_2017</t>
  </si>
  <si>
    <t>Lake Tahoe_2018</t>
  </si>
  <si>
    <t>Lake Tahoe_2019</t>
  </si>
  <si>
    <t>Lake Tahoe_2020</t>
  </si>
  <si>
    <t>Lake Tahoe_2021</t>
  </si>
  <si>
    <t>Lake Tahoe_2022</t>
  </si>
  <si>
    <t>Lake Tahoe_2023</t>
  </si>
  <si>
    <t>Lake Tahoe_2024</t>
  </si>
  <si>
    <t>Lake Tahoe_2025</t>
  </si>
  <si>
    <t>Lake Tahoe_2026</t>
  </si>
  <si>
    <t>Lake Tahoe_2027</t>
  </si>
  <si>
    <t>Lake Tahoe_2028</t>
  </si>
  <si>
    <t>Lake Tahoe_2029</t>
  </si>
  <si>
    <t>Lake Tahoe_2030</t>
  </si>
  <si>
    <t>Lake Tahoe_2031</t>
  </si>
  <si>
    <t>Lake Tahoe_2032</t>
  </si>
  <si>
    <t>Lake Tahoe_2033</t>
  </si>
  <si>
    <t>Lake Tahoe_2034</t>
  </si>
  <si>
    <t>Lake Tahoe_2035</t>
  </si>
  <si>
    <t>Lake Tahoe_2036</t>
  </si>
  <si>
    <t>Lake Tahoe_2037</t>
  </si>
  <si>
    <t>Lake Tahoe_2038</t>
  </si>
  <si>
    <t>Lake Tahoe_2039</t>
  </si>
  <si>
    <t>Lake Tahoe_2040</t>
  </si>
  <si>
    <t>Lake Tahoe_2041</t>
  </si>
  <si>
    <t>Lake Tahoe_2042</t>
  </si>
  <si>
    <t>Lake Tahoe_2043</t>
  </si>
  <si>
    <t>Lake Tahoe_2044</t>
  </si>
  <si>
    <t>Lake Tahoe_2045</t>
  </si>
  <si>
    <t>Lake Tahoe_2046</t>
  </si>
  <si>
    <t>Lake Tahoe_2047</t>
  </si>
  <si>
    <t>Lake Tahoe_2048</t>
  </si>
  <si>
    <t>Lake Tahoe_2049</t>
  </si>
  <si>
    <t>Lake Tahoe_2050</t>
  </si>
  <si>
    <t>Lake_2017</t>
  </si>
  <si>
    <t>Lake_2018</t>
  </si>
  <si>
    <t>Lake_2019</t>
  </si>
  <si>
    <t>Lake_2020</t>
  </si>
  <si>
    <t>Lake_2021</t>
  </si>
  <si>
    <t>Lake_2022</t>
  </si>
  <si>
    <t>Lake_2023</t>
  </si>
  <si>
    <t>Lake_2024</t>
  </si>
  <si>
    <t>Lake_2025</t>
  </si>
  <si>
    <t>Lake_2026</t>
  </si>
  <si>
    <t>Lake_2027</t>
  </si>
  <si>
    <t>Lake_2028</t>
  </si>
  <si>
    <t>Lake_2029</t>
  </si>
  <si>
    <t>Lake_2030</t>
  </si>
  <si>
    <t>Lake_2031</t>
  </si>
  <si>
    <t>Lake_2032</t>
  </si>
  <si>
    <t>Lake_2033</t>
  </si>
  <si>
    <t>Lake_2034</t>
  </si>
  <si>
    <t>Lake_2035</t>
  </si>
  <si>
    <t>Lake_2036</t>
  </si>
  <si>
    <t>Lake_2037</t>
  </si>
  <si>
    <t>Lake_2038</t>
  </si>
  <si>
    <t>Lake_2039</t>
  </si>
  <si>
    <t>Lake_2040</t>
  </si>
  <si>
    <t>Lake_2041</t>
  </si>
  <si>
    <t>Lake_2042</t>
  </si>
  <si>
    <t>Lake_2043</t>
  </si>
  <si>
    <t>Lake_2044</t>
  </si>
  <si>
    <t>Lake_2045</t>
  </si>
  <si>
    <t>Lake_2046</t>
  </si>
  <si>
    <t>Lake_2047</t>
  </si>
  <si>
    <t>Lake_2048</t>
  </si>
  <si>
    <t>Lake_2049</t>
  </si>
  <si>
    <t>Lake_2050</t>
  </si>
  <si>
    <t>Lassen_2017</t>
  </si>
  <si>
    <t>Lassen_2018</t>
  </si>
  <si>
    <t>Lassen_2019</t>
  </si>
  <si>
    <t>Lassen_2020</t>
  </si>
  <si>
    <t>Lassen_2021</t>
  </si>
  <si>
    <t>Lassen_2022</t>
  </si>
  <si>
    <t>Lassen_2023</t>
  </si>
  <si>
    <t>Lassen_2024</t>
  </si>
  <si>
    <t>Lassen_2025</t>
  </si>
  <si>
    <t>Lassen_2026</t>
  </si>
  <si>
    <t>Lassen_2027</t>
  </si>
  <si>
    <t>Lassen_2028</t>
  </si>
  <si>
    <t>Lassen_2029</t>
  </si>
  <si>
    <t>Lassen_2030</t>
  </si>
  <si>
    <t>Lassen_2031</t>
  </si>
  <si>
    <t>Lassen_2032</t>
  </si>
  <si>
    <t>Lassen_2033</t>
  </si>
  <si>
    <t>Lassen_2034</t>
  </si>
  <si>
    <t>Lassen_2035</t>
  </si>
  <si>
    <t>Lassen_2036</t>
  </si>
  <si>
    <t>Lassen_2037</t>
  </si>
  <si>
    <t>Lassen_2038</t>
  </si>
  <si>
    <t>Lassen_2039</t>
  </si>
  <si>
    <t>Lassen_2040</t>
  </si>
  <si>
    <t>Lassen_2041</t>
  </si>
  <si>
    <t>Lassen_2042</t>
  </si>
  <si>
    <t>Lassen_2043</t>
  </si>
  <si>
    <t>Lassen_2044</t>
  </si>
  <si>
    <t>Lassen_2045</t>
  </si>
  <si>
    <t>Lassen_2046</t>
  </si>
  <si>
    <t>Lassen_2047</t>
  </si>
  <si>
    <t>Lassen_2048</t>
  </si>
  <si>
    <t>Lassen_2049</t>
  </si>
  <si>
    <t>Lassen_2050</t>
  </si>
  <si>
    <t>Los Angeles_2017</t>
  </si>
  <si>
    <t>Los Angeles_2018</t>
  </si>
  <si>
    <t>Los Angeles_2019</t>
  </si>
  <si>
    <t>Los Angeles_2020</t>
  </si>
  <si>
    <t>Los Angeles_2021</t>
  </si>
  <si>
    <t>Los Angeles_2022</t>
  </si>
  <si>
    <t>Los Angeles_2023</t>
  </si>
  <si>
    <t>Los Angeles_2024</t>
  </si>
  <si>
    <t>Los Angeles_2025</t>
  </si>
  <si>
    <t>Los Angeles_2026</t>
  </si>
  <si>
    <t>Los Angeles_2027</t>
  </si>
  <si>
    <t>Los Angeles_2028</t>
  </si>
  <si>
    <t>Los Angeles_2029</t>
  </si>
  <si>
    <t>Los Angeles_2030</t>
  </si>
  <si>
    <t>Los Angeles_2031</t>
  </si>
  <si>
    <t>Los Angeles_2032</t>
  </si>
  <si>
    <t>Los Angeles_2033</t>
  </si>
  <si>
    <t>Los Angeles_2034</t>
  </si>
  <si>
    <t>Los Angeles_2035</t>
  </si>
  <si>
    <t>Los Angeles_2036</t>
  </si>
  <si>
    <t>Los Angeles_2037</t>
  </si>
  <si>
    <t>Los Angeles_2038</t>
  </si>
  <si>
    <t>Los Angeles_2039</t>
  </si>
  <si>
    <t>Los Angeles_2040</t>
  </si>
  <si>
    <t>Los Angeles_2041</t>
  </si>
  <si>
    <t>Los Angeles_2042</t>
  </si>
  <si>
    <t>Los Angeles_2043</t>
  </si>
  <si>
    <t>Los Angeles_2044</t>
  </si>
  <si>
    <t>Los Angeles_2045</t>
  </si>
  <si>
    <t>Los Angeles_2046</t>
  </si>
  <si>
    <t>Los Angeles_2047</t>
  </si>
  <si>
    <t>Los Angeles_2048</t>
  </si>
  <si>
    <t>Los Angeles_2049</t>
  </si>
  <si>
    <t>Los Angeles_2050</t>
  </si>
  <si>
    <t>Madera_2017</t>
  </si>
  <si>
    <t>Madera_2018</t>
  </si>
  <si>
    <t>Madera_2019</t>
  </si>
  <si>
    <t>Madera_2020</t>
  </si>
  <si>
    <t>Madera_2021</t>
  </si>
  <si>
    <t>Madera_2022</t>
  </si>
  <si>
    <t>Madera_2023</t>
  </si>
  <si>
    <t>Madera_2024</t>
  </si>
  <si>
    <t>Madera_2025</t>
  </si>
  <si>
    <t>Madera_2026</t>
  </si>
  <si>
    <t>Madera_2027</t>
  </si>
  <si>
    <t>Madera_2028</t>
  </si>
  <si>
    <t>Madera_2029</t>
  </si>
  <si>
    <t>Madera_2030</t>
  </si>
  <si>
    <t>Madera_2031</t>
  </si>
  <si>
    <t>Madera_2032</t>
  </si>
  <si>
    <t>Madera_2033</t>
  </si>
  <si>
    <t>Madera_2034</t>
  </si>
  <si>
    <t>Madera_2035</t>
  </si>
  <si>
    <t>Madera_2036</t>
  </si>
  <si>
    <t>Madera_2037</t>
  </si>
  <si>
    <t>Madera_2038</t>
  </si>
  <si>
    <t>Madera_2039</t>
  </si>
  <si>
    <t>Madera_2040</t>
  </si>
  <si>
    <t>Madera_2041</t>
  </si>
  <si>
    <t>Madera_2042</t>
  </si>
  <si>
    <t>Madera_2043</t>
  </si>
  <si>
    <t>Madera_2044</t>
  </si>
  <si>
    <t>Madera_2045</t>
  </si>
  <si>
    <t>Madera_2046</t>
  </si>
  <si>
    <t>Madera_2047</t>
  </si>
  <si>
    <t>Madera_2048</t>
  </si>
  <si>
    <t>Madera_2049</t>
  </si>
  <si>
    <t>Madera_2050</t>
  </si>
  <si>
    <t>Marin_2017</t>
  </si>
  <si>
    <t>Marin_2018</t>
  </si>
  <si>
    <t>Marin_2019</t>
  </si>
  <si>
    <t>Marin_2020</t>
  </si>
  <si>
    <t>Marin_2021</t>
  </si>
  <si>
    <t>Marin_2022</t>
  </si>
  <si>
    <t>Marin_2023</t>
  </si>
  <si>
    <t>Marin_2024</t>
  </si>
  <si>
    <t>Marin_2025</t>
  </si>
  <si>
    <t>Marin_2026</t>
  </si>
  <si>
    <t>Marin_2027</t>
  </si>
  <si>
    <t>Marin_2028</t>
  </si>
  <si>
    <t>Marin_2029</t>
  </si>
  <si>
    <t>Marin_2030</t>
  </si>
  <si>
    <t>Marin_2031</t>
  </si>
  <si>
    <t>Marin_2032</t>
  </si>
  <si>
    <t>Marin_2033</t>
  </si>
  <si>
    <t>Marin_2034</t>
  </si>
  <si>
    <t>Marin_2035</t>
  </si>
  <si>
    <t>Marin_2036</t>
  </si>
  <si>
    <t>Marin_2037</t>
  </si>
  <si>
    <t>Marin_2038</t>
  </si>
  <si>
    <t>Marin_2039</t>
  </si>
  <si>
    <t>Marin_2040</t>
  </si>
  <si>
    <t>Marin_2041</t>
  </si>
  <si>
    <t>Marin_2042</t>
  </si>
  <si>
    <t>Marin_2043</t>
  </si>
  <si>
    <t>Marin_2044</t>
  </si>
  <si>
    <t>Marin_2045</t>
  </si>
  <si>
    <t>Marin_2046</t>
  </si>
  <si>
    <t>Marin_2047</t>
  </si>
  <si>
    <t>Marin_2048</t>
  </si>
  <si>
    <t>Marin_2049</t>
  </si>
  <si>
    <t>Marin_2050</t>
  </si>
  <si>
    <t>Mariposa_2017</t>
  </si>
  <si>
    <t>Mariposa_2018</t>
  </si>
  <si>
    <t>Mariposa_2019</t>
  </si>
  <si>
    <t>Mariposa_2020</t>
  </si>
  <si>
    <t>Mariposa_2021</t>
  </si>
  <si>
    <t>Mariposa_2022</t>
  </si>
  <si>
    <t>Mariposa_2023</t>
  </si>
  <si>
    <t>Mariposa_2024</t>
  </si>
  <si>
    <t>Mariposa_2025</t>
  </si>
  <si>
    <t>Mariposa_2026</t>
  </si>
  <si>
    <t>Mariposa_2027</t>
  </si>
  <si>
    <t>Mariposa_2028</t>
  </si>
  <si>
    <t>Mariposa_2029</t>
  </si>
  <si>
    <t>Mariposa_2030</t>
  </si>
  <si>
    <t>Mariposa_2031</t>
  </si>
  <si>
    <t>Mariposa_2032</t>
  </si>
  <si>
    <t>Mariposa_2033</t>
  </si>
  <si>
    <t>Mariposa_2034</t>
  </si>
  <si>
    <t>Mariposa_2035</t>
  </si>
  <si>
    <t>Mariposa_2036</t>
  </si>
  <si>
    <t>Mariposa_2037</t>
  </si>
  <si>
    <t>Mariposa_2038</t>
  </si>
  <si>
    <t>Mariposa_2039</t>
  </si>
  <si>
    <t>Mariposa_2040</t>
  </si>
  <si>
    <t>Mariposa_2041</t>
  </si>
  <si>
    <t>Mariposa_2042</t>
  </si>
  <si>
    <t>Mariposa_2043</t>
  </si>
  <si>
    <t>Mariposa_2044</t>
  </si>
  <si>
    <t>Mariposa_2045</t>
  </si>
  <si>
    <t>Mariposa_2046</t>
  </si>
  <si>
    <t>Mariposa_2047</t>
  </si>
  <si>
    <t>Mariposa_2048</t>
  </si>
  <si>
    <t>Mariposa_2049</t>
  </si>
  <si>
    <t>Mariposa_2050</t>
  </si>
  <si>
    <t>Mendocino_2017</t>
  </si>
  <si>
    <t>Mendocino_2018</t>
  </si>
  <si>
    <t>Mendocino_2019</t>
  </si>
  <si>
    <t>Mendocino_2020</t>
  </si>
  <si>
    <t>Mendocino_2021</t>
  </si>
  <si>
    <t>Mendocino_2022</t>
  </si>
  <si>
    <t>Mendocino_2023</t>
  </si>
  <si>
    <t>Mendocino_2024</t>
  </si>
  <si>
    <t>Mendocino_2025</t>
  </si>
  <si>
    <t>Mendocino_2026</t>
  </si>
  <si>
    <t>Mendocino_2027</t>
  </si>
  <si>
    <t>Mendocino_2028</t>
  </si>
  <si>
    <t>Mendocino_2029</t>
  </si>
  <si>
    <t>Mendocino_2030</t>
  </si>
  <si>
    <t>Mendocino_2031</t>
  </si>
  <si>
    <t>Mendocino_2032</t>
  </si>
  <si>
    <t>Mendocino_2033</t>
  </si>
  <si>
    <t>Mendocino_2034</t>
  </si>
  <si>
    <t>Mendocino_2035</t>
  </si>
  <si>
    <t>Mendocino_2036</t>
  </si>
  <si>
    <t>Mendocino_2037</t>
  </si>
  <si>
    <t>Mendocino_2038</t>
  </si>
  <si>
    <t>Mendocino_2039</t>
  </si>
  <si>
    <t>Mendocino_2040</t>
  </si>
  <si>
    <t>Mendocino_2041</t>
  </si>
  <si>
    <t>Mendocino_2042</t>
  </si>
  <si>
    <t>Mendocino_2043</t>
  </si>
  <si>
    <t>Mendocino_2044</t>
  </si>
  <si>
    <t>Mendocino_2045</t>
  </si>
  <si>
    <t>Mendocino_2046</t>
  </si>
  <si>
    <t>Mendocino_2047</t>
  </si>
  <si>
    <t>Mendocino_2048</t>
  </si>
  <si>
    <t>Mendocino_2049</t>
  </si>
  <si>
    <t>Mendocino_2050</t>
  </si>
  <si>
    <t>Merced_2017</t>
  </si>
  <si>
    <t>Merced_2018</t>
  </si>
  <si>
    <t>Merced_2019</t>
  </si>
  <si>
    <t>Merced_2020</t>
  </si>
  <si>
    <t>Merced_2021</t>
  </si>
  <si>
    <t>Merced_2022</t>
  </si>
  <si>
    <t>Merced_2023</t>
  </si>
  <si>
    <t>Merced_2024</t>
  </si>
  <si>
    <t>Merced_2025</t>
  </si>
  <si>
    <t>Merced_2026</t>
  </si>
  <si>
    <t>Merced_2027</t>
  </si>
  <si>
    <t>Merced_2028</t>
  </si>
  <si>
    <t>Merced_2029</t>
  </si>
  <si>
    <t>Merced_2030</t>
  </si>
  <si>
    <t>Merced_2031</t>
  </si>
  <si>
    <t>Merced_2032</t>
  </si>
  <si>
    <t>Merced_2033</t>
  </si>
  <si>
    <t>Merced_2034</t>
  </si>
  <si>
    <t>Merced_2035</t>
  </si>
  <si>
    <t>Merced_2036</t>
  </si>
  <si>
    <t>Merced_2037</t>
  </si>
  <si>
    <t>Merced_2038</t>
  </si>
  <si>
    <t>Merced_2039</t>
  </si>
  <si>
    <t>Merced_2040</t>
  </si>
  <si>
    <t>Merced_2041</t>
  </si>
  <si>
    <t>Merced_2042</t>
  </si>
  <si>
    <t>Merced_2043</t>
  </si>
  <si>
    <t>Merced_2044</t>
  </si>
  <si>
    <t>Merced_2045</t>
  </si>
  <si>
    <t>Merced_2046</t>
  </si>
  <si>
    <t>Merced_2047</t>
  </si>
  <si>
    <t>Merced_2048</t>
  </si>
  <si>
    <t>Merced_2049</t>
  </si>
  <si>
    <t>Merced_2050</t>
  </si>
  <si>
    <t>Modoc_2017</t>
  </si>
  <si>
    <t>Modoc_2018</t>
  </si>
  <si>
    <t>Modoc_2019</t>
  </si>
  <si>
    <t>Modoc_2020</t>
  </si>
  <si>
    <t>Modoc_2021</t>
  </si>
  <si>
    <t>Modoc_2022</t>
  </si>
  <si>
    <t>Modoc_2023</t>
  </si>
  <si>
    <t>Modoc_2024</t>
  </si>
  <si>
    <t>Modoc_2025</t>
  </si>
  <si>
    <t>Modoc_2026</t>
  </si>
  <si>
    <t>Modoc_2027</t>
  </si>
  <si>
    <t>Modoc_2028</t>
  </si>
  <si>
    <t>Modoc_2029</t>
  </si>
  <si>
    <t>Modoc_2030</t>
  </si>
  <si>
    <t>Modoc_2031</t>
  </si>
  <si>
    <t>Modoc_2032</t>
  </si>
  <si>
    <t>Modoc_2033</t>
  </si>
  <si>
    <t>Modoc_2034</t>
  </si>
  <si>
    <t>Modoc_2035</t>
  </si>
  <si>
    <t>Modoc_2036</t>
  </si>
  <si>
    <t>Modoc_2037</t>
  </si>
  <si>
    <t>Modoc_2038</t>
  </si>
  <si>
    <t>Modoc_2039</t>
  </si>
  <si>
    <t>Modoc_2040</t>
  </si>
  <si>
    <t>Modoc_2041</t>
  </si>
  <si>
    <t>Modoc_2042</t>
  </si>
  <si>
    <t>Modoc_2043</t>
  </si>
  <si>
    <t>Modoc_2044</t>
  </si>
  <si>
    <t>Modoc_2045</t>
  </si>
  <si>
    <t>Modoc_2046</t>
  </si>
  <si>
    <t>Modoc_2047</t>
  </si>
  <si>
    <t>Modoc_2048</t>
  </si>
  <si>
    <t>Modoc_2049</t>
  </si>
  <si>
    <t>Modoc_2050</t>
  </si>
  <si>
    <t>Mojave Desert_2015</t>
  </si>
  <si>
    <t>Mojave Desert_2016</t>
  </si>
  <si>
    <t>Mojave Desert_2017</t>
  </si>
  <si>
    <t>Mojave Desert_2018</t>
  </si>
  <si>
    <t>Mojave Desert_2019</t>
  </si>
  <si>
    <t>Mojave Desert_2020</t>
  </si>
  <si>
    <t>Mojave Desert_2021</t>
  </si>
  <si>
    <t>Mojave Desert_2022</t>
  </si>
  <si>
    <t>Mojave Desert_2023</t>
  </si>
  <si>
    <t>Mojave Desert_2024</t>
  </si>
  <si>
    <t>Mojave Desert_2025</t>
  </si>
  <si>
    <t>Mojave Desert_2026</t>
  </si>
  <si>
    <t>Mojave Desert_2027</t>
  </si>
  <si>
    <t>Mojave Desert_2028</t>
  </si>
  <si>
    <t>Mojave Desert_2029</t>
  </si>
  <si>
    <t>Mojave Desert_2030</t>
  </si>
  <si>
    <t>Mojave Desert_2031</t>
  </si>
  <si>
    <t>Mojave Desert_2032</t>
  </si>
  <si>
    <t>Mojave Desert_2033</t>
  </si>
  <si>
    <t>Mojave Desert_2034</t>
  </si>
  <si>
    <t>Mojave Desert_2035</t>
  </si>
  <si>
    <t>Mojave Desert_2036</t>
  </si>
  <si>
    <t>Mojave Desert_2037</t>
  </si>
  <si>
    <t>Mojave Desert_2038</t>
  </si>
  <si>
    <t>Mojave Desert_2039</t>
  </si>
  <si>
    <t>Mojave Desert_2040</t>
  </si>
  <si>
    <t>Mojave Desert_2041</t>
  </si>
  <si>
    <t>Mojave Desert_2042</t>
  </si>
  <si>
    <t>Mojave Desert_2043</t>
  </si>
  <si>
    <t>Mojave Desert_2044</t>
  </si>
  <si>
    <t>Mojave Desert_2045</t>
  </si>
  <si>
    <t>Mojave Desert_2046</t>
  </si>
  <si>
    <t>Mojave Desert_2047</t>
  </si>
  <si>
    <t>Mojave Desert_2048</t>
  </si>
  <si>
    <t>Mojave Desert_2049</t>
  </si>
  <si>
    <t>Mojave Desert_2050</t>
  </si>
  <si>
    <t>Mono_2017</t>
  </si>
  <si>
    <t>Mono_2018</t>
  </si>
  <si>
    <t>Mono_2019</t>
  </si>
  <si>
    <t>Mono_2020</t>
  </si>
  <si>
    <t>Mono_2021</t>
  </si>
  <si>
    <t>Mono_2022</t>
  </si>
  <si>
    <t>Mono_2023</t>
  </si>
  <si>
    <t>Mono_2024</t>
  </si>
  <si>
    <t>Mono_2025</t>
  </si>
  <si>
    <t>Mono_2026</t>
  </si>
  <si>
    <t>Mono_2027</t>
  </si>
  <si>
    <t>Mono_2028</t>
  </si>
  <si>
    <t>Mono_2029</t>
  </si>
  <si>
    <t>Mono_2030</t>
  </si>
  <si>
    <t>Mono_2031</t>
  </si>
  <si>
    <t>Mono_2032</t>
  </si>
  <si>
    <t>Mono_2033</t>
  </si>
  <si>
    <t>Mono_2034</t>
  </si>
  <si>
    <t>Mono_2035</t>
  </si>
  <si>
    <t>Mono_2036</t>
  </si>
  <si>
    <t>Mono_2037</t>
  </si>
  <si>
    <t>Mono_2038</t>
  </si>
  <si>
    <t>Mono_2039</t>
  </si>
  <si>
    <t>Mono_2040</t>
  </si>
  <si>
    <t>Mono_2041</t>
  </si>
  <si>
    <t>Mono_2042</t>
  </si>
  <si>
    <t>Mono_2043</t>
  </si>
  <si>
    <t>Mono_2044</t>
  </si>
  <si>
    <t>Mono_2045</t>
  </si>
  <si>
    <t>Mono_2046</t>
  </si>
  <si>
    <t>Mono_2047</t>
  </si>
  <si>
    <t>Mono_2048</t>
  </si>
  <si>
    <t>Mono_2049</t>
  </si>
  <si>
    <t>Mono_2050</t>
  </si>
  <si>
    <t>Monterey_2017</t>
  </si>
  <si>
    <t>Monterey_2018</t>
  </si>
  <si>
    <t>Monterey_2019</t>
  </si>
  <si>
    <t>Monterey_2020</t>
  </si>
  <si>
    <t>Monterey_2021</t>
  </si>
  <si>
    <t>Monterey_2022</t>
  </si>
  <si>
    <t>Monterey_2023</t>
  </si>
  <si>
    <t>Monterey_2024</t>
  </si>
  <si>
    <t>Monterey_2025</t>
  </si>
  <si>
    <t>Monterey_2026</t>
  </si>
  <si>
    <t>Monterey_2027</t>
  </si>
  <si>
    <t>Monterey_2028</t>
  </si>
  <si>
    <t>Monterey_2029</t>
  </si>
  <si>
    <t>Monterey_2030</t>
  </si>
  <si>
    <t>Monterey_2031</t>
  </si>
  <si>
    <t>Monterey_2032</t>
  </si>
  <si>
    <t>Monterey_2033</t>
  </si>
  <si>
    <t>Monterey_2034</t>
  </si>
  <si>
    <t>Monterey_2035</t>
  </si>
  <si>
    <t>Monterey_2036</t>
  </si>
  <si>
    <t>Monterey_2037</t>
  </si>
  <si>
    <t>Monterey_2038</t>
  </si>
  <si>
    <t>Monterey_2039</t>
  </si>
  <si>
    <t>Monterey_2040</t>
  </si>
  <si>
    <t>Monterey_2041</t>
  </si>
  <si>
    <t>Monterey_2042</t>
  </si>
  <si>
    <t>Monterey_2043</t>
  </si>
  <si>
    <t>Monterey_2044</t>
  </si>
  <si>
    <t>Monterey_2045</t>
  </si>
  <si>
    <t>Monterey_2046</t>
  </si>
  <si>
    <t>Monterey_2047</t>
  </si>
  <si>
    <t>Monterey_2048</t>
  </si>
  <si>
    <t>Monterey_2049</t>
  </si>
  <si>
    <t>Monterey_2050</t>
  </si>
  <si>
    <t>Mountain Counties_2015</t>
  </si>
  <si>
    <t>Mountain Counties_2016</t>
  </si>
  <si>
    <t>Mountain Counties_2017</t>
  </si>
  <si>
    <t>Mountain Counties_2018</t>
  </si>
  <si>
    <t>Mountain Counties_2019</t>
  </si>
  <si>
    <t>Mountain Counties_2020</t>
  </si>
  <si>
    <t>Mountain Counties_2021</t>
  </si>
  <si>
    <t>Mountain Counties_2022</t>
  </si>
  <si>
    <t>Mountain Counties_2023</t>
  </si>
  <si>
    <t>Mountain Counties_2024</t>
  </si>
  <si>
    <t>Mountain Counties_2025</t>
  </si>
  <si>
    <t>Mountain Counties_2026</t>
  </si>
  <si>
    <t>Mountain Counties_2027</t>
  </si>
  <si>
    <t>Mountain Counties_2028</t>
  </si>
  <si>
    <t>Mountain Counties_2029</t>
  </si>
  <si>
    <t>Mountain Counties_2030</t>
  </si>
  <si>
    <t>Mountain Counties_2031</t>
  </si>
  <si>
    <t>Mountain Counties_2032</t>
  </si>
  <si>
    <t>Mountain Counties_2033</t>
  </si>
  <si>
    <t>Mountain Counties_2034</t>
  </si>
  <si>
    <t>Mountain Counties_2035</t>
  </si>
  <si>
    <t>Mountain Counties_2036</t>
  </si>
  <si>
    <t>Mountain Counties_2037</t>
  </si>
  <si>
    <t>Mountain Counties_2038</t>
  </si>
  <si>
    <t>Mountain Counties_2039</t>
  </si>
  <si>
    <t>Mountain Counties_2040</t>
  </si>
  <si>
    <t>Mountain Counties_2041</t>
  </si>
  <si>
    <t>Mountain Counties_2042</t>
  </si>
  <si>
    <t>Mountain Counties_2043</t>
  </si>
  <si>
    <t>Mountain Counties_2044</t>
  </si>
  <si>
    <t>Mountain Counties_2045</t>
  </si>
  <si>
    <t>Mountain Counties_2046</t>
  </si>
  <si>
    <t>Mountain Counties_2047</t>
  </si>
  <si>
    <t>Mountain Counties_2048</t>
  </si>
  <si>
    <t>Mountain Counties_2049</t>
  </si>
  <si>
    <t>Mountain Counties_2050</t>
  </si>
  <si>
    <t>Napa_2017</t>
  </si>
  <si>
    <t>Napa_2018</t>
  </si>
  <si>
    <t>Napa_2019</t>
  </si>
  <si>
    <t>Napa_2020</t>
  </si>
  <si>
    <t>Napa_2021</t>
  </si>
  <si>
    <t>Napa_2022</t>
  </si>
  <si>
    <t>Napa_2023</t>
  </si>
  <si>
    <t>Napa_2024</t>
  </si>
  <si>
    <t>Napa_2025</t>
  </si>
  <si>
    <t>Napa_2026</t>
  </si>
  <si>
    <t>Napa_2027</t>
  </si>
  <si>
    <t>Napa_2028</t>
  </si>
  <si>
    <t>Napa_2029</t>
  </si>
  <si>
    <t>Napa_2030</t>
  </si>
  <si>
    <t>Napa_2031</t>
  </si>
  <si>
    <t>Napa_2032</t>
  </si>
  <si>
    <t>Napa_2033</t>
  </si>
  <si>
    <t>Napa_2034</t>
  </si>
  <si>
    <t>Napa_2035</t>
  </si>
  <si>
    <t>Napa_2036</t>
  </si>
  <si>
    <t>Napa_2037</t>
  </si>
  <si>
    <t>Napa_2038</t>
  </si>
  <si>
    <t>Napa_2039</t>
  </si>
  <si>
    <t>Napa_2040</t>
  </si>
  <si>
    <t>Napa_2041</t>
  </si>
  <si>
    <t>Napa_2042</t>
  </si>
  <si>
    <t>Napa_2043</t>
  </si>
  <si>
    <t>Napa_2044</t>
  </si>
  <si>
    <t>Napa_2045</t>
  </si>
  <si>
    <t>Napa_2046</t>
  </si>
  <si>
    <t>Napa_2047</t>
  </si>
  <si>
    <t>Napa_2048</t>
  </si>
  <si>
    <t>Napa_2049</t>
  </si>
  <si>
    <t>Napa_2050</t>
  </si>
  <si>
    <t>Nevada_2017</t>
  </si>
  <si>
    <t>Nevada_2018</t>
  </si>
  <si>
    <t>Nevada_2019</t>
  </si>
  <si>
    <t>Nevada_2020</t>
  </si>
  <si>
    <t>Nevada_2021</t>
  </si>
  <si>
    <t>Nevada_2022</t>
  </si>
  <si>
    <t>Nevada_2023</t>
  </si>
  <si>
    <t>Nevada_2024</t>
  </si>
  <si>
    <t>Nevada_2025</t>
  </si>
  <si>
    <t>Nevada_2026</t>
  </si>
  <si>
    <t>Nevada_2027</t>
  </si>
  <si>
    <t>Nevada_2028</t>
  </si>
  <si>
    <t>Nevada_2029</t>
  </si>
  <si>
    <t>Nevada_2030</t>
  </si>
  <si>
    <t>Nevada_2031</t>
  </si>
  <si>
    <t>Nevada_2032</t>
  </si>
  <si>
    <t>Nevada_2033</t>
  </si>
  <si>
    <t>Nevada_2034</t>
  </si>
  <si>
    <t>Nevada_2035</t>
  </si>
  <si>
    <t>Nevada_2036</t>
  </si>
  <si>
    <t>Nevada_2037</t>
  </si>
  <si>
    <t>Nevada_2038</t>
  </si>
  <si>
    <t>Nevada_2039</t>
  </si>
  <si>
    <t>Nevada_2040</t>
  </si>
  <si>
    <t>Nevada_2041</t>
  </si>
  <si>
    <t>Nevada_2042</t>
  </si>
  <si>
    <t>Nevada_2043</t>
  </si>
  <si>
    <t>Nevada_2044</t>
  </si>
  <si>
    <t>Nevada_2045</t>
  </si>
  <si>
    <t>Nevada_2046</t>
  </si>
  <si>
    <t>Nevada_2047</t>
  </si>
  <si>
    <t>Nevada_2048</t>
  </si>
  <si>
    <t>Nevada_2049</t>
  </si>
  <si>
    <t>Nevada_2050</t>
  </si>
  <si>
    <t>North Central Coast_2015</t>
  </si>
  <si>
    <t>North Central Coast_2016</t>
  </si>
  <si>
    <t>North Central Coast_2017</t>
  </si>
  <si>
    <t>North Central Coast_2018</t>
  </si>
  <si>
    <t>North Central Coast_2019</t>
  </si>
  <si>
    <t>North Central Coast_2020</t>
  </si>
  <si>
    <t>North Central Coast_2021</t>
  </si>
  <si>
    <t>North Central Coast_2022</t>
  </si>
  <si>
    <t>North Central Coast_2023</t>
  </si>
  <si>
    <t>North Central Coast_2024</t>
  </si>
  <si>
    <t>North Central Coast_2025</t>
  </si>
  <si>
    <t>North Central Coast_2026</t>
  </si>
  <si>
    <t>North Central Coast_2027</t>
  </si>
  <si>
    <t>North Central Coast_2028</t>
  </si>
  <si>
    <t>North Central Coast_2029</t>
  </si>
  <si>
    <t>North Central Coast_2030</t>
  </si>
  <si>
    <t>North Central Coast_2031</t>
  </si>
  <si>
    <t>North Central Coast_2032</t>
  </si>
  <si>
    <t>North Central Coast_2033</t>
  </si>
  <si>
    <t>North Central Coast_2034</t>
  </si>
  <si>
    <t>North Central Coast_2035</t>
  </si>
  <si>
    <t>North Central Coast_2036</t>
  </si>
  <si>
    <t>North Central Coast_2037</t>
  </si>
  <si>
    <t>North Central Coast_2038</t>
  </si>
  <si>
    <t>North Central Coast_2039</t>
  </si>
  <si>
    <t>North Central Coast_2040</t>
  </si>
  <si>
    <t>North Central Coast_2041</t>
  </si>
  <si>
    <t>North Central Coast_2042</t>
  </si>
  <si>
    <t>North Central Coast_2043</t>
  </si>
  <si>
    <t>North Central Coast_2044</t>
  </si>
  <si>
    <t>North Central Coast_2045</t>
  </si>
  <si>
    <t>North Central Coast_2046</t>
  </si>
  <si>
    <t>North Central Coast_2047</t>
  </si>
  <si>
    <t>North Central Coast_2048</t>
  </si>
  <si>
    <t>North Central Coast_2049</t>
  </si>
  <si>
    <t>North Central Coast_2050</t>
  </si>
  <si>
    <t>North Coast_2015</t>
  </si>
  <si>
    <t>North Coast_2016</t>
  </si>
  <si>
    <t>North Coast_2017</t>
  </si>
  <si>
    <t>North Coast_2018</t>
  </si>
  <si>
    <t>North Coast_2019</t>
  </si>
  <si>
    <t>North Coast_2020</t>
  </si>
  <si>
    <t>North Coast_2021</t>
  </si>
  <si>
    <t>North Coast_2022</t>
  </si>
  <si>
    <t>North Coast_2023</t>
  </si>
  <si>
    <t>North Coast_2024</t>
  </si>
  <si>
    <t>North Coast_2025</t>
  </si>
  <si>
    <t>North Coast_2026</t>
  </si>
  <si>
    <t>North Coast_2027</t>
  </si>
  <si>
    <t>North Coast_2028</t>
  </si>
  <si>
    <t>North Coast_2029</t>
  </si>
  <si>
    <t>North Coast_2030</t>
  </si>
  <si>
    <t>North Coast_2031</t>
  </si>
  <si>
    <t>North Coast_2032</t>
  </si>
  <si>
    <t>North Coast_2033</t>
  </si>
  <si>
    <t>North Coast_2034</t>
  </si>
  <si>
    <t>North Coast_2035</t>
  </si>
  <si>
    <t>North Coast_2036</t>
  </si>
  <si>
    <t>North Coast_2037</t>
  </si>
  <si>
    <t>North Coast_2038</t>
  </si>
  <si>
    <t>North Coast_2039</t>
  </si>
  <si>
    <t>North Coast_2040</t>
  </si>
  <si>
    <t>North Coast_2041</t>
  </si>
  <si>
    <t>North Coast_2042</t>
  </si>
  <si>
    <t>North Coast_2043</t>
  </si>
  <si>
    <t>North Coast_2044</t>
  </si>
  <si>
    <t>North Coast_2045</t>
  </si>
  <si>
    <t>North Coast_2046</t>
  </si>
  <si>
    <t>North Coast_2047</t>
  </si>
  <si>
    <t>North Coast_2048</t>
  </si>
  <si>
    <t>North Coast_2049</t>
  </si>
  <si>
    <t>North Coast_2050</t>
  </si>
  <si>
    <t>Northeast Plateau_2015</t>
  </si>
  <si>
    <t>Northeast Plateau_2016</t>
  </si>
  <si>
    <t>Northeast Plateau_2017</t>
  </si>
  <si>
    <t>Northeast Plateau_2018</t>
  </si>
  <si>
    <t>Northeast Plateau_2019</t>
  </si>
  <si>
    <t>Northeast Plateau_2020</t>
  </si>
  <si>
    <t>Northeast Plateau_2021</t>
  </si>
  <si>
    <t>Northeast Plateau_2022</t>
  </si>
  <si>
    <t>Northeast Plateau_2023</t>
  </si>
  <si>
    <t>Northeast Plateau_2024</t>
  </si>
  <si>
    <t>Northeast Plateau_2025</t>
  </si>
  <si>
    <t>Northeast Plateau_2026</t>
  </si>
  <si>
    <t>Northeast Plateau_2027</t>
  </si>
  <si>
    <t>Northeast Plateau_2028</t>
  </si>
  <si>
    <t>Northeast Plateau_2029</t>
  </si>
  <si>
    <t>Northeast Plateau_2030</t>
  </si>
  <si>
    <t>Northeast Plateau_2031</t>
  </si>
  <si>
    <t>Northeast Plateau_2032</t>
  </si>
  <si>
    <t>Northeast Plateau_2033</t>
  </si>
  <si>
    <t>Northeast Plateau_2034</t>
  </si>
  <si>
    <t>Northeast Plateau_2035</t>
  </si>
  <si>
    <t>Northeast Plateau_2036</t>
  </si>
  <si>
    <t>Northeast Plateau_2037</t>
  </si>
  <si>
    <t>Northeast Plateau_2038</t>
  </si>
  <si>
    <t>Northeast Plateau_2039</t>
  </si>
  <si>
    <t>Northeast Plateau_2040</t>
  </si>
  <si>
    <t>Northeast Plateau_2041</t>
  </si>
  <si>
    <t>Northeast Plateau_2042</t>
  </si>
  <si>
    <t>Northeast Plateau_2043</t>
  </si>
  <si>
    <t>Northeast Plateau_2044</t>
  </si>
  <si>
    <t>Northeast Plateau_2045</t>
  </si>
  <si>
    <t>Northeast Plateau_2046</t>
  </si>
  <si>
    <t>Northeast Plateau_2047</t>
  </si>
  <si>
    <t>Northeast Plateau_2048</t>
  </si>
  <si>
    <t>Northeast Plateau_2049</t>
  </si>
  <si>
    <t>Northeast Plateau_2050</t>
  </si>
  <si>
    <t>Orange_2017</t>
  </si>
  <si>
    <t>Orange_2018</t>
  </si>
  <si>
    <t>Orange_2019</t>
  </si>
  <si>
    <t>Orange_2020</t>
  </si>
  <si>
    <t>Orange_2021</t>
  </si>
  <si>
    <t>Orange_2022</t>
  </si>
  <si>
    <t>Orange_2023</t>
  </si>
  <si>
    <t>Orange_2024</t>
  </si>
  <si>
    <t>Orange_2025</t>
  </si>
  <si>
    <t>Orange_2026</t>
  </si>
  <si>
    <t>Orange_2027</t>
  </si>
  <si>
    <t>Orange_2028</t>
  </si>
  <si>
    <t>Orange_2029</t>
  </si>
  <si>
    <t>Orange_2030</t>
  </si>
  <si>
    <t>Orange_2031</t>
  </si>
  <si>
    <t>Orange_2032</t>
  </si>
  <si>
    <t>Orange_2033</t>
  </si>
  <si>
    <t>Orange_2034</t>
  </si>
  <si>
    <t>Orange_2035</t>
  </si>
  <si>
    <t>Orange_2036</t>
  </si>
  <si>
    <t>Orange_2037</t>
  </si>
  <si>
    <t>Orange_2038</t>
  </si>
  <si>
    <t>Orange_2039</t>
  </si>
  <si>
    <t>Orange_2040</t>
  </si>
  <si>
    <t>Orange_2041</t>
  </si>
  <si>
    <t>Orange_2042</t>
  </si>
  <si>
    <t>Orange_2043</t>
  </si>
  <si>
    <t>Orange_2044</t>
  </si>
  <si>
    <t>Orange_2045</t>
  </si>
  <si>
    <t>Orange_2046</t>
  </si>
  <si>
    <t>Orange_2047</t>
  </si>
  <si>
    <t>Orange_2048</t>
  </si>
  <si>
    <t>Orange_2049</t>
  </si>
  <si>
    <t>Orange_2050</t>
  </si>
  <si>
    <t>Plumas_2017</t>
  </si>
  <si>
    <t>Plumas_2018</t>
  </si>
  <si>
    <t>Plumas_2019</t>
  </si>
  <si>
    <t>Plumas_2020</t>
  </si>
  <si>
    <t>Plumas_2021</t>
  </si>
  <si>
    <t>Plumas_2022</t>
  </si>
  <si>
    <t>Plumas_2023</t>
  </si>
  <si>
    <t>Plumas_2024</t>
  </si>
  <si>
    <t>Plumas_2025</t>
  </si>
  <si>
    <t>Plumas_2026</t>
  </si>
  <si>
    <t>Plumas_2027</t>
  </si>
  <si>
    <t>Plumas_2028</t>
  </si>
  <si>
    <t>Plumas_2029</t>
  </si>
  <si>
    <t>Plumas_2030</t>
  </si>
  <si>
    <t>Plumas_2031</t>
  </si>
  <si>
    <t>Plumas_2032</t>
  </si>
  <si>
    <t>Plumas_2033</t>
  </si>
  <si>
    <t>Plumas_2034</t>
  </si>
  <si>
    <t>Plumas_2035</t>
  </si>
  <si>
    <t>Plumas_2036</t>
  </si>
  <si>
    <t>Plumas_2037</t>
  </si>
  <si>
    <t>Plumas_2038</t>
  </si>
  <si>
    <t>Plumas_2039</t>
  </si>
  <si>
    <t>Plumas_2040</t>
  </si>
  <si>
    <t>Plumas_2041</t>
  </si>
  <si>
    <t>Plumas_2042</t>
  </si>
  <si>
    <t>Plumas_2043</t>
  </si>
  <si>
    <t>Plumas_2044</t>
  </si>
  <si>
    <t>Plumas_2045</t>
  </si>
  <si>
    <t>Plumas_2046</t>
  </si>
  <si>
    <t>Plumas_2047</t>
  </si>
  <si>
    <t>Plumas_2048</t>
  </si>
  <si>
    <t>Plumas_2049</t>
  </si>
  <si>
    <t>Plumas_2050</t>
  </si>
  <si>
    <t>Riverside_2017</t>
  </si>
  <si>
    <t>Riverside_2018</t>
  </si>
  <si>
    <t>Riverside_2019</t>
  </si>
  <si>
    <t>Riverside_2020</t>
  </si>
  <si>
    <t>Riverside_2021</t>
  </si>
  <si>
    <t>Riverside_2022</t>
  </si>
  <si>
    <t>Riverside_2023</t>
  </si>
  <si>
    <t>Riverside_2024</t>
  </si>
  <si>
    <t>Riverside_2025</t>
  </si>
  <si>
    <t>Riverside_2026</t>
  </si>
  <si>
    <t>Riverside_2027</t>
  </si>
  <si>
    <t>Riverside_2028</t>
  </si>
  <si>
    <t>Riverside_2029</t>
  </si>
  <si>
    <t>Riverside_2030</t>
  </si>
  <si>
    <t>Riverside_2031</t>
  </si>
  <si>
    <t>Riverside_2032</t>
  </si>
  <si>
    <t>Riverside_2033</t>
  </si>
  <si>
    <t>Riverside_2034</t>
  </si>
  <si>
    <t>Riverside_2035</t>
  </si>
  <si>
    <t>Riverside_2036</t>
  </si>
  <si>
    <t>Riverside_2037</t>
  </si>
  <si>
    <t>Riverside_2038</t>
  </si>
  <si>
    <t>Riverside_2039</t>
  </si>
  <si>
    <t>Riverside_2040</t>
  </si>
  <si>
    <t>Riverside_2041</t>
  </si>
  <si>
    <t>Riverside_2042</t>
  </si>
  <si>
    <t>Riverside_2043</t>
  </si>
  <si>
    <t>Riverside_2044</t>
  </si>
  <si>
    <t>Riverside_2045</t>
  </si>
  <si>
    <t>Riverside_2046</t>
  </si>
  <si>
    <t>Riverside_2047</t>
  </si>
  <si>
    <t>Riverside_2048</t>
  </si>
  <si>
    <t>Riverside_2049</t>
  </si>
  <si>
    <t>Riverside_2050</t>
  </si>
  <si>
    <t>Sacramento Valley_2015</t>
  </si>
  <si>
    <t>Sacramento Valley_2016</t>
  </si>
  <si>
    <t>Sacramento Valley_2017</t>
  </si>
  <si>
    <t>Sacramento Valley_2018</t>
  </si>
  <si>
    <t>Sacramento Valley_2019</t>
  </si>
  <si>
    <t>Sacramento Valley_2020</t>
  </si>
  <si>
    <t>Sacramento Valley_2021</t>
  </si>
  <si>
    <t>Sacramento Valley_2022</t>
  </si>
  <si>
    <t>Sacramento Valley_2023</t>
  </si>
  <si>
    <t>Sacramento Valley_2024</t>
  </si>
  <si>
    <t>Sacramento Valley_2025</t>
  </si>
  <si>
    <t>Sacramento Valley_2026</t>
  </si>
  <si>
    <t>Sacramento Valley_2027</t>
  </si>
  <si>
    <t>Sacramento Valley_2028</t>
  </si>
  <si>
    <t>Sacramento Valley_2029</t>
  </si>
  <si>
    <t>Sacramento Valley_2030</t>
  </si>
  <si>
    <t>Sacramento Valley_2031</t>
  </si>
  <si>
    <t>Sacramento Valley_2032</t>
  </si>
  <si>
    <t>Sacramento Valley_2033</t>
  </si>
  <si>
    <t>Sacramento Valley_2034</t>
  </si>
  <si>
    <t>Sacramento Valley_2035</t>
  </si>
  <si>
    <t>Sacramento Valley_2036</t>
  </si>
  <si>
    <t>Sacramento Valley_2037</t>
  </si>
  <si>
    <t>Sacramento Valley_2038</t>
  </si>
  <si>
    <t>Sacramento Valley_2039</t>
  </si>
  <si>
    <t>Sacramento Valley_2040</t>
  </si>
  <si>
    <t>Sacramento Valley_2041</t>
  </si>
  <si>
    <t>Sacramento Valley_2042</t>
  </si>
  <si>
    <t>Sacramento Valley_2043</t>
  </si>
  <si>
    <t>Sacramento Valley_2044</t>
  </si>
  <si>
    <t>Sacramento Valley_2045</t>
  </si>
  <si>
    <t>Sacramento Valley_2046</t>
  </si>
  <si>
    <t>Sacramento Valley_2047</t>
  </si>
  <si>
    <t>Sacramento Valley_2048</t>
  </si>
  <si>
    <t>Sacramento Valley_2049</t>
  </si>
  <si>
    <t>Sacramento Valley_2050</t>
  </si>
  <si>
    <t>Sacramento_2017</t>
  </si>
  <si>
    <t>Sacramento_2018</t>
  </si>
  <si>
    <t>Sacramento_2019</t>
  </si>
  <si>
    <t>Sacramento_2020</t>
  </si>
  <si>
    <t>Sacramento_2021</t>
  </si>
  <si>
    <t>Sacramento_2022</t>
  </si>
  <si>
    <t>Sacramento_2023</t>
  </si>
  <si>
    <t>Sacramento_2024</t>
  </si>
  <si>
    <t>Sacramento_2025</t>
  </si>
  <si>
    <t>Sacramento_2026</t>
  </si>
  <si>
    <t>Sacramento_2027</t>
  </si>
  <si>
    <t>Sacramento_2028</t>
  </si>
  <si>
    <t>Sacramento_2029</t>
  </si>
  <si>
    <t>Sacramento_2030</t>
  </si>
  <si>
    <t>Sacramento_2031</t>
  </si>
  <si>
    <t>Sacramento_2032</t>
  </si>
  <si>
    <t>Sacramento_2033</t>
  </si>
  <si>
    <t>Sacramento_2034</t>
  </si>
  <si>
    <t>Sacramento_2035</t>
  </si>
  <si>
    <t>Sacramento_2036</t>
  </si>
  <si>
    <t>Sacramento_2037</t>
  </si>
  <si>
    <t>Sacramento_2038</t>
  </si>
  <si>
    <t>Sacramento_2039</t>
  </si>
  <si>
    <t>Sacramento_2040</t>
  </si>
  <si>
    <t>Sacramento_2041</t>
  </si>
  <si>
    <t>Sacramento_2042</t>
  </si>
  <si>
    <t>Sacramento_2043</t>
  </si>
  <si>
    <t>Sacramento_2044</t>
  </si>
  <si>
    <t>Sacramento_2045</t>
  </si>
  <si>
    <t>Sacramento_2046</t>
  </si>
  <si>
    <t>Sacramento_2047</t>
  </si>
  <si>
    <t>Sacramento_2048</t>
  </si>
  <si>
    <t>Sacramento_2049</t>
  </si>
  <si>
    <t>Sacramento_2050</t>
  </si>
  <si>
    <t>Salton Sea_2015</t>
  </si>
  <si>
    <t>Salton Sea_2016</t>
  </si>
  <si>
    <t>Salton Sea_2017</t>
  </si>
  <si>
    <t>Salton Sea_2018</t>
  </si>
  <si>
    <t>Salton Sea_2019</t>
  </si>
  <si>
    <t>Salton Sea_2020</t>
  </si>
  <si>
    <t>Salton Sea_2021</t>
  </si>
  <si>
    <t>Salton Sea_2022</t>
  </si>
  <si>
    <t>Salton Sea_2023</t>
  </si>
  <si>
    <t>Salton Sea_2024</t>
  </si>
  <si>
    <t>Salton Sea_2025</t>
  </si>
  <si>
    <t>Salton Sea_2026</t>
  </si>
  <si>
    <t>Salton Sea_2027</t>
  </si>
  <si>
    <t>Salton Sea_2028</t>
  </si>
  <si>
    <t>Salton Sea_2029</t>
  </si>
  <si>
    <t>Salton Sea_2030</t>
  </si>
  <si>
    <t>Salton Sea_2031</t>
  </si>
  <si>
    <t>Salton Sea_2032</t>
  </si>
  <si>
    <t>Salton Sea_2033</t>
  </si>
  <si>
    <t>Salton Sea_2034</t>
  </si>
  <si>
    <t>Salton Sea_2035</t>
  </si>
  <si>
    <t>Salton Sea_2036</t>
  </si>
  <si>
    <t>Salton Sea_2037</t>
  </si>
  <si>
    <t>Salton Sea_2038</t>
  </si>
  <si>
    <t>Salton Sea_2039</t>
  </si>
  <si>
    <t>Salton Sea_2040</t>
  </si>
  <si>
    <t>Salton Sea_2041</t>
  </si>
  <si>
    <t>Salton Sea_2042</t>
  </si>
  <si>
    <t>Salton Sea_2043</t>
  </si>
  <si>
    <t>Salton Sea_2044</t>
  </si>
  <si>
    <t>Salton Sea_2045</t>
  </si>
  <si>
    <t>Salton Sea_2046</t>
  </si>
  <si>
    <t>Salton Sea_2047</t>
  </si>
  <si>
    <t>Salton Sea_2048</t>
  </si>
  <si>
    <t>Salton Sea_2049</t>
  </si>
  <si>
    <t>Salton Sea_2050</t>
  </si>
  <si>
    <t>San Benito_2017</t>
  </si>
  <si>
    <t>San Benito_2018</t>
  </si>
  <si>
    <t>San Benito_2019</t>
  </si>
  <si>
    <t>San Benito_2020</t>
  </si>
  <si>
    <t>San Benito_2021</t>
  </si>
  <si>
    <t>San Benito_2022</t>
  </si>
  <si>
    <t>San Benito_2023</t>
  </si>
  <si>
    <t>San Benito_2024</t>
  </si>
  <si>
    <t>San Benito_2025</t>
  </si>
  <si>
    <t>San Benito_2026</t>
  </si>
  <si>
    <t>San Benito_2027</t>
  </si>
  <si>
    <t>San Benito_2028</t>
  </si>
  <si>
    <t>San Benito_2029</t>
  </si>
  <si>
    <t>San Benito_2030</t>
  </si>
  <si>
    <t>San Benito_2031</t>
  </si>
  <si>
    <t>San Benito_2032</t>
  </si>
  <si>
    <t>San Benito_2033</t>
  </si>
  <si>
    <t>San Benito_2034</t>
  </si>
  <si>
    <t>San Benito_2035</t>
  </si>
  <si>
    <t>San Benito_2036</t>
  </si>
  <si>
    <t>San Benito_2037</t>
  </si>
  <si>
    <t>San Benito_2038</t>
  </si>
  <si>
    <t>San Benito_2039</t>
  </si>
  <si>
    <t>San Benito_2040</t>
  </si>
  <si>
    <t>San Benito_2041</t>
  </si>
  <si>
    <t>San Benito_2042</t>
  </si>
  <si>
    <t>San Benito_2043</t>
  </si>
  <si>
    <t>San Benito_2044</t>
  </si>
  <si>
    <t>San Benito_2045</t>
  </si>
  <si>
    <t>San Benito_2046</t>
  </si>
  <si>
    <t>San Benito_2047</t>
  </si>
  <si>
    <t>San Benito_2048</t>
  </si>
  <si>
    <t>San Benito_2049</t>
  </si>
  <si>
    <t>San Benito_2050</t>
  </si>
  <si>
    <t>San Bernardino_2017</t>
  </si>
  <si>
    <t>San Bernardino_2018</t>
  </si>
  <si>
    <t>San Bernardino_2019</t>
  </si>
  <si>
    <t>San Bernardino_2020</t>
  </si>
  <si>
    <t>San Bernardino_2021</t>
  </si>
  <si>
    <t>San Bernardino_2022</t>
  </si>
  <si>
    <t>San Bernardino_2023</t>
  </si>
  <si>
    <t>San Bernardino_2024</t>
  </si>
  <si>
    <t>San Bernardino_2025</t>
  </si>
  <si>
    <t>San Bernardino_2026</t>
  </si>
  <si>
    <t>San Bernardino_2027</t>
  </si>
  <si>
    <t>San Bernardino_2028</t>
  </si>
  <si>
    <t>San Bernardino_2029</t>
  </si>
  <si>
    <t>San Bernardino_2030</t>
  </si>
  <si>
    <t>San Bernardino_2031</t>
  </si>
  <si>
    <t>San Bernardino_2032</t>
  </si>
  <si>
    <t>San Bernardino_2033</t>
  </si>
  <si>
    <t>San Bernardino_2034</t>
  </si>
  <si>
    <t>San Bernardino_2035</t>
  </si>
  <si>
    <t>San Bernardino_2036</t>
  </si>
  <si>
    <t>San Bernardino_2037</t>
  </si>
  <si>
    <t>San Bernardino_2038</t>
  </si>
  <si>
    <t>San Bernardino_2039</t>
  </si>
  <si>
    <t>San Bernardino_2040</t>
  </si>
  <si>
    <t>San Bernardino_2041</t>
  </si>
  <si>
    <t>San Bernardino_2042</t>
  </si>
  <si>
    <t>San Bernardino_2043</t>
  </si>
  <si>
    <t>San Bernardino_2044</t>
  </si>
  <si>
    <t>San Bernardino_2045</t>
  </si>
  <si>
    <t>San Bernardino_2046</t>
  </si>
  <si>
    <t>San Bernardino_2047</t>
  </si>
  <si>
    <t>San Bernardino_2048</t>
  </si>
  <si>
    <t>San Bernardino_2049</t>
  </si>
  <si>
    <t>San Bernardino_2050</t>
  </si>
  <si>
    <t>San Diego (Air Basin)_2015</t>
  </si>
  <si>
    <t>San Diego (Air Basin)_2016</t>
  </si>
  <si>
    <t>San Diego (Air Basin)_2017</t>
  </si>
  <si>
    <t>San Diego (Air Basin)_2018</t>
  </si>
  <si>
    <t>San Diego (Air Basin)_2019</t>
  </si>
  <si>
    <t>San Diego (Air Basin)_2020</t>
  </si>
  <si>
    <t>San Diego (Air Basin)_2021</t>
  </si>
  <si>
    <t>San Diego (Air Basin)_2022</t>
  </si>
  <si>
    <t>San Diego (Air Basin)_2023</t>
  </si>
  <si>
    <t>San Diego (Air Basin)_2024</t>
  </si>
  <si>
    <t>San Diego (Air Basin)_2025</t>
  </si>
  <si>
    <t>San Diego (Air Basin)_2026</t>
  </si>
  <si>
    <t>San Diego (Air Basin)_2027</t>
  </si>
  <si>
    <t>San Diego (Air Basin)_2028</t>
  </si>
  <si>
    <t>San Diego (Air Basin)_2029</t>
  </si>
  <si>
    <t>San Diego (Air Basin)_2030</t>
  </si>
  <si>
    <t>San Diego (Air Basin)_2031</t>
  </si>
  <si>
    <t>San Diego (Air Basin)_2032</t>
  </si>
  <si>
    <t>San Diego (Air Basin)_2033</t>
  </si>
  <si>
    <t>San Diego (Air Basin)_2034</t>
  </si>
  <si>
    <t>San Diego (Air Basin)_2035</t>
  </si>
  <si>
    <t>San Diego (Air Basin)_2036</t>
  </si>
  <si>
    <t>San Diego (Air Basin)_2037</t>
  </si>
  <si>
    <t>San Diego (Air Basin)_2038</t>
  </si>
  <si>
    <t>San Diego (Air Basin)_2039</t>
  </si>
  <si>
    <t>San Diego (Air Basin)_2040</t>
  </si>
  <si>
    <t>San Diego (Air Basin)_2041</t>
  </si>
  <si>
    <t>San Diego (Air Basin)_2042</t>
  </si>
  <si>
    <t>San Diego (Air Basin)_2043</t>
  </si>
  <si>
    <t>San Diego (Air Basin)_2044</t>
  </si>
  <si>
    <t>San Diego (Air Basin)_2045</t>
  </si>
  <si>
    <t>San Diego (Air Basin)_2046</t>
  </si>
  <si>
    <t>San Diego (Air Basin)_2047</t>
  </si>
  <si>
    <t>San Diego (Air Basin)_2048</t>
  </si>
  <si>
    <t>San Diego (Air Basin)_2049</t>
  </si>
  <si>
    <t>San Diego (Air Basin)_2050</t>
  </si>
  <si>
    <t>San Diego_2017</t>
  </si>
  <si>
    <t>San Diego_2018</t>
  </si>
  <si>
    <t>San Diego_2019</t>
  </si>
  <si>
    <t>San Diego_2020</t>
  </si>
  <si>
    <t>San Diego_2021</t>
  </si>
  <si>
    <t>San Diego_2022</t>
  </si>
  <si>
    <t>San Diego_2023</t>
  </si>
  <si>
    <t>San Diego_2024</t>
  </si>
  <si>
    <t>San Diego_2025</t>
  </si>
  <si>
    <t>San Diego_2026</t>
  </si>
  <si>
    <t>San Diego_2027</t>
  </si>
  <si>
    <t>San Diego_2028</t>
  </si>
  <si>
    <t>San Diego_2029</t>
  </si>
  <si>
    <t>San Diego_2030</t>
  </si>
  <si>
    <t>San Diego_2031</t>
  </si>
  <si>
    <t>San Diego_2032</t>
  </si>
  <si>
    <t>San Diego_2033</t>
  </si>
  <si>
    <t>San Diego_2034</t>
  </si>
  <si>
    <t>San Diego_2035</t>
  </si>
  <si>
    <t>San Diego_2036</t>
  </si>
  <si>
    <t>San Diego_2037</t>
  </si>
  <si>
    <t>San Diego_2038</t>
  </si>
  <si>
    <t>San Diego_2039</t>
  </si>
  <si>
    <t>San Diego_2040</t>
  </si>
  <si>
    <t>San Diego_2041</t>
  </si>
  <si>
    <t>San Diego_2042</t>
  </si>
  <si>
    <t>San Diego_2043</t>
  </si>
  <si>
    <t>San Diego_2044</t>
  </si>
  <si>
    <t>San Diego_2045</t>
  </si>
  <si>
    <t>San Diego_2046</t>
  </si>
  <si>
    <t>San Diego_2047</t>
  </si>
  <si>
    <t>San Diego_2048</t>
  </si>
  <si>
    <t>San Diego_2049</t>
  </si>
  <si>
    <t>San Diego_2050</t>
  </si>
  <si>
    <t>San Francisco Bay Area_2015</t>
  </si>
  <si>
    <t>San Francisco Bay Area_2016</t>
  </si>
  <si>
    <t>San Francisco Bay Area_2017</t>
  </si>
  <si>
    <t>San Francisco Bay Area_2018</t>
  </si>
  <si>
    <t>San Francisco Bay Area_2019</t>
  </si>
  <si>
    <t>San Francisco Bay Area_2020</t>
  </si>
  <si>
    <t>San Francisco Bay Area_2021</t>
  </si>
  <si>
    <t>San Francisco Bay Area_2022</t>
  </si>
  <si>
    <t>San Francisco Bay Area_2023</t>
  </si>
  <si>
    <t>San Francisco Bay Area_2024</t>
  </si>
  <si>
    <t>San Francisco Bay Area_2025</t>
  </si>
  <si>
    <t>San Francisco Bay Area_2026</t>
  </si>
  <si>
    <t>San Francisco Bay Area_2027</t>
  </si>
  <si>
    <t>San Francisco Bay Area_2028</t>
  </si>
  <si>
    <t>San Francisco Bay Area_2029</t>
  </si>
  <si>
    <t>San Francisco Bay Area_2030</t>
  </si>
  <si>
    <t>San Francisco Bay Area_2031</t>
  </si>
  <si>
    <t>San Francisco Bay Area_2032</t>
  </si>
  <si>
    <t>San Francisco Bay Area_2033</t>
  </si>
  <si>
    <t>San Francisco Bay Area_2034</t>
  </si>
  <si>
    <t>San Francisco Bay Area_2035</t>
  </si>
  <si>
    <t>San Francisco Bay Area_2036</t>
  </si>
  <si>
    <t>San Francisco Bay Area_2037</t>
  </si>
  <si>
    <t>San Francisco Bay Area_2038</t>
  </si>
  <si>
    <t>San Francisco Bay Area_2039</t>
  </si>
  <si>
    <t>San Francisco Bay Area_2040</t>
  </si>
  <si>
    <t>San Francisco Bay Area_2041</t>
  </si>
  <si>
    <t>San Francisco Bay Area_2042</t>
  </si>
  <si>
    <t>San Francisco Bay Area_2043</t>
  </si>
  <si>
    <t>San Francisco Bay Area_2044</t>
  </si>
  <si>
    <t>San Francisco Bay Area_2045</t>
  </si>
  <si>
    <t>San Francisco Bay Area_2046</t>
  </si>
  <si>
    <t>San Francisco Bay Area_2047</t>
  </si>
  <si>
    <t>San Francisco Bay Area_2048</t>
  </si>
  <si>
    <t>San Francisco Bay Area_2049</t>
  </si>
  <si>
    <t>San Francisco Bay Area_2050</t>
  </si>
  <si>
    <t>San Francisco_2017</t>
  </si>
  <si>
    <t>San Francisco_2018</t>
  </si>
  <si>
    <t>San Francisco_2019</t>
  </si>
  <si>
    <t>San Francisco_2020</t>
  </si>
  <si>
    <t>San Francisco_2021</t>
  </si>
  <si>
    <t>San Francisco_2022</t>
  </si>
  <si>
    <t>San Francisco_2023</t>
  </si>
  <si>
    <t>San Francisco_2024</t>
  </si>
  <si>
    <t>San Francisco_2025</t>
  </si>
  <si>
    <t>San Francisco_2026</t>
  </si>
  <si>
    <t>San Francisco_2027</t>
  </si>
  <si>
    <t>San Francisco_2028</t>
  </si>
  <si>
    <t>San Francisco_2029</t>
  </si>
  <si>
    <t>San Francisco_2030</t>
  </si>
  <si>
    <t>San Francisco_2031</t>
  </si>
  <si>
    <t>San Francisco_2032</t>
  </si>
  <si>
    <t>San Francisco_2033</t>
  </si>
  <si>
    <t>San Francisco_2034</t>
  </si>
  <si>
    <t>San Francisco_2035</t>
  </si>
  <si>
    <t>San Francisco_2036</t>
  </si>
  <si>
    <t>San Francisco_2037</t>
  </si>
  <si>
    <t>San Francisco_2038</t>
  </si>
  <si>
    <t>San Francisco_2039</t>
  </si>
  <si>
    <t>San Francisco_2040</t>
  </si>
  <si>
    <t>San Francisco_2041</t>
  </si>
  <si>
    <t>San Francisco_2042</t>
  </si>
  <si>
    <t>San Francisco_2043</t>
  </si>
  <si>
    <t>San Francisco_2044</t>
  </si>
  <si>
    <t>San Francisco_2045</t>
  </si>
  <si>
    <t>San Francisco_2046</t>
  </si>
  <si>
    <t>San Francisco_2047</t>
  </si>
  <si>
    <t>San Francisco_2048</t>
  </si>
  <si>
    <t>San Francisco_2049</t>
  </si>
  <si>
    <t>San Francisco_2050</t>
  </si>
  <si>
    <t>San Joaquin Valley_2015</t>
  </si>
  <si>
    <t>San Joaquin Valley_2016</t>
  </si>
  <si>
    <t>San Joaquin Valley_2017</t>
  </si>
  <si>
    <t>San Joaquin Valley_2018</t>
  </si>
  <si>
    <t>San Joaquin Valley_2019</t>
  </si>
  <si>
    <t>San Joaquin Valley_2020</t>
  </si>
  <si>
    <t>San Joaquin Valley_2021</t>
  </si>
  <si>
    <t>San Joaquin Valley_2022</t>
  </si>
  <si>
    <t>San Joaquin Valley_2023</t>
  </si>
  <si>
    <t>San Joaquin Valley_2024</t>
  </si>
  <si>
    <t>San Joaquin Valley_2025</t>
  </si>
  <si>
    <t>San Joaquin Valley_2026</t>
  </si>
  <si>
    <t>San Joaquin Valley_2027</t>
  </si>
  <si>
    <t>San Joaquin Valley_2028</t>
  </si>
  <si>
    <t>San Joaquin Valley_2029</t>
  </si>
  <si>
    <t>San Joaquin Valley_2030</t>
  </si>
  <si>
    <t>San Joaquin Valley_2031</t>
  </si>
  <si>
    <t>San Joaquin Valley_2032</t>
  </si>
  <si>
    <t>San Joaquin Valley_2033</t>
  </si>
  <si>
    <t>San Joaquin Valley_2034</t>
  </si>
  <si>
    <t>San Joaquin Valley_2035</t>
  </si>
  <si>
    <t>San Joaquin Valley_2036</t>
  </si>
  <si>
    <t>San Joaquin Valley_2037</t>
  </si>
  <si>
    <t>San Joaquin Valley_2038</t>
  </si>
  <si>
    <t>San Joaquin Valley_2039</t>
  </si>
  <si>
    <t>San Joaquin Valley_2040</t>
  </si>
  <si>
    <t>San Joaquin Valley_2041</t>
  </si>
  <si>
    <t>San Joaquin Valley_2042</t>
  </si>
  <si>
    <t>San Joaquin Valley_2043</t>
  </si>
  <si>
    <t>San Joaquin Valley_2044</t>
  </si>
  <si>
    <t>San Joaquin Valley_2045</t>
  </si>
  <si>
    <t>San Joaquin Valley_2046</t>
  </si>
  <si>
    <t>San Joaquin Valley_2047</t>
  </si>
  <si>
    <t>San Joaquin Valley_2048</t>
  </si>
  <si>
    <t>San Joaquin Valley_2049</t>
  </si>
  <si>
    <t>San Joaquin Valley_2050</t>
  </si>
  <si>
    <t>San Joaquin_2017</t>
  </si>
  <si>
    <t>San Joaquin_2018</t>
  </si>
  <si>
    <t>San Joaquin_2019</t>
  </si>
  <si>
    <t>San Joaquin_2020</t>
  </si>
  <si>
    <t>San Joaquin_2021</t>
  </si>
  <si>
    <t>San Joaquin_2022</t>
  </si>
  <si>
    <t>San Joaquin_2023</t>
  </si>
  <si>
    <t>San Joaquin_2024</t>
  </si>
  <si>
    <t>San Joaquin_2025</t>
  </si>
  <si>
    <t>San Joaquin_2026</t>
  </si>
  <si>
    <t>San Joaquin_2027</t>
  </si>
  <si>
    <t>San Joaquin_2028</t>
  </si>
  <si>
    <t>San Joaquin_2029</t>
  </si>
  <si>
    <t>San Joaquin_2030</t>
  </si>
  <si>
    <t>San Joaquin_2031</t>
  </si>
  <si>
    <t>San Joaquin_2032</t>
  </si>
  <si>
    <t>San Joaquin_2033</t>
  </si>
  <si>
    <t>San Joaquin_2034</t>
  </si>
  <si>
    <t>San Joaquin_2035</t>
  </si>
  <si>
    <t>San Joaquin_2036</t>
  </si>
  <si>
    <t>San Joaquin_2037</t>
  </si>
  <si>
    <t>San Joaquin_2038</t>
  </si>
  <si>
    <t>San Joaquin_2039</t>
  </si>
  <si>
    <t>San Joaquin_2040</t>
  </si>
  <si>
    <t>San Joaquin_2041</t>
  </si>
  <si>
    <t>San Joaquin_2042</t>
  </si>
  <si>
    <t>San Joaquin_2043</t>
  </si>
  <si>
    <t>San Joaquin_2044</t>
  </si>
  <si>
    <t>San Joaquin_2045</t>
  </si>
  <si>
    <t>San Joaquin_2046</t>
  </si>
  <si>
    <t>San Joaquin_2047</t>
  </si>
  <si>
    <t>San Joaquin_2048</t>
  </si>
  <si>
    <t>San Joaquin_2049</t>
  </si>
  <si>
    <t>San Joaquin_2050</t>
  </si>
  <si>
    <t>San Luis Obispo_2017</t>
  </si>
  <si>
    <t>San Luis Obispo_2018</t>
  </si>
  <si>
    <t>San Luis Obispo_2019</t>
  </si>
  <si>
    <t>San Luis Obispo_2020</t>
  </si>
  <si>
    <t>San Luis Obispo_2021</t>
  </si>
  <si>
    <t>San Luis Obispo_2022</t>
  </si>
  <si>
    <t>San Luis Obispo_2023</t>
  </si>
  <si>
    <t>San Luis Obispo_2024</t>
  </si>
  <si>
    <t>San Luis Obispo_2025</t>
  </si>
  <si>
    <t>San Luis Obispo_2026</t>
  </si>
  <si>
    <t>San Luis Obispo_2027</t>
  </si>
  <si>
    <t>San Luis Obispo_2028</t>
  </si>
  <si>
    <t>San Luis Obispo_2029</t>
  </si>
  <si>
    <t>San Luis Obispo_2030</t>
  </si>
  <si>
    <t>San Luis Obispo_2031</t>
  </si>
  <si>
    <t>San Luis Obispo_2032</t>
  </si>
  <si>
    <t>San Luis Obispo_2033</t>
  </si>
  <si>
    <t>San Luis Obispo_2034</t>
  </si>
  <si>
    <t>San Luis Obispo_2035</t>
  </si>
  <si>
    <t>San Luis Obispo_2036</t>
  </si>
  <si>
    <t>San Luis Obispo_2037</t>
  </si>
  <si>
    <t>San Luis Obispo_2038</t>
  </si>
  <si>
    <t>San Luis Obispo_2039</t>
  </si>
  <si>
    <t>San Luis Obispo_2040</t>
  </si>
  <si>
    <t>San Luis Obispo_2041</t>
  </si>
  <si>
    <t>San Luis Obispo_2042</t>
  </si>
  <si>
    <t>San Luis Obispo_2043</t>
  </si>
  <si>
    <t>San Luis Obispo_2044</t>
  </si>
  <si>
    <t>San Luis Obispo_2045</t>
  </si>
  <si>
    <t>San Luis Obispo_2046</t>
  </si>
  <si>
    <t>San Luis Obispo_2047</t>
  </si>
  <si>
    <t>San Luis Obispo_2048</t>
  </si>
  <si>
    <t>San Luis Obispo_2049</t>
  </si>
  <si>
    <t>San Luis Obispo_2050</t>
  </si>
  <si>
    <t>San Mateo_2017</t>
  </si>
  <si>
    <t>San Mateo_2018</t>
  </si>
  <si>
    <t>San Mateo_2019</t>
  </si>
  <si>
    <t>San Mateo_2020</t>
  </si>
  <si>
    <t>San Mateo_2021</t>
  </si>
  <si>
    <t>San Mateo_2022</t>
  </si>
  <si>
    <t>San Mateo_2023</t>
  </si>
  <si>
    <t>San Mateo_2024</t>
  </si>
  <si>
    <t>San Mateo_2025</t>
  </si>
  <si>
    <t>San Mateo_2026</t>
  </si>
  <si>
    <t>San Mateo_2027</t>
  </si>
  <si>
    <t>San Mateo_2028</t>
  </si>
  <si>
    <t>San Mateo_2029</t>
  </si>
  <si>
    <t>San Mateo_2030</t>
  </si>
  <si>
    <t>San Mateo_2031</t>
  </si>
  <si>
    <t>San Mateo_2032</t>
  </si>
  <si>
    <t>San Mateo_2033</t>
  </si>
  <si>
    <t>San Mateo_2034</t>
  </si>
  <si>
    <t>San Mateo_2035</t>
  </si>
  <si>
    <t>San Mateo_2036</t>
  </si>
  <si>
    <t>San Mateo_2037</t>
  </si>
  <si>
    <t>San Mateo_2038</t>
  </si>
  <si>
    <t>San Mateo_2039</t>
  </si>
  <si>
    <t>San Mateo_2040</t>
  </si>
  <si>
    <t>San Mateo_2041</t>
  </si>
  <si>
    <t>San Mateo_2042</t>
  </si>
  <si>
    <t>San Mateo_2043</t>
  </si>
  <si>
    <t>San Mateo_2044</t>
  </si>
  <si>
    <t>San Mateo_2045</t>
  </si>
  <si>
    <t>San Mateo_2046</t>
  </si>
  <si>
    <t>San Mateo_2047</t>
  </si>
  <si>
    <t>San Mateo_2048</t>
  </si>
  <si>
    <t>San Mateo_2049</t>
  </si>
  <si>
    <t>San Mateo_2050</t>
  </si>
  <si>
    <t>Santa Barbara_2017</t>
  </si>
  <si>
    <t>Santa Barbara_2018</t>
  </si>
  <si>
    <t>Santa Barbara_2019</t>
  </si>
  <si>
    <t>Santa Barbara_2020</t>
  </si>
  <si>
    <t>Santa Barbara_2021</t>
  </si>
  <si>
    <t>Santa Barbara_2022</t>
  </si>
  <si>
    <t>Santa Barbara_2023</t>
  </si>
  <si>
    <t>Santa Barbara_2024</t>
  </si>
  <si>
    <t>Santa Barbara_2025</t>
  </si>
  <si>
    <t>Santa Barbara_2026</t>
  </si>
  <si>
    <t>Santa Barbara_2027</t>
  </si>
  <si>
    <t>Santa Barbara_2028</t>
  </si>
  <si>
    <t>Santa Barbara_2029</t>
  </si>
  <si>
    <t>Santa Barbara_2030</t>
  </si>
  <si>
    <t>Santa Barbara_2031</t>
  </si>
  <si>
    <t>Santa Barbara_2032</t>
  </si>
  <si>
    <t>Santa Barbara_2033</t>
  </si>
  <si>
    <t>Santa Barbara_2034</t>
  </si>
  <si>
    <t>Santa Barbara_2035</t>
  </si>
  <si>
    <t>Santa Barbara_2036</t>
  </si>
  <si>
    <t>Santa Barbara_2037</t>
  </si>
  <si>
    <t>Santa Barbara_2038</t>
  </si>
  <si>
    <t>Santa Barbara_2039</t>
  </si>
  <si>
    <t>Santa Barbara_2040</t>
  </si>
  <si>
    <t>Santa Barbara_2041</t>
  </si>
  <si>
    <t>Santa Barbara_2042</t>
  </si>
  <si>
    <t>Santa Barbara_2043</t>
  </si>
  <si>
    <t>Santa Barbara_2044</t>
  </si>
  <si>
    <t>Santa Barbara_2045</t>
  </si>
  <si>
    <t>Santa Barbara_2046</t>
  </si>
  <si>
    <t>Santa Barbara_2047</t>
  </si>
  <si>
    <t>Santa Barbara_2048</t>
  </si>
  <si>
    <t>Santa Barbara_2049</t>
  </si>
  <si>
    <t>Santa Barbara_2050</t>
  </si>
  <si>
    <t>Santa Clara_2017</t>
  </si>
  <si>
    <t>Santa Clara_2018</t>
  </si>
  <si>
    <t>Santa Clara_2019</t>
  </si>
  <si>
    <t>Santa Clara_2020</t>
  </si>
  <si>
    <t>Santa Clara_2021</t>
  </si>
  <si>
    <t>Santa Clara_2022</t>
  </si>
  <si>
    <t>Santa Clara_2023</t>
  </si>
  <si>
    <t>Santa Clara_2024</t>
  </si>
  <si>
    <t>Santa Clara_2025</t>
  </si>
  <si>
    <t>Santa Clara_2026</t>
  </si>
  <si>
    <t>Santa Clara_2027</t>
  </si>
  <si>
    <t>Santa Clara_2028</t>
  </si>
  <si>
    <t>Santa Clara_2029</t>
  </si>
  <si>
    <t>Santa Clara_2030</t>
  </si>
  <si>
    <t>Santa Clara_2031</t>
  </si>
  <si>
    <t>Santa Clara_2032</t>
  </si>
  <si>
    <t>Santa Clara_2033</t>
  </si>
  <si>
    <t>Santa Clara_2034</t>
  </si>
  <si>
    <t>Santa Clara_2035</t>
  </si>
  <si>
    <t>Santa Clara_2036</t>
  </si>
  <si>
    <t>Santa Clara_2037</t>
  </si>
  <si>
    <t>Santa Clara_2038</t>
  </si>
  <si>
    <t>Santa Clara_2039</t>
  </si>
  <si>
    <t>Santa Clara_2040</t>
  </si>
  <si>
    <t>Santa Clara_2041</t>
  </si>
  <si>
    <t>Santa Clara_2042</t>
  </si>
  <si>
    <t>Santa Clara_2043</t>
  </si>
  <si>
    <t>Santa Clara_2044</t>
  </si>
  <si>
    <t>Santa Clara_2045</t>
  </si>
  <si>
    <t>Santa Clara_2046</t>
  </si>
  <si>
    <t>Santa Clara_2047</t>
  </si>
  <si>
    <t>Santa Clara_2048</t>
  </si>
  <si>
    <t>Santa Clara_2049</t>
  </si>
  <si>
    <t>Santa Clara_2050</t>
  </si>
  <si>
    <t>Santa Cruz_2017</t>
  </si>
  <si>
    <t>Santa Cruz_2018</t>
  </si>
  <si>
    <t>Santa Cruz_2019</t>
  </si>
  <si>
    <t>Santa Cruz_2020</t>
  </si>
  <si>
    <t>Santa Cruz_2021</t>
  </si>
  <si>
    <t>Santa Cruz_2022</t>
  </si>
  <si>
    <t>Santa Cruz_2023</t>
  </si>
  <si>
    <t>Santa Cruz_2024</t>
  </si>
  <si>
    <t>Santa Cruz_2025</t>
  </si>
  <si>
    <t>Santa Cruz_2026</t>
  </si>
  <si>
    <t>Santa Cruz_2027</t>
  </si>
  <si>
    <t>Santa Cruz_2028</t>
  </si>
  <si>
    <t>Santa Cruz_2029</t>
  </si>
  <si>
    <t>Santa Cruz_2030</t>
  </si>
  <si>
    <t>Santa Cruz_2031</t>
  </si>
  <si>
    <t>Santa Cruz_2032</t>
  </si>
  <si>
    <t>Santa Cruz_2033</t>
  </si>
  <si>
    <t>Santa Cruz_2034</t>
  </si>
  <si>
    <t>Santa Cruz_2035</t>
  </si>
  <si>
    <t>Santa Cruz_2036</t>
  </si>
  <si>
    <t>Santa Cruz_2037</t>
  </si>
  <si>
    <t>Santa Cruz_2038</t>
  </si>
  <si>
    <t>Santa Cruz_2039</t>
  </si>
  <si>
    <t>Santa Cruz_2040</t>
  </si>
  <si>
    <t>Santa Cruz_2041</t>
  </si>
  <si>
    <t>Santa Cruz_2042</t>
  </si>
  <si>
    <t>Santa Cruz_2043</t>
  </si>
  <si>
    <t>Santa Cruz_2044</t>
  </si>
  <si>
    <t>Santa Cruz_2045</t>
  </si>
  <si>
    <t>Santa Cruz_2046</t>
  </si>
  <si>
    <t>Santa Cruz_2047</t>
  </si>
  <si>
    <t>Santa Cruz_2048</t>
  </si>
  <si>
    <t>Santa Cruz_2049</t>
  </si>
  <si>
    <t>Santa Cruz_2050</t>
  </si>
  <si>
    <t>Shasta_2017</t>
  </si>
  <si>
    <t>Shasta_2018</t>
  </si>
  <si>
    <t>Shasta_2019</t>
  </si>
  <si>
    <t>Shasta_2020</t>
  </si>
  <si>
    <t>Shasta_2021</t>
  </si>
  <si>
    <t>Shasta_2022</t>
  </si>
  <si>
    <t>Shasta_2023</t>
  </si>
  <si>
    <t>Shasta_2024</t>
  </si>
  <si>
    <t>Shasta_2025</t>
  </si>
  <si>
    <t>Shasta_2026</t>
  </si>
  <si>
    <t>Shasta_2027</t>
  </si>
  <si>
    <t>Shasta_2028</t>
  </si>
  <si>
    <t>Shasta_2029</t>
  </si>
  <si>
    <t>Shasta_2030</t>
  </si>
  <si>
    <t>Shasta_2031</t>
  </si>
  <si>
    <t>Shasta_2032</t>
  </si>
  <si>
    <t>Shasta_2033</t>
  </si>
  <si>
    <t>Shasta_2034</t>
  </si>
  <si>
    <t>Shasta_2035</t>
  </si>
  <si>
    <t>Shasta_2036</t>
  </si>
  <si>
    <t>Shasta_2037</t>
  </si>
  <si>
    <t>Shasta_2038</t>
  </si>
  <si>
    <t>Shasta_2039</t>
  </si>
  <si>
    <t>Shasta_2040</t>
  </si>
  <si>
    <t>Shasta_2041</t>
  </si>
  <si>
    <t>Shasta_2042</t>
  </si>
  <si>
    <t>Shasta_2043</t>
  </si>
  <si>
    <t>Shasta_2044</t>
  </si>
  <si>
    <t>Shasta_2045</t>
  </si>
  <si>
    <t>Shasta_2046</t>
  </si>
  <si>
    <t>Shasta_2047</t>
  </si>
  <si>
    <t>Shasta_2048</t>
  </si>
  <si>
    <t>Shasta_2049</t>
  </si>
  <si>
    <t>Shasta_2050</t>
  </si>
  <si>
    <t>Sierra_2017</t>
  </si>
  <si>
    <t>Sierra_2018</t>
  </si>
  <si>
    <t>Sierra_2019</t>
  </si>
  <si>
    <t>Sierra_2020</t>
  </si>
  <si>
    <t>Sierra_2021</t>
  </si>
  <si>
    <t>Sierra_2022</t>
  </si>
  <si>
    <t>Sierra_2023</t>
  </si>
  <si>
    <t>Sierra_2024</t>
  </si>
  <si>
    <t>Sierra_2025</t>
  </si>
  <si>
    <t>Sierra_2026</t>
  </si>
  <si>
    <t>Sierra_2027</t>
  </si>
  <si>
    <t>Sierra_2028</t>
  </si>
  <si>
    <t>Sierra_2029</t>
  </si>
  <si>
    <t>Sierra_2030</t>
  </si>
  <si>
    <t>Sierra_2031</t>
  </si>
  <si>
    <t>Sierra_2032</t>
  </si>
  <si>
    <t>Sierra_2033</t>
  </si>
  <si>
    <t>Sierra_2034</t>
  </si>
  <si>
    <t>Sierra_2035</t>
  </si>
  <si>
    <t>Sierra_2036</t>
  </si>
  <si>
    <t>Sierra_2037</t>
  </si>
  <si>
    <t>Sierra_2038</t>
  </si>
  <si>
    <t>Sierra_2039</t>
  </si>
  <si>
    <t>Sierra_2040</t>
  </si>
  <si>
    <t>Sierra_2041</t>
  </si>
  <si>
    <t>Sierra_2042</t>
  </si>
  <si>
    <t>Sierra_2043</t>
  </si>
  <si>
    <t>Sierra_2044</t>
  </si>
  <si>
    <t>Sierra_2045</t>
  </si>
  <si>
    <t>Sierra_2046</t>
  </si>
  <si>
    <t>Sierra_2047</t>
  </si>
  <si>
    <t>Sierra_2048</t>
  </si>
  <si>
    <t>Sierra_2049</t>
  </si>
  <si>
    <t>Sierra_2050</t>
  </si>
  <si>
    <t>Siskiyou_2017</t>
  </si>
  <si>
    <t>Siskiyou_2018</t>
  </si>
  <si>
    <t>Siskiyou_2019</t>
  </si>
  <si>
    <t>Siskiyou_2020</t>
  </si>
  <si>
    <t>Siskiyou_2021</t>
  </si>
  <si>
    <t>Siskiyou_2022</t>
  </si>
  <si>
    <t>Siskiyou_2023</t>
  </si>
  <si>
    <t>Siskiyou_2024</t>
  </si>
  <si>
    <t>Siskiyou_2025</t>
  </si>
  <si>
    <t>Siskiyou_2026</t>
  </si>
  <si>
    <t>Siskiyou_2027</t>
  </si>
  <si>
    <t>Siskiyou_2028</t>
  </si>
  <si>
    <t>Siskiyou_2029</t>
  </si>
  <si>
    <t>Siskiyou_2030</t>
  </si>
  <si>
    <t>Siskiyou_2031</t>
  </si>
  <si>
    <t>Siskiyou_2032</t>
  </si>
  <si>
    <t>Siskiyou_2033</t>
  </si>
  <si>
    <t>Siskiyou_2034</t>
  </si>
  <si>
    <t>Siskiyou_2035</t>
  </si>
  <si>
    <t>Siskiyou_2036</t>
  </si>
  <si>
    <t>Siskiyou_2037</t>
  </si>
  <si>
    <t>Siskiyou_2038</t>
  </si>
  <si>
    <t>Siskiyou_2039</t>
  </si>
  <si>
    <t>Siskiyou_2040</t>
  </si>
  <si>
    <t>Siskiyou_2041</t>
  </si>
  <si>
    <t>Siskiyou_2042</t>
  </si>
  <si>
    <t>Siskiyou_2043</t>
  </si>
  <si>
    <t>Siskiyou_2044</t>
  </si>
  <si>
    <t>Siskiyou_2045</t>
  </si>
  <si>
    <t>Siskiyou_2046</t>
  </si>
  <si>
    <t>Siskiyou_2047</t>
  </si>
  <si>
    <t>Siskiyou_2048</t>
  </si>
  <si>
    <t>Siskiyou_2049</t>
  </si>
  <si>
    <t>Siskiyou_2050</t>
  </si>
  <si>
    <t>Solano_2017</t>
  </si>
  <si>
    <t>Solano_2018</t>
  </si>
  <si>
    <t>Solano_2019</t>
  </si>
  <si>
    <t>Solano_2020</t>
  </si>
  <si>
    <t>Solano_2021</t>
  </si>
  <si>
    <t>Solano_2022</t>
  </si>
  <si>
    <t>Solano_2023</t>
  </si>
  <si>
    <t>Solano_2024</t>
  </si>
  <si>
    <t>Solano_2025</t>
  </si>
  <si>
    <t>Solano_2026</t>
  </si>
  <si>
    <t>Solano_2027</t>
  </si>
  <si>
    <t>Solano_2028</t>
  </si>
  <si>
    <t>Solano_2029</t>
  </si>
  <si>
    <t>Solano_2030</t>
  </si>
  <si>
    <t>Solano_2031</t>
  </si>
  <si>
    <t>Solano_2032</t>
  </si>
  <si>
    <t>Solano_2033</t>
  </si>
  <si>
    <t>Solano_2034</t>
  </si>
  <si>
    <t>Solano_2035</t>
  </si>
  <si>
    <t>Solano_2036</t>
  </si>
  <si>
    <t>Solano_2037</t>
  </si>
  <si>
    <t>Solano_2038</t>
  </si>
  <si>
    <t>Solano_2039</t>
  </si>
  <si>
    <t>Solano_2040</t>
  </si>
  <si>
    <t>Solano_2041</t>
  </si>
  <si>
    <t>Solano_2042</t>
  </si>
  <si>
    <t>Solano_2043</t>
  </si>
  <si>
    <t>Solano_2044</t>
  </si>
  <si>
    <t>Solano_2045</t>
  </si>
  <si>
    <t>Solano_2046</t>
  </si>
  <si>
    <t>Solano_2047</t>
  </si>
  <si>
    <t>Solano_2048</t>
  </si>
  <si>
    <t>Solano_2049</t>
  </si>
  <si>
    <t>Solano_2050</t>
  </si>
  <si>
    <t>Sonoma_2017</t>
  </si>
  <si>
    <t>Sonoma_2018</t>
  </si>
  <si>
    <t>Sonoma_2019</t>
  </si>
  <si>
    <t>Sonoma_2020</t>
  </si>
  <si>
    <t>Sonoma_2021</t>
  </si>
  <si>
    <t>Sonoma_2022</t>
  </si>
  <si>
    <t>Sonoma_2023</t>
  </si>
  <si>
    <t>Sonoma_2024</t>
  </si>
  <si>
    <t>Sonoma_2025</t>
  </si>
  <si>
    <t>Sonoma_2026</t>
  </si>
  <si>
    <t>Sonoma_2027</t>
  </si>
  <si>
    <t>Sonoma_2028</t>
  </si>
  <si>
    <t>Sonoma_2029</t>
  </si>
  <si>
    <t>Sonoma_2030</t>
  </si>
  <si>
    <t>Sonoma_2031</t>
  </si>
  <si>
    <t>Sonoma_2032</t>
  </si>
  <si>
    <t>Sonoma_2033</t>
  </si>
  <si>
    <t>Sonoma_2034</t>
  </si>
  <si>
    <t>Sonoma_2035</t>
  </si>
  <si>
    <t>Sonoma_2036</t>
  </si>
  <si>
    <t>Sonoma_2037</t>
  </si>
  <si>
    <t>Sonoma_2038</t>
  </si>
  <si>
    <t>Sonoma_2039</t>
  </si>
  <si>
    <t>Sonoma_2040</t>
  </si>
  <si>
    <t>Sonoma_2041</t>
  </si>
  <si>
    <t>Sonoma_2042</t>
  </si>
  <si>
    <t>Sonoma_2043</t>
  </si>
  <si>
    <t>Sonoma_2044</t>
  </si>
  <si>
    <t>Sonoma_2045</t>
  </si>
  <si>
    <t>Sonoma_2046</t>
  </si>
  <si>
    <t>Sonoma_2047</t>
  </si>
  <si>
    <t>Sonoma_2048</t>
  </si>
  <si>
    <t>Sonoma_2049</t>
  </si>
  <si>
    <t>Sonoma_2050</t>
  </si>
  <si>
    <t>South Central Coast_2015</t>
  </si>
  <si>
    <t>South Central Coast_2016</t>
  </si>
  <si>
    <t>South Central Coast_2017</t>
  </si>
  <si>
    <t>South Central Coast_2018</t>
  </si>
  <si>
    <t>South Central Coast_2019</t>
  </si>
  <si>
    <t>South Central Coast_2020</t>
  </si>
  <si>
    <t>South Central Coast_2021</t>
  </si>
  <si>
    <t>South Central Coast_2022</t>
  </si>
  <si>
    <t>South Central Coast_2023</t>
  </si>
  <si>
    <t>South Central Coast_2024</t>
  </si>
  <si>
    <t>South Central Coast_2025</t>
  </si>
  <si>
    <t>South Central Coast_2026</t>
  </si>
  <si>
    <t>South Central Coast_2027</t>
  </si>
  <si>
    <t>South Central Coast_2028</t>
  </si>
  <si>
    <t>South Central Coast_2029</t>
  </si>
  <si>
    <t>South Central Coast_2030</t>
  </si>
  <si>
    <t>South Central Coast_2031</t>
  </si>
  <si>
    <t>South Central Coast_2032</t>
  </si>
  <si>
    <t>South Central Coast_2033</t>
  </si>
  <si>
    <t>South Central Coast_2034</t>
  </si>
  <si>
    <t>South Central Coast_2035</t>
  </si>
  <si>
    <t>South Central Coast_2036</t>
  </si>
  <si>
    <t>South Central Coast_2037</t>
  </si>
  <si>
    <t>South Central Coast_2038</t>
  </si>
  <si>
    <t>South Central Coast_2039</t>
  </si>
  <si>
    <t>South Central Coast_2040</t>
  </si>
  <si>
    <t>South Central Coast_2041</t>
  </si>
  <si>
    <t>South Central Coast_2042</t>
  </si>
  <si>
    <t>South Central Coast_2043</t>
  </si>
  <si>
    <t>South Central Coast_2044</t>
  </si>
  <si>
    <t>South Central Coast_2045</t>
  </si>
  <si>
    <t>South Central Coast_2046</t>
  </si>
  <si>
    <t>South Central Coast_2047</t>
  </si>
  <si>
    <t>South Central Coast_2048</t>
  </si>
  <si>
    <t>South Central Coast_2049</t>
  </si>
  <si>
    <t>South Central Coast_2050</t>
  </si>
  <si>
    <t>South Coast_2015</t>
  </si>
  <si>
    <t>South Coast_2016</t>
  </si>
  <si>
    <t>South Coast_2017</t>
  </si>
  <si>
    <t>South Coast_2018</t>
  </si>
  <si>
    <t>South Coast_2019</t>
  </si>
  <si>
    <t>South Coast_2020</t>
  </si>
  <si>
    <t>South Coast_2021</t>
  </si>
  <si>
    <t>South Coast_2022</t>
  </si>
  <si>
    <t>South Coast_2023</t>
  </si>
  <si>
    <t>South Coast_2024</t>
  </si>
  <si>
    <t>South Coast_2025</t>
  </si>
  <si>
    <t>South Coast_2026</t>
  </si>
  <si>
    <t>South Coast_2027</t>
  </si>
  <si>
    <t>South Coast_2028</t>
  </si>
  <si>
    <t>South Coast_2029</t>
  </si>
  <si>
    <t>South Coast_2030</t>
  </si>
  <si>
    <t>South Coast_2031</t>
  </si>
  <si>
    <t>South Coast_2032</t>
  </si>
  <si>
    <t>South Coast_2033</t>
  </si>
  <si>
    <t>South Coast_2034</t>
  </si>
  <si>
    <t>South Coast_2035</t>
  </si>
  <si>
    <t>South Coast_2036</t>
  </si>
  <si>
    <t>South Coast_2037</t>
  </si>
  <si>
    <t>South Coast_2038</t>
  </si>
  <si>
    <t>South Coast_2039</t>
  </si>
  <si>
    <t>South Coast_2040</t>
  </si>
  <si>
    <t>South Coast_2041</t>
  </si>
  <si>
    <t>South Coast_2042</t>
  </si>
  <si>
    <t>South Coast_2043</t>
  </si>
  <si>
    <t>South Coast_2044</t>
  </si>
  <si>
    <t>South Coast_2045</t>
  </si>
  <si>
    <t>South Coast_2046</t>
  </si>
  <si>
    <t>South Coast_2047</t>
  </si>
  <si>
    <t>South Coast_2048</t>
  </si>
  <si>
    <t>South Coast_2049</t>
  </si>
  <si>
    <t>South Coast_2050</t>
  </si>
  <si>
    <t>Stanislaus_2017</t>
  </si>
  <si>
    <t>Stanislaus_2018</t>
  </si>
  <si>
    <t>Stanislaus_2019</t>
  </si>
  <si>
    <t>Stanislaus_2020</t>
  </si>
  <si>
    <t>Stanislaus_2021</t>
  </si>
  <si>
    <t>Stanislaus_2022</t>
  </si>
  <si>
    <t>Stanislaus_2023</t>
  </si>
  <si>
    <t>Stanislaus_2024</t>
  </si>
  <si>
    <t>Stanislaus_2025</t>
  </si>
  <si>
    <t>Stanislaus_2026</t>
  </si>
  <si>
    <t>Stanislaus_2027</t>
  </si>
  <si>
    <t>Stanislaus_2028</t>
  </si>
  <si>
    <t>Stanislaus_2029</t>
  </si>
  <si>
    <t>Stanislaus_2030</t>
  </si>
  <si>
    <t>Stanislaus_2031</t>
  </si>
  <si>
    <t>Stanislaus_2032</t>
  </si>
  <si>
    <t>Stanislaus_2033</t>
  </si>
  <si>
    <t>Stanislaus_2034</t>
  </si>
  <si>
    <t>Stanislaus_2035</t>
  </si>
  <si>
    <t>Stanislaus_2036</t>
  </si>
  <si>
    <t>Stanislaus_2037</t>
  </si>
  <si>
    <t>Stanislaus_2038</t>
  </si>
  <si>
    <t>Stanislaus_2039</t>
  </si>
  <si>
    <t>Stanislaus_2040</t>
  </si>
  <si>
    <t>Stanislaus_2041</t>
  </si>
  <si>
    <t>Stanislaus_2042</t>
  </si>
  <si>
    <t>Stanislaus_2043</t>
  </si>
  <si>
    <t>Stanislaus_2044</t>
  </si>
  <si>
    <t>Stanislaus_2045</t>
  </si>
  <si>
    <t>Stanislaus_2046</t>
  </si>
  <si>
    <t>Stanislaus_2047</t>
  </si>
  <si>
    <t>Stanislaus_2048</t>
  </si>
  <si>
    <t>Stanislaus_2049</t>
  </si>
  <si>
    <t>Stanislaus_2050</t>
  </si>
  <si>
    <t>Sutter_2017</t>
  </si>
  <si>
    <t>Sutter_2018</t>
  </si>
  <si>
    <t>Sutter_2019</t>
  </si>
  <si>
    <t>Sutter_2020</t>
  </si>
  <si>
    <t>Sutter_2021</t>
  </si>
  <si>
    <t>Sutter_2022</t>
  </si>
  <si>
    <t>Sutter_2023</t>
  </si>
  <si>
    <t>Sutter_2024</t>
  </si>
  <si>
    <t>Sutter_2025</t>
  </si>
  <si>
    <t>Sutter_2026</t>
  </si>
  <si>
    <t>Sutter_2027</t>
  </si>
  <si>
    <t>Sutter_2028</t>
  </si>
  <si>
    <t>Sutter_2029</t>
  </si>
  <si>
    <t>Sutter_2030</t>
  </si>
  <si>
    <t>Sutter_2031</t>
  </si>
  <si>
    <t>Sutter_2032</t>
  </si>
  <si>
    <t>Sutter_2033</t>
  </si>
  <si>
    <t>Sutter_2034</t>
  </si>
  <si>
    <t>Sutter_2035</t>
  </si>
  <si>
    <t>Sutter_2036</t>
  </si>
  <si>
    <t>Sutter_2037</t>
  </si>
  <si>
    <t>Sutter_2038</t>
  </si>
  <si>
    <t>Sutter_2039</t>
  </si>
  <si>
    <t>Sutter_2040</t>
  </si>
  <si>
    <t>Sutter_2041</t>
  </si>
  <si>
    <t>Sutter_2042</t>
  </si>
  <si>
    <t>Sutter_2043</t>
  </si>
  <si>
    <t>Sutter_2044</t>
  </si>
  <si>
    <t>Sutter_2045</t>
  </si>
  <si>
    <t>Sutter_2046</t>
  </si>
  <si>
    <t>Sutter_2047</t>
  </si>
  <si>
    <t>Sutter_2048</t>
  </si>
  <si>
    <t>Sutter_2049</t>
  </si>
  <si>
    <t>Sutter_2050</t>
  </si>
  <si>
    <t>Tehama_2017</t>
  </si>
  <si>
    <t>Tehama_2018</t>
  </si>
  <si>
    <t>Tehama_2019</t>
  </si>
  <si>
    <t>Tehama_2020</t>
  </si>
  <si>
    <t>Tehama_2021</t>
  </si>
  <si>
    <t>Tehama_2022</t>
  </si>
  <si>
    <t>Tehama_2023</t>
  </si>
  <si>
    <t>Tehama_2024</t>
  </si>
  <si>
    <t>Tehama_2025</t>
  </si>
  <si>
    <t>Tehama_2026</t>
  </si>
  <si>
    <t>Tehama_2027</t>
  </si>
  <si>
    <t>Tehama_2028</t>
  </si>
  <si>
    <t>Tehama_2029</t>
  </si>
  <si>
    <t>Tehama_2030</t>
  </si>
  <si>
    <t>Tehama_2031</t>
  </si>
  <si>
    <t>Tehama_2032</t>
  </si>
  <si>
    <t>Tehama_2033</t>
  </si>
  <si>
    <t>Tehama_2034</t>
  </si>
  <si>
    <t>Tehama_2035</t>
  </si>
  <si>
    <t>Tehama_2036</t>
  </si>
  <si>
    <t>Tehama_2037</t>
  </si>
  <si>
    <t>Tehama_2038</t>
  </si>
  <si>
    <t>Tehama_2039</t>
  </si>
  <si>
    <t>Tehama_2040</t>
  </si>
  <si>
    <t>Tehama_2041</t>
  </si>
  <si>
    <t>Tehama_2042</t>
  </si>
  <si>
    <t>Tehama_2043</t>
  </si>
  <si>
    <t>Tehama_2044</t>
  </si>
  <si>
    <t>Tehama_2045</t>
  </si>
  <si>
    <t>Tehama_2046</t>
  </si>
  <si>
    <t>Tehama_2047</t>
  </si>
  <si>
    <t>Tehama_2048</t>
  </si>
  <si>
    <t>Tehama_2049</t>
  </si>
  <si>
    <t>Tehama_2050</t>
  </si>
  <si>
    <t>Trinity_2017</t>
  </si>
  <si>
    <t>Trinity_2018</t>
  </si>
  <si>
    <t>Trinity_2019</t>
  </si>
  <si>
    <t>Trinity_2020</t>
  </si>
  <si>
    <t>Trinity_2021</t>
  </si>
  <si>
    <t>Trinity_2022</t>
  </si>
  <si>
    <t>Trinity_2023</t>
  </si>
  <si>
    <t>Trinity_2024</t>
  </si>
  <si>
    <t>Trinity_2025</t>
  </si>
  <si>
    <t>Trinity_2026</t>
  </si>
  <si>
    <t>Trinity_2027</t>
  </si>
  <si>
    <t>Trinity_2028</t>
  </si>
  <si>
    <t>Trinity_2029</t>
  </si>
  <si>
    <t>Trinity_2030</t>
  </si>
  <si>
    <t>Trinity_2031</t>
  </si>
  <si>
    <t>Trinity_2032</t>
  </si>
  <si>
    <t>Trinity_2033</t>
  </si>
  <si>
    <t>Trinity_2034</t>
  </si>
  <si>
    <t>Trinity_2035</t>
  </si>
  <si>
    <t>Trinity_2036</t>
  </si>
  <si>
    <t>Trinity_2037</t>
  </si>
  <si>
    <t>Trinity_2038</t>
  </si>
  <si>
    <t>Trinity_2039</t>
  </si>
  <si>
    <t>Trinity_2040</t>
  </si>
  <si>
    <t>Trinity_2041</t>
  </si>
  <si>
    <t>Trinity_2042</t>
  </si>
  <si>
    <t>Trinity_2043</t>
  </si>
  <si>
    <t>Trinity_2044</t>
  </si>
  <si>
    <t>Trinity_2045</t>
  </si>
  <si>
    <t>Trinity_2046</t>
  </si>
  <si>
    <t>Trinity_2047</t>
  </si>
  <si>
    <t>Trinity_2048</t>
  </si>
  <si>
    <t>Trinity_2049</t>
  </si>
  <si>
    <t>Trinity_2050</t>
  </si>
  <si>
    <t>Tulare_2017</t>
  </si>
  <si>
    <t>Tulare_2018</t>
  </si>
  <si>
    <t>Tulare_2019</t>
  </si>
  <si>
    <t>Tulare_2020</t>
  </si>
  <si>
    <t>Tulare_2021</t>
  </si>
  <si>
    <t>Tulare_2022</t>
  </si>
  <si>
    <t>Tulare_2023</t>
  </si>
  <si>
    <t>Tulare_2024</t>
  </si>
  <si>
    <t>Tulare_2025</t>
  </si>
  <si>
    <t>Tulare_2026</t>
  </si>
  <si>
    <t>Tulare_2027</t>
  </si>
  <si>
    <t>Tulare_2028</t>
  </si>
  <si>
    <t>Tulare_2029</t>
  </si>
  <si>
    <t>Tulare_2030</t>
  </si>
  <si>
    <t>Tulare_2031</t>
  </si>
  <si>
    <t>Tulare_2032</t>
  </si>
  <si>
    <t>Tulare_2033</t>
  </si>
  <si>
    <t>Tulare_2034</t>
  </si>
  <si>
    <t>Tulare_2035</t>
  </si>
  <si>
    <t>Tulare_2036</t>
  </si>
  <si>
    <t>Tulare_2037</t>
  </si>
  <si>
    <t>Tulare_2038</t>
  </si>
  <si>
    <t>Tulare_2039</t>
  </si>
  <si>
    <t>Tulare_2040</t>
  </si>
  <si>
    <t>Tulare_2041</t>
  </si>
  <si>
    <t>Tulare_2042</t>
  </si>
  <si>
    <t>Tulare_2043</t>
  </si>
  <si>
    <t>Tulare_2044</t>
  </si>
  <si>
    <t>Tulare_2045</t>
  </si>
  <si>
    <t>Tulare_2046</t>
  </si>
  <si>
    <t>Tulare_2047</t>
  </si>
  <si>
    <t>Tulare_2048</t>
  </si>
  <si>
    <t>Tulare_2049</t>
  </si>
  <si>
    <t>Tulare_2050</t>
  </si>
  <si>
    <t>Tuolumne_2017</t>
  </si>
  <si>
    <t>Tuolumne_2018</t>
  </si>
  <si>
    <t>Tuolumne_2019</t>
  </si>
  <si>
    <t>Tuolumne_2020</t>
  </si>
  <si>
    <t>Tuolumne_2021</t>
  </si>
  <si>
    <t>Tuolumne_2022</t>
  </si>
  <si>
    <t>Tuolumne_2023</t>
  </si>
  <si>
    <t>Tuolumne_2024</t>
  </si>
  <si>
    <t>Tuolumne_2025</t>
  </si>
  <si>
    <t>Tuolumne_2026</t>
  </si>
  <si>
    <t>Tuolumne_2027</t>
  </si>
  <si>
    <t>Tuolumne_2028</t>
  </si>
  <si>
    <t>Tuolumne_2029</t>
  </si>
  <si>
    <t>Tuolumne_2030</t>
  </si>
  <si>
    <t>Tuolumne_2031</t>
  </si>
  <si>
    <t>Tuolumne_2032</t>
  </si>
  <si>
    <t>Tuolumne_2033</t>
  </si>
  <si>
    <t>Tuolumne_2034</t>
  </si>
  <si>
    <t>Tuolumne_2035</t>
  </si>
  <si>
    <t>Tuolumne_2036</t>
  </si>
  <si>
    <t>Tuolumne_2037</t>
  </si>
  <si>
    <t>Tuolumne_2038</t>
  </si>
  <si>
    <t>Tuolumne_2039</t>
  </si>
  <si>
    <t>Tuolumne_2040</t>
  </si>
  <si>
    <t>Tuolumne_2041</t>
  </si>
  <si>
    <t>Tuolumne_2042</t>
  </si>
  <si>
    <t>Tuolumne_2043</t>
  </si>
  <si>
    <t>Tuolumne_2044</t>
  </si>
  <si>
    <t>Tuolumne_2045</t>
  </si>
  <si>
    <t>Tuolumne_2046</t>
  </si>
  <si>
    <t>Tuolumne_2047</t>
  </si>
  <si>
    <t>Tuolumne_2048</t>
  </si>
  <si>
    <t>Tuolumne_2049</t>
  </si>
  <si>
    <t>Tuolumne_2050</t>
  </si>
  <si>
    <t>Ventura_2017</t>
  </si>
  <si>
    <t>Ventura_2018</t>
  </si>
  <si>
    <t>Ventura_2019</t>
  </si>
  <si>
    <t>Ventura_2020</t>
  </si>
  <si>
    <t>Ventura_2021</t>
  </si>
  <si>
    <t>Ventura_2022</t>
  </si>
  <si>
    <t>Ventura_2023</t>
  </si>
  <si>
    <t>Ventura_2024</t>
  </si>
  <si>
    <t>Ventura_2025</t>
  </si>
  <si>
    <t>Ventura_2026</t>
  </si>
  <si>
    <t>Ventura_2027</t>
  </si>
  <si>
    <t>Ventura_2028</t>
  </si>
  <si>
    <t>Ventura_2029</t>
  </si>
  <si>
    <t>Ventura_2030</t>
  </si>
  <si>
    <t>Ventura_2031</t>
  </si>
  <si>
    <t>Ventura_2032</t>
  </si>
  <si>
    <t>Ventura_2033</t>
  </si>
  <si>
    <t>Ventura_2034</t>
  </si>
  <si>
    <t>Ventura_2035</t>
  </si>
  <si>
    <t>Ventura_2036</t>
  </si>
  <si>
    <t>Ventura_2037</t>
  </si>
  <si>
    <t>Ventura_2038</t>
  </si>
  <si>
    <t>Ventura_2039</t>
  </si>
  <si>
    <t>Ventura_2040</t>
  </si>
  <si>
    <t>Ventura_2041</t>
  </si>
  <si>
    <t>Ventura_2042</t>
  </si>
  <si>
    <t>Ventura_2043</t>
  </si>
  <si>
    <t>Ventura_2044</t>
  </si>
  <si>
    <t>Ventura_2045</t>
  </si>
  <si>
    <t>Ventura_2046</t>
  </si>
  <si>
    <t>Ventura_2047</t>
  </si>
  <si>
    <t>Ventura_2048</t>
  </si>
  <si>
    <t>Ventura_2049</t>
  </si>
  <si>
    <t>Ventura_2050</t>
  </si>
  <si>
    <t>Yolo_2017</t>
  </si>
  <si>
    <t>Yolo_2018</t>
  </si>
  <si>
    <t>Yolo_2019</t>
  </si>
  <si>
    <t>Yolo_2020</t>
  </si>
  <si>
    <t>Yolo_2021</t>
  </si>
  <si>
    <t>Yolo_2022</t>
  </si>
  <si>
    <t>Yolo_2023</t>
  </si>
  <si>
    <t>Yolo_2024</t>
  </si>
  <si>
    <t>Yolo_2025</t>
  </si>
  <si>
    <t>Yolo_2026</t>
  </si>
  <si>
    <t>Yolo_2027</t>
  </si>
  <si>
    <t>Yolo_2028</t>
  </si>
  <si>
    <t>Yolo_2029</t>
  </si>
  <si>
    <t>Yolo_2030</t>
  </si>
  <si>
    <t>Yolo_2031</t>
  </si>
  <si>
    <t>Yolo_2032</t>
  </si>
  <si>
    <t>Yolo_2033</t>
  </si>
  <si>
    <t>Yolo_2034</t>
  </si>
  <si>
    <t>Yolo_2035</t>
  </si>
  <si>
    <t>Yolo_2036</t>
  </si>
  <si>
    <t>Yolo_2037</t>
  </si>
  <si>
    <t>Yolo_2038</t>
  </si>
  <si>
    <t>Yolo_2039</t>
  </si>
  <si>
    <t>Yolo_2040</t>
  </si>
  <si>
    <t>Yolo_2041</t>
  </si>
  <si>
    <t>Yolo_2042</t>
  </si>
  <si>
    <t>Yolo_2043</t>
  </si>
  <si>
    <t>Yolo_2044</t>
  </si>
  <si>
    <t>Yolo_2045</t>
  </si>
  <si>
    <t>Yolo_2046</t>
  </si>
  <si>
    <t>Yolo_2047</t>
  </si>
  <si>
    <t>Yolo_2048</t>
  </si>
  <si>
    <t>Yolo_2049</t>
  </si>
  <si>
    <t>Yolo_2050</t>
  </si>
  <si>
    <t>Yuba_2017</t>
  </si>
  <si>
    <t>Yuba_2018</t>
  </si>
  <si>
    <t>Yuba_2019</t>
  </si>
  <si>
    <t>Yuba_2020</t>
  </si>
  <si>
    <t>Yuba_2021</t>
  </si>
  <si>
    <t>Yuba_2022</t>
  </si>
  <si>
    <t>Yuba_2023</t>
  </si>
  <si>
    <t>Yuba_2024</t>
  </si>
  <si>
    <t>Yuba_2025</t>
  </si>
  <si>
    <t>Yuba_2026</t>
  </si>
  <si>
    <t>Yuba_2027</t>
  </si>
  <si>
    <t>Yuba_2028</t>
  </si>
  <si>
    <t>Yuba_2029</t>
  </si>
  <si>
    <t>Yuba_2030</t>
  </si>
  <si>
    <t>Yuba_2031</t>
  </si>
  <si>
    <t>Yuba_2032</t>
  </si>
  <si>
    <t>Yuba_2033</t>
  </si>
  <si>
    <t>Yuba_2034</t>
  </si>
  <si>
    <t>Yuba_2035</t>
  </si>
  <si>
    <t>Yuba_2036</t>
  </si>
  <si>
    <t>Yuba_2037</t>
  </si>
  <si>
    <t>Yuba_2038</t>
  </si>
  <si>
    <t>Yuba_2039</t>
  </si>
  <si>
    <t>Yuba_2040</t>
  </si>
  <si>
    <t>Yuba_2041</t>
  </si>
  <si>
    <t>Yuba_2042</t>
  </si>
  <si>
    <t>Yuba_2043</t>
  </si>
  <si>
    <t>Yuba_2044</t>
  </si>
  <si>
    <t>Yuba_2045</t>
  </si>
  <si>
    <t>Yuba_2046</t>
  </si>
  <si>
    <t>Yuba_2047</t>
  </si>
  <si>
    <t>Yuba_2048</t>
  </si>
  <si>
    <t>Yuba_2049</t>
  </si>
  <si>
    <t>Yuba_2050</t>
  </si>
  <si>
    <t>2017_1974</t>
  </si>
  <si>
    <t>2017_1975</t>
  </si>
  <si>
    <t>2017_1976</t>
  </si>
  <si>
    <t>2017_1977</t>
  </si>
  <si>
    <t>2017_1978</t>
  </si>
  <si>
    <t>2017_1979</t>
  </si>
  <si>
    <t>2017_1980</t>
  </si>
  <si>
    <t>2017_1981</t>
  </si>
  <si>
    <t>2017_1982</t>
  </si>
  <si>
    <t>2017_1983</t>
  </si>
  <si>
    <t>2017_1984</t>
  </si>
  <si>
    <t>2017_1985</t>
  </si>
  <si>
    <t>2017_1986</t>
  </si>
  <si>
    <t>2017_1987</t>
  </si>
  <si>
    <t>2017_1988</t>
  </si>
  <si>
    <t>2017_1989</t>
  </si>
  <si>
    <t>2017_1990</t>
  </si>
  <si>
    <t>2017_1991</t>
  </si>
  <si>
    <t>2017_1992</t>
  </si>
  <si>
    <t>2017_1993</t>
  </si>
  <si>
    <t>2017_1994</t>
  </si>
  <si>
    <t>2017_1995</t>
  </si>
  <si>
    <t>2017_1996</t>
  </si>
  <si>
    <t>2017_1997</t>
  </si>
  <si>
    <t>2017_1998</t>
  </si>
  <si>
    <t>2017_1999</t>
  </si>
  <si>
    <t>2017_2000</t>
  </si>
  <si>
    <t>2017_2001</t>
  </si>
  <si>
    <t>2017_2002</t>
  </si>
  <si>
    <t>2017_2003</t>
  </si>
  <si>
    <t>2017_2004</t>
  </si>
  <si>
    <t>2017_2005</t>
  </si>
  <si>
    <t>2017_2006</t>
  </si>
  <si>
    <t>2017_2007</t>
  </si>
  <si>
    <t>2017_2008</t>
  </si>
  <si>
    <t>2017_2009</t>
  </si>
  <si>
    <t>2017_2010</t>
  </si>
  <si>
    <t>2017_2011</t>
  </si>
  <si>
    <t>2017_2012</t>
  </si>
  <si>
    <t>2017_2013</t>
  </si>
  <si>
    <t>2017_2014</t>
  </si>
  <si>
    <t>2017_2015</t>
  </si>
  <si>
    <t>2017_2016</t>
  </si>
  <si>
    <t>2017_2017</t>
  </si>
  <si>
    <t>2018_1974</t>
  </si>
  <si>
    <t>2018_1975</t>
  </si>
  <si>
    <t>2018_1976</t>
  </si>
  <si>
    <t>2018_1977</t>
  </si>
  <si>
    <t>2018_1978</t>
  </si>
  <si>
    <t>2018_1979</t>
  </si>
  <si>
    <t>2018_1980</t>
  </si>
  <si>
    <t>2018_1981</t>
  </si>
  <si>
    <t>2018_1982</t>
  </si>
  <si>
    <t>2018_1983</t>
  </si>
  <si>
    <t>2018_1984</t>
  </si>
  <si>
    <t>2018_1985</t>
  </si>
  <si>
    <t>2018_1986</t>
  </si>
  <si>
    <t>2018_1987</t>
  </si>
  <si>
    <t>2018_1988</t>
  </si>
  <si>
    <t>2018_1989</t>
  </si>
  <si>
    <t>2018_1990</t>
  </si>
  <si>
    <t>2018_1991</t>
  </si>
  <si>
    <t>2018_1992</t>
  </si>
  <si>
    <t>2018_1993</t>
  </si>
  <si>
    <t>2018_1994</t>
  </si>
  <si>
    <t>2018_1995</t>
  </si>
  <si>
    <t>2018_1996</t>
  </si>
  <si>
    <t>2018_1997</t>
  </si>
  <si>
    <t>2018_1998</t>
  </si>
  <si>
    <t>2018_1999</t>
  </si>
  <si>
    <t>2018_2000</t>
  </si>
  <si>
    <t>2018_2001</t>
  </si>
  <si>
    <t>2018_2002</t>
  </si>
  <si>
    <t>2018_2003</t>
  </si>
  <si>
    <t>2018_2004</t>
  </si>
  <si>
    <t>2018_2005</t>
  </si>
  <si>
    <t>2018_2006</t>
  </si>
  <si>
    <t>2018_2007</t>
  </si>
  <si>
    <t>2018_2008</t>
  </si>
  <si>
    <t>2018_2009</t>
  </si>
  <si>
    <t>2018_2010</t>
  </si>
  <si>
    <t>2018_2011</t>
  </si>
  <si>
    <t>2018_2012</t>
  </si>
  <si>
    <t>2018_2013</t>
  </si>
  <si>
    <t>2018_2014</t>
  </si>
  <si>
    <t>2018_2015</t>
  </si>
  <si>
    <t>2018_2016</t>
  </si>
  <si>
    <t>2018_2017</t>
  </si>
  <si>
    <t>2018_2018</t>
  </si>
  <si>
    <t>2019_1975</t>
  </si>
  <si>
    <t>2019_1976</t>
  </si>
  <si>
    <t>2019_1977</t>
  </si>
  <si>
    <t>2019_1978</t>
  </si>
  <si>
    <t>2019_1979</t>
  </si>
  <si>
    <t>2019_1980</t>
  </si>
  <si>
    <t>2019_1981</t>
  </si>
  <si>
    <t>2019_1982</t>
  </si>
  <si>
    <t>2019_1983</t>
  </si>
  <si>
    <t>2019_1984</t>
  </si>
  <si>
    <t>2019_1985</t>
  </si>
  <si>
    <t>2019_1986</t>
  </si>
  <si>
    <t>2019_1987</t>
  </si>
  <si>
    <t>2019_1988</t>
  </si>
  <si>
    <t>2019_1989</t>
  </si>
  <si>
    <t>2019_1990</t>
  </si>
  <si>
    <t>2019_1991</t>
  </si>
  <si>
    <t>2019_1992</t>
  </si>
  <si>
    <t>2019_1993</t>
  </si>
  <si>
    <t>2019_1994</t>
  </si>
  <si>
    <t>2019_1995</t>
  </si>
  <si>
    <t>2019_1996</t>
  </si>
  <si>
    <t>2019_1997</t>
  </si>
  <si>
    <t>2019_1998</t>
  </si>
  <si>
    <t>2019_1999</t>
  </si>
  <si>
    <t>2019_2000</t>
  </si>
  <si>
    <t>2019_2001</t>
  </si>
  <si>
    <t>2019_2002</t>
  </si>
  <si>
    <t>2019_2003</t>
  </si>
  <si>
    <t>2019_2004</t>
  </si>
  <si>
    <t>2019_2005</t>
  </si>
  <si>
    <t>2019_2006</t>
  </si>
  <si>
    <t>2019_2007</t>
  </si>
  <si>
    <t>2019_2008</t>
  </si>
  <si>
    <t>2019_2009</t>
  </si>
  <si>
    <t>2019_2010</t>
  </si>
  <si>
    <t>2019_2011</t>
  </si>
  <si>
    <t>2019_2012</t>
  </si>
  <si>
    <t>2019_2013</t>
  </si>
  <si>
    <t>2019_2014</t>
  </si>
  <si>
    <t>2019_2015</t>
  </si>
  <si>
    <t>2019_2016</t>
  </si>
  <si>
    <t>2019_2017</t>
  </si>
  <si>
    <t>2019_2018</t>
  </si>
  <si>
    <t>2019_2019</t>
  </si>
  <si>
    <t>2020_1976</t>
  </si>
  <si>
    <t>2020_1977</t>
  </si>
  <si>
    <t>2020_1978</t>
  </si>
  <si>
    <t>2020_1979</t>
  </si>
  <si>
    <t>2020_1980</t>
  </si>
  <si>
    <t>2020_1981</t>
  </si>
  <si>
    <t>2020_1982</t>
  </si>
  <si>
    <t>2020_1983</t>
  </si>
  <si>
    <t>2020_1984</t>
  </si>
  <si>
    <t>2020_1985</t>
  </si>
  <si>
    <t>2020_1986</t>
  </si>
  <si>
    <t>2020_1987</t>
  </si>
  <si>
    <t>2020_1988</t>
  </si>
  <si>
    <t>2020_1989</t>
  </si>
  <si>
    <t>2020_1990</t>
  </si>
  <si>
    <t>2020_1991</t>
  </si>
  <si>
    <t>2020_1992</t>
  </si>
  <si>
    <t>2020_1993</t>
  </si>
  <si>
    <t>2020_1994</t>
  </si>
  <si>
    <t>2020_1995</t>
  </si>
  <si>
    <t>2020_1996</t>
  </si>
  <si>
    <t>2020_1997</t>
  </si>
  <si>
    <t>2020_1998</t>
  </si>
  <si>
    <t>2020_1999</t>
  </si>
  <si>
    <t>2020_2000</t>
  </si>
  <si>
    <t>2020_2001</t>
  </si>
  <si>
    <t>2020_2002</t>
  </si>
  <si>
    <t>2020_2003</t>
  </si>
  <si>
    <t>2020_2004</t>
  </si>
  <si>
    <t>2020_2005</t>
  </si>
  <si>
    <t>2020_2006</t>
  </si>
  <si>
    <t>2020_2007</t>
  </si>
  <si>
    <t>2020_2008</t>
  </si>
  <si>
    <t>2020_2009</t>
  </si>
  <si>
    <t>2020_2010</t>
  </si>
  <si>
    <t>2020_2011</t>
  </si>
  <si>
    <t>2020_2012</t>
  </si>
  <si>
    <t>2020_2013</t>
  </si>
  <si>
    <t>2020_2014</t>
  </si>
  <si>
    <t>2020_2015</t>
  </si>
  <si>
    <t>2020_2016</t>
  </si>
  <si>
    <t>2020_2017</t>
  </si>
  <si>
    <t>2020_2018</t>
  </si>
  <si>
    <t>2020_2019</t>
  </si>
  <si>
    <t>2020_2020</t>
  </si>
  <si>
    <t>2021_1977</t>
  </si>
  <si>
    <t>2021_1978</t>
  </si>
  <si>
    <t>2021_1979</t>
  </si>
  <si>
    <t>2021_1980</t>
  </si>
  <si>
    <t>2021_1981</t>
  </si>
  <si>
    <t>2021_1982</t>
  </si>
  <si>
    <t>2021_1983</t>
  </si>
  <si>
    <t>2021_1984</t>
  </si>
  <si>
    <t>2021_1985</t>
  </si>
  <si>
    <t>2021_1986</t>
  </si>
  <si>
    <t>2021_1987</t>
  </si>
  <si>
    <t>2021_1988</t>
  </si>
  <si>
    <t>2021_1989</t>
  </si>
  <si>
    <t>2021_1990</t>
  </si>
  <si>
    <t>2021_1991</t>
  </si>
  <si>
    <t>2021_1992</t>
  </si>
  <si>
    <t>2021_1993</t>
  </si>
  <si>
    <t>2021_1994</t>
  </si>
  <si>
    <t>2021_1995</t>
  </si>
  <si>
    <t>2021_1996</t>
  </si>
  <si>
    <t>2021_1997</t>
  </si>
  <si>
    <t>2021_1998</t>
  </si>
  <si>
    <t>2021_1999</t>
  </si>
  <si>
    <t>2021_2000</t>
  </si>
  <si>
    <t>2021_2001</t>
  </si>
  <si>
    <t>2021_2002</t>
  </si>
  <si>
    <t>2021_2003</t>
  </si>
  <si>
    <t>2021_2004</t>
  </si>
  <si>
    <t>2021_2005</t>
  </si>
  <si>
    <t>2021_2006</t>
  </si>
  <si>
    <t>2021_2007</t>
  </si>
  <si>
    <t>2021_2008</t>
  </si>
  <si>
    <t>2021_2009</t>
  </si>
  <si>
    <t>2021_2010</t>
  </si>
  <si>
    <t>2021_2011</t>
  </si>
  <si>
    <t>2021_2012</t>
  </si>
  <si>
    <t>2021_2013</t>
  </si>
  <si>
    <t>2021_2014</t>
  </si>
  <si>
    <t>2021_2015</t>
  </si>
  <si>
    <t>2021_2016</t>
  </si>
  <si>
    <t>2021_2017</t>
  </si>
  <si>
    <t>2021_2018</t>
  </si>
  <si>
    <t>2021_2019</t>
  </si>
  <si>
    <t>2021_2020</t>
  </si>
  <si>
    <t>2021_2021</t>
  </si>
  <si>
    <t>2022_1978</t>
  </si>
  <si>
    <t>2022_1979</t>
  </si>
  <si>
    <t>2022_1980</t>
  </si>
  <si>
    <t>2022_1981</t>
  </si>
  <si>
    <t>2022_1982</t>
  </si>
  <si>
    <t>2022_1983</t>
  </si>
  <si>
    <t>2022_1984</t>
  </si>
  <si>
    <t>2022_1985</t>
  </si>
  <si>
    <t>2022_1986</t>
  </si>
  <si>
    <t>2022_1987</t>
  </si>
  <si>
    <t>2022_1988</t>
  </si>
  <si>
    <t>2022_1989</t>
  </si>
  <si>
    <t>2022_1990</t>
  </si>
  <si>
    <t>2022_1991</t>
  </si>
  <si>
    <t>2022_1992</t>
  </si>
  <si>
    <t>2022_1993</t>
  </si>
  <si>
    <t>2022_1994</t>
  </si>
  <si>
    <t>2022_1995</t>
  </si>
  <si>
    <t>2022_1996</t>
  </si>
  <si>
    <t>2022_1997</t>
  </si>
  <si>
    <t>2022_1998</t>
  </si>
  <si>
    <t>2022_1999</t>
  </si>
  <si>
    <t>2022_2000</t>
  </si>
  <si>
    <t>2022_2001</t>
  </si>
  <si>
    <t>2022_2002</t>
  </si>
  <si>
    <t>2022_2003</t>
  </si>
  <si>
    <t>2022_2004</t>
  </si>
  <si>
    <t>2022_2005</t>
  </si>
  <si>
    <t>2022_2006</t>
  </si>
  <si>
    <t>2022_2007</t>
  </si>
  <si>
    <t>2022_2008</t>
  </si>
  <si>
    <t>2022_2009</t>
  </si>
  <si>
    <t>2022_2010</t>
  </si>
  <si>
    <t>2022_2011</t>
  </si>
  <si>
    <t>2022_2012</t>
  </si>
  <si>
    <t>2022_2013</t>
  </si>
  <si>
    <t>2022_2014</t>
  </si>
  <si>
    <t>2022_2015</t>
  </si>
  <si>
    <t>2022_2016</t>
  </si>
  <si>
    <t>2022_2017</t>
  </si>
  <si>
    <t>2022_2018</t>
  </si>
  <si>
    <t>2022_2019</t>
  </si>
  <si>
    <t>2022_2020</t>
  </si>
  <si>
    <t>2022_2021</t>
  </si>
  <si>
    <t>2022_2022</t>
  </si>
  <si>
    <t>2023_1979</t>
  </si>
  <si>
    <t>2023_1980</t>
  </si>
  <si>
    <t>2023_1981</t>
  </si>
  <si>
    <t>2023_1982</t>
  </si>
  <si>
    <t>2023_1983</t>
  </si>
  <si>
    <t>2023_1984</t>
  </si>
  <si>
    <t>2023_1985</t>
  </si>
  <si>
    <t>2023_1986</t>
  </si>
  <si>
    <t>2023_1987</t>
  </si>
  <si>
    <t>2023_1988</t>
  </si>
  <si>
    <t>2023_1989</t>
  </si>
  <si>
    <t>2023_1990</t>
  </si>
  <si>
    <t>2023_1991</t>
  </si>
  <si>
    <t>2023_1992</t>
  </si>
  <si>
    <t>2023_1993</t>
  </si>
  <si>
    <t>2023_1994</t>
  </si>
  <si>
    <t>2023_1995</t>
  </si>
  <si>
    <t>2023_1996</t>
  </si>
  <si>
    <t>2023_1997</t>
  </si>
  <si>
    <t>2023_1998</t>
  </si>
  <si>
    <t>2023_1999</t>
  </si>
  <si>
    <t>2023_2000</t>
  </si>
  <si>
    <t>2023_2001</t>
  </si>
  <si>
    <t>2023_2002</t>
  </si>
  <si>
    <t>2023_2003</t>
  </si>
  <si>
    <t>2023_2004</t>
  </si>
  <si>
    <t>2023_2005</t>
  </si>
  <si>
    <t>2023_2006</t>
  </si>
  <si>
    <t>2023_2007</t>
  </si>
  <si>
    <t>2023_2008</t>
  </si>
  <si>
    <t>2023_2009</t>
  </si>
  <si>
    <t>2023_2010</t>
  </si>
  <si>
    <t>2023_2011</t>
  </si>
  <si>
    <t>2023_2012</t>
  </si>
  <si>
    <t>2023_2013</t>
  </si>
  <si>
    <t>2023_2014</t>
  </si>
  <si>
    <t>2023_2015</t>
  </si>
  <si>
    <t>2023_2016</t>
  </si>
  <si>
    <t>2023_2017</t>
  </si>
  <si>
    <t>2023_2018</t>
  </si>
  <si>
    <t>2023_2019</t>
  </si>
  <si>
    <t>2023_2020</t>
  </si>
  <si>
    <t>2023_2021</t>
  </si>
  <si>
    <t>2023_2022</t>
  </si>
  <si>
    <t>2023_2023</t>
  </si>
  <si>
    <t>2024_1980</t>
  </si>
  <si>
    <t>2024_1981</t>
  </si>
  <si>
    <t>2024_1982</t>
  </si>
  <si>
    <t>2024_1983</t>
  </si>
  <si>
    <t>2024_1984</t>
  </si>
  <si>
    <t>2024_1985</t>
  </si>
  <si>
    <t>2024_1986</t>
  </si>
  <si>
    <t>2024_1987</t>
  </si>
  <si>
    <t>2024_1988</t>
  </si>
  <si>
    <t>2024_1989</t>
  </si>
  <si>
    <t>2024_1990</t>
  </si>
  <si>
    <t>2024_1991</t>
  </si>
  <si>
    <t>2024_1992</t>
  </si>
  <si>
    <t>2024_1993</t>
  </si>
  <si>
    <t>2024_1994</t>
  </si>
  <si>
    <t>2024_1995</t>
  </si>
  <si>
    <t>2024_1996</t>
  </si>
  <si>
    <t>2024_1997</t>
  </si>
  <si>
    <t>2024_1998</t>
  </si>
  <si>
    <t>2024_1999</t>
  </si>
  <si>
    <t>2024_2000</t>
  </si>
  <si>
    <t>2024_2001</t>
  </si>
  <si>
    <t>2024_2002</t>
  </si>
  <si>
    <t>2024_2003</t>
  </si>
  <si>
    <t>2024_2004</t>
  </si>
  <si>
    <t>2024_2005</t>
  </si>
  <si>
    <t>2024_2006</t>
  </si>
  <si>
    <t>2024_2007</t>
  </si>
  <si>
    <t>2024_2008</t>
  </si>
  <si>
    <t>2024_2009</t>
  </si>
  <si>
    <t>2024_2010</t>
  </si>
  <si>
    <t>2024_2011</t>
  </si>
  <si>
    <t>2024_2012</t>
  </si>
  <si>
    <t>2024_2013</t>
  </si>
  <si>
    <t>2024_2014</t>
  </si>
  <si>
    <t>2024_2015</t>
  </si>
  <si>
    <t>2024_2016</t>
  </si>
  <si>
    <t>2024_2017</t>
  </si>
  <si>
    <t>2024_2018</t>
  </si>
  <si>
    <t>2024_2019</t>
  </si>
  <si>
    <t>2024_2020</t>
  </si>
  <si>
    <t>2024_2021</t>
  </si>
  <si>
    <t>2024_2022</t>
  </si>
  <si>
    <t>2024_2023</t>
  </si>
  <si>
    <t>2024_2024</t>
  </si>
  <si>
    <t>2025_1981</t>
  </si>
  <si>
    <t>2025_1982</t>
  </si>
  <si>
    <t>2025_1983</t>
  </si>
  <si>
    <t>2025_1984</t>
  </si>
  <si>
    <t>2025_1985</t>
  </si>
  <si>
    <t>2025_1986</t>
  </si>
  <si>
    <t>2025_1987</t>
  </si>
  <si>
    <t>2025_1988</t>
  </si>
  <si>
    <t>2025_1989</t>
  </si>
  <si>
    <t>2025_1990</t>
  </si>
  <si>
    <t>2025_1991</t>
  </si>
  <si>
    <t>2025_1992</t>
  </si>
  <si>
    <t>2025_1993</t>
  </si>
  <si>
    <t>2025_1994</t>
  </si>
  <si>
    <t>2025_1995</t>
  </si>
  <si>
    <t>2025_1996</t>
  </si>
  <si>
    <t>2025_1997</t>
  </si>
  <si>
    <t>2025_1998</t>
  </si>
  <si>
    <t>2025_1999</t>
  </si>
  <si>
    <t>2025_2000</t>
  </si>
  <si>
    <t>2025_2001</t>
  </si>
  <si>
    <t>2025_2002</t>
  </si>
  <si>
    <t>2025_2003</t>
  </si>
  <si>
    <t>2025_2004</t>
  </si>
  <si>
    <t>2025_2005</t>
  </si>
  <si>
    <t>2025_2006</t>
  </si>
  <si>
    <t>2025_2007</t>
  </si>
  <si>
    <t>2025_2008</t>
  </si>
  <si>
    <t>2025_2009</t>
  </si>
  <si>
    <t>2025_2010</t>
  </si>
  <si>
    <t>2025_2011</t>
  </si>
  <si>
    <t>2025_2012</t>
  </si>
  <si>
    <t>2025_2013</t>
  </si>
  <si>
    <t>2025_2014</t>
  </si>
  <si>
    <t>2025_2015</t>
  </si>
  <si>
    <t>2025_2016</t>
  </si>
  <si>
    <t>2025_2017</t>
  </si>
  <si>
    <t>2025_2018</t>
  </si>
  <si>
    <t>2025_2019</t>
  </si>
  <si>
    <t>2025_2020</t>
  </si>
  <si>
    <t>2025_2021</t>
  </si>
  <si>
    <t>2025_2022</t>
  </si>
  <si>
    <t>2025_2023</t>
  </si>
  <si>
    <t>2025_2024</t>
  </si>
  <si>
    <t>2025_2025</t>
  </si>
  <si>
    <t>2026_1982</t>
  </si>
  <si>
    <t>2026_1983</t>
  </si>
  <si>
    <t>2026_1984</t>
  </si>
  <si>
    <t>2026_1985</t>
  </si>
  <si>
    <t>2026_1986</t>
  </si>
  <si>
    <t>2026_1987</t>
  </si>
  <si>
    <t>2026_1988</t>
  </si>
  <si>
    <t>2026_1989</t>
  </si>
  <si>
    <t>2026_1990</t>
  </si>
  <si>
    <t>2026_1991</t>
  </si>
  <si>
    <t>2026_1992</t>
  </si>
  <si>
    <t>2026_1993</t>
  </si>
  <si>
    <t>2026_1994</t>
  </si>
  <si>
    <t>2026_1995</t>
  </si>
  <si>
    <t>2026_1996</t>
  </si>
  <si>
    <t>2026_1997</t>
  </si>
  <si>
    <t>2026_1998</t>
  </si>
  <si>
    <t>2026_1999</t>
  </si>
  <si>
    <t>2026_2000</t>
  </si>
  <si>
    <t>2026_2001</t>
  </si>
  <si>
    <t>2026_2002</t>
  </si>
  <si>
    <t>2026_2003</t>
  </si>
  <si>
    <t>2026_2004</t>
  </si>
  <si>
    <t>2026_2005</t>
  </si>
  <si>
    <t>2026_2006</t>
  </si>
  <si>
    <t>2026_2007</t>
  </si>
  <si>
    <t>2026_2008</t>
  </si>
  <si>
    <t>2026_2009</t>
  </si>
  <si>
    <t>2026_2010</t>
  </si>
  <si>
    <t>2026_2011</t>
  </si>
  <si>
    <t>2026_2012</t>
  </si>
  <si>
    <t>2026_2013</t>
  </si>
  <si>
    <t>2026_2014</t>
  </si>
  <si>
    <t>2026_2015</t>
  </si>
  <si>
    <t>2026_2016</t>
  </si>
  <si>
    <t>2026_2017</t>
  </si>
  <si>
    <t>2026_2018</t>
  </si>
  <si>
    <t>2026_2019</t>
  </si>
  <si>
    <t>2026_2020</t>
  </si>
  <si>
    <t>2026_2021</t>
  </si>
  <si>
    <t>2026_2022</t>
  </si>
  <si>
    <t>2026_2023</t>
  </si>
  <si>
    <t>2026_2024</t>
  </si>
  <si>
    <t>2026_2025</t>
  </si>
  <si>
    <t>2026_2026</t>
  </si>
  <si>
    <t>2027_1983</t>
  </si>
  <si>
    <t>2027_1984</t>
  </si>
  <si>
    <t>2027_1985</t>
  </si>
  <si>
    <t>2027_1986</t>
  </si>
  <si>
    <t>2027_1987</t>
  </si>
  <si>
    <t>2027_1988</t>
  </si>
  <si>
    <t>2027_1989</t>
  </si>
  <si>
    <t>2027_1990</t>
  </si>
  <si>
    <t>2027_1991</t>
  </si>
  <si>
    <t>2027_1992</t>
  </si>
  <si>
    <t>2027_1993</t>
  </si>
  <si>
    <t>2027_1994</t>
  </si>
  <si>
    <t>2027_1995</t>
  </si>
  <si>
    <t>2027_1996</t>
  </si>
  <si>
    <t>2027_1997</t>
  </si>
  <si>
    <t>2027_1998</t>
  </si>
  <si>
    <t>2027_1999</t>
  </si>
  <si>
    <t>2027_2000</t>
  </si>
  <si>
    <t>2027_2001</t>
  </si>
  <si>
    <t>2027_2002</t>
  </si>
  <si>
    <t>2027_2003</t>
  </si>
  <si>
    <t>2027_2004</t>
  </si>
  <si>
    <t>2027_2005</t>
  </si>
  <si>
    <t>2027_2006</t>
  </si>
  <si>
    <t>2027_2007</t>
  </si>
  <si>
    <t>2027_2008</t>
  </si>
  <si>
    <t>2027_2009</t>
  </si>
  <si>
    <t>2027_2010</t>
  </si>
  <si>
    <t>2027_2011</t>
  </si>
  <si>
    <t>2027_2012</t>
  </si>
  <si>
    <t>2027_2013</t>
  </si>
  <si>
    <t>2027_2014</t>
  </si>
  <si>
    <t>2027_2015</t>
  </si>
  <si>
    <t>2027_2016</t>
  </si>
  <si>
    <t>2027_2017</t>
  </si>
  <si>
    <t>2027_2018</t>
  </si>
  <si>
    <t>2027_2019</t>
  </si>
  <si>
    <t>2027_2020</t>
  </si>
  <si>
    <t>2027_2021</t>
  </si>
  <si>
    <t>2027_2022</t>
  </si>
  <si>
    <t>2027_2023</t>
  </si>
  <si>
    <t>2027_2024</t>
  </si>
  <si>
    <t>2027_2025</t>
  </si>
  <si>
    <t>2027_2026</t>
  </si>
  <si>
    <t>2027_2027</t>
  </si>
  <si>
    <t>2028_1984</t>
  </si>
  <si>
    <t>2028_1985</t>
  </si>
  <si>
    <t>2028_1986</t>
  </si>
  <si>
    <t>2028_1987</t>
  </si>
  <si>
    <t>2028_1988</t>
  </si>
  <si>
    <t>2028_1989</t>
  </si>
  <si>
    <t>2028_1990</t>
  </si>
  <si>
    <t>2028_1991</t>
  </si>
  <si>
    <t>2028_1992</t>
  </si>
  <si>
    <t>2028_1993</t>
  </si>
  <si>
    <t>2028_1994</t>
  </si>
  <si>
    <t>2028_1995</t>
  </si>
  <si>
    <t>2028_1996</t>
  </si>
  <si>
    <t>2028_1997</t>
  </si>
  <si>
    <t>2028_1998</t>
  </si>
  <si>
    <t>2028_1999</t>
  </si>
  <si>
    <t>2028_2000</t>
  </si>
  <si>
    <t>2028_2001</t>
  </si>
  <si>
    <t>2028_2002</t>
  </si>
  <si>
    <t>2028_2003</t>
  </si>
  <si>
    <t>2028_2004</t>
  </si>
  <si>
    <t>2028_2005</t>
  </si>
  <si>
    <t>2028_2006</t>
  </si>
  <si>
    <t>2028_2007</t>
  </si>
  <si>
    <t>2028_2008</t>
  </si>
  <si>
    <t>2028_2009</t>
  </si>
  <si>
    <t>2028_2010</t>
  </si>
  <si>
    <t>2028_2011</t>
  </si>
  <si>
    <t>2028_2012</t>
  </si>
  <si>
    <t>2028_2013</t>
  </si>
  <si>
    <t>2028_2014</t>
  </si>
  <si>
    <t>2028_2015</t>
  </si>
  <si>
    <t>2028_2016</t>
  </si>
  <si>
    <t>2028_2017</t>
  </si>
  <si>
    <t>2028_2018</t>
  </si>
  <si>
    <t>2028_2019</t>
  </si>
  <si>
    <t>2028_2020</t>
  </si>
  <si>
    <t>2028_2021</t>
  </si>
  <si>
    <t>2028_2022</t>
  </si>
  <si>
    <t>2028_2023</t>
  </si>
  <si>
    <t>2028_2024</t>
  </si>
  <si>
    <t>2028_2025</t>
  </si>
  <si>
    <t>2028_2026</t>
  </si>
  <si>
    <t>2028_2027</t>
  </si>
  <si>
    <t>2028_2028</t>
  </si>
  <si>
    <t>2029_1985</t>
  </si>
  <si>
    <t>2029_1986</t>
  </si>
  <si>
    <t>2029_1987</t>
  </si>
  <si>
    <t>2029_1988</t>
  </si>
  <si>
    <t>2029_1989</t>
  </si>
  <si>
    <t>2029_1990</t>
  </si>
  <si>
    <t>2029_1991</t>
  </si>
  <si>
    <t>2029_1992</t>
  </si>
  <si>
    <t>2029_1993</t>
  </si>
  <si>
    <t>2029_1994</t>
  </si>
  <si>
    <t>2029_1995</t>
  </si>
  <si>
    <t>2029_1996</t>
  </si>
  <si>
    <t>2029_1997</t>
  </si>
  <si>
    <t>2029_1998</t>
  </si>
  <si>
    <t>2029_1999</t>
  </si>
  <si>
    <t>2029_2000</t>
  </si>
  <si>
    <t>2029_2001</t>
  </si>
  <si>
    <t>2029_2002</t>
  </si>
  <si>
    <t>2029_2003</t>
  </si>
  <si>
    <t>2029_2004</t>
  </si>
  <si>
    <t>2029_2005</t>
  </si>
  <si>
    <t>2029_2006</t>
  </si>
  <si>
    <t>2029_2007</t>
  </si>
  <si>
    <t>2029_2008</t>
  </si>
  <si>
    <t>2029_2009</t>
  </si>
  <si>
    <t>2029_2010</t>
  </si>
  <si>
    <t>2029_2011</t>
  </si>
  <si>
    <t>2029_2012</t>
  </si>
  <si>
    <t>2029_2013</t>
  </si>
  <si>
    <t>2029_2014</t>
  </si>
  <si>
    <t>2029_2015</t>
  </si>
  <si>
    <t>2029_2016</t>
  </si>
  <si>
    <t>2029_2017</t>
  </si>
  <si>
    <t>2029_2018</t>
  </si>
  <si>
    <t>2029_2019</t>
  </si>
  <si>
    <t>2029_2020</t>
  </si>
  <si>
    <t>2029_2021</t>
  </si>
  <si>
    <t>2029_2022</t>
  </si>
  <si>
    <t>2029_2023</t>
  </si>
  <si>
    <t>2029_2024</t>
  </si>
  <si>
    <t>2029_2025</t>
  </si>
  <si>
    <t>2029_2026</t>
  </si>
  <si>
    <t>2029_2027</t>
  </si>
  <si>
    <t>2029_2028</t>
  </si>
  <si>
    <t>2029_2029</t>
  </si>
  <si>
    <t>2030_1986</t>
  </si>
  <si>
    <t>2030_1987</t>
  </si>
  <si>
    <t>2030_1988</t>
  </si>
  <si>
    <t>2030_1989</t>
  </si>
  <si>
    <t>2030_1990</t>
  </si>
  <si>
    <t>2030_1991</t>
  </si>
  <si>
    <t>2030_1992</t>
  </si>
  <si>
    <t>2030_1993</t>
  </si>
  <si>
    <t>2030_1994</t>
  </si>
  <si>
    <t>2030_1995</t>
  </si>
  <si>
    <t>2030_1996</t>
  </si>
  <si>
    <t>2030_1997</t>
  </si>
  <si>
    <t>2030_1998</t>
  </si>
  <si>
    <t>2030_1999</t>
  </si>
  <si>
    <t>2030_2000</t>
  </si>
  <si>
    <t>2030_2001</t>
  </si>
  <si>
    <t>2030_2002</t>
  </si>
  <si>
    <t>2030_2003</t>
  </si>
  <si>
    <t>2030_2004</t>
  </si>
  <si>
    <t>2030_2005</t>
  </si>
  <si>
    <t>2030_2006</t>
  </si>
  <si>
    <t>2030_2007</t>
  </si>
  <si>
    <t>2030_2008</t>
  </si>
  <si>
    <t>2030_2009</t>
  </si>
  <si>
    <t>2030_2010</t>
  </si>
  <si>
    <t>2030_2011</t>
  </si>
  <si>
    <t>2030_2012</t>
  </si>
  <si>
    <t>2030_2013</t>
  </si>
  <si>
    <t>2030_2014</t>
  </si>
  <si>
    <t>2030_2015</t>
  </si>
  <si>
    <t>2030_2016</t>
  </si>
  <si>
    <t>2030_2017</t>
  </si>
  <si>
    <t>2030_2018</t>
  </si>
  <si>
    <t>2030_2019</t>
  </si>
  <si>
    <t>2030_2020</t>
  </si>
  <si>
    <t>2030_2021</t>
  </si>
  <si>
    <t>2030_2022</t>
  </si>
  <si>
    <t>2030_2023</t>
  </si>
  <si>
    <t>2030_2024</t>
  </si>
  <si>
    <t>2030_2025</t>
  </si>
  <si>
    <t>2030_2026</t>
  </si>
  <si>
    <t>2030_2027</t>
  </si>
  <si>
    <t>2030_2028</t>
  </si>
  <si>
    <t>2030_2029</t>
  </si>
  <si>
    <t>2030_2030</t>
  </si>
  <si>
    <t>2031_1987</t>
  </si>
  <si>
    <t>2031_1988</t>
  </si>
  <si>
    <t>2031_1989</t>
  </si>
  <si>
    <t>2031_1990</t>
  </si>
  <si>
    <t>2031_1991</t>
  </si>
  <si>
    <t>2031_1992</t>
  </si>
  <si>
    <t>2031_1993</t>
  </si>
  <si>
    <t>2031_1994</t>
  </si>
  <si>
    <t>2031_1995</t>
  </si>
  <si>
    <t>2031_1996</t>
  </si>
  <si>
    <t>2031_1997</t>
  </si>
  <si>
    <t>2031_1998</t>
  </si>
  <si>
    <t>2031_1999</t>
  </si>
  <si>
    <t>2031_2000</t>
  </si>
  <si>
    <t>2031_2001</t>
  </si>
  <si>
    <t>2031_2002</t>
  </si>
  <si>
    <t>2031_2003</t>
  </si>
  <si>
    <t>2031_2004</t>
  </si>
  <si>
    <t>2031_2005</t>
  </si>
  <si>
    <t>2031_2006</t>
  </si>
  <si>
    <t>2031_2007</t>
  </si>
  <si>
    <t>2031_2008</t>
  </si>
  <si>
    <t>2031_2009</t>
  </si>
  <si>
    <t>2031_2010</t>
  </si>
  <si>
    <t>2031_2011</t>
  </si>
  <si>
    <t>2031_2012</t>
  </si>
  <si>
    <t>2031_2013</t>
  </si>
  <si>
    <t>2031_2014</t>
  </si>
  <si>
    <t>2031_2015</t>
  </si>
  <si>
    <t>2031_2016</t>
  </si>
  <si>
    <t>2031_2017</t>
  </si>
  <si>
    <t>2031_2018</t>
  </si>
  <si>
    <t>2031_2019</t>
  </si>
  <si>
    <t>2031_2020</t>
  </si>
  <si>
    <t>2031_2021</t>
  </si>
  <si>
    <t>2031_2022</t>
  </si>
  <si>
    <t>2031_2023</t>
  </si>
  <si>
    <t>2031_2024</t>
  </si>
  <si>
    <t>2031_2025</t>
  </si>
  <si>
    <t>2031_2026</t>
  </si>
  <si>
    <t>2031_2027</t>
  </si>
  <si>
    <t>2031_2028</t>
  </si>
  <si>
    <t>2031_2029</t>
  </si>
  <si>
    <t>2031_2030</t>
  </si>
  <si>
    <t>2031_2031</t>
  </si>
  <si>
    <t>2032_1988</t>
  </si>
  <si>
    <t>2032_1989</t>
  </si>
  <si>
    <t>2032_1990</t>
  </si>
  <si>
    <t>2032_1991</t>
  </si>
  <si>
    <t>2032_1992</t>
  </si>
  <si>
    <t>2032_1993</t>
  </si>
  <si>
    <t>2032_1994</t>
  </si>
  <si>
    <t>2032_1995</t>
  </si>
  <si>
    <t>2032_1996</t>
  </si>
  <si>
    <t>2032_1997</t>
  </si>
  <si>
    <t>2032_1998</t>
  </si>
  <si>
    <t>2032_1999</t>
  </si>
  <si>
    <t>2032_2000</t>
  </si>
  <si>
    <t>2032_2001</t>
  </si>
  <si>
    <t>2032_2002</t>
  </si>
  <si>
    <t>2032_2003</t>
  </si>
  <si>
    <t>2032_2004</t>
  </si>
  <si>
    <t>2032_2005</t>
  </si>
  <si>
    <t>2032_2006</t>
  </si>
  <si>
    <t>2032_2007</t>
  </si>
  <si>
    <t>2032_2008</t>
  </si>
  <si>
    <t>2032_2009</t>
  </si>
  <si>
    <t>2032_2010</t>
  </si>
  <si>
    <t>2032_2011</t>
  </si>
  <si>
    <t>2032_2012</t>
  </si>
  <si>
    <t>2032_2013</t>
  </si>
  <si>
    <t>2032_2014</t>
  </si>
  <si>
    <t>2032_2015</t>
  </si>
  <si>
    <t>2032_2016</t>
  </si>
  <si>
    <t>2032_2017</t>
  </si>
  <si>
    <t>2032_2018</t>
  </si>
  <si>
    <t>2032_2019</t>
  </si>
  <si>
    <t>2032_2020</t>
  </si>
  <si>
    <t>2032_2021</t>
  </si>
  <si>
    <t>2032_2022</t>
  </si>
  <si>
    <t>2032_2023</t>
  </si>
  <si>
    <t>2032_2024</t>
  </si>
  <si>
    <t>2032_2025</t>
  </si>
  <si>
    <t>2032_2026</t>
  </si>
  <si>
    <t>2032_2027</t>
  </si>
  <si>
    <t>2032_2028</t>
  </si>
  <si>
    <t>2032_2029</t>
  </si>
  <si>
    <t>2032_2030</t>
  </si>
  <si>
    <t>2032_2031</t>
  </si>
  <si>
    <t>2032_2032</t>
  </si>
  <si>
    <t>2033_1989</t>
  </si>
  <si>
    <t>2033_1990</t>
  </si>
  <si>
    <t>2033_1991</t>
  </si>
  <si>
    <t>2033_1992</t>
  </si>
  <si>
    <t>2033_1993</t>
  </si>
  <si>
    <t>2033_1994</t>
  </si>
  <si>
    <t>2033_1995</t>
  </si>
  <si>
    <t>2033_1996</t>
  </si>
  <si>
    <t>2033_1997</t>
  </si>
  <si>
    <t>2033_1998</t>
  </si>
  <si>
    <t>2033_1999</t>
  </si>
  <si>
    <t>2033_2000</t>
  </si>
  <si>
    <t>2033_2001</t>
  </si>
  <si>
    <t>2033_2002</t>
  </si>
  <si>
    <t>2033_2003</t>
  </si>
  <si>
    <t>2033_2004</t>
  </si>
  <si>
    <t>2033_2005</t>
  </si>
  <si>
    <t>2033_2006</t>
  </si>
  <si>
    <t>2033_2007</t>
  </si>
  <si>
    <t>2033_2008</t>
  </si>
  <si>
    <t>2033_2009</t>
  </si>
  <si>
    <t>2033_2010</t>
  </si>
  <si>
    <t>2033_2011</t>
  </si>
  <si>
    <t>2033_2012</t>
  </si>
  <si>
    <t>2033_2013</t>
  </si>
  <si>
    <t>2033_2014</t>
  </si>
  <si>
    <t>2033_2015</t>
  </si>
  <si>
    <t>2033_2016</t>
  </si>
  <si>
    <t>2033_2017</t>
  </si>
  <si>
    <t>2033_2018</t>
  </si>
  <si>
    <t>2033_2019</t>
  </si>
  <si>
    <t>2033_2020</t>
  </si>
  <si>
    <t>2033_2021</t>
  </si>
  <si>
    <t>2033_2022</t>
  </si>
  <si>
    <t>2033_2023</t>
  </si>
  <si>
    <t>2033_2024</t>
  </si>
  <si>
    <t>2033_2025</t>
  </si>
  <si>
    <t>2033_2026</t>
  </si>
  <si>
    <t>2033_2027</t>
  </si>
  <si>
    <t>2033_2028</t>
  </si>
  <si>
    <t>2033_2029</t>
  </si>
  <si>
    <t>2033_2030</t>
  </si>
  <si>
    <t>2033_2031</t>
  </si>
  <si>
    <t>2033_2032</t>
  </si>
  <si>
    <t>2033_2033</t>
  </si>
  <si>
    <t>2034_1990</t>
  </si>
  <si>
    <t>2034_1991</t>
  </si>
  <si>
    <t>2034_1992</t>
  </si>
  <si>
    <t>2034_1993</t>
  </si>
  <si>
    <t>2034_1994</t>
  </si>
  <si>
    <t>2034_1995</t>
  </si>
  <si>
    <t>2034_1996</t>
  </si>
  <si>
    <t>2034_1997</t>
  </si>
  <si>
    <t>2034_1998</t>
  </si>
  <si>
    <t>2034_1999</t>
  </si>
  <si>
    <t>2034_2000</t>
  </si>
  <si>
    <t>2034_2001</t>
  </si>
  <si>
    <t>2034_2002</t>
  </si>
  <si>
    <t>2034_2003</t>
  </si>
  <si>
    <t>2034_2004</t>
  </si>
  <si>
    <t>2034_2005</t>
  </si>
  <si>
    <t>2034_2006</t>
  </si>
  <si>
    <t>2034_2007</t>
  </si>
  <si>
    <t>2034_2008</t>
  </si>
  <si>
    <t>2034_2009</t>
  </si>
  <si>
    <t>2034_2010</t>
  </si>
  <si>
    <t>2034_2011</t>
  </si>
  <si>
    <t>2034_2012</t>
  </si>
  <si>
    <t>2034_2013</t>
  </si>
  <si>
    <t>2034_2014</t>
  </si>
  <si>
    <t>2034_2015</t>
  </si>
  <si>
    <t>2034_2016</t>
  </si>
  <si>
    <t>2034_2017</t>
  </si>
  <si>
    <t>2034_2018</t>
  </si>
  <si>
    <t>2034_2019</t>
  </si>
  <si>
    <t>2034_2020</t>
  </si>
  <si>
    <t>2034_2021</t>
  </si>
  <si>
    <t>2034_2022</t>
  </si>
  <si>
    <t>2034_2023</t>
  </si>
  <si>
    <t>2034_2024</t>
  </si>
  <si>
    <t>2034_2025</t>
  </si>
  <si>
    <t>2034_2026</t>
  </si>
  <si>
    <t>2034_2027</t>
  </si>
  <si>
    <t>2034_2028</t>
  </si>
  <si>
    <t>2034_2029</t>
  </si>
  <si>
    <t>2034_2030</t>
  </si>
  <si>
    <t>2034_2031</t>
  </si>
  <si>
    <t>2034_2032</t>
  </si>
  <si>
    <t>2034_2033</t>
  </si>
  <si>
    <t>2034_2034</t>
  </si>
  <si>
    <t>2035_1991</t>
  </si>
  <si>
    <t>2035_1992</t>
  </si>
  <si>
    <t>2035_1993</t>
  </si>
  <si>
    <t>2035_1994</t>
  </si>
  <si>
    <t>2035_1995</t>
  </si>
  <si>
    <t>2035_1996</t>
  </si>
  <si>
    <t>2035_1997</t>
  </si>
  <si>
    <t>2035_1998</t>
  </si>
  <si>
    <t>2035_1999</t>
  </si>
  <si>
    <t>2035_2000</t>
  </si>
  <si>
    <t>2035_2001</t>
  </si>
  <si>
    <t>2035_2002</t>
  </si>
  <si>
    <t>2035_2003</t>
  </si>
  <si>
    <t>2035_2004</t>
  </si>
  <si>
    <t>2035_2005</t>
  </si>
  <si>
    <t>2035_2006</t>
  </si>
  <si>
    <t>2035_2007</t>
  </si>
  <si>
    <t>2035_2008</t>
  </si>
  <si>
    <t>2035_2009</t>
  </si>
  <si>
    <t>2035_2010</t>
  </si>
  <si>
    <t>2035_2011</t>
  </si>
  <si>
    <t>2035_2012</t>
  </si>
  <si>
    <t>2035_2013</t>
  </si>
  <si>
    <t>2035_2014</t>
  </si>
  <si>
    <t>2035_2015</t>
  </si>
  <si>
    <t>2035_2016</t>
  </si>
  <si>
    <t>2035_2017</t>
  </si>
  <si>
    <t>2035_2018</t>
  </si>
  <si>
    <t>2035_2019</t>
  </si>
  <si>
    <t>2035_2020</t>
  </si>
  <si>
    <t>2035_2021</t>
  </si>
  <si>
    <t>2035_2022</t>
  </si>
  <si>
    <t>2035_2023</t>
  </si>
  <si>
    <t>2035_2024</t>
  </si>
  <si>
    <t>2035_2025</t>
  </si>
  <si>
    <t>2035_2026</t>
  </si>
  <si>
    <t>2035_2027</t>
  </si>
  <si>
    <t>2035_2028</t>
  </si>
  <si>
    <t>2035_2029</t>
  </si>
  <si>
    <t>2035_2030</t>
  </si>
  <si>
    <t>2035_2031</t>
  </si>
  <si>
    <t>2035_2032</t>
  </si>
  <si>
    <t>2035_2033</t>
  </si>
  <si>
    <t>2035_2034</t>
  </si>
  <si>
    <t>2035_2035</t>
  </si>
  <si>
    <t>2036_1992</t>
  </si>
  <si>
    <t>2036_1993</t>
  </si>
  <si>
    <t>2036_1994</t>
  </si>
  <si>
    <t>2036_1995</t>
  </si>
  <si>
    <t>2036_1996</t>
  </si>
  <si>
    <t>2036_1997</t>
  </si>
  <si>
    <t>2036_1998</t>
  </si>
  <si>
    <t>2036_1999</t>
  </si>
  <si>
    <t>2036_2000</t>
  </si>
  <si>
    <t>2036_2001</t>
  </si>
  <si>
    <t>2036_2002</t>
  </si>
  <si>
    <t>2036_2003</t>
  </si>
  <si>
    <t>2036_2004</t>
  </si>
  <si>
    <t>2036_2005</t>
  </si>
  <si>
    <t>2036_2006</t>
  </si>
  <si>
    <t>2036_2007</t>
  </si>
  <si>
    <t>2036_2008</t>
  </si>
  <si>
    <t>2036_2009</t>
  </si>
  <si>
    <t>2036_2010</t>
  </si>
  <si>
    <t>2036_2011</t>
  </si>
  <si>
    <t>2036_2012</t>
  </si>
  <si>
    <t>2036_2013</t>
  </si>
  <si>
    <t>2036_2014</t>
  </si>
  <si>
    <t>2036_2015</t>
  </si>
  <si>
    <t>2036_2016</t>
  </si>
  <si>
    <t>2036_2017</t>
  </si>
  <si>
    <t>2036_2018</t>
  </si>
  <si>
    <t>2036_2019</t>
  </si>
  <si>
    <t>2036_2020</t>
  </si>
  <si>
    <t>2036_2021</t>
  </si>
  <si>
    <t>2036_2022</t>
  </si>
  <si>
    <t>2036_2023</t>
  </si>
  <si>
    <t>2036_2024</t>
  </si>
  <si>
    <t>2036_2025</t>
  </si>
  <si>
    <t>2036_2026</t>
  </si>
  <si>
    <t>2036_2027</t>
  </si>
  <si>
    <t>2036_2028</t>
  </si>
  <si>
    <t>2036_2029</t>
  </si>
  <si>
    <t>2036_2030</t>
  </si>
  <si>
    <t>2036_2031</t>
  </si>
  <si>
    <t>2036_2032</t>
  </si>
  <si>
    <t>2036_2033</t>
  </si>
  <si>
    <t>2036_2034</t>
  </si>
  <si>
    <t>2036_2035</t>
  </si>
  <si>
    <t>2036_2036</t>
  </si>
  <si>
    <t>2037_1993</t>
  </si>
  <si>
    <t>2037_1994</t>
  </si>
  <si>
    <t>2037_1995</t>
  </si>
  <si>
    <t>2037_1996</t>
  </si>
  <si>
    <t>2037_1997</t>
  </si>
  <si>
    <t>2037_1998</t>
  </si>
  <si>
    <t>2037_1999</t>
  </si>
  <si>
    <t>2037_2000</t>
  </si>
  <si>
    <t>2037_2001</t>
  </si>
  <si>
    <t>2037_2002</t>
  </si>
  <si>
    <t>2037_2003</t>
  </si>
  <si>
    <t>2037_2004</t>
  </si>
  <si>
    <t>2037_2005</t>
  </si>
  <si>
    <t>2037_2006</t>
  </si>
  <si>
    <t>2037_2007</t>
  </si>
  <si>
    <t>2037_2008</t>
  </si>
  <si>
    <t>2037_2009</t>
  </si>
  <si>
    <t>2037_2010</t>
  </si>
  <si>
    <t>2037_2011</t>
  </si>
  <si>
    <t>2037_2012</t>
  </si>
  <si>
    <t>2037_2013</t>
  </si>
  <si>
    <t>2037_2014</t>
  </si>
  <si>
    <t>2037_2015</t>
  </si>
  <si>
    <t>2037_2016</t>
  </si>
  <si>
    <t>2037_2017</t>
  </si>
  <si>
    <t>2037_2018</t>
  </si>
  <si>
    <t>2037_2019</t>
  </si>
  <si>
    <t>2037_2020</t>
  </si>
  <si>
    <t>2037_2021</t>
  </si>
  <si>
    <t>2037_2022</t>
  </si>
  <si>
    <t>2037_2023</t>
  </si>
  <si>
    <t>2037_2024</t>
  </si>
  <si>
    <t>2037_2025</t>
  </si>
  <si>
    <t>2037_2026</t>
  </si>
  <si>
    <t>2037_2027</t>
  </si>
  <si>
    <t>2037_2028</t>
  </si>
  <si>
    <t>2037_2029</t>
  </si>
  <si>
    <t>2037_2030</t>
  </si>
  <si>
    <t>2037_2031</t>
  </si>
  <si>
    <t>2037_2032</t>
  </si>
  <si>
    <t>2037_2033</t>
  </si>
  <si>
    <t>2037_2034</t>
  </si>
  <si>
    <t>2037_2035</t>
  </si>
  <si>
    <t>2037_2036</t>
  </si>
  <si>
    <t>2037_2037</t>
  </si>
  <si>
    <t>2038_1994</t>
  </si>
  <si>
    <t>2038_1995</t>
  </si>
  <si>
    <t>2038_1996</t>
  </si>
  <si>
    <t>2038_1997</t>
  </si>
  <si>
    <t>2038_1998</t>
  </si>
  <si>
    <t>2038_1999</t>
  </si>
  <si>
    <t>2038_2000</t>
  </si>
  <si>
    <t>2038_2001</t>
  </si>
  <si>
    <t>2038_2002</t>
  </si>
  <si>
    <t>2038_2003</t>
  </si>
  <si>
    <t>2038_2004</t>
  </si>
  <si>
    <t>2038_2005</t>
  </si>
  <si>
    <t>2038_2006</t>
  </si>
  <si>
    <t>2038_2007</t>
  </si>
  <si>
    <t>2038_2008</t>
  </si>
  <si>
    <t>2038_2009</t>
  </si>
  <si>
    <t>2038_2010</t>
  </si>
  <si>
    <t>2038_2011</t>
  </si>
  <si>
    <t>2038_2012</t>
  </si>
  <si>
    <t>2038_2013</t>
  </si>
  <si>
    <t>2038_2014</t>
  </si>
  <si>
    <t>2038_2015</t>
  </si>
  <si>
    <t>2038_2016</t>
  </si>
  <si>
    <t>2038_2017</t>
  </si>
  <si>
    <t>2038_2018</t>
  </si>
  <si>
    <t>2038_2019</t>
  </si>
  <si>
    <t>2038_2020</t>
  </si>
  <si>
    <t>2038_2021</t>
  </si>
  <si>
    <t>2038_2022</t>
  </si>
  <si>
    <t>2038_2023</t>
  </si>
  <si>
    <t>2038_2024</t>
  </si>
  <si>
    <t>2038_2025</t>
  </si>
  <si>
    <t>2038_2026</t>
  </si>
  <si>
    <t>2038_2027</t>
  </si>
  <si>
    <t>2038_2028</t>
  </si>
  <si>
    <t>2038_2029</t>
  </si>
  <si>
    <t>2038_2030</t>
  </si>
  <si>
    <t>2038_2031</t>
  </si>
  <si>
    <t>2038_2032</t>
  </si>
  <si>
    <t>2038_2033</t>
  </si>
  <si>
    <t>2038_2034</t>
  </si>
  <si>
    <t>2038_2035</t>
  </si>
  <si>
    <t>2038_2036</t>
  </si>
  <si>
    <t>2038_2037</t>
  </si>
  <si>
    <t>2038_2038</t>
  </si>
  <si>
    <t>2039_1995</t>
  </si>
  <si>
    <t>2039_1996</t>
  </si>
  <si>
    <t>2039_1997</t>
  </si>
  <si>
    <t>2039_1998</t>
  </si>
  <si>
    <t>2039_1999</t>
  </si>
  <si>
    <t>2039_2000</t>
  </si>
  <si>
    <t>2039_2001</t>
  </si>
  <si>
    <t>2039_2002</t>
  </si>
  <si>
    <t>2039_2003</t>
  </si>
  <si>
    <t>2039_2004</t>
  </si>
  <si>
    <t>2039_2005</t>
  </si>
  <si>
    <t>2039_2006</t>
  </si>
  <si>
    <t>2039_2007</t>
  </si>
  <si>
    <t>2039_2008</t>
  </si>
  <si>
    <t>2039_2009</t>
  </si>
  <si>
    <t>2039_2010</t>
  </si>
  <si>
    <t>2039_2011</t>
  </si>
  <si>
    <t>2039_2012</t>
  </si>
  <si>
    <t>2039_2013</t>
  </si>
  <si>
    <t>2039_2014</t>
  </si>
  <si>
    <t>2039_2015</t>
  </si>
  <si>
    <t>2039_2016</t>
  </si>
  <si>
    <t>2039_2017</t>
  </si>
  <si>
    <t>2039_2018</t>
  </si>
  <si>
    <t>2039_2019</t>
  </si>
  <si>
    <t>2039_2020</t>
  </si>
  <si>
    <t>2039_2021</t>
  </si>
  <si>
    <t>2039_2022</t>
  </si>
  <si>
    <t>2039_2023</t>
  </si>
  <si>
    <t>2039_2024</t>
  </si>
  <si>
    <t>2039_2025</t>
  </si>
  <si>
    <t>2039_2026</t>
  </si>
  <si>
    <t>2039_2027</t>
  </si>
  <si>
    <t>2039_2028</t>
  </si>
  <si>
    <t>2039_2029</t>
  </si>
  <si>
    <t>2039_2030</t>
  </si>
  <si>
    <t>2039_2031</t>
  </si>
  <si>
    <t>2039_2032</t>
  </si>
  <si>
    <t>2039_2033</t>
  </si>
  <si>
    <t>2039_2034</t>
  </si>
  <si>
    <t>2039_2035</t>
  </si>
  <si>
    <t>2039_2036</t>
  </si>
  <si>
    <t>2039_2037</t>
  </si>
  <si>
    <t>2039_2038</t>
  </si>
  <si>
    <t>2039_2039</t>
  </si>
  <si>
    <t>2040_1996</t>
  </si>
  <si>
    <t>2040_1997</t>
  </si>
  <si>
    <t>2040_1998</t>
  </si>
  <si>
    <t>2040_1999</t>
  </si>
  <si>
    <t>2040_2000</t>
  </si>
  <si>
    <t>2040_2001</t>
  </si>
  <si>
    <t>2040_2002</t>
  </si>
  <si>
    <t>2040_2003</t>
  </si>
  <si>
    <t>2040_2004</t>
  </si>
  <si>
    <t>2040_2005</t>
  </si>
  <si>
    <t>2040_2006</t>
  </si>
  <si>
    <t>2040_2007</t>
  </si>
  <si>
    <t>2040_2008</t>
  </si>
  <si>
    <t>2040_2009</t>
  </si>
  <si>
    <t>2040_2010</t>
  </si>
  <si>
    <t>2040_2011</t>
  </si>
  <si>
    <t>2040_2012</t>
  </si>
  <si>
    <t>2040_2013</t>
  </si>
  <si>
    <t>2040_2014</t>
  </si>
  <si>
    <t>2040_2015</t>
  </si>
  <si>
    <t>2040_2016</t>
  </si>
  <si>
    <t>2040_2017</t>
  </si>
  <si>
    <t>2040_2018</t>
  </si>
  <si>
    <t>2040_2019</t>
  </si>
  <si>
    <t>2040_2020</t>
  </si>
  <si>
    <t>2040_2021</t>
  </si>
  <si>
    <t>2040_2022</t>
  </si>
  <si>
    <t>2040_2023</t>
  </si>
  <si>
    <t>2040_2024</t>
  </si>
  <si>
    <t>2040_2025</t>
  </si>
  <si>
    <t>2040_2026</t>
  </si>
  <si>
    <t>2040_2027</t>
  </si>
  <si>
    <t>2040_2028</t>
  </si>
  <si>
    <t>2040_2029</t>
  </si>
  <si>
    <t>2040_2030</t>
  </si>
  <si>
    <t>2040_2031</t>
  </si>
  <si>
    <t>2040_2032</t>
  </si>
  <si>
    <t>2040_2033</t>
  </si>
  <si>
    <t>2040_2034</t>
  </si>
  <si>
    <t>2040_2035</t>
  </si>
  <si>
    <t>2040_2036</t>
  </si>
  <si>
    <t>2040_2037</t>
  </si>
  <si>
    <t>2040_2038</t>
  </si>
  <si>
    <t>2040_2039</t>
  </si>
  <si>
    <t>2040_2040</t>
  </si>
  <si>
    <t>2041_1997</t>
  </si>
  <si>
    <t>2041_1998</t>
  </si>
  <si>
    <t>2041_1999</t>
  </si>
  <si>
    <t>2041_2000</t>
  </si>
  <si>
    <t>2041_2001</t>
  </si>
  <si>
    <t>2041_2002</t>
  </si>
  <si>
    <t>2041_2003</t>
  </si>
  <si>
    <t>2041_2004</t>
  </si>
  <si>
    <t>2041_2005</t>
  </si>
  <si>
    <t>2041_2006</t>
  </si>
  <si>
    <t>2041_2007</t>
  </si>
  <si>
    <t>2041_2008</t>
  </si>
  <si>
    <t>2041_2009</t>
  </si>
  <si>
    <t>2041_2010</t>
  </si>
  <si>
    <t>2041_2011</t>
  </si>
  <si>
    <t>2041_2012</t>
  </si>
  <si>
    <t>2041_2013</t>
  </si>
  <si>
    <t>2041_2014</t>
  </si>
  <si>
    <t>2041_2015</t>
  </si>
  <si>
    <t>2041_2016</t>
  </si>
  <si>
    <t>2041_2017</t>
  </si>
  <si>
    <t>2041_2018</t>
  </si>
  <si>
    <t>2041_2019</t>
  </si>
  <si>
    <t>2041_2020</t>
  </si>
  <si>
    <t>2041_2021</t>
  </si>
  <si>
    <t>2041_2022</t>
  </si>
  <si>
    <t>2041_2023</t>
  </si>
  <si>
    <t>2041_2024</t>
  </si>
  <si>
    <t>2041_2025</t>
  </si>
  <si>
    <t>2041_2026</t>
  </si>
  <si>
    <t>2041_2027</t>
  </si>
  <si>
    <t>2041_2028</t>
  </si>
  <si>
    <t>2041_2029</t>
  </si>
  <si>
    <t>2041_2030</t>
  </si>
  <si>
    <t>2041_2031</t>
  </si>
  <si>
    <t>2041_2032</t>
  </si>
  <si>
    <t>2041_2033</t>
  </si>
  <si>
    <t>2041_2034</t>
  </si>
  <si>
    <t>2041_2035</t>
  </si>
  <si>
    <t>2041_2036</t>
  </si>
  <si>
    <t>2041_2037</t>
  </si>
  <si>
    <t>2041_2038</t>
  </si>
  <si>
    <t>2041_2039</t>
  </si>
  <si>
    <t>2041_2040</t>
  </si>
  <si>
    <t>2041_2041</t>
  </si>
  <si>
    <t>2042_1998</t>
  </si>
  <si>
    <t>2042_1999</t>
  </si>
  <si>
    <t>2042_2000</t>
  </si>
  <si>
    <t>2042_2001</t>
  </si>
  <si>
    <t>2042_2002</t>
  </si>
  <si>
    <t>2042_2003</t>
  </si>
  <si>
    <t>2042_2004</t>
  </si>
  <si>
    <t>2042_2005</t>
  </si>
  <si>
    <t>2042_2006</t>
  </si>
  <si>
    <t>2042_2007</t>
  </si>
  <si>
    <t>2042_2008</t>
  </si>
  <si>
    <t>2042_2009</t>
  </si>
  <si>
    <t>2042_2010</t>
  </si>
  <si>
    <t>2042_2011</t>
  </si>
  <si>
    <t>2042_2012</t>
  </si>
  <si>
    <t>2042_2013</t>
  </si>
  <si>
    <t>2042_2014</t>
  </si>
  <si>
    <t>2042_2015</t>
  </si>
  <si>
    <t>2042_2016</t>
  </si>
  <si>
    <t>2042_2017</t>
  </si>
  <si>
    <t>2042_2018</t>
  </si>
  <si>
    <t>2042_2019</t>
  </si>
  <si>
    <t>2042_2020</t>
  </si>
  <si>
    <t>2042_2021</t>
  </si>
  <si>
    <t>2042_2022</t>
  </si>
  <si>
    <t>2042_2023</t>
  </si>
  <si>
    <t>2042_2024</t>
  </si>
  <si>
    <t>2042_2025</t>
  </si>
  <si>
    <t>2042_2026</t>
  </si>
  <si>
    <t>2042_2027</t>
  </si>
  <si>
    <t>2042_2028</t>
  </si>
  <si>
    <t>2042_2029</t>
  </si>
  <si>
    <t>2042_2030</t>
  </si>
  <si>
    <t>2042_2031</t>
  </si>
  <si>
    <t>2042_2032</t>
  </si>
  <si>
    <t>2042_2033</t>
  </si>
  <si>
    <t>2042_2034</t>
  </si>
  <si>
    <t>2042_2035</t>
  </si>
  <si>
    <t>2042_2036</t>
  </si>
  <si>
    <t>2042_2037</t>
  </si>
  <si>
    <t>2042_2038</t>
  </si>
  <si>
    <t>2042_2039</t>
  </si>
  <si>
    <t>2042_2040</t>
  </si>
  <si>
    <t>2042_2041</t>
  </si>
  <si>
    <t>2042_2042</t>
  </si>
  <si>
    <t>2043_1999</t>
  </si>
  <si>
    <t>2043_2000</t>
  </si>
  <si>
    <t>2043_2001</t>
  </si>
  <si>
    <t>2043_2002</t>
  </si>
  <si>
    <t>2043_2003</t>
  </si>
  <si>
    <t>2043_2004</t>
  </si>
  <si>
    <t>2043_2005</t>
  </si>
  <si>
    <t>2043_2006</t>
  </si>
  <si>
    <t>2043_2007</t>
  </si>
  <si>
    <t>2043_2008</t>
  </si>
  <si>
    <t>2043_2009</t>
  </si>
  <si>
    <t>2043_2010</t>
  </si>
  <si>
    <t>2043_2011</t>
  </si>
  <si>
    <t>2043_2012</t>
  </si>
  <si>
    <t>2043_2013</t>
  </si>
  <si>
    <t>2043_2014</t>
  </si>
  <si>
    <t>2043_2015</t>
  </si>
  <si>
    <t>2043_2016</t>
  </si>
  <si>
    <t>2043_2017</t>
  </si>
  <si>
    <t>2043_2018</t>
  </si>
  <si>
    <t>2043_2019</t>
  </si>
  <si>
    <t>2043_2020</t>
  </si>
  <si>
    <t>2043_2021</t>
  </si>
  <si>
    <t>2043_2022</t>
  </si>
  <si>
    <t>2043_2023</t>
  </si>
  <si>
    <t>2043_2024</t>
  </si>
  <si>
    <t>2043_2025</t>
  </si>
  <si>
    <t>2043_2026</t>
  </si>
  <si>
    <t>2043_2027</t>
  </si>
  <si>
    <t>2043_2028</t>
  </si>
  <si>
    <t>2043_2029</t>
  </si>
  <si>
    <t>2043_2030</t>
  </si>
  <si>
    <t>2043_2031</t>
  </si>
  <si>
    <t>2043_2032</t>
  </si>
  <si>
    <t>2043_2033</t>
  </si>
  <si>
    <t>2043_2034</t>
  </si>
  <si>
    <t>2043_2035</t>
  </si>
  <si>
    <t>2043_2036</t>
  </si>
  <si>
    <t>2043_2037</t>
  </si>
  <si>
    <t>2043_2038</t>
  </si>
  <si>
    <t>2043_2039</t>
  </si>
  <si>
    <t>2043_2040</t>
  </si>
  <si>
    <t>2043_2041</t>
  </si>
  <si>
    <t>2043_2042</t>
  </si>
  <si>
    <t>2043_2043</t>
  </si>
  <si>
    <t>2044_2000</t>
  </si>
  <si>
    <t>2044_2001</t>
  </si>
  <si>
    <t>2044_2002</t>
  </si>
  <si>
    <t>2044_2003</t>
  </si>
  <si>
    <t>2044_2004</t>
  </si>
  <si>
    <t>2044_2005</t>
  </si>
  <si>
    <t>2044_2006</t>
  </si>
  <si>
    <t>2044_2007</t>
  </si>
  <si>
    <t>2044_2008</t>
  </si>
  <si>
    <t>2044_2009</t>
  </si>
  <si>
    <t>2044_2010</t>
  </si>
  <si>
    <t>2044_2011</t>
  </si>
  <si>
    <t>2044_2012</t>
  </si>
  <si>
    <t>2044_2013</t>
  </si>
  <si>
    <t>2044_2014</t>
  </si>
  <si>
    <t>2044_2015</t>
  </si>
  <si>
    <t>2044_2016</t>
  </si>
  <si>
    <t>2044_2017</t>
  </si>
  <si>
    <t>2044_2018</t>
  </si>
  <si>
    <t>2044_2019</t>
  </si>
  <si>
    <t>2044_2020</t>
  </si>
  <si>
    <t>2044_2021</t>
  </si>
  <si>
    <t>2044_2022</t>
  </si>
  <si>
    <t>2044_2023</t>
  </si>
  <si>
    <t>2044_2024</t>
  </si>
  <si>
    <t>2044_2025</t>
  </si>
  <si>
    <t>2044_2026</t>
  </si>
  <si>
    <t>2044_2027</t>
  </si>
  <si>
    <t>2044_2028</t>
  </si>
  <si>
    <t>2044_2029</t>
  </si>
  <si>
    <t>2044_2030</t>
  </si>
  <si>
    <t>2044_2031</t>
  </si>
  <si>
    <t>2044_2032</t>
  </si>
  <si>
    <t>2044_2033</t>
  </si>
  <si>
    <t>2044_2034</t>
  </si>
  <si>
    <t>2044_2035</t>
  </si>
  <si>
    <t>2044_2036</t>
  </si>
  <si>
    <t>2044_2037</t>
  </si>
  <si>
    <t>2044_2038</t>
  </si>
  <si>
    <t>2044_2039</t>
  </si>
  <si>
    <t>2044_2040</t>
  </si>
  <si>
    <t>2044_2041</t>
  </si>
  <si>
    <t>2044_2042</t>
  </si>
  <si>
    <t>2044_2043</t>
  </si>
  <si>
    <t>2044_2044</t>
  </si>
  <si>
    <t>2045_2001</t>
  </si>
  <si>
    <t>2045_2002</t>
  </si>
  <si>
    <t>2045_2003</t>
  </si>
  <si>
    <t>2045_2004</t>
  </si>
  <si>
    <t>2045_2005</t>
  </si>
  <si>
    <t>2045_2006</t>
  </si>
  <si>
    <t>2045_2007</t>
  </si>
  <si>
    <t>2045_2008</t>
  </si>
  <si>
    <t>2045_2009</t>
  </si>
  <si>
    <t>2045_2010</t>
  </si>
  <si>
    <t>2045_2011</t>
  </si>
  <si>
    <t>2045_2012</t>
  </si>
  <si>
    <t>2045_2013</t>
  </si>
  <si>
    <t>2045_2014</t>
  </si>
  <si>
    <t>2045_2015</t>
  </si>
  <si>
    <t>2045_2016</t>
  </si>
  <si>
    <t>2045_2017</t>
  </si>
  <si>
    <t>2045_2018</t>
  </si>
  <si>
    <t>2045_2019</t>
  </si>
  <si>
    <t>2045_2020</t>
  </si>
  <si>
    <t>2045_2021</t>
  </si>
  <si>
    <t>2045_2022</t>
  </si>
  <si>
    <t>2045_2023</t>
  </si>
  <si>
    <t>2045_2024</t>
  </si>
  <si>
    <t>2045_2025</t>
  </si>
  <si>
    <t>2045_2026</t>
  </si>
  <si>
    <t>2045_2027</t>
  </si>
  <si>
    <t>2045_2028</t>
  </si>
  <si>
    <t>2045_2029</t>
  </si>
  <si>
    <t>2045_2030</t>
  </si>
  <si>
    <t>2045_2031</t>
  </si>
  <si>
    <t>2045_2032</t>
  </si>
  <si>
    <t>2045_2033</t>
  </si>
  <si>
    <t>2045_2034</t>
  </si>
  <si>
    <t>2045_2035</t>
  </si>
  <si>
    <t>2045_2036</t>
  </si>
  <si>
    <t>2045_2037</t>
  </si>
  <si>
    <t>2045_2038</t>
  </si>
  <si>
    <t>2045_2039</t>
  </si>
  <si>
    <t>2045_2040</t>
  </si>
  <si>
    <t>2045_2041</t>
  </si>
  <si>
    <t>2045_2042</t>
  </si>
  <si>
    <t>2045_2043</t>
  </si>
  <si>
    <t>2045_2044</t>
  </si>
  <si>
    <t>2045_2045</t>
  </si>
  <si>
    <t>2046_2002</t>
  </si>
  <si>
    <t>2046_2003</t>
  </si>
  <si>
    <t>2046_2004</t>
  </si>
  <si>
    <t>2046_2005</t>
  </si>
  <si>
    <t>2046_2006</t>
  </si>
  <si>
    <t>2046_2007</t>
  </si>
  <si>
    <t>2046_2008</t>
  </si>
  <si>
    <t>2046_2009</t>
  </si>
  <si>
    <t>2046_2010</t>
  </si>
  <si>
    <t>2046_2011</t>
  </si>
  <si>
    <t>2046_2012</t>
  </si>
  <si>
    <t>2046_2013</t>
  </si>
  <si>
    <t>2046_2014</t>
  </si>
  <si>
    <t>2046_2015</t>
  </si>
  <si>
    <t>2046_2016</t>
  </si>
  <si>
    <t>2046_2017</t>
  </si>
  <si>
    <t>2046_2018</t>
  </si>
  <si>
    <t>2046_2019</t>
  </si>
  <si>
    <t>2046_2020</t>
  </si>
  <si>
    <t>2046_2021</t>
  </si>
  <si>
    <t>2046_2022</t>
  </si>
  <si>
    <t>2046_2023</t>
  </si>
  <si>
    <t>2046_2024</t>
  </si>
  <si>
    <t>2046_2025</t>
  </si>
  <si>
    <t>2046_2026</t>
  </si>
  <si>
    <t>2046_2027</t>
  </si>
  <si>
    <t>2046_2028</t>
  </si>
  <si>
    <t>2046_2029</t>
  </si>
  <si>
    <t>2046_2030</t>
  </si>
  <si>
    <t>2046_2031</t>
  </si>
  <si>
    <t>2046_2032</t>
  </si>
  <si>
    <t>2046_2033</t>
  </si>
  <si>
    <t>2046_2034</t>
  </si>
  <si>
    <t>2046_2035</t>
  </si>
  <si>
    <t>2046_2036</t>
  </si>
  <si>
    <t>2046_2037</t>
  </si>
  <si>
    <t>2046_2038</t>
  </si>
  <si>
    <t>2046_2039</t>
  </si>
  <si>
    <t>2046_2040</t>
  </si>
  <si>
    <t>2046_2041</t>
  </si>
  <si>
    <t>2046_2042</t>
  </si>
  <si>
    <t>2046_2043</t>
  </si>
  <si>
    <t>2046_2044</t>
  </si>
  <si>
    <t>2046_2045</t>
  </si>
  <si>
    <t>2046_2046</t>
  </si>
  <si>
    <t>2047_2003</t>
  </si>
  <si>
    <t>2047_2004</t>
  </si>
  <si>
    <t>2047_2005</t>
  </si>
  <si>
    <t>2047_2006</t>
  </si>
  <si>
    <t>2047_2007</t>
  </si>
  <si>
    <t>2047_2008</t>
  </si>
  <si>
    <t>2047_2009</t>
  </si>
  <si>
    <t>2047_2010</t>
  </si>
  <si>
    <t>2047_2011</t>
  </si>
  <si>
    <t>2047_2012</t>
  </si>
  <si>
    <t>2047_2013</t>
  </si>
  <si>
    <t>2047_2014</t>
  </si>
  <si>
    <t>2047_2015</t>
  </si>
  <si>
    <t>2047_2016</t>
  </si>
  <si>
    <t>2047_2017</t>
  </si>
  <si>
    <t>2047_2018</t>
  </si>
  <si>
    <t>2047_2019</t>
  </si>
  <si>
    <t>2047_2020</t>
  </si>
  <si>
    <t>2047_2021</t>
  </si>
  <si>
    <t>2047_2022</t>
  </si>
  <si>
    <t>2047_2023</t>
  </si>
  <si>
    <t>2047_2024</t>
  </si>
  <si>
    <t>2047_2025</t>
  </si>
  <si>
    <t>2047_2026</t>
  </si>
  <si>
    <t>2047_2027</t>
  </si>
  <si>
    <t>2047_2028</t>
  </si>
  <si>
    <t>2047_2029</t>
  </si>
  <si>
    <t>2047_2030</t>
  </si>
  <si>
    <t>2047_2031</t>
  </si>
  <si>
    <t>2047_2032</t>
  </si>
  <si>
    <t>2047_2033</t>
  </si>
  <si>
    <t>2047_2034</t>
  </si>
  <si>
    <t>2047_2035</t>
  </si>
  <si>
    <t>2047_2036</t>
  </si>
  <si>
    <t>2047_2037</t>
  </si>
  <si>
    <t>2047_2038</t>
  </si>
  <si>
    <t>2047_2039</t>
  </si>
  <si>
    <t>2047_2040</t>
  </si>
  <si>
    <t>2047_2041</t>
  </si>
  <si>
    <t>2047_2042</t>
  </si>
  <si>
    <t>2047_2043</t>
  </si>
  <si>
    <t>2047_2044</t>
  </si>
  <si>
    <t>2047_2045</t>
  </si>
  <si>
    <t>2047_2046</t>
  </si>
  <si>
    <t>2047_2047</t>
  </si>
  <si>
    <t>2048_2004</t>
  </si>
  <si>
    <t>2048_2005</t>
  </si>
  <si>
    <t>2048_2006</t>
  </si>
  <si>
    <t>2048_2007</t>
  </si>
  <si>
    <t>2048_2008</t>
  </si>
  <si>
    <t>2048_2009</t>
  </si>
  <si>
    <t>2048_2010</t>
  </si>
  <si>
    <t>2048_2011</t>
  </si>
  <si>
    <t>2048_2012</t>
  </si>
  <si>
    <t>2048_2013</t>
  </si>
  <si>
    <t>2048_2014</t>
  </si>
  <si>
    <t>2048_2015</t>
  </si>
  <si>
    <t>2048_2016</t>
  </si>
  <si>
    <t>2048_2017</t>
  </si>
  <si>
    <t>2048_2018</t>
  </si>
  <si>
    <t>2048_2019</t>
  </si>
  <si>
    <t>2048_2020</t>
  </si>
  <si>
    <t>2048_2021</t>
  </si>
  <si>
    <t>2048_2022</t>
  </si>
  <si>
    <t>2048_2023</t>
  </si>
  <si>
    <t>2048_2024</t>
  </si>
  <si>
    <t>2048_2025</t>
  </si>
  <si>
    <t>2048_2026</t>
  </si>
  <si>
    <t>2048_2027</t>
  </si>
  <si>
    <t>2048_2028</t>
  </si>
  <si>
    <t>2048_2029</t>
  </si>
  <si>
    <t>2048_2030</t>
  </si>
  <si>
    <t>2048_2031</t>
  </si>
  <si>
    <t>2048_2032</t>
  </si>
  <si>
    <t>2048_2033</t>
  </si>
  <si>
    <t>2048_2034</t>
  </si>
  <si>
    <t>2048_2035</t>
  </si>
  <si>
    <t>2048_2036</t>
  </si>
  <si>
    <t>2048_2037</t>
  </si>
  <si>
    <t>2048_2038</t>
  </si>
  <si>
    <t>2048_2039</t>
  </si>
  <si>
    <t>2048_2040</t>
  </si>
  <si>
    <t>2048_2041</t>
  </si>
  <si>
    <t>2048_2042</t>
  </si>
  <si>
    <t>2048_2043</t>
  </si>
  <si>
    <t>2048_2044</t>
  </si>
  <si>
    <t>2048_2045</t>
  </si>
  <si>
    <t>2048_2046</t>
  </si>
  <si>
    <t>2048_2047</t>
  </si>
  <si>
    <t>2048_2048</t>
  </si>
  <si>
    <t>2049_2005</t>
  </si>
  <si>
    <t>2049_2006</t>
  </si>
  <si>
    <t>2049_2007</t>
  </si>
  <si>
    <t>2049_2008</t>
  </si>
  <si>
    <t>2049_2009</t>
  </si>
  <si>
    <t>2049_2010</t>
  </si>
  <si>
    <t>2049_2011</t>
  </si>
  <si>
    <t>2049_2012</t>
  </si>
  <si>
    <t>2049_2013</t>
  </si>
  <si>
    <t>2049_2014</t>
  </si>
  <si>
    <t>2049_2015</t>
  </si>
  <si>
    <t>2049_2016</t>
  </si>
  <si>
    <t>2049_2017</t>
  </si>
  <si>
    <t>2049_2018</t>
  </si>
  <si>
    <t>2049_2019</t>
  </si>
  <si>
    <t>2049_2020</t>
  </si>
  <si>
    <t>2049_2021</t>
  </si>
  <si>
    <t>2049_2022</t>
  </si>
  <si>
    <t>2049_2023</t>
  </si>
  <si>
    <t>2049_2024</t>
  </si>
  <si>
    <t>2049_2025</t>
  </si>
  <si>
    <t>2049_2026</t>
  </si>
  <si>
    <t>2049_2027</t>
  </si>
  <si>
    <t>2049_2028</t>
  </si>
  <si>
    <t>2049_2029</t>
  </si>
  <si>
    <t>2049_2030</t>
  </si>
  <si>
    <t>2049_2031</t>
  </si>
  <si>
    <t>2049_2032</t>
  </si>
  <si>
    <t>2049_2033</t>
  </si>
  <si>
    <t>2049_2034</t>
  </si>
  <si>
    <t>2049_2035</t>
  </si>
  <si>
    <t>2049_2036</t>
  </si>
  <si>
    <t>2049_2037</t>
  </si>
  <si>
    <t>2049_2038</t>
  </si>
  <si>
    <t>2049_2039</t>
  </si>
  <si>
    <t>2049_2040</t>
  </si>
  <si>
    <t>2049_2041</t>
  </si>
  <si>
    <t>2049_2042</t>
  </si>
  <si>
    <t>2049_2043</t>
  </si>
  <si>
    <t>2049_2044</t>
  </si>
  <si>
    <t>2049_2045</t>
  </si>
  <si>
    <t>2049_2046</t>
  </si>
  <si>
    <t>2049_2047</t>
  </si>
  <si>
    <t>2049_2048</t>
  </si>
  <si>
    <t>2049_2049</t>
  </si>
  <si>
    <t>2050_2006</t>
  </si>
  <si>
    <t>2050_2007</t>
  </si>
  <si>
    <t>2050_2008</t>
  </si>
  <si>
    <t>2050_2009</t>
  </si>
  <si>
    <t>2050_2010</t>
  </si>
  <si>
    <t>2050_2011</t>
  </si>
  <si>
    <t>2050_2012</t>
  </si>
  <si>
    <t>2050_2013</t>
  </si>
  <si>
    <t>2050_2014</t>
  </si>
  <si>
    <t>2050_2015</t>
  </si>
  <si>
    <t>2050_2016</t>
  </si>
  <si>
    <t>2050_2017</t>
  </si>
  <si>
    <t>2050_2018</t>
  </si>
  <si>
    <t>2050_2019</t>
  </si>
  <si>
    <t>2050_2020</t>
  </si>
  <si>
    <t>2050_2021</t>
  </si>
  <si>
    <t>2050_2022</t>
  </si>
  <si>
    <t>2050_2023</t>
  </si>
  <si>
    <t>2050_2024</t>
  </si>
  <si>
    <t>2050_2025</t>
  </si>
  <si>
    <t>2050_2026</t>
  </si>
  <si>
    <t>2050_2027</t>
  </si>
  <si>
    <t>2050_2028</t>
  </si>
  <si>
    <t>2050_2029</t>
  </si>
  <si>
    <t>2050_2030</t>
  </si>
  <si>
    <t>2050_2031</t>
  </si>
  <si>
    <t>2050_2032</t>
  </si>
  <si>
    <t>2050_2033</t>
  </si>
  <si>
    <t>2050_2034</t>
  </si>
  <si>
    <t>2050_2035</t>
  </si>
  <si>
    <t>2050_2036</t>
  </si>
  <si>
    <t>2050_2037</t>
  </si>
  <si>
    <t>2050_2038</t>
  </si>
  <si>
    <t>2050_2039</t>
  </si>
  <si>
    <t>2050_2040</t>
  </si>
  <si>
    <t>2050_2041</t>
  </si>
  <si>
    <t>2050_2042</t>
  </si>
  <si>
    <t>2050_2043</t>
  </si>
  <si>
    <t>2050_2044</t>
  </si>
  <si>
    <t>2050_2045</t>
  </si>
  <si>
    <t>2050_2046</t>
  </si>
  <si>
    <t>2050_2047</t>
  </si>
  <si>
    <t>2050_2048</t>
  </si>
  <si>
    <t>2050_2049</t>
  </si>
  <si>
    <t>2050_2050</t>
  </si>
  <si>
    <t>2017_2018</t>
  </si>
  <si>
    <t>2018_2019</t>
  </si>
  <si>
    <t>2019_2020</t>
  </si>
  <si>
    <t>2020_2021</t>
  </si>
  <si>
    <t>2021_2022</t>
  </si>
  <si>
    <t>2022_2023</t>
  </si>
  <si>
    <t>2023_2024</t>
  </si>
  <si>
    <t>2026_2027</t>
  </si>
  <si>
    <t>2027_2028</t>
  </si>
  <si>
    <t>2028_2029</t>
  </si>
  <si>
    <t>2029_2030</t>
  </si>
  <si>
    <t>2030_2031</t>
  </si>
  <si>
    <t>2031_2032</t>
  </si>
  <si>
    <t>2032_2033</t>
  </si>
  <si>
    <t>2033_2034</t>
  </si>
  <si>
    <t>2034_2035</t>
  </si>
  <si>
    <t>2035_2036</t>
  </si>
  <si>
    <t>2036_2037</t>
  </si>
  <si>
    <t>2037_2038</t>
  </si>
  <si>
    <t>2038_2039</t>
  </si>
  <si>
    <t>2039_2040</t>
  </si>
  <si>
    <t>2040_2041</t>
  </si>
  <si>
    <t>2041_2042</t>
  </si>
  <si>
    <t>2042_2043</t>
  </si>
  <si>
    <t>2043_2044</t>
  </si>
  <si>
    <t>2044_2045</t>
  </si>
  <si>
    <t>2045_2046</t>
  </si>
  <si>
    <t>2046_2047</t>
  </si>
  <si>
    <t>2047_2048</t>
  </si>
  <si>
    <t>2048_2049</t>
  </si>
  <si>
    <t>2049_2050</t>
  </si>
  <si>
    <t>2050_2051</t>
  </si>
  <si>
    <t>Solar PV Electricity Cost Savings ($)</t>
  </si>
  <si>
    <t>VMT and Emission Reductions</t>
  </si>
  <si>
    <t>Total Avoided VMT</t>
  </si>
  <si>
    <t>Annual Avoided VMT</t>
  </si>
  <si>
    <t>Total Unmitigated VMT</t>
  </si>
  <si>
    <t>Avoid Toll Bridge or Road?</t>
  </si>
  <si>
    <t>Auto ROG Emission Reductions (lbs)</t>
  </si>
  <si>
    <t>Year 1 Daily Ridership Increase (trips/day)</t>
  </si>
  <si>
    <t>Year F Daily Ridership Increase (trips/day)</t>
  </si>
  <si>
    <t>Engine Model Year of Transit Vehicle</t>
  </si>
  <si>
    <t>Fuel Type of Transit Vehicle</t>
  </si>
  <si>
    <t>Transit Vehicle ROG Emissions (lbs)</t>
  </si>
  <si>
    <t>Hybrid Vehicle?</t>
  </si>
  <si>
    <t>Key for Color-coded Fields</t>
  </si>
  <si>
    <r>
      <t xml:space="preserve"> (million MTCO</t>
    </r>
    <r>
      <rPr>
        <vertAlign val="subscript"/>
        <sz val="12"/>
        <color theme="1"/>
        <rFont val="Avenir LT Std 55 Roman"/>
        <family val="2"/>
      </rPr>
      <t>2</t>
    </r>
    <r>
      <rPr>
        <sz val="12"/>
        <color theme="1"/>
        <rFont val="Avenir LT Std 55 Roman"/>
        <family val="2"/>
      </rPr>
      <t>e)</t>
    </r>
  </si>
  <si>
    <r>
      <t>(MTCO</t>
    </r>
    <r>
      <rPr>
        <vertAlign val="subscript"/>
        <sz val="12"/>
        <color theme="1"/>
        <rFont val="Avenir LT Std 55 Roman"/>
        <family val="2"/>
      </rPr>
      <t>2</t>
    </r>
    <r>
      <rPr>
        <sz val="12"/>
        <color theme="1"/>
        <rFont val="Avenir LT Std 55 Roman"/>
        <family val="2"/>
      </rPr>
      <t>e)</t>
    </r>
  </si>
  <si>
    <r>
      <t>(MTCO</t>
    </r>
    <r>
      <rPr>
        <vertAlign val="subscript"/>
        <sz val="12"/>
        <color theme="1"/>
        <rFont val="Avenir LT Std 55 Roman"/>
        <family val="2"/>
      </rPr>
      <t>2</t>
    </r>
    <r>
      <rPr>
        <sz val="12"/>
        <color theme="1"/>
        <rFont val="Avenir LT Std 55 Roman"/>
        <family val="2"/>
      </rPr>
      <t>e/MWh)</t>
    </r>
  </si>
  <si>
    <r>
      <t>(MTCO</t>
    </r>
    <r>
      <rPr>
        <vertAlign val="subscript"/>
        <sz val="12"/>
        <color theme="1"/>
        <rFont val="Avenir LT Std 55 Roman"/>
        <family val="2"/>
      </rPr>
      <t>2</t>
    </r>
    <r>
      <rPr>
        <sz val="12"/>
        <color theme="1"/>
        <rFont val="Avenir LT Std 55 Roman"/>
        <family val="2"/>
      </rPr>
      <t>e/kWh)</t>
    </r>
  </si>
  <si>
    <r>
      <t>NO</t>
    </r>
    <r>
      <rPr>
        <b/>
        <vertAlign val="subscript"/>
        <sz val="12"/>
        <color theme="1"/>
        <rFont val="Avenir LT Std 55 Roman"/>
        <family val="2"/>
      </rPr>
      <t>X</t>
    </r>
  </si>
  <si>
    <r>
      <t>PM</t>
    </r>
    <r>
      <rPr>
        <b/>
        <vertAlign val="subscript"/>
        <sz val="12"/>
        <color theme="1"/>
        <rFont val="Avenir LT Std 55 Roman"/>
        <family val="2"/>
      </rPr>
      <t>10</t>
    </r>
  </si>
  <si>
    <r>
      <t>PM</t>
    </r>
    <r>
      <rPr>
        <b/>
        <vertAlign val="subscript"/>
        <sz val="12"/>
        <color theme="1"/>
        <rFont val="Avenir LT Std 55 Roman"/>
        <family val="2"/>
      </rPr>
      <t>2.5</t>
    </r>
  </si>
  <si>
    <r>
      <t>NO</t>
    </r>
    <r>
      <rPr>
        <b/>
        <vertAlign val="subscript"/>
        <sz val="12"/>
        <color theme="1"/>
        <rFont val="Avenir LT Std 55 Roman"/>
        <family val="2"/>
      </rPr>
      <t>x</t>
    </r>
    <r>
      <rPr>
        <b/>
        <sz val="12"/>
        <color theme="1"/>
        <rFont val="Avenir LT Std 55 Roman"/>
        <family val="2"/>
      </rPr>
      <t xml:space="preserve"> (g/mile)</t>
    </r>
  </si>
  <si>
    <r>
      <t>PM</t>
    </r>
    <r>
      <rPr>
        <b/>
        <vertAlign val="subscript"/>
        <sz val="12"/>
        <color theme="1"/>
        <rFont val="Avenir LT Std 55 Roman"/>
        <family val="2"/>
      </rPr>
      <t>2.5</t>
    </r>
    <r>
      <rPr>
        <b/>
        <sz val="12"/>
        <color theme="1"/>
        <rFont val="Avenir LT Std 55 Roman"/>
        <family val="2"/>
      </rPr>
      <t xml:space="preserve"> (g/mile)</t>
    </r>
  </si>
  <si>
    <r>
      <t>DSL PM</t>
    </r>
    <r>
      <rPr>
        <b/>
        <vertAlign val="subscript"/>
        <sz val="12"/>
        <rFont val="Avenir LT Std 55 Roman"/>
        <family val="2"/>
      </rPr>
      <t>10</t>
    </r>
    <r>
      <rPr>
        <b/>
        <sz val="12"/>
        <rFont val="Avenir LT Std 55 Roman"/>
        <family val="2"/>
      </rPr>
      <t xml:space="preserve"> (g/mile)</t>
    </r>
  </si>
  <si>
    <r>
      <t>NO</t>
    </r>
    <r>
      <rPr>
        <b/>
        <vertAlign val="subscript"/>
        <sz val="12"/>
        <color theme="1"/>
        <rFont val="Avenir LT Std 55 Roman"/>
        <family val="2"/>
      </rPr>
      <t>x</t>
    </r>
  </si>
  <si>
    <r>
      <t xml:space="preserve">HC </t>
    </r>
    <r>
      <rPr>
        <b/>
        <vertAlign val="superscript"/>
        <sz val="12"/>
        <rFont val="Avenir LT Std 55 Roman"/>
        <family val="2"/>
      </rPr>
      <t>a</t>
    </r>
  </si>
  <si>
    <r>
      <t xml:space="preserve">ROG </t>
    </r>
    <r>
      <rPr>
        <b/>
        <vertAlign val="superscript"/>
        <sz val="12"/>
        <rFont val="Avenir LT Std 55 Roman"/>
        <family val="2"/>
      </rPr>
      <t>b</t>
    </r>
  </si>
  <si>
    <r>
      <t>NO</t>
    </r>
    <r>
      <rPr>
        <b/>
        <vertAlign val="subscript"/>
        <sz val="12"/>
        <rFont val="Avenir LT Std 55 Roman"/>
        <family val="2"/>
      </rPr>
      <t>x</t>
    </r>
  </si>
  <si>
    <r>
      <t>PM</t>
    </r>
    <r>
      <rPr>
        <b/>
        <vertAlign val="subscript"/>
        <sz val="12"/>
        <rFont val="Avenir LT Std 55 Roman"/>
        <family val="2"/>
      </rPr>
      <t>2.5</t>
    </r>
    <r>
      <rPr>
        <b/>
        <sz val="12"/>
        <rFont val="Avenir LT Std 55 Roman"/>
        <family val="2"/>
      </rPr>
      <t xml:space="preserve"> </t>
    </r>
    <r>
      <rPr>
        <b/>
        <vertAlign val="superscript"/>
        <sz val="12"/>
        <rFont val="Avenir LT Std 55 Roman"/>
        <family val="2"/>
      </rPr>
      <t>c</t>
    </r>
  </si>
  <si>
    <r>
      <t>PM</t>
    </r>
    <r>
      <rPr>
        <b/>
        <vertAlign val="subscript"/>
        <sz val="12"/>
        <rFont val="Avenir LT Std 55 Roman"/>
        <family val="2"/>
      </rPr>
      <t>10</t>
    </r>
  </si>
  <si>
    <r>
      <rPr>
        <vertAlign val="superscript"/>
        <sz val="10"/>
        <rFont val="Avenir LT Std 55 Roman"/>
        <family val="2"/>
      </rPr>
      <t>a</t>
    </r>
    <r>
      <rPr>
        <sz val="10"/>
        <rFont val="Avenir LT Std 55 Roman"/>
        <family val="2"/>
      </rPr>
      <t xml:space="preserve"> HC = hydrocarbons</t>
    </r>
  </si>
  <si>
    <r>
      <t>NO</t>
    </r>
    <r>
      <rPr>
        <vertAlign val="subscript"/>
        <sz val="12"/>
        <color theme="1"/>
        <rFont val="Avenir LT Std 55 Roman"/>
        <family val="2"/>
      </rPr>
      <t>x</t>
    </r>
  </si>
  <si>
    <r>
      <t>PM</t>
    </r>
    <r>
      <rPr>
        <vertAlign val="subscript"/>
        <sz val="12"/>
        <color theme="1"/>
        <rFont val="Avenir LT Std 55 Roman"/>
        <family val="2"/>
      </rPr>
      <t>2.5</t>
    </r>
  </si>
  <si>
    <r>
      <t>PM</t>
    </r>
    <r>
      <rPr>
        <vertAlign val="subscript"/>
        <sz val="12"/>
        <color theme="1"/>
        <rFont val="Avenir LT Std 55 Roman"/>
        <family val="2"/>
      </rPr>
      <t>10</t>
    </r>
  </si>
  <si>
    <r>
      <t>ME NO</t>
    </r>
    <r>
      <rPr>
        <b/>
        <vertAlign val="subscript"/>
        <sz val="12"/>
        <rFont val="Avenir LT Std 55 Roman"/>
        <family val="2"/>
      </rPr>
      <t>x</t>
    </r>
  </si>
  <si>
    <r>
      <t>ME PM</t>
    </r>
    <r>
      <rPr>
        <b/>
        <vertAlign val="subscript"/>
        <sz val="12"/>
        <rFont val="Avenir LT Std 55 Roman"/>
        <family val="2"/>
      </rPr>
      <t>10</t>
    </r>
  </si>
  <si>
    <r>
      <t>ME PM</t>
    </r>
    <r>
      <rPr>
        <b/>
        <vertAlign val="subscript"/>
        <sz val="12"/>
        <rFont val="Avenir LT Std 55 Roman"/>
        <family val="2"/>
      </rPr>
      <t>2.5</t>
    </r>
  </si>
  <si>
    <r>
      <t>AE NO</t>
    </r>
    <r>
      <rPr>
        <b/>
        <vertAlign val="subscript"/>
        <sz val="12"/>
        <rFont val="Avenir LT Std 55 Roman"/>
        <family val="2"/>
      </rPr>
      <t>x</t>
    </r>
  </si>
  <si>
    <r>
      <t>AE PM</t>
    </r>
    <r>
      <rPr>
        <b/>
        <vertAlign val="subscript"/>
        <sz val="12"/>
        <rFont val="Avenir LT Std 55 Roman"/>
        <family val="2"/>
      </rPr>
      <t>10</t>
    </r>
  </si>
  <si>
    <r>
      <t>AE PM</t>
    </r>
    <r>
      <rPr>
        <b/>
        <vertAlign val="subscript"/>
        <sz val="12"/>
        <rFont val="Avenir LT Std 55 Roman"/>
        <family val="2"/>
      </rPr>
      <t>2.5</t>
    </r>
  </si>
  <si>
    <r>
      <t>PM</t>
    </r>
    <r>
      <rPr>
        <b/>
        <vertAlign val="subscript"/>
        <sz val="12"/>
        <rFont val="Avenir LT Std 55 Roman"/>
        <family val="2"/>
      </rPr>
      <t>2.5</t>
    </r>
    <r>
      <rPr>
        <b/>
        <sz val="12"/>
        <rFont val="Avenir LT Std 55 Roman"/>
        <family val="2"/>
      </rPr>
      <t xml:space="preserve"> (g/mile)</t>
    </r>
  </si>
  <si>
    <t>0.98 (MJ/scf)</t>
  </si>
  <si>
    <t>Renewable Natural Gas (scf)</t>
  </si>
  <si>
    <r>
      <t>gCO</t>
    </r>
    <r>
      <rPr>
        <b/>
        <vertAlign val="subscript"/>
        <sz val="12"/>
        <color theme="1"/>
        <rFont val="Avenir LT Std 55 Roman"/>
        <family val="2"/>
      </rPr>
      <t>2</t>
    </r>
    <r>
      <rPr>
        <b/>
        <sz val="12"/>
        <color theme="1"/>
        <rFont val="Avenir LT Std 55 Roman"/>
        <family val="2"/>
      </rPr>
      <t>e/DGE</t>
    </r>
  </si>
  <si>
    <r>
      <t>gCO</t>
    </r>
    <r>
      <rPr>
        <b/>
        <vertAlign val="subscript"/>
        <sz val="12"/>
        <color theme="1"/>
        <rFont val="Avenir LT Std 55 Roman"/>
        <family val="2"/>
      </rPr>
      <t>2</t>
    </r>
    <r>
      <rPr>
        <b/>
        <sz val="12"/>
        <color theme="1"/>
        <rFont val="Avenir LT Std 55 Roman"/>
        <family val="2"/>
      </rPr>
      <t>e/GGE</t>
    </r>
  </si>
  <si>
    <r>
      <t>gCO</t>
    </r>
    <r>
      <rPr>
        <b/>
        <vertAlign val="subscript"/>
        <sz val="12"/>
        <color theme="1"/>
        <rFont val="Avenir LT Std 55 Roman"/>
        <family val="2"/>
      </rPr>
      <t>2</t>
    </r>
    <r>
      <rPr>
        <b/>
        <sz val="12"/>
        <color theme="1"/>
        <rFont val="Avenir LT Std 55 Roman"/>
        <family val="2"/>
      </rPr>
      <t>e/mile-DGE</t>
    </r>
  </si>
  <si>
    <r>
      <t>gCO</t>
    </r>
    <r>
      <rPr>
        <b/>
        <vertAlign val="subscript"/>
        <sz val="12"/>
        <color theme="1"/>
        <rFont val="Avenir LT Std 55 Roman"/>
        <family val="2"/>
      </rPr>
      <t>2</t>
    </r>
    <r>
      <rPr>
        <b/>
        <sz val="12"/>
        <color theme="1"/>
        <rFont val="Avenir LT Std 55 Roman"/>
        <family val="2"/>
      </rPr>
      <t>e/unit of fuel</t>
    </r>
  </si>
  <si>
    <r>
      <t>gCO</t>
    </r>
    <r>
      <rPr>
        <b/>
        <vertAlign val="subscript"/>
        <sz val="12"/>
        <rFont val="Avenir LT Std 55 Roman"/>
        <family val="2"/>
      </rPr>
      <t>2</t>
    </r>
    <r>
      <rPr>
        <b/>
        <sz val="12"/>
        <rFont val="Avenir LT Std 55 Roman"/>
        <family val="2"/>
      </rPr>
      <t>e/mile</t>
    </r>
  </si>
  <si>
    <r>
      <t>Local NO</t>
    </r>
    <r>
      <rPr>
        <vertAlign val="subscript"/>
        <sz val="12"/>
        <color theme="1"/>
        <rFont val="Avenir LT Std 55 Roman"/>
        <family val="2"/>
      </rPr>
      <t>x</t>
    </r>
    <r>
      <rPr>
        <sz val="12"/>
        <color theme="1"/>
        <rFont val="Avenir LT Std 55 Roman"/>
        <family val="2"/>
      </rPr>
      <t xml:space="preserve"> Emission Reductions (lbs)</t>
    </r>
  </si>
  <si>
    <r>
      <t>Local PM</t>
    </r>
    <r>
      <rPr>
        <vertAlign val="subscript"/>
        <sz val="12"/>
        <color theme="1"/>
        <rFont val="Avenir LT Std 55 Roman"/>
        <family val="2"/>
      </rPr>
      <t>2.5</t>
    </r>
    <r>
      <rPr>
        <sz val="12"/>
        <color theme="1"/>
        <rFont val="Avenir LT Std 55 Roman"/>
        <family val="2"/>
      </rPr>
      <t xml:space="preserve"> Emission Reductions (lbs)</t>
    </r>
  </si>
  <si>
    <r>
      <t>Total GHG Emission Reductions (MTCO</t>
    </r>
    <r>
      <rPr>
        <vertAlign val="subscript"/>
        <sz val="12"/>
        <color theme="1"/>
        <rFont val="Avenir LT Std 55 Roman"/>
        <family val="2"/>
      </rPr>
      <t>2</t>
    </r>
    <r>
      <rPr>
        <sz val="12"/>
        <color theme="1"/>
        <rFont val="Avenir LT Std 55 Roman"/>
        <family val="2"/>
      </rPr>
      <t>e)</t>
    </r>
  </si>
  <si>
    <r>
      <t>Total GHG Emission Reductions per Total GGRF Funds (MTCO</t>
    </r>
    <r>
      <rPr>
        <vertAlign val="subscript"/>
        <sz val="12"/>
        <color theme="1"/>
        <rFont val="Avenir LT Std 55 Roman"/>
        <family val="2"/>
      </rPr>
      <t>2</t>
    </r>
    <r>
      <rPr>
        <sz val="12"/>
        <color theme="1"/>
        <rFont val="Avenir LT Std 55 Roman"/>
        <family val="2"/>
      </rPr>
      <t>e/$)</t>
    </r>
  </si>
  <si>
    <r>
      <t>GHG Emission Reductions (MTCO</t>
    </r>
    <r>
      <rPr>
        <vertAlign val="subscript"/>
        <sz val="12"/>
        <rFont val="Avenir LT Std 55 Roman"/>
        <family val="2"/>
      </rPr>
      <t>2</t>
    </r>
    <r>
      <rPr>
        <sz val="12"/>
        <rFont val="Avenir LT Std 55 Roman"/>
        <family val="2"/>
      </rPr>
      <t>e)</t>
    </r>
  </si>
  <si>
    <r>
      <t>Auto GHG Emission Reductions (MTCO</t>
    </r>
    <r>
      <rPr>
        <vertAlign val="subscript"/>
        <sz val="12"/>
        <color theme="1"/>
        <rFont val="Avenir LT Std 55 Roman"/>
        <family val="2"/>
      </rPr>
      <t>2</t>
    </r>
    <r>
      <rPr>
        <sz val="12"/>
        <color theme="1"/>
        <rFont val="Avenir LT Std 55 Roman"/>
        <family val="2"/>
      </rPr>
      <t>e)</t>
    </r>
  </si>
  <si>
    <r>
      <t>Auto NO</t>
    </r>
    <r>
      <rPr>
        <vertAlign val="subscript"/>
        <sz val="12"/>
        <color theme="1"/>
        <rFont val="Avenir LT Std 55 Roman"/>
        <family val="2"/>
      </rPr>
      <t xml:space="preserve">x </t>
    </r>
    <r>
      <rPr>
        <sz val="12"/>
        <color theme="1"/>
        <rFont val="Avenir LT Std 55 Roman"/>
        <family val="2"/>
      </rPr>
      <t>Emission Reductions (lbs)</t>
    </r>
  </si>
  <si>
    <r>
      <t>Auto PM</t>
    </r>
    <r>
      <rPr>
        <vertAlign val="subscript"/>
        <sz val="12"/>
        <color theme="1"/>
        <rFont val="Avenir LT Std 55 Roman"/>
        <family val="2"/>
      </rPr>
      <t xml:space="preserve">2.5 </t>
    </r>
    <r>
      <rPr>
        <sz val="12"/>
        <color theme="1"/>
        <rFont val="Avenir LT Std 55 Roman"/>
        <family val="2"/>
      </rPr>
      <t>Emission Reductions (lbs)</t>
    </r>
  </si>
  <si>
    <r>
      <t>Transit Vehicle GHG Emissions (MTCO</t>
    </r>
    <r>
      <rPr>
        <vertAlign val="subscript"/>
        <sz val="12"/>
        <color theme="1"/>
        <rFont val="Avenir LT Std 55 Roman"/>
        <family val="2"/>
      </rPr>
      <t>2</t>
    </r>
    <r>
      <rPr>
        <sz val="12"/>
        <color theme="1"/>
        <rFont val="Avenir LT Std 55 Roman"/>
        <family val="2"/>
      </rPr>
      <t>e)</t>
    </r>
  </si>
  <si>
    <r>
      <t>Transit Vehicle NO</t>
    </r>
    <r>
      <rPr>
        <vertAlign val="subscript"/>
        <sz val="12"/>
        <color theme="1"/>
        <rFont val="Avenir LT Std 55 Roman"/>
        <family val="2"/>
      </rPr>
      <t xml:space="preserve">x </t>
    </r>
    <r>
      <rPr>
        <sz val="12"/>
        <color theme="1"/>
        <rFont val="Avenir LT Std 55 Roman"/>
        <family val="2"/>
      </rPr>
      <t>Emissions (lbs)</t>
    </r>
  </si>
  <si>
    <r>
      <t>Transit Vehicle PM</t>
    </r>
    <r>
      <rPr>
        <vertAlign val="subscript"/>
        <sz val="12"/>
        <color theme="1"/>
        <rFont val="Avenir LT Std 55 Roman"/>
        <family val="2"/>
      </rPr>
      <t xml:space="preserve">2.5 </t>
    </r>
    <r>
      <rPr>
        <sz val="12"/>
        <color theme="1"/>
        <rFont val="Avenir LT Std 55 Roman"/>
        <family val="2"/>
      </rPr>
      <t>Emissions (lbs)</t>
    </r>
  </si>
  <si>
    <t>Required for projects including grid-connected solar photovoltaic systems</t>
  </si>
  <si>
    <r>
      <rPr>
        <sz val="12"/>
        <rFont val="Avenir LT Std 55 Roman"/>
        <family val="2"/>
      </rPr>
      <t xml:space="preserve">Available at:  </t>
    </r>
    <r>
      <rPr>
        <u/>
        <sz val="12"/>
        <color theme="10"/>
        <rFont val="Avenir LT Std 55 Roman"/>
        <family val="2"/>
      </rPr>
      <t>pvwatts.nrel.gov</t>
    </r>
  </si>
  <si>
    <t>Third-party Tools</t>
  </si>
  <si>
    <t>Colusa_2015</t>
  </si>
  <si>
    <t>Colusa_2016</t>
  </si>
  <si>
    <t>EMFAC2017 (v1.0.2) Emissions</t>
  </si>
  <si>
    <t>https://www.arb.ca.gov/emfac/2017/</t>
  </si>
  <si>
    <t>EMFAC2017 (v1.0.2) Emission Rates</t>
  </si>
  <si>
    <t>Fuel Economy (gal/mi)</t>
  </si>
  <si>
    <t>2015_1971</t>
  </si>
  <si>
    <t>2015_1972</t>
  </si>
  <si>
    <t>2015_1973</t>
  </si>
  <si>
    <t>2015_1974</t>
  </si>
  <si>
    <t>2015_1975</t>
  </si>
  <si>
    <t>2015_1976</t>
  </si>
  <si>
    <t>2015_1977</t>
  </si>
  <si>
    <t>2015_1978</t>
  </si>
  <si>
    <t>2015_1979</t>
  </si>
  <si>
    <t>2015_1980</t>
  </si>
  <si>
    <t>2015_1981</t>
  </si>
  <si>
    <t>2015_1982</t>
  </si>
  <si>
    <t>2015_1983</t>
  </si>
  <si>
    <t>2015_1984</t>
  </si>
  <si>
    <t>2015_1985</t>
  </si>
  <si>
    <t>2015_1986</t>
  </si>
  <si>
    <t>2015_1987</t>
  </si>
  <si>
    <t>2015_1988</t>
  </si>
  <si>
    <t>2015_1989</t>
  </si>
  <si>
    <t>2015_1990</t>
  </si>
  <si>
    <t>2015_1991</t>
  </si>
  <si>
    <t>2015_1992</t>
  </si>
  <si>
    <t>2015_1993</t>
  </si>
  <si>
    <t>2015_1994</t>
  </si>
  <si>
    <t>2015_1995</t>
  </si>
  <si>
    <t>2015_1996</t>
  </si>
  <si>
    <t>2015_1997</t>
  </si>
  <si>
    <t>2015_1998</t>
  </si>
  <si>
    <t>2015_1999</t>
  </si>
  <si>
    <t>2015_2000</t>
  </si>
  <si>
    <t>2015_2001</t>
  </si>
  <si>
    <t>2015_2002</t>
  </si>
  <si>
    <t>2015_2003</t>
  </si>
  <si>
    <t>2015_2004</t>
  </si>
  <si>
    <t>2015_2005</t>
  </si>
  <si>
    <t>2015_2006</t>
  </si>
  <si>
    <t>2015_2007</t>
  </si>
  <si>
    <t>2015_2008</t>
  </si>
  <si>
    <t>2015_2009</t>
  </si>
  <si>
    <t>2015_2010</t>
  </si>
  <si>
    <t>2015_2011</t>
  </si>
  <si>
    <t>2015_2012</t>
  </si>
  <si>
    <t>2015_2013</t>
  </si>
  <si>
    <t>2015_2014</t>
  </si>
  <si>
    <t>2015_2015</t>
  </si>
  <si>
    <t>2016_1974</t>
  </si>
  <si>
    <t>2016_1975</t>
  </si>
  <si>
    <t>2016_1976</t>
  </si>
  <si>
    <t>2016_1977</t>
  </si>
  <si>
    <t>2016_1978</t>
  </si>
  <si>
    <t>2016_1979</t>
  </si>
  <si>
    <t>2016_1980</t>
  </si>
  <si>
    <t>2016_1981</t>
  </si>
  <si>
    <t>2016_1982</t>
  </si>
  <si>
    <t>2016_1983</t>
  </si>
  <si>
    <t>2016_1984</t>
  </si>
  <si>
    <t>2016_1985</t>
  </si>
  <si>
    <t>2016_1986</t>
  </si>
  <si>
    <t>2016_1987</t>
  </si>
  <si>
    <t>2016_1988</t>
  </si>
  <si>
    <t>2016_1989</t>
  </si>
  <si>
    <t>2016_1990</t>
  </si>
  <si>
    <t>2016_1991</t>
  </si>
  <si>
    <t>2016_1992</t>
  </si>
  <si>
    <t>2016_1993</t>
  </si>
  <si>
    <t>2016_1994</t>
  </si>
  <si>
    <t>2016_1995</t>
  </si>
  <si>
    <t>2016_1996</t>
  </si>
  <si>
    <t>2016_1997</t>
  </si>
  <si>
    <t>2016_1998</t>
  </si>
  <si>
    <t>2016_1999</t>
  </si>
  <si>
    <t>2016_2000</t>
  </si>
  <si>
    <t>2016_2001</t>
  </si>
  <si>
    <t>2016_2002</t>
  </si>
  <si>
    <t>2016_2003</t>
  </si>
  <si>
    <t>2016_2004</t>
  </si>
  <si>
    <t>2016_2005</t>
  </si>
  <si>
    <t>2016_2006</t>
  </si>
  <si>
    <t>2016_2007</t>
  </si>
  <si>
    <t>2016_2008</t>
  </si>
  <si>
    <t>2016_2009</t>
  </si>
  <si>
    <t>2016_2010</t>
  </si>
  <si>
    <t>2016_2011</t>
  </si>
  <si>
    <t>2016_2012</t>
  </si>
  <si>
    <t>2016_2013</t>
  </si>
  <si>
    <t>2016_2014</t>
  </si>
  <si>
    <t>2016_2015</t>
  </si>
  <si>
    <t>2016_2016</t>
  </si>
  <si>
    <r>
      <t>PM</t>
    </r>
    <r>
      <rPr>
        <b/>
        <vertAlign val="subscript"/>
        <sz val="12"/>
        <color theme="1"/>
        <rFont val="Avenir LT Std 55 Roman"/>
        <family val="2"/>
      </rPr>
      <t>2.5</t>
    </r>
    <r>
      <rPr>
        <b/>
        <sz val="12"/>
        <color theme="1"/>
        <rFont val="Avenir LT Std 55 Roman"/>
        <family val="2"/>
      </rPr>
      <t xml:space="preserve"> Tire Wear (g/mile)</t>
    </r>
  </si>
  <si>
    <r>
      <t>PM</t>
    </r>
    <r>
      <rPr>
        <b/>
        <vertAlign val="subscript"/>
        <sz val="12"/>
        <color theme="1"/>
        <rFont val="Avenir LT Std 55 Roman"/>
        <family val="2"/>
      </rPr>
      <t>2.5</t>
    </r>
    <r>
      <rPr>
        <b/>
        <sz val="12"/>
        <color theme="1"/>
        <rFont val="Avenir LT Std 55 Roman"/>
        <family val="2"/>
      </rPr>
      <t xml:space="preserve"> Brake Wear (g/mile)</t>
    </r>
  </si>
  <si>
    <r>
      <t>Transit Vehicle Diesel PM</t>
    </r>
    <r>
      <rPr>
        <vertAlign val="subscript"/>
        <sz val="12"/>
        <color theme="1"/>
        <rFont val="Avenir LT Std 55 Roman"/>
        <family val="2"/>
      </rPr>
      <t>10</t>
    </r>
    <r>
      <rPr>
        <sz val="12"/>
        <color theme="1"/>
        <rFont val="Avenir LT Std 55 Roman"/>
        <family val="2"/>
      </rPr>
      <t xml:space="preserve"> Emissions (lbs)</t>
    </r>
  </si>
  <si>
    <r>
      <t>Local Diesel PM</t>
    </r>
    <r>
      <rPr>
        <vertAlign val="subscript"/>
        <sz val="12"/>
        <color theme="1"/>
        <rFont val="Avenir LT Std 55 Roman"/>
        <family val="2"/>
      </rPr>
      <t>10</t>
    </r>
    <r>
      <rPr>
        <sz val="12"/>
        <color theme="1"/>
        <rFont val="Avenir LT Std 55 Roman"/>
        <family val="2"/>
      </rPr>
      <t xml:space="preserve"> Emission Reductions (lbs)</t>
    </r>
  </si>
  <si>
    <t>New Transit Trips</t>
  </si>
  <si>
    <t>Transit Cost ($)</t>
  </si>
  <si>
    <t>Avoided Weekday Parking Cost ($)</t>
  </si>
  <si>
    <t>Avoided Weekend Parking Cost ($)</t>
  </si>
  <si>
    <t>New Bike or Ped Trips</t>
  </si>
  <si>
    <t>Avoided Bridge Toll ($)</t>
  </si>
  <si>
    <t>Transit Facility Parking Cost ($)</t>
  </si>
  <si>
    <t>Avoided Auto Miles Cost ($)</t>
  </si>
  <si>
    <t>Weekday Downtown</t>
  </si>
  <si>
    <t>Weekend Downtown</t>
  </si>
  <si>
    <t>Total Travel Cost Savings ($)</t>
  </si>
  <si>
    <t>Travel Cost Savings</t>
  </si>
  <si>
    <t>System-wide Average One-way Fare ($)</t>
  </si>
  <si>
    <t>Vehicle Classification:  EMFAC2011 Categories [UBUS]</t>
  </si>
  <si>
    <t>ROG Idle (g/mile)</t>
  </si>
  <si>
    <r>
      <t>PM</t>
    </r>
    <r>
      <rPr>
        <b/>
        <vertAlign val="subscript"/>
        <sz val="12"/>
        <rFont val="Arial"/>
        <family val="2"/>
      </rPr>
      <t>2.5</t>
    </r>
    <r>
      <rPr>
        <b/>
        <sz val="12"/>
        <rFont val="Arial"/>
        <family val="2"/>
      </rPr>
      <t xml:space="preserve"> Tire Wear (g/mile)</t>
    </r>
  </si>
  <si>
    <r>
      <t>PM</t>
    </r>
    <r>
      <rPr>
        <b/>
        <vertAlign val="subscript"/>
        <sz val="12"/>
        <rFont val="Arial"/>
        <family val="2"/>
      </rPr>
      <t>2.5</t>
    </r>
    <r>
      <rPr>
        <b/>
        <sz val="12"/>
        <rFont val="Arial"/>
        <family val="2"/>
      </rPr>
      <t xml:space="preserve"> Brake Wear (g/mile)</t>
    </r>
  </si>
  <si>
    <t>2015_2016</t>
  </si>
  <si>
    <t>2016_2017</t>
  </si>
  <si>
    <r>
      <t>* Criteria pollutant and toxic emission factors for Over-Road Coaches utilize the RUNEX and IDLEX emission factors (g/mile), and the PMTW and PMBW emission factors (g/mile) for PM</t>
    </r>
    <r>
      <rPr>
        <vertAlign val="subscript"/>
        <sz val="12"/>
        <rFont val="Avenir LT Std 55 Roman"/>
        <family val="2"/>
      </rPr>
      <t>2.5</t>
    </r>
  </si>
  <si>
    <r>
      <t>NO</t>
    </r>
    <r>
      <rPr>
        <b/>
        <vertAlign val="subscript"/>
        <sz val="12"/>
        <color theme="1"/>
        <rFont val="Avenir LT Std 55 Roman"/>
        <family val="2"/>
      </rPr>
      <t>x</t>
    </r>
    <r>
      <rPr>
        <b/>
        <sz val="12"/>
        <color theme="1"/>
        <rFont val="Avenir LT Std 55 Roman"/>
        <family val="2"/>
      </rPr>
      <t xml:space="preserve"> Idle (g/mile)</t>
    </r>
  </si>
  <si>
    <r>
      <t>PM</t>
    </r>
    <r>
      <rPr>
        <b/>
        <vertAlign val="subscript"/>
        <sz val="12"/>
        <rFont val="Avenir LT Std 55 Roman"/>
        <family val="2"/>
      </rPr>
      <t>2.5</t>
    </r>
    <r>
      <rPr>
        <b/>
        <sz val="12"/>
        <rFont val="Avenir LT Std 55 Roman"/>
        <family val="2"/>
      </rPr>
      <t xml:space="preserve"> Idle (g/mile)</t>
    </r>
  </si>
  <si>
    <r>
      <t>PM</t>
    </r>
    <r>
      <rPr>
        <b/>
        <vertAlign val="subscript"/>
        <sz val="12"/>
        <rFont val="Avenir LT Std 55 Roman"/>
        <family val="2"/>
      </rPr>
      <t>2.5</t>
    </r>
    <r>
      <rPr>
        <b/>
        <sz val="12"/>
        <rFont val="Avenir LT Std 55 Roman"/>
        <family val="2"/>
      </rPr>
      <t xml:space="preserve"> Tire Wear (g/mile)</t>
    </r>
  </si>
  <si>
    <r>
      <t>PM</t>
    </r>
    <r>
      <rPr>
        <b/>
        <vertAlign val="subscript"/>
        <sz val="12"/>
        <rFont val="Avenir LT Std 55 Roman"/>
        <family val="2"/>
      </rPr>
      <t>2.5</t>
    </r>
    <r>
      <rPr>
        <b/>
        <sz val="12"/>
        <rFont val="Avenir LT Std 55 Roman"/>
        <family val="2"/>
      </rPr>
      <t xml:space="preserve"> Brake Wear (g/mile)</t>
    </r>
  </si>
  <si>
    <r>
      <t>DSL PM</t>
    </r>
    <r>
      <rPr>
        <b/>
        <vertAlign val="subscript"/>
        <sz val="12"/>
        <rFont val="Avenir LT Std 55 Roman"/>
        <family val="2"/>
      </rPr>
      <t>10</t>
    </r>
    <r>
      <rPr>
        <b/>
        <sz val="12"/>
        <rFont val="Avenir LT Std 55 Roman"/>
        <family val="2"/>
      </rPr>
      <t xml:space="preserve"> Idle (g/mile)</t>
    </r>
  </si>
  <si>
    <r>
      <t>* Criteria pollutant and toxic emission factors for cut-a-ways utilize the RUNEX emission factors (g/mile), and the PMTW and PMBW emission factors (g/mile) for PM</t>
    </r>
    <r>
      <rPr>
        <vertAlign val="subscript"/>
        <sz val="12"/>
        <rFont val="Avenir LT Std 55 Roman"/>
        <family val="2"/>
      </rPr>
      <t>2.5</t>
    </r>
  </si>
  <si>
    <r>
      <t>NO</t>
    </r>
    <r>
      <rPr>
        <b/>
        <vertAlign val="subscript"/>
        <sz val="12"/>
        <rFont val="Avenir LT Std 55 Roman"/>
        <family val="2"/>
      </rPr>
      <t>x</t>
    </r>
    <r>
      <rPr>
        <b/>
        <sz val="12"/>
        <rFont val="Avenir LT Std 55 Roman"/>
        <family val="2"/>
      </rPr>
      <t xml:space="preserve"> (g/mile)</t>
    </r>
  </si>
  <si>
    <t>Select Criteria and Toxic Air Pollutant Emission Factors for Over-road Coaches (Motor Coach)</t>
  </si>
  <si>
    <t>Select Criteria and Toxic Air Pollutant Emission Factors for Cut-a-way (Shuttle)</t>
  </si>
  <si>
    <t>Annual Fuel Consumption of Ferry</t>
  </si>
  <si>
    <r>
      <t>Year Mid GHG Emission Factor (gCO</t>
    </r>
    <r>
      <rPr>
        <vertAlign val="subscript"/>
        <sz val="12"/>
        <color theme="1"/>
        <rFont val="Avenir LT Std 55 Roman"/>
        <family val="2"/>
      </rPr>
      <t>2</t>
    </r>
    <r>
      <rPr>
        <sz val="12"/>
        <color theme="1"/>
        <rFont val="Avenir LT Std 55 Roman"/>
        <family val="2"/>
      </rPr>
      <t>e/mile)</t>
    </r>
  </si>
  <si>
    <t>Year Mid ROG Emission Factor (g/mile)</t>
  </si>
  <si>
    <r>
      <t>Year Mid NO</t>
    </r>
    <r>
      <rPr>
        <vertAlign val="subscript"/>
        <sz val="12"/>
        <color theme="1"/>
        <rFont val="Avenir LT Std 55 Roman"/>
        <family val="2"/>
      </rPr>
      <t xml:space="preserve">x </t>
    </r>
    <r>
      <rPr>
        <sz val="12"/>
        <color theme="1"/>
        <rFont val="Avenir LT Std 55 Roman"/>
        <family val="2"/>
      </rPr>
      <t>Emission Factor (g/mile)</t>
    </r>
  </si>
  <si>
    <r>
      <t>Year Mid PM</t>
    </r>
    <r>
      <rPr>
        <vertAlign val="subscript"/>
        <sz val="12"/>
        <color theme="1"/>
        <rFont val="Avenir LT Std 55 Roman"/>
        <family val="2"/>
      </rPr>
      <t xml:space="preserve">2.5 </t>
    </r>
    <r>
      <rPr>
        <sz val="12"/>
        <color theme="1"/>
        <rFont val="Avenir LT Std 55 Roman"/>
        <family val="2"/>
      </rPr>
      <t>Emission Factor (g/mile)</t>
    </r>
  </si>
  <si>
    <r>
      <t>Year Mid Diesel PM</t>
    </r>
    <r>
      <rPr>
        <vertAlign val="subscript"/>
        <sz val="12"/>
        <color theme="1"/>
        <rFont val="Avenir LT Std 55 Roman"/>
        <family val="2"/>
      </rPr>
      <t>10</t>
    </r>
    <r>
      <rPr>
        <sz val="12"/>
        <color theme="1"/>
        <rFont val="Avenir LT Std 55 Roman"/>
        <family val="2"/>
      </rPr>
      <t xml:space="preserve"> Emission Factor (g/mile)</t>
    </r>
  </si>
  <si>
    <t>Local Bus</t>
  </si>
  <si>
    <t>YearMid_ModelYear</t>
  </si>
  <si>
    <r>
      <t>Auto Diesel PM</t>
    </r>
    <r>
      <rPr>
        <vertAlign val="subscript"/>
        <sz val="12"/>
        <color theme="1"/>
        <rFont val="Avenir LT Std 55 Roman"/>
        <family val="2"/>
      </rPr>
      <t xml:space="preserve">10 </t>
    </r>
    <r>
      <rPr>
        <sz val="12"/>
        <color theme="1"/>
        <rFont val="Avenir LT Std 55 Roman"/>
        <family val="2"/>
      </rPr>
      <t>Emission Reductions (lbs)</t>
    </r>
  </si>
  <si>
    <t>Fossil Fuel Use Reductions (gal)</t>
  </si>
  <si>
    <t>Auto Fossil Fuel Use Reductions (gal)</t>
  </si>
  <si>
    <t>Local Bus Emissions</t>
  </si>
  <si>
    <t>Well-to-wheel GHG Emission Factors for Various Modes of Transportation by Fuel Type</t>
  </si>
  <si>
    <t>Shuttle</t>
  </si>
  <si>
    <t>Fuel Types by Transit Vehicle</t>
  </si>
  <si>
    <t>Well-to-Wheel GHG Emission Factors for Various Fuel Types</t>
  </si>
  <si>
    <t>*Units are gallons for biodiesel, diesel, gasoline, liquefied natural gas, and renewable diesel; scf for compressed natural gas and renewable natural gas; kWh for electric; and kilogram for hydrogen.</t>
  </si>
  <si>
    <t>Light Rail</t>
  </si>
  <si>
    <t>Coach</t>
  </si>
  <si>
    <t>LightRail</t>
  </si>
  <si>
    <t>TransitBus</t>
  </si>
  <si>
    <t>HeavyRail</t>
  </si>
  <si>
    <t>Vanpool</t>
  </si>
  <si>
    <t>Streetcar</t>
  </si>
  <si>
    <t>Useful Life (years)</t>
  </si>
  <si>
    <t>Fuel Type</t>
  </si>
  <si>
    <t>Long-distance Commuter Bus</t>
  </si>
  <si>
    <t>Long-distance Commuter Bus Emissions</t>
  </si>
  <si>
    <t>Light Rail Emissions</t>
  </si>
  <si>
    <t>Vanpool Emissions</t>
  </si>
  <si>
    <t>Shuttle Emissions</t>
  </si>
  <si>
    <t>Ferry Emissions</t>
  </si>
  <si>
    <t>Annual VMT</t>
  </si>
  <si>
    <t>Cut-a-way (Shuttle)</t>
  </si>
  <si>
    <r>
      <t>GHG Emissions (MTCO</t>
    </r>
    <r>
      <rPr>
        <vertAlign val="subscript"/>
        <sz val="12"/>
        <color theme="0"/>
        <rFont val="Avenir LT Std 55 Roman"/>
        <family val="2"/>
      </rPr>
      <t>2</t>
    </r>
    <r>
      <rPr>
        <sz val="12"/>
        <color theme="0"/>
        <rFont val="Avenir LT Std 55 Roman"/>
        <family val="2"/>
      </rPr>
      <t>e)</t>
    </r>
  </si>
  <si>
    <t>Hybrid?</t>
  </si>
  <si>
    <t>ROG Emissions (lbs)</t>
  </si>
  <si>
    <r>
      <t>NO</t>
    </r>
    <r>
      <rPr>
        <vertAlign val="subscript"/>
        <sz val="12"/>
        <color theme="0"/>
        <rFont val="Avenir LT Std 55 Roman"/>
        <family val="2"/>
      </rPr>
      <t>x</t>
    </r>
    <r>
      <rPr>
        <sz val="12"/>
        <color theme="0"/>
        <rFont val="Avenir LT Std 55 Roman"/>
        <family val="2"/>
      </rPr>
      <t xml:space="preserve"> Emissions (lbs)</t>
    </r>
  </si>
  <si>
    <r>
      <t>PM</t>
    </r>
    <r>
      <rPr>
        <vertAlign val="subscript"/>
        <sz val="12"/>
        <color theme="0"/>
        <rFont val="Avenir LT Std 55 Roman"/>
        <family val="2"/>
      </rPr>
      <t xml:space="preserve">2.5 </t>
    </r>
    <r>
      <rPr>
        <sz val="12"/>
        <color theme="0"/>
        <rFont val="Avenir LT Std 55 Roman"/>
        <family val="2"/>
      </rPr>
      <t>Emissions (lbs)</t>
    </r>
  </si>
  <si>
    <r>
      <t>Diesel PM</t>
    </r>
    <r>
      <rPr>
        <vertAlign val="subscript"/>
        <sz val="12"/>
        <color theme="0"/>
        <rFont val="Avenir LT Std 55 Roman"/>
        <family val="2"/>
      </rPr>
      <t>10</t>
    </r>
    <r>
      <rPr>
        <sz val="12"/>
        <color theme="0"/>
        <rFont val="Avenir LT Std 55 Roman"/>
        <family val="2"/>
      </rPr>
      <t xml:space="preserve"> Emissions (lbs)</t>
    </r>
  </si>
  <si>
    <t>Transit Bus or Over-road Coach</t>
  </si>
  <si>
    <t>* Criteria pollutant and toxic emission factors for Vans utilize only the RUNEX, PMTW, and PMWB emission factors (g/mile)</t>
  </si>
  <si>
    <r>
      <t>* Criteria pollutant and toxic emission factors for Urban Buses utilize the RUNEX emission factors (g/mile), and the PMTW and PMBW emission factors (g/mile) for PM</t>
    </r>
    <r>
      <rPr>
        <vertAlign val="subscript"/>
        <sz val="12"/>
        <rFont val="Avenir LT Std 55 Roman"/>
        <family val="2"/>
      </rPr>
      <t>2.5.</t>
    </r>
  </si>
  <si>
    <t>Vehicle Classification:  EMFAC2011 Categories [LHD2]</t>
  </si>
  <si>
    <t>Vehicle Classification:  EMFAC2011 Categories [LHD1]</t>
  </si>
  <si>
    <t>Vehicle Classification:  EMFAC2011 Categories [Motor Coach]</t>
  </si>
  <si>
    <t>Vehicle Classification:  EMFAC2011 Categories [LDA, LDT1, LDT2, MDV]</t>
  </si>
  <si>
    <t>Annual Fuel Consumption</t>
  </si>
  <si>
    <t>Transit Vehicle Fossil Fuel Use (gal)</t>
  </si>
  <si>
    <r>
      <t>GHG Emission Factor (gCO</t>
    </r>
    <r>
      <rPr>
        <vertAlign val="subscript"/>
        <sz val="12"/>
        <color theme="1"/>
        <rFont val="Avenir LT Std 55 Roman"/>
        <family val="2"/>
      </rPr>
      <t>2</t>
    </r>
    <r>
      <rPr>
        <sz val="12"/>
        <color theme="1"/>
        <rFont val="Avenir LT Std 55 Roman"/>
        <family val="2"/>
      </rPr>
      <t>e/mile)</t>
    </r>
  </si>
  <si>
    <t>ROG Emission Factor (g/mile)</t>
  </si>
  <si>
    <r>
      <t>NO</t>
    </r>
    <r>
      <rPr>
        <vertAlign val="subscript"/>
        <sz val="12"/>
        <color theme="1"/>
        <rFont val="Avenir LT Std 55 Roman"/>
        <family val="2"/>
      </rPr>
      <t xml:space="preserve">x </t>
    </r>
    <r>
      <rPr>
        <sz val="12"/>
        <color theme="1"/>
        <rFont val="Avenir LT Std 55 Roman"/>
        <family val="2"/>
      </rPr>
      <t>Emission Factor (g/mile)</t>
    </r>
  </si>
  <si>
    <r>
      <t>PM</t>
    </r>
    <r>
      <rPr>
        <vertAlign val="subscript"/>
        <sz val="12"/>
        <color theme="1"/>
        <rFont val="Avenir LT Std 55 Roman"/>
        <family val="2"/>
      </rPr>
      <t xml:space="preserve">2.5 </t>
    </r>
    <r>
      <rPr>
        <sz val="12"/>
        <color theme="1"/>
        <rFont val="Avenir LT Std 55 Roman"/>
        <family val="2"/>
      </rPr>
      <t>Emission Factor (g/mile)</t>
    </r>
  </si>
  <si>
    <r>
      <t>Diesel PM</t>
    </r>
    <r>
      <rPr>
        <vertAlign val="subscript"/>
        <sz val="12"/>
        <color theme="1"/>
        <rFont val="Avenir LT Std 55 Roman"/>
        <family val="2"/>
      </rPr>
      <t>10</t>
    </r>
    <r>
      <rPr>
        <sz val="12"/>
        <color theme="1"/>
        <rFont val="Avenir LT Std 55 Roman"/>
        <family val="2"/>
      </rPr>
      <t xml:space="preserve"> Emission Factor (g/mile)</t>
    </r>
  </si>
  <si>
    <r>
      <t>GHG Emission Factor (gCO</t>
    </r>
    <r>
      <rPr>
        <vertAlign val="subscript"/>
        <sz val="12"/>
        <color theme="1"/>
        <rFont val="Avenir LT Std 55 Roman"/>
        <family val="2"/>
      </rPr>
      <t>2</t>
    </r>
    <r>
      <rPr>
        <sz val="12"/>
        <color theme="1"/>
        <rFont val="Avenir LT Std 55 Roman"/>
        <family val="2"/>
      </rPr>
      <t>e/unit fuel)</t>
    </r>
  </si>
  <si>
    <t>ROG Emission Factor (g/unit of fuel)</t>
  </si>
  <si>
    <r>
      <t>NO</t>
    </r>
    <r>
      <rPr>
        <vertAlign val="subscript"/>
        <sz val="12"/>
        <color theme="1"/>
        <rFont val="Avenir LT Std 55 Roman"/>
        <family val="2"/>
      </rPr>
      <t xml:space="preserve">x </t>
    </r>
    <r>
      <rPr>
        <sz val="12"/>
        <color theme="1"/>
        <rFont val="Avenir LT Std 55 Roman"/>
        <family val="2"/>
      </rPr>
      <t>Emission Factor (g/unit of fuel)</t>
    </r>
  </si>
  <si>
    <r>
      <t>PM</t>
    </r>
    <r>
      <rPr>
        <vertAlign val="subscript"/>
        <sz val="12"/>
        <color theme="1"/>
        <rFont val="Avenir LT Std 55 Roman"/>
        <family val="2"/>
      </rPr>
      <t xml:space="preserve">2.5 </t>
    </r>
    <r>
      <rPr>
        <sz val="12"/>
        <color theme="1"/>
        <rFont val="Avenir LT Std 55 Roman"/>
        <family val="2"/>
      </rPr>
      <t>Emission Factor (g/unit of fuel)</t>
    </r>
  </si>
  <si>
    <r>
      <t>Diesel PM</t>
    </r>
    <r>
      <rPr>
        <vertAlign val="subscript"/>
        <sz val="12"/>
        <color theme="1"/>
        <rFont val="Avenir LT Std 55 Roman"/>
        <family val="2"/>
      </rPr>
      <t>10</t>
    </r>
    <r>
      <rPr>
        <sz val="12"/>
        <color theme="1"/>
        <rFont val="Avenir LT Std 55 Roman"/>
        <family val="2"/>
      </rPr>
      <t xml:space="preserve"> Emission Factor (g/unit of fuel)</t>
    </r>
  </si>
  <si>
    <t>Capital Improvement</t>
  </si>
  <si>
    <r>
      <t>Local NO</t>
    </r>
    <r>
      <rPr>
        <vertAlign val="subscript"/>
        <sz val="12"/>
        <rFont val="Avenir LT Std 55 Roman"/>
        <family val="2"/>
      </rPr>
      <t>x</t>
    </r>
    <r>
      <rPr>
        <sz val="12"/>
        <rFont val="Avenir LT Std 55 Roman"/>
        <family val="2"/>
      </rPr>
      <t xml:space="preserve"> Emission Reductions (lbs)</t>
    </r>
  </si>
  <si>
    <r>
      <t>Local PM</t>
    </r>
    <r>
      <rPr>
        <vertAlign val="subscript"/>
        <sz val="12"/>
        <rFont val="Avenir LT Std 55 Roman"/>
        <family val="2"/>
      </rPr>
      <t>2.5</t>
    </r>
    <r>
      <rPr>
        <sz val="12"/>
        <rFont val="Avenir LT Std 55 Roman"/>
        <family val="2"/>
      </rPr>
      <t xml:space="preserve"> Emission Reductions (lbs)</t>
    </r>
  </si>
  <si>
    <r>
      <t>Local Diesel PM</t>
    </r>
    <r>
      <rPr>
        <vertAlign val="subscript"/>
        <sz val="12"/>
        <rFont val="Avenir LT Std 55 Roman"/>
        <family val="2"/>
      </rPr>
      <t>10</t>
    </r>
    <r>
      <rPr>
        <sz val="12"/>
        <rFont val="Avenir LT Std 55 Roman"/>
        <family val="2"/>
      </rPr>
      <t xml:space="preserve"> Emission Reductions (lbs)</t>
    </r>
  </si>
  <si>
    <t>Co-benefits and Key Variables</t>
  </si>
  <si>
    <t>Per Total GGRF Funds</t>
  </si>
  <si>
    <t>Per AHSC GGRF Funds</t>
  </si>
  <si>
    <r>
      <t>GHG Emission Reductions (MTCO</t>
    </r>
    <r>
      <rPr>
        <vertAlign val="subscript"/>
        <sz val="12"/>
        <color theme="1"/>
        <rFont val="Avenir LT Std 55 Roman"/>
        <family val="2"/>
      </rPr>
      <t>2</t>
    </r>
    <r>
      <rPr>
        <sz val="12"/>
        <color theme="1"/>
        <rFont val="Avenir LT Std 55 Roman"/>
        <family val="2"/>
      </rPr>
      <t>e)</t>
    </r>
  </si>
  <si>
    <r>
      <t>Local  PM</t>
    </r>
    <r>
      <rPr>
        <vertAlign val="subscript"/>
        <sz val="12"/>
        <color theme="1"/>
        <rFont val="Avenir LT Std 55 Roman"/>
        <family val="2"/>
      </rPr>
      <t>2.5</t>
    </r>
    <r>
      <rPr>
        <sz val="12"/>
        <color theme="1"/>
        <rFont val="Avenir LT Std 55 Roman"/>
        <family val="2"/>
      </rPr>
      <t xml:space="preserve"> Emissions (lbs)</t>
    </r>
  </si>
  <si>
    <r>
      <t>Local Diesel PM</t>
    </r>
    <r>
      <rPr>
        <vertAlign val="subscript"/>
        <sz val="12"/>
        <color theme="1"/>
        <rFont val="Avenir LT Std 55 Roman"/>
        <family val="2"/>
      </rPr>
      <t>10</t>
    </r>
    <r>
      <rPr>
        <sz val="12"/>
        <color theme="1"/>
        <rFont val="Avenir LT Std 55 Roman"/>
        <family val="2"/>
      </rPr>
      <t xml:space="preserve"> Emissions (lbs)</t>
    </r>
  </si>
  <si>
    <t>Fare Recovered ($)</t>
  </si>
  <si>
    <t>Alternative Fuel Use (GGE)</t>
  </si>
  <si>
    <t>$ per GGE</t>
  </si>
  <si>
    <t>Units per DGE</t>
  </si>
  <si>
    <t>Units per GGE</t>
  </si>
  <si>
    <t>Fossil Fuel Use (GGE)</t>
  </si>
  <si>
    <t>Fuel Consumption (GGE)</t>
  </si>
  <si>
    <t>Fuel Cost ($)</t>
  </si>
  <si>
    <t>Total Energy and Fuel Cost Savings $)</t>
  </si>
  <si>
    <t>Annual Unmitigated  VMT</t>
  </si>
  <si>
    <t>Home-Work</t>
  </si>
  <si>
    <t>Home-Shopping</t>
  </si>
  <si>
    <t>Home-Other</t>
  </si>
  <si>
    <t>Pass-by</t>
  </si>
  <si>
    <t>Diverted</t>
  </si>
  <si>
    <t>Primary</t>
  </si>
  <si>
    <t>Min Stories</t>
  </si>
  <si>
    <t>Min Subsidy</t>
  </si>
  <si>
    <t>Max Subsidy</t>
  </si>
  <si>
    <t>Max Stories</t>
  </si>
  <si>
    <t>Peak Parking Demand (vehicles per unit)</t>
  </si>
  <si>
    <t>Emission Reductions</t>
  </si>
  <si>
    <t>Annual Transit Pass Value ($)</t>
  </si>
  <si>
    <t>On-street Parking Price Increase (%)</t>
  </si>
  <si>
    <t>Unbundled Monthly Parking Cost ($)</t>
  </si>
  <si>
    <t>Total GGRF Funds ($)</t>
  </si>
  <si>
    <t>Contact information for the person who completed the quantification calculations</t>
  </si>
  <si>
    <t>Completed AHSC Benefits Calculator Tool (in .xlsx), with worksheets applicable to the project and all fields in the GHG Summary and Co-benefits Summary tabs populated</t>
  </si>
  <si>
    <t>Any other information as necessary and appropriate to substantiate AHSC Benefits Calculator Tool inputs; see project-specific documentation requirements below</t>
  </si>
  <si>
    <t>Documentation for All Projects</t>
  </si>
  <si>
    <t>Documentation for Affordable Housing Development Components</t>
  </si>
  <si>
    <t>Project area map documenting type and location of proposed traffic calming measures, if applicable</t>
  </si>
  <si>
    <t>Documentation of average daily traffic for the street parallel to each proposed bicycle or pedestrian facility, if applicable</t>
  </si>
  <si>
    <t>Map documenting proposed transit routes, if applicable</t>
  </si>
  <si>
    <t>Documentation for Housing-related Infrastructure Components</t>
  </si>
  <si>
    <t>Electronic copy of PVWatts results spreadsheet for proposed solar PV system, if applicable</t>
  </si>
  <si>
    <t>Documentation for Program Components</t>
  </si>
  <si>
    <t>Dwelling Units Receiving Transit Passes</t>
  </si>
  <si>
    <t>Documentation of the proposed transit subsidy program, including number of dwelling units to receive transit subsidies, annual value of transit subsidies to residents, and number of years for which subsidies will be funded</t>
  </si>
  <si>
    <t>AHSC applicants must enter basic project information in the table below before proceeding to the inputs tabs.</t>
  </si>
  <si>
    <t>This Benefits Calculator Tool requires data inputs obtained from the following third-party tool:</t>
  </si>
  <si>
    <t>Information for using this tool is available in the user guide (see above).</t>
  </si>
  <si>
    <t>Note to Applicants</t>
  </si>
  <si>
    <t>ABOUT</t>
  </si>
  <si>
    <t>National Renewable Energy Laboratory PVWatts® Calculator</t>
  </si>
  <si>
    <t>Transit Fuel Costs</t>
  </si>
  <si>
    <t>Transit Travel Costs</t>
  </si>
  <si>
    <r>
      <t>Rural Trip Lengths (miles)</t>
    </r>
    <r>
      <rPr>
        <vertAlign val="superscript"/>
        <sz val="12"/>
        <rFont val="Avenir LT Std 55 Roman"/>
        <family val="2"/>
      </rPr>
      <t>1</t>
    </r>
  </si>
  <si>
    <r>
      <t>Urban Trip Lengths (miles)</t>
    </r>
    <r>
      <rPr>
        <vertAlign val="superscript"/>
        <sz val="12"/>
        <rFont val="Avenir LT Std 55 Roman"/>
        <family val="2"/>
      </rPr>
      <t>1</t>
    </r>
  </si>
  <si>
    <r>
      <t>Land Use Subtypes, Parking Rates, and Trip Rates</t>
    </r>
    <r>
      <rPr>
        <vertAlign val="superscript"/>
        <sz val="12"/>
        <color theme="1"/>
        <rFont val="Avenir LT Std 55 Roman"/>
        <family val="2"/>
      </rPr>
      <t>2</t>
    </r>
  </si>
  <si>
    <r>
      <t>Density Requirements</t>
    </r>
    <r>
      <rPr>
        <vertAlign val="superscript"/>
        <sz val="12"/>
        <color theme="1"/>
        <rFont val="Avenir LT Std 55 Roman"/>
        <family val="2"/>
      </rPr>
      <t>4</t>
    </r>
  </si>
  <si>
    <r>
      <t>VMT Elasticities by Transit Subsidy Annual Value</t>
    </r>
    <r>
      <rPr>
        <vertAlign val="superscript"/>
        <sz val="12"/>
        <color theme="1"/>
        <rFont val="Avenir LT Std 55 Roman"/>
        <family val="2"/>
      </rPr>
      <t>3</t>
    </r>
  </si>
  <si>
    <r>
      <t>Maximum VMT Reductions by Mitigation Type</t>
    </r>
    <r>
      <rPr>
        <vertAlign val="superscript"/>
        <sz val="12"/>
        <color theme="1"/>
        <rFont val="Avenir LT Std 55 Roman"/>
        <family val="2"/>
      </rPr>
      <t>3</t>
    </r>
  </si>
  <si>
    <r>
      <t>Fuel Prices</t>
    </r>
    <r>
      <rPr>
        <vertAlign val="superscript"/>
        <sz val="12"/>
        <color theme="1"/>
        <rFont val="Avenir LT Std 55 Roman"/>
        <family val="2"/>
      </rPr>
      <t>2</t>
    </r>
  </si>
  <si>
    <r>
      <t>Electricity Prices</t>
    </r>
    <r>
      <rPr>
        <vertAlign val="superscript"/>
        <sz val="12"/>
        <rFont val="Avenir LT Std 55 Roman"/>
        <family val="2"/>
      </rPr>
      <t>2</t>
    </r>
  </si>
  <si>
    <r>
      <t>Transportation Prices</t>
    </r>
    <r>
      <rPr>
        <vertAlign val="superscript"/>
        <sz val="12"/>
        <color theme="1"/>
        <rFont val="Avenir LT Std 55 Roman"/>
        <family val="2"/>
      </rPr>
      <t>3</t>
    </r>
  </si>
  <si>
    <r>
      <t>Parking and Toll Prices</t>
    </r>
    <r>
      <rPr>
        <vertAlign val="superscript"/>
        <sz val="12"/>
        <rFont val="Avenir LT Std 55 Roman"/>
        <family val="2"/>
      </rPr>
      <t>3</t>
    </r>
  </si>
  <si>
    <r>
      <t>Adjustment Factors for University Towns with Population &lt; 250,000</t>
    </r>
    <r>
      <rPr>
        <vertAlign val="superscript"/>
        <sz val="12"/>
        <color theme="1"/>
        <rFont val="Avenir LT Std 55 Roman"/>
        <family val="2"/>
      </rPr>
      <t>1</t>
    </r>
  </si>
  <si>
    <t>Project Identification Number</t>
  </si>
  <si>
    <t>First Year Operational</t>
  </si>
  <si>
    <t>Other GGRF Funds ($)</t>
  </si>
  <si>
    <t>Other GGRF Funds Sources</t>
  </si>
  <si>
    <t>New Facility or Program Type</t>
  </si>
  <si>
    <t>New Active Transportation Facilities and Programs</t>
  </si>
  <si>
    <t>Criteria Constants</t>
  </si>
  <si>
    <t>Annual VMT of Transit Vehicle (miles)</t>
  </si>
  <si>
    <t>Increase Density</t>
  </si>
  <si>
    <t>Increase Diversity</t>
  </si>
  <si>
    <t>Increase Destination Accessibility</t>
  </si>
  <si>
    <t>Integrate Affordable Housing</t>
  </si>
  <si>
    <t>Total Land Use VMT Reductions</t>
  </si>
  <si>
    <t>Limit Parking Supply</t>
  </si>
  <si>
    <t>Unbundle Parking Costs</t>
  </si>
  <si>
    <t>Implement Market Price On-street Parking</t>
  </si>
  <si>
    <t>Total Parking VMT Reductions</t>
  </si>
  <si>
    <t>Implement Subsidized Transit Program</t>
  </si>
  <si>
    <r>
      <t>AHSC GHG Emission Reductions (MTCO</t>
    </r>
    <r>
      <rPr>
        <vertAlign val="subscript"/>
        <sz val="12"/>
        <color theme="1"/>
        <rFont val="Avenir LT Std 55 Roman"/>
        <family val="2"/>
      </rPr>
      <t>2</t>
    </r>
    <r>
      <rPr>
        <sz val="12"/>
        <color theme="1"/>
        <rFont val="Avenir LT Std 55 Roman"/>
        <family val="2"/>
      </rPr>
      <t>e)</t>
    </r>
  </si>
  <si>
    <r>
      <t>GHG Emission Reductions per AHSC GGRF Funds (MTCO</t>
    </r>
    <r>
      <rPr>
        <vertAlign val="subscript"/>
        <sz val="12"/>
        <color theme="1"/>
        <rFont val="Avenir LT Std 55 Roman"/>
        <family val="2"/>
      </rPr>
      <t>2</t>
    </r>
    <r>
      <rPr>
        <sz val="12"/>
        <color theme="1"/>
        <rFont val="Avenir LT Std 55 Roman"/>
        <family val="2"/>
      </rPr>
      <t>e/$)</t>
    </r>
  </si>
  <si>
    <t>AHSC GGRF Funds Requested ($)</t>
  </si>
  <si>
    <r>
      <t>Gallon Equivalents by Fuel Type</t>
    </r>
    <r>
      <rPr>
        <vertAlign val="superscript"/>
        <sz val="11"/>
        <color theme="1"/>
        <rFont val="Avenir LT Std 55 Roman"/>
        <family val="2"/>
      </rPr>
      <t>1</t>
    </r>
  </si>
  <si>
    <r>
      <t>Weighted NO</t>
    </r>
    <r>
      <rPr>
        <b/>
        <vertAlign val="subscript"/>
        <sz val="12"/>
        <rFont val="Avenir LT Std 55 Roman"/>
        <family val="2"/>
      </rPr>
      <t>x</t>
    </r>
    <r>
      <rPr>
        <b/>
        <sz val="12"/>
        <rFont val="Avenir LT Std 55 Roman"/>
        <family val="2"/>
      </rPr>
      <t xml:space="preserve"> (g/mile)</t>
    </r>
  </si>
  <si>
    <r>
      <t>Weighted PM</t>
    </r>
    <r>
      <rPr>
        <b/>
        <vertAlign val="subscript"/>
        <sz val="12"/>
        <rFont val="Avenir LT Std 55 Roman"/>
        <family val="2"/>
      </rPr>
      <t>2.5</t>
    </r>
    <r>
      <rPr>
        <b/>
        <sz val="12"/>
        <rFont val="Avenir LT Std 55 Roman"/>
        <family val="2"/>
      </rPr>
      <t xml:space="preserve"> (g/mile)</t>
    </r>
  </si>
  <si>
    <r>
      <t>Weighted PM</t>
    </r>
    <r>
      <rPr>
        <b/>
        <vertAlign val="subscript"/>
        <sz val="12"/>
        <rFont val="Avenir LT Std 55 Roman"/>
        <family val="2"/>
      </rPr>
      <t>10</t>
    </r>
    <r>
      <rPr>
        <b/>
        <sz val="12"/>
        <rFont val="Avenir LT Std 55 Roman"/>
        <family val="2"/>
      </rPr>
      <t xml:space="preserve"> (g/mile)</t>
    </r>
  </si>
  <si>
    <r>
      <t>Weighted DSL PM</t>
    </r>
    <r>
      <rPr>
        <b/>
        <vertAlign val="subscript"/>
        <sz val="12"/>
        <rFont val="Avenir LT Std 55 Roman"/>
        <family val="2"/>
      </rPr>
      <t>2.5</t>
    </r>
    <r>
      <rPr>
        <b/>
        <sz val="12"/>
        <rFont val="Avenir LT Std 55 Roman"/>
        <family val="2"/>
      </rPr>
      <t xml:space="preserve"> (g/mile)</t>
    </r>
  </si>
  <si>
    <r>
      <t>Weighted DSL PM</t>
    </r>
    <r>
      <rPr>
        <b/>
        <vertAlign val="subscript"/>
        <sz val="12"/>
        <rFont val="Avenir LT Std 55 Roman"/>
        <family val="2"/>
      </rPr>
      <t>10</t>
    </r>
    <r>
      <rPr>
        <b/>
        <sz val="12"/>
        <rFont val="Avenir LT Std 55 Roman"/>
        <family val="2"/>
      </rPr>
      <t xml:space="preserve"> (g/mile)</t>
    </r>
  </si>
  <si>
    <r>
      <t>Weighted PM</t>
    </r>
    <r>
      <rPr>
        <b/>
        <vertAlign val="subscript"/>
        <sz val="12"/>
        <rFont val="Avenir LT Std 55 Roman"/>
        <family val="2"/>
      </rPr>
      <t>2.5</t>
    </r>
    <r>
      <rPr>
        <b/>
        <sz val="12"/>
        <rFont val="Avenir LT Std 55 Roman"/>
        <family val="2"/>
      </rPr>
      <t xml:space="preserve"> Tire Wear (g/mile)</t>
    </r>
  </si>
  <si>
    <r>
      <t>Weighted PM</t>
    </r>
    <r>
      <rPr>
        <b/>
        <vertAlign val="subscript"/>
        <sz val="12"/>
        <rFont val="Avenir LT Std 55 Roman"/>
        <family val="2"/>
      </rPr>
      <t>2.5</t>
    </r>
    <r>
      <rPr>
        <b/>
        <sz val="12"/>
        <rFont val="Avenir LT Std 55 Roman"/>
        <family val="2"/>
      </rPr>
      <t xml:space="preserve"> Brake Wear (g/mile)</t>
    </r>
  </si>
  <si>
    <t>Implement Traffic Calming Measures</t>
  </si>
  <si>
    <t>Documentation of parking inputs, including number of proposed residential parking spaces, and demonstration of how unbundled monthly parking cost and on-street parking price increase were calculated, if applicable</t>
  </si>
  <si>
    <t>Documentation of affordable housing development inputs, including proposed number and type of dwelling units, number of affordable units (as defined per the AHSC Program Guidelines), number of stories, and net density</t>
  </si>
  <si>
    <t>Documentation of mixed-use development inputs, if applicable, including proposed uses and total areas of each type of space</t>
  </si>
  <si>
    <t>Documentation for Sustainable Transportation Infrastructure and Transportation-related Amenities Components</t>
  </si>
  <si>
    <t>Letter from transit agency partner (on transit agency letterhead and signed by transit agency staff) supporting proposed service or capital improvement, demonstrating how increase in ridership was calculated, and substantiating transit inputs including type of service, adjustment factor, days of operation, length of average auto trip reduced, toll avoided, and paid parking at transit facility, if applicable</t>
  </si>
  <si>
    <t>MTC</t>
  </si>
  <si>
    <t>Western Range</t>
  </si>
  <si>
    <t>Mountain</t>
  </si>
  <si>
    <t>BCAG</t>
  </si>
  <si>
    <t>SACOG</t>
  </si>
  <si>
    <t>SCAG</t>
  </si>
  <si>
    <t>AMBAG</t>
  </si>
  <si>
    <t>SLOCOG</t>
  </si>
  <si>
    <t>Central Coast</t>
  </si>
  <si>
    <t>El Dorado</t>
  </si>
  <si>
    <t>El Dorado (Tahoe Basin)</t>
  </si>
  <si>
    <t>Placer</t>
  </si>
  <si>
    <t>Placer (Tahoe Basin)</t>
  </si>
  <si>
    <t>El Dorado (Tahoe Basin)_2015</t>
  </si>
  <si>
    <t>El Dorado (Tahoe Basin)_2016</t>
  </si>
  <si>
    <t>El Dorado (Tahoe Basin)_2017</t>
  </si>
  <si>
    <t>El Dorado (Tahoe Basin)_2018</t>
  </si>
  <si>
    <t>El Dorado (Tahoe Basin)_2019</t>
  </si>
  <si>
    <t>El Dorado (Tahoe Basin)_2020</t>
  </si>
  <si>
    <t>El Dorado (Tahoe Basin)_2021</t>
  </si>
  <si>
    <t>El Dorado (Tahoe Basin)_2022</t>
  </si>
  <si>
    <t>El Dorado (Tahoe Basin)_2023</t>
  </si>
  <si>
    <t>El Dorado (Tahoe Basin)_2024</t>
  </si>
  <si>
    <t>El Dorado (Tahoe Basin)_2025</t>
  </si>
  <si>
    <t>El Dorado (Tahoe Basin)_2026</t>
  </si>
  <si>
    <t>El Dorado (Tahoe Basin)_2027</t>
  </si>
  <si>
    <t>El Dorado (Tahoe Basin)_2028</t>
  </si>
  <si>
    <t>El Dorado (Tahoe Basin)_2029</t>
  </si>
  <si>
    <t>El Dorado (Tahoe Basin)_2030</t>
  </si>
  <si>
    <t>El Dorado (Tahoe Basin)_2031</t>
  </si>
  <si>
    <t>El Dorado (Tahoe Basin)_2032</t>
  </si>
  <si>
    <t>El Dorado (Tahoe Basin)_2033</t>
  </si>
  <si>
    <t>El Dorado (Tahoe Basin)_2034</t>
  </si>
  <si>
    <t>El Dorado (Tahoe Basin)_2035</t>
  </si>
  <si>
    <t>El Dorado (Tahoe Basin)_2036</t>
  </si>
  <si>
    <t>El Dorado (Tahoe Basin)_2037</t>
  </si>
  <si>
    <t>El Dorado (Tahoe Basin)_2038</t>
  </si>
  <si>
    <t>El Dorado (Tahoe Basin)_2039</t>
  </si>
  <si>
    <t>El Dorado (Tahoe Basin)_2040</t>
  </si>
  <si>
    <t>El Dorado (Tahoe Basin)_2041</t>
  </si>
  <si>
    <t>El Dorado (Tahoe Basin)_2042</t>
  </si>
  <si>
    <t>El Dorado (Tahoe Basin)_2043</t>
  </si>
  <si>
    <t>El Dorado (Tahoe Basin)_2044</t>
  </si>
  <si>
    <t>El Dorado (Tahoe Basin)_2045</t>
  </si>
  <si>
    <t>El Dorado (Tahoe Basin)_2046</t>
  </si>
  <si>
    <t>El Dorado (Tahoe Basin)_2047</t>
  </si>
  <si>
    <t>El Dorado (Tahoe Basin)_2048</t>
  </si>
  <si>
    <t>El Dorado (Tahoe Basin)_2049</t>
  </si>
  <si>
    <t>El Dorado (Tahoe Basin)_2050</t>
  </si>
  <si>
    <t>El Dorado_2015</t>
  </si>
  <si>
    <t>El Dorado_2016</t>
  </si>
  <si>
    <t>El Dorado_2017</t>
  </si>
  <si>
    <t>El Dorado_2018</t>
  </si>
  <si>
    <t>El Dorado_2019</t>
  </si>
  <si>
    <t>El Dorado_2020</t>
  </si>
  <si>
    <t>El Dorado_2021</t>
  </si>
  <si>
    <t>El Dorado_2022</t>
  </si>
  <si>
    <t>El Dorado_2023</t>
  </si>
  <si>
    <t>El Dorado_2024</t>
  </si>
  <si>
    <t>El Dorado_2025</t>
  </si>
  <si>
    <t>El Dorado_2026</t>
  </si>
  <si>
    <t>El Dorado_2027</t>
  </si>
  <si>
    <t>El Dorado_2028</t>
  </si>
  <si>
    <t>El Dorado_2029</t>
  </si>
  <si>
    <t>El Dorado_2030</t>
  </si>
  <si>
    <t>El Dorado_2031</t>
  </si>
  <si>
    <t>El Dorado_2032</t>
  </si>
  <si>
    <t>El Dorado_2033</t>
  </si>
  <si>
    <t>El Dorado_2034</t>
  </si>
  <si>
    <t>El Dorado_2035</t>
  </si>
  <si>
    <t>El Dorado_2036</t>
  </si>
  <si>
    <t>El Dorado_2037</t>
  </si>
  <si>
    <t>El Dorado_2038</t>
  </si>
  <si>
    <t>El Dorado_2039</t>
  </si>
  <si>
    <t>El Dorado_2040</t>
  </si>
  <si>
    <t>El Dorado_2041</t>
  </si>
  <si>
    <t>El Dorado_2042</t>
  </si>
  <si>
    <t>El Dorado_2043</t>
  </si>
  <si>
    <t>El Dorado_2044</t>
  </si>
  <si>
    <t>El Dorado_2045</t>
  </si>
  <si>
    <t>El Dorado_2046</t>
  </si>
  <si>
    <t>El Dorado_2047</t>
  </si>
  <si>
    <t>El Dorado_2048</t>
  </si>
  <si>
    <t>El Dorado_2049</t>
  </si>
  <si>
    <t>El Dorado_2050</t>
  </si>
  <si>
    <t>Placer (Tahoe Basin)_2015</t>
  </si>
  <si>
    <t>Placer (Tahoe Basin)_2016</t>
  </si>
  <si>
    <t>Placer (Tahoe Basin)_2017</t>
  </si>
  <si>
    <t>Placer (Tahoe Basin)_2018</t>
  </si>
  <si>
    <t>Placer (Tahoe Basin)_2019</t>
  </si>
  <si>
    <t>Placer (Tahoe Basin)_2020</t>
  </si>
  <si>
    <t>Placer (Tahoe Basin)_2021</t>
  </si>
  <si>
    <t>Placer (Tahoe Basin)_2022</t>
  </si>
  <si>
    <t>Placer (Tahoe Basin)_2023</t>
  </si>
  <si>
    <t>Placer (Tahoe Basin)_2024</t>
  </si>
  <si>
    <t>Placer (Tahoe Basin)_2025</t>
  </si>
  <si>
    <t>Placer (Tahoe Basin)_2026</t>
  </si>
  <si>
    <t>Placer (Tahoe Basin)_2027</t>
  </si>
  <si>
    <t>Placer (Tahoe Basin)_2028</t>
  </si>
  <si>
    <t>Placer (Tahoe Basin)_2029</t>
  </si>
  <si>
    <t>Placer (Tahoe Basin)_2030</t>
  </si>
  <si>
    <t>Placer (Tahoe Basin)_2031</t>
  </si>
  <si>
    <t>Placer (Tahoe Basin)_2032</t>
  </si>
  <si>
    <t>Placer (Tahoe Basin)_2033</t>
  </si>
  <si>
    <t>Placer (Tahoe Basin)_2034</t>
  </si>
  <si>
    <t>Placer (Tahoe Basin)_2035</t>
  </si>
  <si>
    <t>Placer (Tahoe Basin)_2036</t>
  </si>
  <si>
    <t>Placer (Tahoe Basin)_2037</t>
  </si>
  <si>
    <t>Placer (Tahoe Basin)_2038</t>
  </si>
  <si>
    <t>Placer (Tahoe Basin)_2039</t>
  </si>
  <si>
    <t>Placer (Tahoe Basin)_2040</t>
  </si>
  <si>
    <t>Placer (Tahoe Basin)_2041</t>
  </si>
  <si>
    <t>Placer (Tahoe Basin)_2042</t>
  </si>
  <si>
    <t>Placer (Tahoe Basin)_2043</t>
  </si>
  <si>
    <t>Placer (Tahoe Basin)_2044</t>
  </si>
  <si>
    <t>Placer (Tahoe Basin)_2045</t>
  </si>
  <si>
    <t>Placer (Tahoe Basin)_2046</t>
  </si>
  <si>
    <t>Placer (Tahoe Basin)_2047</t>
  </si>
  <si>
    <t>Placer (Tahoe Basin)_2048</t>
  </si>
  <si>
    <t>Placer (Tahoe Basin)_2049</t>
  </si>
  <si>
    <t>Placer (Tahoe Basin)_2050</t>
  </si>
  <si>
    <t>Placer_2050</t>
  </si>
  <si>
    <t>Placer_2015</t>
  </si>
  <si>
    <t>Placer_2016</t>
  </si>
  <si>
    <t>Placer_2017</t>
  </si>
  <si>
    <t>Placer_2018</t>
  </si>
  <si>
    <t>Placer_2019</t>
  </si>
  <si>
    <t>Placer_2020</t>
  </si>
  <si>
    <t>Placer_2021</t>
  </si>
  <si>
    <t>Placer_2022</t>
  </si>
  <si>
    <t>Placer_2023</t>
  </si>
  <si>
    <t>Placer_2024</t>
  </si>
  <si>
    <t>Placer_2025</t>
  </si>
  <si>
    <t>Placer_2026</t>
  </si>
  <si>
    <t>Placer_2027</t>
  </si>
  <si>
    <t>Placer_2028</t>
  </si>
  <si>
    <t>Placer_2029</t>
  </si>
  <si>
    <t>Placer_2030</t>
  </si>
  <si>
    <t>Placer_2031</t>
  </si>
  <si>
    <t>Placer_2032</t>
  </si>
  <si>
    <t>Placer_2033</t>
  </si>
  <si>
    <t>Placer_2034</t>
  </si>
  <si>
    <t>Placer_2035</t>
  </si>
  <si>
    <t>Placer_2036</t>
  </si>
  <si>
    <t>Placer_2037</t>
  </si>
  <si>
    <t>Placer_2038</t>
  </si>
  <si>
    <t>Placer_2039</t>
  </si>
  <si>
    <t>Placer_2040</t>
  </si>
  <si>
    <t>Placer_2041</t>
  </si>
  <si>
    <t>Placer_2042</t>
  </si>
  <si>
    <t>Placer_2043</t>
  </si>
  <si>
    <t>Placer_2044</t>
  </si>
  <si>
    <t>Placer_2045</t>
  </si>
  <si>
    <t>Placer_2046</t>
  </si>
  <si>
    <t>Placer_2047</t>
  </si>
  <si>
    <t>Placer_2048</t>
  </si>
  <si>
    <t>Placer_2049</t>
  </si>
  <si>
    <t>MPO or Region</t>
  </si>
  <si>
    <t>Key Destinations within 1/2 Mile</t>
  </si>
  <si>
    <t>Key Destinations within 1/4 Mile</t>
  </si>
  <si>
    <t>Bike Share Energy Consumption (kWh/mile)</t>
  </si>
  <si>
    <t>Streetcar / Cable Car / Trolley Bus Emissions</t>
  </si>
  <si>
    <t>Streetcar, Cable Car, or Trolley Bus</t>
  </si>
  <si>
    <t>Heavy Rail</t>
  </si>
  <si>
    <t>Heavy Rail Emissions (Tier 2 Locomotive)</t>
  </si>
  <si>
    <t>Final Year Operational</t>
  </si>
  <si>
    <r>
      <t>Key Destination Credits</t>
    </r>
    <r>
      <rPr>
        <vertAlign val="superscript"/>
        <sz val="12"/>
        <color theme="1"/>
        <rFont val="Avenir LT Std 55 Roman"/>
        <family val="2"/>
      </rPr>
      <t>1</t>
    </r>
  </si>
  <si>
    <t>Minimum Key Destinations</t>
  </si>
  <si>
    <t>Minimum Average Daily Traffic</t>
  </si>
  <si>
    <t>Project description, including excerpts or specific references to the location in the AHSC Application of the project information necessary to complete the applicable portions of this Benefits Calculator Tool</t>
  </si>
  <si>
    <t>Documentation of the proposed number of solar PV panels and Watts per panel and the size of the solar PV system required for the project by code, if applicable</t>
  </si>
  <si>
    <t>Average Cost of Bike Share Trip ($)</t>
  </si>
  <si>
    <t>Letter from bike share partner (on bike share organization letterhead and signed by bike share organization staff) demonstrating how the proposed number of trips per year, bicycle energy use, and average cost per trip were calculated, if applicable</t>
  </si>
  <si>
    <t>30.88 (gCO2e/MJ)</t>
  </si>
  <si>
    <t>3,894.89 (gCO2e/gal)</t>
  </si>
  <si>
    <t>79.21 (gCO2e/MJ)</t>
  </si>
  <si>
    <t>77.63 (gCO2e/scf)</t>
  </si>
  <si>
    <t>100.45 (gCO2e/MJ)</t>
  </si>
  <si>
    <t>13,507.51 (gCO2e/gal)</t>
  </si>
  <si>
    <t>81.49 (gCO2e/MJ)</t>
  </si>
  <si>
    <t>293.36 (gCO2e/kWh)</t>
  </si>
  <si>
    <t>99.44 (gCO2e/MJ)</t>
  </si>
  <si>
    <t>11,518.14 (gCO2e/gal)</t>
  </si>
  <si>
    <t>111.61 (gCO2e/MJ)</t>
  </si>
  <si>
    <t>13,393.20 (gCO2e/kg)</t>
  </si>
  <si>
    <t>107.70 (gCO2e/MJ)</t>
  </si>
  <si>
    <t>8,489.99 (gCO2e/gal)</t>
  </si>
  <si>
    <t>83.19 (gCO2e/MJ)</t>
  </si>
  <si>
    <t>7,456.32 (gCO2e/gal)</t>
  </si>
  <si>
    <t>68.57 (gCO2e/MJ)</t>
  </si>
  <si>
    <t>5,589.14 (gCO2e/gal)</t>
  </si>
  <si>
    <t>32.23 (gCO2e/MJ)</t>
  </si>
  <si>
    <t>4,178.62 (gCO2e/gal)</t>
  </si>
  <si>
    <t>0.00 (gCO2e/MJ)</t>
  </si>
  <si>
    <t>0.00 (gCO2e/kWh)</t>
  </si>
  <si>
    <t>49.98 (gCO2e/MJ)</t>
  </si>
  <si>
    <t>48.98 (gCO2e/scf)</t>
  </si>
  <si>
    <t>Price for hydrogen is retail.  All other fuels are priced for fleets.</t>
  </si>
  <si>
    <t>LUT + PDT + SDT</t>
  </si>
  <si>
    <r>
      <t>Remote PM</t>
    </r>
    <r>
      <rPr>
        <vertAlign val="subscript"/>
        <sz val="12"/>
        <rFont val="Avenir LT Std 55 Roman"/>
        <family val="2"/>
      </rPr>
      <t>2.5</t>
    </r>
    <r>
      <rPr>
        <sz val="12"/>
        <rFont val="Avenir LT Std 55 Roman"/>
        <family val="2"/>
      </rPr>
      <t xml:space="preserve"> Emission Reductions (lbs)</t>
    </r>
  </si>
  <si>
    <r>
      <t>Remote NO</t>
    </r>
    <r>
      <rPr>
        <vertAlign val="subscript"/>
        <sz val="12"/>
        <rFont val="Avenir LT Std 55 Roman"/>
        <family val="2"/>
      </rPr>
      <t>x</t>
    </r>
    <r>
      <rPr>
        <sz val="12"/>
        <rFont val="Avenir LT Std 55 Roman"/>
        <family val="2"/>
      </rPr>
      <t xml:space="preserve"> Emission Reductions (lbs)</t>
    </r>
  </si>
  <si>
    <t>Remote ROG Emission Reductions (lbs)</t>
  </si>
  <si>
    <r>
      <t>Remote NO</t>
    </r>
    <r>
      <rPr>
        <vertAlign val="subscript"/>
        <sz val="12"/>
        <color theme="1"/>
        <rFont val="Avenir LT Std 55 Roman"/>
        <family val="2"/>
      </rPr>
      <t>x</t>
    </r>
    <r>
      <rPr>
        <sz val="12"/>
        <color theme="1"/>
        <rFont val="Avenir LT Std 55 Roman"/>
        <family val="2"/>
      </rPr>
      <t xml:space="preserve"> Emission Reductions (lbs)</t>
    </r>
  </si>
  <si>
    <r>
      <t>Remote PM</t>
    </r>
    <r>
      <rPr>
        <vertAlign val="subscript"/>
        <sz val="12"/>
        <color theme="1"/>
        <rFont val="Avenir LT Std 55 Roman"/>
        <family val="2"/>
      </rPr>
      <t>2.5</t>
    </r>
    <r>
      <rPr>
        <sz val="12"/>
        <color theme="1"/>
        <rFont val="Avenir LT Std 55 Roman"/>
        <family val="2"/>
      </rPr>
      <t xml:space="preserve"> Emission Reductions (lbs)</t>
    </r>
  </si>
  <si>
    <t>For the purposes of GGRF quantification methodologies, CARB developed a California grid electricity emission factor based on total in-state and imported electricity emissions</t>
  </si>
  <si>
    <t>divided by total consumption.  Emissions data were obtained from the CARB GHG inventory, last updated June 2018, available online at:</t>
  </si>
  <si>
    <t xml:space="preserve">Criteria pollutant data is derived from CARB's criteria pollutant emissions inventory for statewide stationary sources of fuel combustion for electric utilities and cogeneration. </t>
  </si>
  <si>
    <t>The latest update is based on 2012 estimated annual average emissions. Criteria pollutant emissions data are available online at:</t>
  </si>
  <si>
    <t>2043, 2044, 2045, 2046, 2047, 2048, 2049, 2050</t>
  </si>
  <si>
    <t>Calendar Year:  2015, 2016, 2017, 2018, 2019, 2020, 2021, 2022, 2023, 2024, 2025, 2026, 2027, 2028, 2029, 2030, 2031, 2032, 2033, 2034, 2035, 2036, 2037, 2038, 2039, 2040, 2041, 2042,</t>
  </si>
  <si>
    <t>Calendar Year:  2015, 2016, 2017, 2018, 2019, 2020, 2021, 2022, 2023, 2024, 2025, 2026, 2027, 2028, 2029, 2030, 2031, 2032, 2033, 2034, 2035, 2036, 2037, 2038, 2039, 2040, 2041, 2042, 2043,</t>
  </si>
  <si>
    <t xml:space="preserve"> 2044, 2045, 2046, 2047, 2048, 2049, 2050</t>
  </si>
  <si>
    <r>
      <t xml:space="preserve">c </t>
    </r>
    <r>
      <rPr>
        <sz val="10"/>
        <rFont val="Avenir LT Std 55 Roman"/>
        <family val="2"/>
      </rPr>
      <t>According to EPA emission factors for locomotives document, PM2.5 emissions can be</t>
    </r>
  </si>
  <si>
    <t xml:space="preserve"> estimated as 0.97 times the PM10 emissions</t>
  </si>
  <si>
    <r>
      <t xml:space="preserve">b </t>
    </r>
    <r>
      <rPr>
        <sz val="10"/>
        <rFont val="Avenir LT Std 55 Roman"/>
        <family val="2"/>
      </rPr>
      <t xml:space="preserve">VOC emissions can be assumed to be equal to 1.053 times HC emissions. VOC is often </t>
    </r>
  </si>
  <si>
    <t xml:space="preserve">referred to as ROG. VOC is an EPA term.  CARB uses ROG.  ROG is similar, but not identical, </t>
  </si>
  <si>
    <t>to VOC due to minor variations of exempted pollutants between the two terms</t>
  </si>
  <si>
    <t xml:space="preserve">* ME refers to Main Engine. AE refers to Auxiliary Engine. Most commercial harbor craft are powered by marine diesel engines, including </t>
  </si>
  <si>
    <t xml:space="preserve">propulsion engines (main engine) and auxiliary engines. Propulsion engines are the primary engines that move vessels through the water. </t>
  </si>
  <si>
    <t xml:space="preserve">Auxiliary engines generally provide power to vessel electrical systems and may also provide additional power to unique, essential vessel </t>
  </si>
  <si>
    <t>equipment (i.e., refrigeration units) during the normal day-to-day operation of the vessel.</t>
  </si>
  <si>
    <t xml:space="preserve">Criteria Pollutant emission factors are derived from CARB's Emissions Estimation Methodology for Commercial </t>
  </si>
  <si>
    <t>Harbor Craft Operating in California, availabe online at:</t>
  </si>
  <si>
    <t>Calendar Year:  2015, 2016, 2017, 2018, 2019, 2020, 2021, 2022, 2023, 2024, 2025, 2026, 2027, 2028, 2029, 2030, 2031, 2032, 2033, 2034,</t>
  </si>
  <si>
    <t>2035, 2036, 2037, 2038, 2039, 2040, 2041, 2042, 2043, 2044, 2045, 2046, 2047, 2048, 2049, 2050</t>
  </si>
  <si>
    <t xml:space="preserve">Calendar Year:  2015, 2016, 2017, 2018, 2019, 2020, 2021, 2022, 2023, 2024, 2025, 2026, 2027, 2028, 2029, 2030, 2031, 2032, 2033, 2034, 2035, 2036, 2037, 2038, </t>
  </si>
  <si>
    <t>2039, 2040, 2041, 2042, 2043, 2044, 2045, 2046, 2047, 2048, 2049, 2050</t>
  </si>
  <si>
    <t>* Passenger auto criteria pollutant and toxic air contaminant emission factors are annually weighted to account for the four different vehicle class types</t>
  </si>
  <si>
    <t xml:space="preserve"> (LDA, LDT1, LDT2, MDV). The weighting is calculated as follows: Each criteria and toxic RUNEX emission factor (g/mile) for each vehicle class type using both </t>
  </si>
  <si>
    <t>diesel and gasoline is multiplied by the associated vehicle miles traveled (VMT) (miles/day) to generate a daily emissions output (g/day). The annual VMT driven</t>
  </si>
  <si>
    <t xml:space="preserve"> by each vehicle class and the calculated emissions output (g/day) are both aggregated separately.   The aggregated emissions output (g/day) is divided by the</t>
  </si>
  <si>
    <t xml:space="preserve"> aggregated VMT (miles/day) of the four vehicle class types. The final result is an annually weighted emission factor in grams per mile (g/mile) for each air pollutant.</t>
  </si>
  <si>
    <t>Calendar Year:  2015, 2016, 2017, 2018, 2019, 2020, 2021, 2022, 2023, 2024, 2025, 2026, 2027, 2028, 2029, 2030, 2031, 2032, 2033, 2034, 2035, 2036, 2037, 2038,</t>
  </si>
  <si>
    <t xml:space="preserve"> 2039, 2040, 2041, 2042, 2043, 2044, 2045, 2046, 2047, 2048, 2049, 2050</t>
  </si>
  <si>
    <t>Calendar Year:  2015, 2016, 2017, 2018, 2019, 2020, 2021, 2022, 2023, 2024, 2025, 2026, 2027, 2028, 2029, 2030, 2031, 2032, 2033, 2034, 2035,</t>
  </si>
  <si>
    <t>2036, 2037, 2038, 2039, 2040, 2041, 2042, 2043, 2044, 2045, 2046, 2047, 2048, 2049, 2050</t>
  </si>
  <si>
    <t xml:space="preserve">* Passenger auto GHGs are annually weighted to account for the four different vehicle class types (LDA, LDT1, LDT2, MDV). The weighting is </t>
  </si>
  <si>
    <t xml:space="preserve">calculated as follows: The annual fuel consumption (gallons/day) from each vehicle class type using both diesel and gasoline is calculated and </t>
  </si>
  <si>
    <t>multiplied by the relevant fuel specific Low Carbon Fuel Standard (LCFS) emission factor (g CO2e/gallon) to generate values in emissions per day</t>
  </si>
  <si>
    <t xml:space="preserve"> (g CO2e/day). The summation of the emissions per day values is divided by the summation of the associated annual vehicle miles traveled (VMT) </t>
  </si>
  <si>
    <t xml:space="preserve">(miles/day) driven by each vehicle class using both diesel and gasoline. The final result is an annually weighted GHG emission factor in grams of </t>
  </si>
  <si>
    <t>carbon dioxide equivalent (CO2e) per mile (g CO2e/mile).</t>
  </si>
  <si>
    <t xml:space="preserve">* Energy densities provided at 60°F and 1 atm.
</t>
  </si>
  <si>
    <t>**Carbon Content Emission Factors were calculated using fuel type Energy Density (megajoules (MJ) per unit of fuel)</t>
  </si>
  <si>
    <t xml:space="preserve">and the fuel type Carbon Intensity (grams of carbon dioxide equivalents (CO2e) per MJ).  Carbon Content values are </t>
  </si>
  <si>
    <t>two decimals.</t>
  </si>
  <si>
    <t>derived from unrounded energy density and carbon intensity values. The Carbon Content values are then rounded to</t>
  </si>
  <si>
    <t xml:space="preserve">LCFS GHG emission factors for Biodiesel, Ethanol, LNG, Renewable Diesel, and Renewable Natural </t>
  </si>
  <si>
    <t>Gas are 2017 Volume-Weighted Averages derived from the LCFS Reporting Tool system.</t>
  </si>
  <si>
    <t>Low Carbon Fuel Standard (LCFS) GHG emission factors for Gasoline, Diesel, CNG, Electric,</t>
  </si>
  <si>
    <t>Renewable Electricity, LPG / Propane, and Hydrogen are derived from Lookup Table 7-1 in:</t>
  </si>
  <si>
    <t xml:space="preserve">Adjustment Factors for Cities with Population &gt; 250,000 </t>
  </si>
  <si>
    <r>
      <t>and Non-university Towns with Population &lt; 250,000</t>
    </r>
    <r>
      <rPr>
        <vertAlign val="superscript"/>
        <sz val="12"/>
        <color theme="1"/>
        <rFont val="Avenir LT Std 55 Roman"/>
        <family val="2"/>
      </rPr>
      <t>1</t>
    </r>
  </si>
  <si>
    <t>Units are gallons for biodiesel, diesel, gasoline, liquefied natural gas,</t>
  </si>
  <si>
    <t>and renewable natural gas; kilowatt hours for electric; and kilograms for hydrogen.</t>
  </si>
  <si>
    <t>and renewable diesel; standard cubic feet for compressed natural gas</t>
  </si>
  <si>
    <t>TOD corresponds to the "urban" proejct setting, ICP to "compact infill," and RIPA to "suburban."</t>
  </si>
  <si>
    <t>The Association of Monterey Bay Area Governments, Butte County Association of Governments, Metropolitan Transportation Commission, Sacramento Area Council of Governments, San Luis Obispo Council of Governments, and Southern California Association of Governments</t>
  </si>
  <si>
    <t>submitted trip length data for this Benefits Calculator Tool.  Counties for which MPOs did not submit data were assigned trip lengths averaged by geographic region.</t>
  </si>
  <si>
    <r>
      <t>Trip Types</t>
    </r>
    <r>
      <rPr>
        <vertAlign val="superscript"/>
        <sz val="12"/>
        <color theme="1"/>
        <rFont val="Avenir LT Std 55 Roman"/>
        <family val="2"/>
      </rPr>
      <t>5</t>
    </r>
  </si>
  <si>
    <r>
      <t>Trip Links</t>
    </r>
    <r>
      <rPr>
        <vertAlign val="superscript"/>
        <sz val="12"/>
        <color theme="1"/>
        <rFont val="Avenir LT Std 55 Roman"/>
        <family val="2"/>
      </rPr>
      <t>5</t>
    </r>
  </si>
  <si>
    <r>
      <rPr>
        <vertAlign val="superscript"/>
        <sz val="12"/>
        <rFont val="Avenir LT Std 55 Roman"/>
        <family val="2"/>
      </rPr>
      <t>2</t>
    </r>
    <r>
      <rPr>
        <sz val="12"/>
        <rFont val="Avenir LT Std 55 Roman"/>
        <family val="2"/>
      </rPr>
      <t xml:space="preserve"> Electricity and fuel prices are from the CARB Energy and Fuel Cost Savings Co-benefit Assessment Methodology: </t>
    </r>
    <r>
      <rPr>
        <sz val="12"/>
        <color theme="10"/>
        <rFont val="Avenir LT Std 55 Roman"/>
        <family val="2"/>
      </rPr>
      <t xml:space="preserve"> </t>
    </r>
    <r>
      <rPr>
        <u/>
        <sz val="12"/>
        <color theme="10"/>
        <rFont val="Avenir LT Std 55 Roman"/>
        <family val="2"/>
      </rPr>
      <t>www.arb.ca.gov/cci-cobenefits</t>
    </r>
  </si>
  <si>
    <r>
      <rPr>
        <vertAlign val="superscript"/>
        <sz val="12"/>
        <rFont val="Avenir LT Std 55 Roman"/>
        <family val="2"/>
      </rPr>
      <t xml:space="preserve">3 </t>
    </r>
    <r>
      <rPr>
        <sz val="12"/>
        <rFont val="Avenir LT Std 55 Roman"/>
        <family val="2"/>
      </rPr>
      <t xml:space="preserve">Transportation, parking, and toll prices are from the CARB Travel Cost Savings Co-benefit Assessment Methodology:  </t>
    </r>
    <r>
      <rPr>
        <u/>
        <sz val="12"/>
        <color theme="10"/>
        <rFont val="Avenir LT Std 55 Roman"/>
        <family val="2"/>
      </rPr>
      <t>www.arb.ca.gov/cci-co-benefits</t>
    </r>
  </si>
  <si>
    <r>
      <rPr>
        <vertAlign val="superscript"/>
        <sz val="12"/>
        <rFont val="Avenir LT Std 55 Roman"/>
        <family val="2"/>
      </rPr>
      <t xml:space="preserve">1 </t>
    </r>
    <r>
      <rPr>
        <sz val="12"/>
        <rFont val="Avenir LT Std 55 Roman"/>
        <family val="2"/>
      </rPr>
      <t xml:space="preserve">Trip lengths were provided by MPOs or derived from the Caltrans California Statewide Travel Demand Model:  </t>
    </r>
    <r>
      <rPr>
        <u/>
        <sz val="12"/>
        <color theme="10"/>
        <rFont val="Avenir LT Std 55 Roman"/>
        <family val="2"/>
      </rPr>
      <t>dot.ca.gov/programs/transportation-planning/multi-modal-system-planning/statewide-modeling</t>
    </r>
    <r>
      <rPr>
        <sz val="12"/>
        <rFont val="Avenir LT Std 55 Roman"/>
        <family val="2"/>
      </rPr>
      <t>.</t>
    </r>
  </si>
  <si>
    <r>
      <rPr>
        <vertAlign val="superscript"/>
        <sz val="12"/>
        <rFont val="Avenir LT Std 55 Roman"/>
        <family val="2"/>
      </rPr>
      <t xml:space="preserve">4 </t>
    </r>
    <r>
      <rPr>
        <sz val="12"/>
        <rFont val="Avenir LT Std 55 Roman"/>
        <family val="2"/>
      </rPr>
      <t xml:space="preserve">SGC AHSC Program Guidelines:  </t>
    </r>
    <r>
      <rPr>
        <u/>
        <sz val="12"/>
        <color theme="10"/>
        <rFont val="Avenir LT Std 55 Roman"/>
        <family val="2"/>
      </rPr>
      <t>sgc.ca.gov/programs/ahsc/resources/guidelines.html</t>
    </r>
  </si>
  <si>
    <r>
      <rPr>
        <vertAlign val="superscript"/>
        <sz val="12"/>
        <rFont val="Avenir LT Std 55 Roman"/>
        <family val="2"/>
      </rPr>
      <t xml:space="preserve">3 </t>
    </r>
    <r>
      <rPr>
        <sz val="12"/>
        <rFont val="Avenir LT Std 55 Roman"/>
        <family val="2"/>
      </rPr>
      <t xml:space="preserve">VMT elasticities and VMT reduction caps are from the CAPCOA "Quantifying Greenhouse Gas Mitigation Measures" report (see pages 55 and 231):  </t>
    </r>
    <r>
      <rPr>
        <u/>
        <sz val="12"/>
        <color theme="10"/>
        <rFont val="Avenir LT Std 55 Roman"/>
        <family val="2"/>
      </rPr>
      <t xml:space="preserve">
www.capcoa.org/wp-content/uploads/2010/11/CAPCOA-Quantification-Report-9-14-Final.pdf
</t>
    </r>
  </si>
  <si>
    <r>
      <rPr>
        <vertAlign val="superscript"/>
        <sz val="12"/>
        <rFont val="Avenir LT Std 55 Roman"/>
        <family val="2"/>
      </rPr>
      <t>2</t>
    </r>
    <r>
      <rPr>
        <sz val="12"/>
        <rFont val="Avenir LT Std 55 Roman"/>
        <family val="2"/>
      </rPr>
      <t xml:space="preserve"> Parking rates are from the ITE Parking Generation Manual, 4th Edition.  Trip rates are from the Trip Generation Manual, 10th Edition, for the general urban or suburban setting:  </t>
    </r>
    <r>
      <rPr>
        <u/>
        <sz val="12"/>
        <color theme="10"/>
        <rFont val="Avenir LT Std 55 Roman"/>
        <family val="2"/>
      </rPr>
      <t xml:space="preserve">
www.ite.org/technical-resources/topics/trip-and-parking-generation/</t>
    </r>
  </si>
  <si>
    <t>www.arb.ca.gov/regact/2018/lcfs18/frolcfs.pdf</t>
  </si>
  <si>
    <r>
      <rPr>
        <vertAlign val="superscript"/>
        <sz val="12"/>
        <rFont val="Avenir LT Std 55 Roman"/>
        <family val="2"/>
      </rPr>
      <t>5</t>
    </r>
    <r>
      <rPr>
        <sz val="12"/>
        <rFont val="Avenir LT Std 55 Roman"/>
        <family val="2"/>
      </rPr>
      <t xml:space="preserve"> The default statewide residential trip type percentages and residential trip link percentages from the CAPCOA CalEEMod User's Guide (Appendix D, Tables 4.2 and 4.3) are used:  </t>
    </r>
    <r>
      <rPr>
        <u/>
        <sz val="12"/>
        <color theme="10"/>
        <rFont val="Avenir LT Std 55 Roman"/>
        <family val="2"/>
      </rPr>
      <t>www.aqmd.gov/docs/default-source/caleemod/05_appendix-d2016-3-2.pdf?sfvrsn=4</t>
    </r>
  </si>
  <si>
    <r>
      <rPr>
        <vertAlign val="superscript"/>
        <sz val="12"/>
        <rFont val="Avenir LT Std 55 Roman"/>
        <family val="2"/>
      </rPr>
      <t xml:space="preserve">1 </t>
    </r>
    <r>
      <rPr>
        <sz val="12"/>
        <rFont val="Avenir LT Std 55 Roman"/>
        <family val="2"/>
      </rPr>
      <t xml:space="preserve">CARB 2018 LCFS Regulation:  </t>
    </r>
    <r>
      <rPr>
        <u/>
        <sz val="12"/>
        <color theme="10"/>
        <rFont val="Avenir LT Std 55 Roman"/>
        <family val="2"/>
      </rPr>
      <t>www.arb.ca.gov/fuels/lcfs/dashboard/dashboard.htm</t>
    </r>
  </si>
  <si>
    <r>
      <rPr>
        <sz val="12"/>
        <rFont val="Avenir LT Std 55 Roman"/>
        <family val="2"/>
      </rPr>
      <t xml:space="preserve">Map documenting distance to central business district, determined using the CARB tool available at:  </t>
    </r>
    <r>
      <rPr>
        <u/>
        <sz val="12"/>
        <color theme="10"/>
        <rFont val="Avenir LT Std 55 Roman"/>
        <family val="2"/>
      </rPr>
      <t xml:space="preserve">
www.arb.ca.gov/cc/capandtrade/auctionproceeds/kml/jobcentermap.htm</t>
    </r>
  </si>
  <si>
    <t>Project area map documenting type, location, and length of proposed bicycle and pedestrian facilities, including key destinations in 1/4 and 1/2 mile buffers around each facility, if applicable</t>
  </si>
  <si>
    <r>
      <rPr>
        <vertAlign val="superscript"/>
        <sz val="12"/>
        <rFont val="Avenir LT Std 55 Roman"/>
        <family val="2"/>
      </rPr>
      <t xml:space="preserve">1 </t>
    </r>
    <r>
      <rPr>
        <sz val="12"/>
        <rFont val="Avenir LT Std 55 Roman"/>
        <family val="2"/>
      </rPr>
      <t xml:space="preserve">CARB "Methods to Find the Cost-Effectiveness of Funding Air Quality Projects for Evaluating Motor Vehicle Registration Fee Projects and Congestion Mitigation and Air Quality Improvement Projects":  </t>
    </r>
    <r>
      <rPr>
        <u/>
        <sz val="12"/>
        <color theme="10"/>
        <rFont val="Avenir LT Std 55 Roman"/>
        <family val="2"/>
      </rPr>
      <t>www.arb.ca.gov/planning/tsaq/eval/eval.htm</t>
    </r>
    <r>
      <rPr>
        <sz val="12"/>
        <rFont val="Avenir LT Std 55 Roman"/>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</si>
</sst>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_(* \(#,##0\);_(* &quot;-&quot;_);_(@_)"/>
    <numFmt numFmtId="44" formatCode="_(&quot;$&quot;* #,##0.00_);_(&quot;$&quot;* \(#,##0.00\);_(&quot;$&quot;* &quot;-&quot;??_);_(@_)"/>
    <numFmt numFmtId="43" formatCode="_(* #,##0.00_);_(* \(#,##0.00\);_(* &quot;-&quot;??_);_(@_)"/>
    <numFmt numFmtId="164" formatCode="0.0"/>
    <numFmt numFmtId="165" formatCode="&quot;$&quot;#,##0.00"/>
    <numFmt numFmtId="166" formatCode="0.0%"/>
    <numFmt numFmtId="167" formatCode="_(* #,##0_);_(* \(#,##0\);_(* &quot;-&quot;??_);_(@_)"/>
    <numFmt numFmtId="168" formatCode="0.0000"/>
    <numFmt numFmtId="169" formatCode="0.000"/>
    <numFmt numFmtId="170" formatCode="0.000000"/>
    <numFmt numFmtId="171" formatCode="0.0000000"/>
    <numFmt numFmtId="172" formatCode="0.00000"/>
    <numFmt numFmtId="173" formatCode="_(* #,##0.000000_);_(* \(#,##0.000000\);_(* &quot;-&quot;??_);_(@_)"/>
    <numFmt numFmtId="174" formatCode="_(* #,##0.000000000_);_(* \(#,##0.000000000\);_(* &quot;-&quot;??_);_(@_)"/>
    <numFmt numFmtId="175" formatCode="_(* #,##0.0000_);_(* \(#,##0.0000\);_(* &quot;-&quot;??_);_(@_)"/>
    <numFmt numFmtId="176" formatCode="#,##0.0000000_);\(#,##0.0000000\)"/>
    <numFmt numFmtId="177" formatCode="&quot;$&quot;#,##0"/>
    <numFmt numFmtId="178" formatCode="#,##0.0000"/>
  </numFmts>
  <fonts count="65" x14ac:knownFonts="1">
    <font>
      <sz val="11"/>
      <color theme="1"/>
      <name val="Calibri"/>
      <family val="2"/>
      <scheme val="minor"/>
    </font>
    <font>
      <sz val="12"/>
      <color theme="1"/>
      <name val="Avenir LT Std 55 Roman"/>
      <family val="2"/>
    </font>
    <font>
      <sz val="12"/>
      <color theme="1"/>
      <name val="Avenir LT Std 55 Roman"/>
      <family val="2"/>
    </font>
    <font>
      <sz val="12"/>
      <color theme="1"/>
      <name val="Avenir LT Std 55 Roman"/>
      <family val="2"/>
    </font>
    <font>
      <sz val="12"/>
      <color theme="1"/>
      <name val="Avenir LT Std 55 Roman"/>
      <family val="2"/>
    </font>
    <font>
      <sz val="12"/>
      <color theme="1"/>
      <name val="Avenir LT Std 55 Roman"/>
      <family val="2"/>
    </font>
    <font>
      <sz val="12"/>
      <color theme="1"/>
      <name val="Avenir LT Std 55 Roman"/>
      <family val="2"/>
    </font>
    <font>
      <sz val="12"/>
      <color theme="1"/>
      <name val="Avenir LT Std 55 Roman"/>
      <family val="2"/>
    </font>
    <font>
      <sz val="11"/>
      <color theme="1"/>
      <name val="Calibri"/>
      <family val="2"/>
      <scheme val="minor"/>
    </font>
    <font>
      <sz val="10"/>
      <name val="Arial"/>
      <family val="2"/>
    </font>
    <font>
      <sz val="12"/>
      <name val="Lucida Sans"/>
      <family val="2"/>
    </font>
    <font>
      <u/>
      <sz val="11"/>
      <color theme="10"/>
      <name val="Calibri"/>
      <family val="2"/>
      <scheme val="minor"/>
    </font>
    <font>
      <sz val="12"/>
      <color theme="1"/>
      <name val="Arial"/>
      <family val="2"/>
    </font>
    <font>
      <b/>
      <sz val="12"/>
      <color theme="1"/>
      <name val="Arial"/>
      <family val="2"/>
    </font>
    <font>
      <u/>
      <sz val="12"/>
      <color theme="10"/>
      <name val="Arial"/>
      <family val="2"/>
    </font>
    <font>
      <b/>
      <sz val="16"/>
      <color theme="1"/>
      <name val="Arial"/>
      <family val="2"/>
    </font>
    <font>
      <sz val="12"/>
      <color rgb="FFFF0000"/>
      <name val="Arial"/>
      <family val="2"/>
    </font>
    <font>
      <b/>
      <sz val="12"/>
      <name val="Arial"/>
      <family val="2"/>
    </font>
    <font>
      <b/>
      <sz val="16"/>
      <name val="Arial"/>
      <family val="2"/>
    </font>
    <font>
      <b/>
      <vertAlign val="subscript"/>
      <sz val="12"/>
      <name val="Arial"/>
      <family val="2"/>
    </font>
    <font>
      <b/>
      <vertAlign val="subscript"/>
      <sz val="12"/>
      <color theme="1"/>
      <name val="Arial"/>
      <family val="2"/>
    </font>
    <font>
      <b/>
      <sz val="16"/>
      <name val="Avenir LT Std 55 Roman"/>
      <family val="2"/>
    </font>
    <font>
      <sz val="11"/>
      <name val="Avenir LT Std 55 Roman"/>
      <family val="2"/>
    </font>
    <font>
      <sz val="11"/>
      <color theme="1"/>
      <name val="Avenir LT Std 55 Roman"/>
      <family val="2"/>
    </font>
    <font>
      <b/>
      <sz val="16"/>
      <color theme="1"/>
      <name val="Avenir LT Std 55 Roman"/>
      <family val="2"/>
    </font>
    <font>
      <b/>
      <sz val="12"/>
      <color theme="1"/>
      <name val="Avenir LT Std 55 Roman"/>
      <family val="2"/>
    </font>
    <font>
      <u/>
      <sz val="12"/>
      <color theme="10"/>
      <name val="Avenir LT Std 55 Roman"/>
      <family val="2"/>
    </font>
    <font>
      <sz val="12"/>
      <name val="Avenir LT Std 55 Roman"/>
      <family val="2"/>
    </font>
    <font>
      <b/>
      <sz val="12"/>
      <name val="Avenir LT Std 55 Roman"/>
      <family val="2"/>
    </font>
    <font>
      <b/>
      <sz val="12"/>
      <color rgb="FFFF0000"/>
      <name val="Avenir LT Std 55 Roman"/>
      <family val="2"/>
    </font>
    <font>
      <sz val="12"/>
      <color rgb="FFFF0000"/>
      <name val="Avenir LT Std 55 Roman"/>
      <family val="2"/>
    </font>
    <font>
      <sz val="12"/>
      <color theme="1"/>
      <name val="Avenir LT Std 55 Roman"/>
      <family val="2"/>
    </font>
    <font>
      <sz val="12"/>
      <color theme="0"/>
      <name val="Avenir LT Std 55 Roman"/>
      <family val="2"/>
    </font>
    <font>
      <sz val="10"/>
      <name val="Avenir LT Std 55 Roman"/>
      <family val="2"/>
    </font>
    <font>
      <i/>
      <sz val="12"/>
      <color theme="1"/>
      <name val="Avenir LT Std 55 Roman"/>
      <family val="2"/>
    </font>
    <font>
      <i/>
      <sz val="12"/>
      <name val="Avenir LT Std 55 Roman"/>
      <family val="2"/>
    </font>
    <font>
      <b/>
      <sz val="12"/>
      <color theme="0"/>
      <name val="Avenir LT Std 55 Roman"/>
      <family val="2"/>
    </font>
    <font>
      <sz val="12"/>
      <color rgb="FF000000"/>
      <name val="Avenir LT Std 55 Roman"/>
      <family val="2"/>
    </font>
    <font>
      <b/>
      <sz val="14"/>
      <color theme="1"/>
      <name val="Avenir LT Std 55 Roman"/>
      <family val="2"/>
    </font>
    <font>
      <sz val="14"/>
      <color theme="1"/>
      <name val="Avenir LT Std 55 Roman"/>
      <family val="2"/>
    </font>
    <font>
      <b/>
      <sz val="14"/>
      <name val="Avenir LT Std 55 Roman"/>
      <family val="2"/>
    </font>
    <font>
      <b/>
      <sz val="12"/>
      <color rgb="FF000000"/>
      <name val="Avenir LT Std 55 Roman"/>
      <family val="2"/>
    </font>
    <font>
      <b/>
      <sz val="11"/>
      <color theme="1"/>
      <name val="Avenir LT Std 55 Roman"/>
      <family val="2"/>
    </font>
    <font>
      <vertAlign val="subscript"/>
      <sz val="12"/>
      <color theme="1"/>
      <name val="Avenir LT Std 55 Roman"/>
      <family val="2"/>
    </font>
    <font>
      <b/>
      <vertAlign val="subscript"/>
      <sz val="12"/>
      <color theme="1"/>
      <name val="Avenir LT Std 55 Roman"/>
      <family val="2"/>
    </font>
    <font>
      <b/>
      <vertAlign val="subscript"/>
      <sz val="12"/>
      <name val="Avenir LT Std 55 Roman"/>
      <family val="2"/>
    </font>
    <font>
      <b/>
      <vertAlign val="superscript"/>
      <sz val="12"/>
      <name val="Avenir LT Std 55 Roman"/>
      <family val="2"/>
    </font>
    <font>
      <vertAlign val="superscript"/>
      <sz val="12"/>
      <name val="Avenir LT Std 55 Roman"/>
      <family val="2"/>
    </font>
    <font>
      <sz val="10"/>
      <color theme="1"/>
      <name val="Avenir LT Std 55 Roman"/>
      <family val="2"/>
    </font>
    <font>
      <vertAlign val="superscript"/>
      <sz val="10"/>
      <name val="Avenir LT Std 55 Roman"/>
      <family val="2"/>
    </font>
    <font>
      <vertAlign val="subscript"/>
      <sz val="12"/>
      <name val="Avenir LT Std 55 Roman"/>
      <family val="2"/>
    </font>
    <font>
      <u/>
      <sz val="11"/>
      <color theme="10"/>
      <name val="Calibri"/>
      <family val="2"/>
    </font>
    <font>
      <vertAlign val="superscript"/>
      <sz val="12"/>
      <color theme="1"/>
      <name val="Avenir LT Std 55 Roman"/>
      <family val="2"/>
    </font>
    <font>
      <b/>
      <sz val="11"/>
      <color theme="1"/>
      <name val="Calibri"/>
      <family val="2"/>
      <scheme val="minor"/>
    </font>
    <font>
      <sz val="11"/>
      <color theme="0"/>
      <name val="Avenir LT Std 55 Roman"/>
      <family val="2"/>
    </font>
    <font>
      <i/>
      <sz val="11"/>
      <color theme="1"/>
      <name val="Avenir LT Std 55 Roman"/>
      <family val="2"/>
    </font>
    <font>
      <i/>
      <sz val="11"/>
      <name val="Avenir LT Std 55 Roman"/>
      <family val="2"/>
    </font>
    <font>
      <vertAlign val="subscript"/>
      <sz val="12"/>
      <color theme="0"/>
      <name val="Avenir LT Std 55 Roman"/>
      <family val="2"/>
    </font>
    <font>
      <sz val="12"/>
      <color theme="1"/>
      <name val="Avenir LT Std 55 Roman"/>
      <family val="2"/>
    </font>
    <font>
      <sz val="12"/>
      <name val="Arial"/>
      <family val="2"/>
    </font>
    <font>
      <sz val="12"/>
      <color theme="10"/>
      <name val="Avenir LT Std 55 Roman"/>
      <family val="2"/>
    </font>
    <font>
      <u/>
      <sz val="12"/>
      <color theme="10"/>
      <name val="Calibri"/>
      <family val="2"/>
      <scheme val="minor"/>
    </font>
    <font>
      <vertAlign val="superscript"/>
      <sz val="11"/>
      <color theme="1"/>
      <name val="Avenir LT Std 55 Roman"/>
      <family val="2"/>
    </font>
    <font>
      <sz val="12"/>
      <color theme="1"/>
      <name val="Calibri"/>
      <family val="2"/>
      <scheme val="minor"/>
    </font>
    <font>
      <vertAlign val="superscript"/>
      <sz val="14"/>
      <name val="Avenir LT Std 55 Roman"/>
      <family val="2"/>
    </font>
  </fonts>
  <fills count="31">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FF66"/>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indexed="64"/>
      </patternFill>
    </fill>
    <fill>
      <patternFill patternType="solid">
        <fgColor theme="2" tint="-0.89999084444715716"/>
        <bgColor indexed="64"/>
      </patternFill>
    </fill>
    <fill>
      <patternFill patternType="solid">
        <fgColor theme="9" tint="0.39997558519241921"/>
        <bgColor indexed="64"/>
      </patternFill>
    </fill>
    <fill>
      <patternFill patternType="solid">
        <fgColor rgb="FFE2EFDA"/>
        <bgColor indexed="64"/>
      </patternFill>
    </fill>
    <fill>
      <patternFill patternType="solid">
        <fgColor rgb="FFE2EFDA"/>
        <bgColor rgb="FF00000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gray0625">
        <bgColor theme="0" tint="-0.249977111117893"/>
      </patternFill>
    </fill>
    <fill>
      <patternFill patternType="solid">
        <fgColor rgb="FFFFFFFF"/>
        <bgColor indexed="64"/>
      </patternFill>
    </fill>
    <fill>
      <patternFill patternType="solid">
        <fgColor theme="9" tint="0.39994506668294322"/>
        <bgColor indexed="64"/>
      </patternFill>
    </fill>
    <fill>
      <patternFill patternType="solid">
        <fgColor theme="0" tint="-0.24994659260841701"/>
        <bgColor indexed="64"/>
      </patternFill>
    </fill>
    <fill>
      <patternFill patternType="solid">
        <fgColor theme="6" tint="0.59999389629810485"/>
        <bgColor indexed="64"/>
      </patternFill>
    </fill>
    <fill>
      <patternFill patternType="solid">
        <fgColor theme="4" tint="0.59996337778862885"/>
        <bgColor indexed="64"/>
      </patternFill>
    </fill>
    <fill>
      <patternFill patternType="solid">
        <fgColor theme="8" tint="0.59999389629810485"/>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theme="0"/>
      </left>
      <right/>
      <top/>
      <bottom style="thick">
        <color theme="0"/>
      </bottom>
      <diagonal/>
    </border>
    <border>
      <left style="thin">
        <color theme="0"/>
      </left>
      <right/>
      <top style="thin">
        <color theme="0"/>
      </top>
      <bottom style="thin">
        <color theme="0"/>
      </bottom>
      <diagonal/>
    </border>
    <border>
      <left/>
      <right/>
      <top style="thin">
        <color theme="4" tint="0.39997558519241921"/>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auto="1"/>
      </top>
      <bottom style="thin">
        <color auto="1"/>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thin">
        <color auto="1"/>
      </left>
      <right/>
      <top/>
      <bottom/>
      <diagonal/>
    </border>
    <border>
      <left/>
      <right style="medium">
        <color indexed="64"/>
      </right>
      <top style="thin">
        <color auto="1"/>
      </top>
      <bottom style="medium">
        <color indexed="64"/>
      </bottom>
      <diagonal/>
    </border>
    <border>
      <left style="thin">
        <color auto="1"/>
      </left>
      <right/>
      <top style="medium">
        <color auto="1"/>
      </top>
      <bottom style="medium">
        <color auto="1"/>
      </bottom>
      <diagonal/>
    </border>
    <border>
      <left style="medium">
        <color indexed="64"/>
      </left>
      <right style="thin">
        <color indexed="64"/>
      </right>
      <top/>
      <bottom style="medium">
        <color indexed="64"/>
      </bottom>
      <diagonal/>
    </border>
    <border>
      <left style="thin">
        <color auto="1"/>
      </left>
      <right/>
      <top style="thin">
        <color auto="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auto="1"/>
      </right>
      <top style="medium">
        <color auto="1"/>
      </top>
      <bottom style="medium">
        <color auto="1"/>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auto="1"/>
      </left>
      <right style="medium">
        <color auto="1"/>
      </right>
      <top/>
      <bottom style="medium">
        <color auto="1"/>
      </bottom>
      <diagonal/>
    </border>
    <border>
      <left/>
      <right/>
      <top style="thin">
        <color auto="1"/>
      </top>
      <bottom/>
      <diagonal/>
    </border>
    <border>
      <left style="thin">
        <color auto="1"/>
      </left>
      <right/>
      <top style="medium">
        <color auto="1"/>
      </top>
      <bottom/>
      <diagonal/>
    </border>
    <border>
      <left/>
      <right style="medium">
        <color indexed="64"/>
      </right>
      <top style="thin">
        <color indexed="64"/>
      </top>
      <bottom/>
      <diagonal/>
    </border>
    <border>
      <left style="thin">
        <color indexed="64"/>
      </left>
      <right style="thin">
        <color indexed="64"/>
      </right>
      <top/>
      <bottom/>
      <diagonal/>
    </border>
  </borders>
  <cellStyleXfs count="16">
    <xf numFmtId="0" fontId="0" fillId="0" borderId="0"/>
    <xf numFmtId="43" fontId="9" fillId="0" borderId="0" applyFont="0" applyFill="0" applyBorder="0" applyAlignment="0" applyProtection="0"/>
    <xf numFmtId="0" fontId="8" fillId="0" borderId="0"/>
    <xf numFmtId="0" fontId="11" fillId="0" borderId="0" applyNumberForma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0" fontId="9" fillId="0" borderId="0"/>
    <xf numFmtId="9" fontId="8" fillId="0" borderId="0" applyFont="0" applyFill="0" applyBorder="0" applyAlignment="0" applyProtection="0"/>
    <xf numFmtId="43" fontId="8" fillId="0" borderId="0" applyFont="0" applyFill="0" applyBorder="0" applyAlignment="0" applyProtection="0"/>
    <xf numFmtId="0" fontId="14" fillId="0" borderId="0" applyNumberFormat="0" applyFill="0" applyBorder="0" applyAlignment="0" applyProtection="0"/>
    <xf numFmtId="0" fontId="9" fillId="0" borderId="0"/>
    <xf numFmtId="0" fontId="8" fillId="0" borderId="0"/>
    <xf numFmtId="0" fontId="51" fillId="0" borderId="0" applyNumberFormat="0" applyFill="0" applyBorder="0" applyAlignment="0" applyProtection="0">
      <alignment vertical="top"/>
      <protection locked="0"/>
    </xf>
    <xf numFmtId="0" fontId="11" fillId="0" borderId="0" applyNumberFormat="0" applyFill="0" applyBorder="0" applyAlignment="0" applyProtection="0"/>
  </cellStyleXfs>
  <cellXfs count="1151">
    <xf numFmtId="0" fontId="0" fillId="0" borderId="0" xfId="0"/>
    <xf numFmtId="0" fontId="0" fillId="0" borderId="0" xfId="0" applyFill="1" applyBorder="1"/>
    <xf numFmtId="0" fontId="10" fillId="0" borderId="0" xfId="0" applyFont="1" applyFill="1" applyBorder="1"/>
    <xf numFmtId="0" fontId="12" fillId="0" borderId="0" xfId="0" applyFont="1"/>
    <xf numFmtId="0" fontId="13" fillId="0" borderId="47" xfId="0" applyFont="1" applyBorder="1" applyAlignment="1">
      <alignment horizontal="center"/>
    </xf>
    <xf numFmtId="0" fontId="13" fillId="0" borderId="48" xfId="13" applyFont="1" applyBorder="1" applyAlignment="1">
      <alignment horizontal="center"/>
    </xf>
    <xf numFmtId="0" fontId="12" fillId="0" borderId="15" xfId="13" applyFont="1" applyBorder="1"/>
    <xf numFmtId="0" fontId="12" fillId="0" borderId="1" xfId="13" applyFont="1" applyBorder="1"/>
    <xf numFmtId="168" fontId="12" fillId="15" borderId="1" xfId="13" applyNumberFormat="1" applyFont="1" applyFill="1" applyBorder="1"/>
    <xf numFmtId="168" fontId="12" fillId="15" borderId="10" xfId="13" applyNumberFormat="1" applyFont="1" applyFill="1" applyBorder="1"/>
    <xf numFmtId="0" fontId="12" fillId="0" borderId="17" xfId="13" applyFont="1" applyBorder="1"/>
    <xf numFmtId="0" fontId="12" fillId="0" borderId="18" xfId="13" applyFont="1" applyBorder="1"/>
    <xf numFmtId="0" fontId="22" fillId="0" borderId="0" xfId="0" applyFont="1" applyFill="1" applyBorder="1"/>
    <xf numFmtId="0" fontId="23" fillId="0" borderId="0" xfId="0" applyFont="1" applyFill="1" applyBorder="1"/>
    <xf numFmtId="0" fontId="25" fillId="0" borderId="0" xfId="0" applyFont="1" applyFill="1" applyBorder="1"/>
    <xf numFmtId="0" fontId="26" fillId="0" borderId="0" xfId="3" applyFont="1" applyFill="1" applyBorder="1" applyAlignment="1">
      <alignment vertical="top" wrapText="1"/>
    </xf>
    <xf numFmtId="0" fontId="27" fillId="0" borderId="0" xfId="0" applyFont="1" applyFill="1" applyBorder="1" applyAlignment="1">
      <alignment vertical="top" wrapText="1"/>
    </xf>
    <xf numFmtId="0" fontId="31" fillId="0" borderId="0" xfId="0" applyFont="1"/>
    <xf numFmtId="0" fontId="31" fillId="0" borderId="0" xfId="0" applyFont="1" applyFill="1" applyBorder="1"/>
    <xf numFmtId="0" fontId="27" fillId="9" borderId="30" xfId="0" applyFont="1" applyFill="1" applyBorder="1" applyAlignment="1">
      <alignment wrapText="1"/>
    </xf>
    <xf numFmtId="0" fontId="27" fillId="9" borderId="31" xfId="0" applyFont="1" applyFill="1" applyBorder="1" applyAlignment="1">
      <alignment wrapText="1"/>
    </xf>
    <xf numFmtId="0" fontId="27" fillId="3" borderId="32" xfId="0" applyFont="1" applyFill="1" applyBorder="1" applyProtection="1">
      <protection locked="0"/>
    </xf>
    <xf numFmtId="0" fontId="31" fillId="3" borderId="29" xfId="0" applyFont="1" applyFill="1" applyBorder="1" applyProtection="1">
      <protection locked="0"/>
    </xf>
    <xf numFmtId="0" fontId="27" fillId="3" borderId="11" xfId="0" applyFont="1" applyFill="1" applyBorder="1" applyProtection="1">
      <protection locked="0"/>
    </xf>
    <xf numFmtId="0" fontId="31" fillId="3" borderId="1" xfId="0" applyFont="1" applyFill="1" applyBorder="1" applyProtection="1">
      <protection locked="0"/>
    </xf>
    <xf numFmtId="0" fontId="31" fillId="0" borderId="0" xfId="0" applyFont="1" applyFill="1" applyBorder="1" applyAlignment="1">
      <alignment vertical="top" wrapText="1"/>
    </xf>
    <xf numFmtId="0" fontId="31" fillId="0" borderId="0" xfId="0" applyFont="1" applyAlignment="1">
      <alignment vertical="top" wrapText="1"/>
    </xf>
    <xf numFmtId="0" fontId="31" fillId="0" borderId="0" xfId="0" applyFont="1" applyFill="1" applyBorder="1" applyAlignment="1">
      <alignment vertical="top"/>
    </xf>
    <xf numFmtId="0" fontId="27" fillId="0" borderId="0" xfId="0" applyFont="1"/>
    <xf numFmtId="0" fontId="27" fillId="0" borderId="0" xfId="0" applyFont="1" applyAlignment="1">
      <alignment horizontal="left"/>
    </xf>
    <xf numFmtId="0" fontId="27" fillId="0" borderId="0" xfId="0" applyFont="1" applyFill="1" applyBorder="1"/>
    <xf numFmtId="0" fontId="31" fillId="0" borderId="15" xfId="0" applyFont="1" applyFill="1" applyBorder="1"/>
    <xf numFmtId="0" fontId="25" fillId="0" borderId="0" xfId="0" applyFont="1" applyAlignment="1">
      <alignment vertical="top"/>
    </xf>
    <xf numFmtId="0" fontId="31" fillId="0" borderId="37" xfId="0" applyFont="1" applyFill="1" applyBorder="1"/>
    <xf numFmtId="9" fontId="31" fillId="2" borderId="35" xfId="9" applyNumberFormat="1" applyFont="1" applyFill="1" applyBorder="1" applyAlignment="1">
      <alignment horizontal="right"/>
    </xf>
    <xf numFmtId="9" fontId="31" fillId="2" borderId="16" xfId="9" applyNumberFormat="1" applyFont="1" applyFill="1" applyBorder="1" applyAlignment="1">
      <alignment horizontal="right"/>
    </xf>
    <xf numFmtId="0" fontId="31" fillId="0" borderId="17" xfId="0" applyFont="1" applyFill="1" applyBorder="1"/>
    <xf numFmtId="2" fontId="31" fillId="2" borderId="19" xfId="9" applyNumberFormat="1" applyFont="1" applyFill="1" applyBorder="1" applyAlignment="1">
      <alignment horizontal="right"/>
    </xf>
    <xf numFmtId="0" fontId="30" fillId="0" borderId="0" xfId="0" applyFont="1" applyFill="1" applyBorder="1"/>
    <xf numFmtId="0" fontId="30" fillId="3" borderId="29" xfId="0" applyFont="1" applyFill="1" applyBorder="1" applyProtection="1">
      <protection locked="0"/>
    </xf>
    <xf numFmtId="0" fontId="23" fillId="0" borderId="0" xfId="0" applyFont="1" applyFill="1" applyBorder="1" applyAlignment="1">
      <alignment horizontal="center"/>
    </xf>
    <xf numFmtId="0" fontId="25" fillId="0" borderId="0" xfId="0" applyFont="1" applyFill="1" applyBorder="1" applyAlignment="1"/>
    <xf numFmtId="0" fontId="31" fillId="0" borderId="0" xfId="0" applyFont="1" applyAlignment="1">
      <alignment horizontal="left"/>
    </xf>
    <xf numFmtId="0" fontId="31" fillId="0" borderId="0" xfId="0" applyFont="1" applyAlignment="1">
      <alignment horizontal="left" wrapText="1"/>
    </xf>
    <xf numFmtId="0" fontId="25" fillId="0" borderId="0" xfId="0" applyFont="1" applyAlignment="1">
      <alignment horizontal="left" wrapText="1"/>
    </xf>
    <xf numFmtId="0" fontId="36" fillId="6" borderId="26" xfId="0" applyFont="1" applyFill="1" applyBorder="1" applyAlignment="1">
      <alignment horizontal="left" wrapText="1"/>
    </xf>
    <xf numFmtId="0" fontId="31" fillId="0" borderId="0" xfId="0" applyFont="1" applyAlignment="1">
      <alignment horizontal="right"/>
    </xf>
    <xf numFmtId="0" fontId="31" fillId="7" borderId="27" xfId="0" applyFont="1" applyFill="1" applyBorder="1"/>
    <xf numFmtId="9" fontId="31" fillId="0" borderId="0" xfId="9" applyFont="1"/>
    <xf numFmtId="0" fontId="31" fillId="8" borderId="27" xfId="0" applyFont="1" applyFill="1" applyBorder="1"/>
    <xf numFmtId="1" fontId="27" fillId="0" borderId="0" xfId="0" applyNumberFormat="1" applyFont="1" applyFill="1" applyBorder="1"/>
    <xf numFmtId="2" fontId="31" fillId="0" borderId="0" xfId="0" applyNumberFormat="1" applyFont="1" applyAlignment="1">
      <alignment vertical="top" wrapText="1"/>
    </xf>
    <xf numFmtId="2" fontId="31" fillId="0" borderId="0" xfId="0" applyNumberFormat="1" applyFont="1" applyFill="1" applyBorder="1"/>
    <xf numFmtId="0" fontId="25" fillId="0" borderId="0" xfId="0" applyFont="1" applyFill="1" applyBorder="1" applyAlignment="1">
      <alignment vertical="top"/>
    </xf>
    <xf numFmtId="165" fontId="31" fillId="0" borderId="0" xfId="7" applyNumberFormat="1" applyFont="1" applyFill="1" applyBorder="1" applyAlignment="1">
      <alignment horizontal="left" vertical="top" wrapText="1"/>
    </xf>
    <xf numFmtId="166" fontId="31" fillId="0" borderId="0" xfId="9" applyNumberFormat="1" applyFont="1" applyFill="1" applyBorder="1" applyAlignment="1">
      <alignment vertical="top" wrapText="1"/>
    </xf>
    <xf numFmtId="0" fontId="36" fillId="0" borderId="0" xfId="0" applyFont="1" applyFill="1" applyBorder="1" applyAlignment="1">
      <alignment vertical="top" wrapText="1"/>
    </xf>
    <xf numFmtId="9" fontId="37" fillId="0" borderId="0" xfId="9" applyFont="1" applyFill="1" applyBorder="1" applyAlignment="1">
      <alignment vertical="top" shrinkToFit="1"/>
    </xf>
    <xf numFmtId="166" fontId="30" fillId="0" borderId="0" xfId="9" applyNumberFormat="1" applyFont="1" applyFill="1" applyBorder="1" applyAlignment="1">
      <alignment vertical="top"/>
    </xf>
    <xf numFmtId="44" fontId="31" fillId="0" borderId="0" xfId="7" applyFont="1" applyFill="1" applyBorder="1" applyAlignment="1">
      <alignment horizontal="left" vertical="top" wrapText="1"/>
    </xf>
    <xf numFmtId="0" fontId="36" fillId="6" borderId="0" xfId="0" applyFont="1" applyFill="1" applyBorder="1" applyAlignment="1">
      <alignment wrapText="1"/>
    </xf>
    <xf numFmtId="164" fontId="37" fillId="0" borderId="0" xfId="0" applyNumberFormat="1" applyFont="1" applyFill="1" applyBorder="1" applyAlignment="1">
      <alignment vertical="top" shrinkToFit="1"/>
    </xf>
    <xf numFmtId="0" fontId="28" fillId="0" borderId="0" xfId="0" applyFont="1" applyFill="1" applyBorder="1" applyAlignment="1">
      <alignment vertical="center" wrapText="1"/>
    </xf>
    <xf numFmtId="0" fontId="36" fillId="0" borderId="0" xfId="0" applyFont="1" applyFill="1" applyBorder="1" applyAlignment="1">
      <alignment wrapText="1"/>
    </xf>
    <xf numFmtId="0" fontId="31" fillId="0" borderId="0" xfId="0" applyFont="1" applyBorder="1"/>
    <xf numFmtId="0" fontId="32" fillId="0" borderId="0" xfId="0" applyFont="1" applyFill="1" applyBorder="1"/>
    <xf numFmtId="3" fontId="31" fillId="0" borderId="0" xfId="10" applyNumberFormat="1" applyFont="1" applyFill="1" applyBorder="1"/>
    <xf numFmtId="0" fontId="31" fillId="0" borderId="28" xfId="0" applyFont="1" applyFill="1" applyBorder="1"/>
    <xf numFmtId="168" fontId="31" fillId="0" borderId="28" xfId="0" applyNumberFormat="1" applyFont="1" applyFill="1" applyBorder="1"/>
    <xf numFmtId="3" fontId="31" fillId="0" borderId="0" xfId="0" applyNumberFormat="1" applyFont="1" applyFill="1" applyBorder="1"/>
    <xf numFmtId="168" fontId="31" fillId="0" borderId="0" xfId="0" applyNumberFormat="1" applyFont="1" applyFill="1" applyBorder="1"/>
    <xf numFmtId="0" fontId="23" fillId="0" borderId="0" xfId="0" applyFont="1"/>
    <xf numFmtId="0" fontId="40" fillId="0" borderId="0" xfId="5" applyFont="1" applyAlignment="1">
      <alignment horizontal="center"/>
    </xf>
    <xf numFmtId="0" fontId="38" fillId="0" borderId="0" xfId="5" applyFont="1" applyAlignment="1">
      <alignment horizontal="center"/>
    </xf>
    <xf numFmtId="0" fontId="40" fillId="0" borderId="0" xfId="0" applyFont="1" applyFill="1" applyBorder="1" applyAlignment="1">
      <alignment horizontal="center"/>
    </xf>
    <xf numFmtId="0" fontId="38" fillId="0" borderId="0" xfId="0" applyFont="1" applyFill="1" applyBorder="1" applyAlignment="1"/>
    <xf numFmtId="0" fontId="23" fillId="0" borderId="0" xfId="0" applyFont="1" applyBorder="1"/>
    <xf numFmtId="0" fontId="31" fillId="0" borderId="37" xfId="0" applyFont="1" applyBorder="1"/>
    <xf numFmtId="0" fontId="42" fillId="0" borderId="0" xfId="0" applyFont="1" applyFill="1" applyBorder="1" applyAlignment="1"/>
    <xf numFmtId="0" fontId="25" fillId="0" borderId="15" xfId="0" applyFont="1" applyBorder="1" applyAlignment="1">
      <alignment horizontal="center"/>
    </xf>
    <xf numFmtId="0" fontId="25" fillId="0" borderId="1" xfId="0" applyFont="1" applyBorder="1" applyAlignment="1">
      <alignment horizontal="center"/>
    </xf>
    <xf numFmtId="0" fontId="25" fillId="0" borderId="38" xfId="0" applyFont="1" applyBorder="1" applyAlignment="1">
      <alignment horizontal="center"/>
    </xf>
    <xf numFmtId="0" fontId="25" fillId="0" borderId="0" xfId="0" applyFont="1" applyFill="1" applyBorder="1" applyAlignment="1">
      <alignment horizontal="center"/>
    </xf>
    <xf numFmtId="0" fontId="42" fillId="0" borderId="0" xfId="0" applyFont="1" applyFill="1" applyBorder="1" applyAlignment="1">
      <alignment horizontal="center"/>
    </xf>
    <xf numFmtId="0" fontId="31" fillId="0" borderId="15" xfId="0" applyFont="1" applyBorder="1" applyAlignment="1">
      <alignment horizontal="right"/>
    </xf>
    <xf numFmtId="0" fontId="31" fillId="0" borderId="1" xfId="0" applyFont="1" applyFill="1" applyBorder="1" applyAlignment="1">
      <alignment horizontal="center"/>
    </xf>
    <xf numFmtId="0" fontId="31" fillId="0" borderId="38" xfId="0" applyFont="1" applyFill="1" applyBorder="1" applyAlignment="1">
      <alignment horizontal="center"/>
    </xf>
    <xf numFmtId="0" fontId="31" fillId="0" borderId="0" xfId="0" applyFont="1" applyFill="1" applyBorder="1" applyAlignment="1">
      <alignment horizontal="center"/>
    </xf>
    <xf numFmtId="43" fontId="31" fillId="0" borderId="15" xfId="10" applyFont="1" applyBorder="1"/>
    <xf numFmtId="0" fontId="23" fillId="0" borderId="1" xfId="0" applyFont="1" applyFill="1" applyBorder="1"/>
    <xf numFmtId="0" fontId="23" fillId="0" borderId="38" xfId="0" applyFont="1" applyFill="1" applyBorder="1"/>
    <xf numFmtId="0" fontId="31" fillId="0" borderId="0" xfId="0" applyFont="1" applyFill="1" applyBorder="1" applyAlignment="1"/>
    <xf numFmtId="3" fontId="31" fillId="0" borderId="0" xfId="0" applyNumberFormat="1" applyFont="1" applyFill="1" applyBorder="1" applyAlignment="1"/>
    <xf numFmtId="43" fontId="23" fillId="0" borderId="0" xfId="0" applyNumberFormat="1" applyFont="1" applyFill="1" applyBorder="1" applyAlignment="1"/>
    <xf numFmtId="3" fontId="31" fillId="0" borderId="0" xfId="10" applyNumberFormat="1" applyFont="1" applyFill="1" applyBorder="1" applyAlignment="1"/>
    <xf numFmtId="43" fontId="23" fillId="0" borderId="0" xfId="10" applyFont="1" applyFill="1" applyBorder="1" applyAlignment="1"/>
    <xf numFmtId="3" fontId="23" fillId="0" borderId="0" xfId="0" applyNumberFormat="1" applyFont="1" applyFill="1" applyBorder="1" applyAlignment="1"/>
    <xf numFmtId="3" fontId="23" fillId="0" borderId="0" xfId="0" applyNumberFormat="1" applyFont="1" applyFill="1" applyBorder="1"/>
    <xf numFmtId="0" fontId="31" fillId="0" borderId="63" xfId="0" applyFont="1" applyBorder="1" applyAlignment="1">
      <alignment horizontal="right"/>
    </xf>
    <xf numFmtId="0" fontId="31" fillId="0" borderId="37" xfId="0" applyFont="1" applyBorder="1" applyAlignment="1">
      <alignment horizontal="right"/>
    </xf>
    <xf numFmtId="0" fontId="23" fillId="0" borderId="0" xfId="0" applyFont="1" applyFill="1" applyBorder="1" applyAlignment="1"/>
    <xf numFmtId="0" fontId="31" fillId="0" borderId="17" xfId="0" applyFont="1" applyBorder="1" applyAlignment="1">
      <alignment horizontal="right"/>
    </xf>
    <xf numFmtId="0" fontId="23" fillId="0" borderId="64" xfId="0" applyFont="1" applyBorder="1" applyAlignment="1">
      <alignment horizontal="right"/>
    </xf>
    <xf numFmtId="0" fontId="38" fillId="0" borderId="0" xfId="0" applyFont="1" applyFill="1" applyAlignment="1"/>
    <xf numFmtId="0" fontId="25" fillId="0" borderId="59" xfId="0" applyFont="1" applyBorder="1" applyAlignment="1">
      <alignment horizontal="center"/>
    </xf>
    <xf numFmtId="0" fontId="25" fillId="0" borderId="30" xfId="0" applyFont="1" applyBorder="1" applyAlignment="1">
      <alignment horizontal="center"/>
    </xf>
    <xf numFmtId="169" fontId="23" fillId="0" borderId="0" xfId="0" applyNumberFormat="1" applyFont="1"/>
    <xf numFmtId="0" fontId="31" fillId="0" borderId="60" xfId="0" applyFont="1" applyBorder="1"/>
    <xf numFmtId="0" fontId="31" fillId="0" borderId="11" xfId="0" applyFont="1" applyBorder="1" applyAlignment="1">
      <alignment horizontal="center" vertical="center"/>
    </xf>
    <xf numFmtId="2" fontId="31" fillId="0" borderId="1" xfId="0" applyNumberFormat="1" applyFont="1" applyBorder="1" applyAlignment="1">
      <alignment horizontal="center" vertical="center"/>
    </xf>
    <xf numFmtId="0" fontId="31" fillId="0" borderId="1" xfId="0" applyFont="1" applyBorder="1" applyAlignment="1">
      <alignment horizontal="center" vertical="center"/>
    </xf>
    <xf numFmtId="0" fontId="31" fillId="0" borderId="38" xfId="0" applyFont="1" applyBorder="1" applyAlignment="1">
      <alignment horizontal="center" vertical="center"/>
    </xf>
    <xf numFmtId="0" fontId="31" fillId="0" borderId="61" xfId="0" applyFont="1" applyBorder="1"/>
    <xf numFmtId="0" fontId="31" fillId="0" borderId="32" xfId="0" applyFont="1" applyBorder="1" applyAlignment="1">
      <alignment horizontal="center" vertical="center"/>
    </xf>
    <xf numFmtId="0" fontId="31" fillId="0" borderId="29" xfId="0" applyFont="1" applyBorder="1" applyAlignment="1">
      <alignment horizontal="center" vertical="center"/>
    </xf>
    <xf numFmtId="0" fontId="31" fillId="0" borderId="33" xfId="0" applyFont="1" applyBorder="1" applyAlignment="1">
      <alignment horizontal="center" vertical="center"/>
    </xf>
    <xf numFmtId="0" fontId="25" fillId="0" borderId="12" xfId="0" applyFont="1" applyBorder="1" applyAlignment="1">
      <alignment horizontal="center"/>
    </xf>
    <xf numFmtId="0" fontId="25" fillId="0" borderId="13" xfId="0" applyFont="1" applyBorder="1" applyAlignment="1">
      <alignment horizontal="center"/>
    </xf>
    <xf numFmtId="0" fontId="25" fillId="0" borderId="14" xfId="0" applyFont="1" applyBorder="1" applyAlignment="1">
      <alignment horizontal="center"/>
    </xf>
    <xf numFmtId="4" fontId="31" fillId="0" borderId="1" xfId="0" applyNumberFormat="1" applyFont="1" applyBorder="1" applyAlignment="1">
      <alignment horizontal="center" vertical="center"/>
    </xf>
    <xf numFmtId="4" fontId="31" fillId="0" borderId="38" xfId="0" applyNumberFormat="1" applyFont="1" applyBorder="1" applyAlignment="1">
      <alignment horizontal="center" vertical="center"/>
    </xf>
    <xf numFmtId="0" fontId="25" fillId="15" borderId="17" xfId="0" applyFont="1" applyFill="1" applyBorder="1" applyAlignment="1">
      <alignment horizontal="right"/>
    </xf>
    <xf numFmtId="4" fontId="25" fillId="15" borderId="18" xfId="0" applyNumberFormat="1" applyFont="1" applyFill="1" applyBorder="1" applyAlignment="1">
      <alignment horizontal="center" vertical="center"/>
    </xf>
    <xf numFmtId="4" fontId="25" fillId="15" borderId="19" xfId="0" applyNumberFormat="1" applyFont="1" applyFill="1" applyBorder="1" applyAlignment="1">
      <alignment horizontal="center" vertical="center"/>
    </xf>
    <xf numFmtId="0" fontId="42" fillId="0" borderId="0" xfId="0" applyFont="1" applyFill="1" applyBorder="1" applyAlignment="1">
      <alignment horizontal="right"/>
    </xf>
    <xf numFmtId="4" fontId="42" fillId="0" borderId="0" xfId="0" applyNumberFormat="1" applyFont="1" applyFill="1" applyBorder="1"/>
    <xf numFmtId="0" fontId="31" fillId="0" borderId="12" xfId="0" applyFont="1" applyBorder="1" applyAlignment="1">
      <alignment horizontal="right"/>
    </xf>
    <xf numFmtId="41" fontId="31" fillId="0" borderId="13" xfId="0" applyNumberFormat="1" applyFont="1" applyFill="1" applyBorder="1"/>
    <xf numFmtId="41" fontId="25" fillId="0" borderId="18" xfId="0" applyNumberFormat="1" applyFont="1" applyFill="1" applyBorder="1"/>
    <xf numFmtId="0" fontId="25" fillId="0" borderId="18" xfId="0" applyFont="1" applyBorder="1" applyAlignment="1">
      <alignment horizontal="center"/>
    </xf>
    <xf numFmtId="0" fontId="25" fillId="0" borderId="19" xfId="0" applyFont="1" applyBorder="1" applyAlignment="1">
      <alignment horizontal="center"/>
    </xf>
    <xf numFmtId="0" fontId="31" fillId="22" borderId="12" xfId="0" applyFont="1" applyFill="1" applyBorder="1" applyAlignment="1">
      <alignment horizontal="right"/>
    </xf>
    <xf numFmtId="173" fontId="31" fillId="22" borderId="13" xfId="0" applyNumberFormat="1" applyFont="1" applyFill="1" applyBorder="1" applyAlignment="1">
      <alignment horizontal="center" vertical="center"/>
    </xf>
    <xf numFmtId="173" fontId="31" fillId="22" borderId="14" xfId="0" applyNumberFormat="1" applyFont="1" applyFill="1" applyBorder="1" applyAlignment="1">
      <alignment horizontal="center" vertical="center"/>
    </xf>
    <xf numFmtId="0" fontId="31" fillId="15" borderId="15" xfId="0" applyFont="1" applyFill="1" applyBorder="1" applyAlignment="1">
      <alignment horizontal="right"/>
    </xf>
    <xf numFmtId="174" fontId="31" fillId="15" borderId="1" xfId="0" applyNumberFormat="1" applyFont="1" applyFill="1" applyBorder="1" applyAlignment="1">
      <alignment horizontal="center" vertical="center"/>
    </xf>
    <xf numFmtId="174" fontId="31" fillId="15" borderId="38" xfId="0" applyNumberFormat="1" applyFont="1" applyFill="1" applyBorder="1" applyAlignment="1">
      <alignment horizontal="center" vertical="center"/>
    </xf>
    <xf numFmtId="0" fontId="31" fillId="22" borderId="15" xfId="0" applyFont="1" applyFill="1" applyBorder="1" applyAlignment="1">
      <alignment horizontal="right"/>
    </xf>
    <xf numFmtId="175" fontId="31" fillId="22" borderId="1" xfId="0" applyNumberFormat="1" applyFont="1" applyFill="1" applyBorder="1" applyAlignment="1">
      <alignment horizontal="center" vertical="center"/>
    </xf>
    <xf numFmtId="175" fontId="31" fillId="22" borderId="38" xfId="0" applyNumberFormat="1" applyFont="1" applyFill="1" applyBorder="1" applyAlignment="1">
      <alignment horizontal="center" vertical="center"/>
    </xf>
    <xf numFmtId="0" fontId="31" fillId="15" borderId="17" xfId="0" applyFont="1" applyFill="1" applyBorder="1" applyAlignment="1">
      <alignment horizontal="right"/>
    </xf>
    <xf numFmtId="176" fontId="31" fillId="15" borderId="18" xfId="0" applyNumberFormat="1" applyFont="1" applyFill="1" applyBorder="1" applyAlignment="1">
      <alignment horizontal="right" vertical="center"/>
    </xf>
    <xf numFmtId="176" fontId="31" fillId="15" borderId="19" xfId="0" applyNumberFormat="1" applyFont="1" applyFill="1" applyBorder="1" applyAlignment="1">
      <alignment horizontal="right" vertical="center"/>
    </xf>
    <xf numFmtId="0" fontId="25" fillId="11" borderId="25" xfId="0" applyFont="1" applyFill="1" applyBorder="1" applyAlignment="1">
      <alignment horizontal="left"/>
    </xf>
    <xf numFmtId="0" fontId="42" fillId="11" borderId="20" xfId="0" applyFont="1" applyFill="1" applyBorder="1" applyAlignment="1">
      <alignment horizontal="left"/>
    </xf>
    <xf numFmtId="0" fontId="42" fillId="11" borderId="62" xfId="0" applyFont="1" applyFill="1" applyBorder="1" applyAlignment="1">
      <alignment horizontal="left"/>
    </xf>
    <xf numFmtId="0" fontId="42" fillId="0" borderId="0" xfId="0" applyFont="1" applyFill="1" applyAlignment="1">
      <alignment horizontal="left"/>
    </xf>
    <xf numFmtId="0" fontId="26" fillId="0" borderId="5" xfId="11" applyFont="1" applyBorder="1"/>
    <xf numFmtId="0" fontId="31" fillId="0" borderId="6" xfId="0" applyFont="1" applyBorder="1"/>
    <xf numFmtId="0" fontId="31" fillId="0" borderId="5" xfId="0" applyFont="1" applyBorder="1"/>
    <xf numFmtId="0" fontId="31" fillId="0" borderId="5" xfId="0" applyFont="1" applyBorder="1" applyProtection="1"/>
    <xf numFmtId="0" fontId="31" fillId="0" borderId="0" xfId="0" applyFont="1" applyBorder="1" applyProtection="1"/>
    <xf numFmtId="0" fontId="26" fillId="0" borderId="5" xfId="11" applyFont="1" applyBorder="1" applyAlignment="1" applyProtection="1">
      <protection locked="0"/>
    </xf>
    <xf numFmtId="0" fontId="31" fillId="0" borderId="0" xfId="0" applyFont="1" applyBorder="1" applyProtection="1">
      <protection locked="0"/>
    </xf>
    <xf numFmtId="0" fontId="25" fillId="14" borderId="25" xfId="0" applyFont="1" applyFill="1" applyBorder="1"/>
    <xf numFmtId="0" fontId="31" fillId="14" borderId="20" xfId="0" applyFont="1" applyFill="1" applyBorder="1"/>
    <xf numFmtId="0" fontId="31" fillId="14" borderId="62" xfId="0" applyFont="1" applyFill="1" applyBorder="1"/>
    <xf numFmtId="0" fontId="23" fillId="0" borderId="0" xfId="0" applyFont="1" applyFill="1"/>
    <xf numFmtId="0" fontId="26" fillId="0" borderId="7" xfId="11" applyFont="1" applyBorder="1" applyAlignment="1" applyProtection="1">
      <protection locked="0"/>
    </xf>
    <xf numFmtId="0" fontId="31" fillId="0" borderId="8" xfId="0" applyFont="1" applyBorder="1"/>
    <xf numFmtId="0" fontId="31" fillId="0" borderId="9" xfId="0" applyFont="1" applyBorder="1"/>
    <xf numFmtId="0" fontId="25" fillId="4" borderId="25" xfId="0" applyFont="1" applyFill="1" applyBorder="1"/>
    <xf numFmtId="0" fontId="31" fillId="4" borderId="20" xfId="0" applyFont="1" applyFill="1" applyBorder="1" applyAlignment="1">
      <alignment horizontal="left" vertical="top"/>
    </xf>
    <xf numFmtId="0" fontId="31" fillId="4" borderId="62" xfId="0" applyFont="1" applyFill="1" applyBorder="1" applyAlignment="1">
      <alignment horizontal="left" vertical="top"/>
    </xf>
    <xf numFmtId="0" fontId="26" fillId="0" borderId="7" xfId="11" applyFont="1" applyFill="1" applyBorder="1"/>
    <xf numFmtId="0" fontId="31" fillId="0" borderId="8" xfId="0" applyFont="1" applyFill="1" applyBorder="1"/>
    <xf numFmtId="0" fontId="26" fillId="0" borderId="0" xfId="11" applyFont="1" applyFill="1" applyBorder="1"/>
    <xf numFmtId="0" fontId="25" fillId="16" borderId="59" xfId="0" applyFont="1" applyFill="1" applyBorder="1" applyAlignment="1">
      <alignment horizontal="center"/>
    </xf>
    <xf numFmtId="0" fontId="28" fillId="18" borderId="61" xfId="0" applyFont="1" applyFill="1" applyBorder="1" applyAlignment="1">
      <alignment horizontal="center" vertical="center" wrapText="1"/>
    </xf>
    <xf numFmtId="0" fontId="25" fillId="0" borderId="46" xfId="13" applyFont="1" applyBorder="1" applyAlignment="1">
      <alignment horizontal="center"/>
    </xf>
    <xf numFmtId="0" fontId="25" fillId="0" borderId="47" xfId="13" applyFont="1" applyBorder="1" applyAlignment="1">
      <alignment horizontal="center"/>
    </xf>
    <xf numFmtId="0" fontId="25" fillId="0" borderId="48" xfId="13" applyFont="1" applyBorder="1" applyAlignment="1">
      <alignment horizontal="center"/>
    </xf>
    <xf numFmtId="0" fontId="25" fillId="30" borderId="46" xfId="13" applyFont="1" applyFill="1" applyBorder="1" applyAlignment="1">
      <alignment horizontal="center"/>
    </xf>
    <xf numFmtId="0" fontId="25" fillId="30" borderId="47" xfId="13" applyFont="1" applyFill="1" applyBorder="1" applyAlignment="1">
      <alignment horizontal="center"/>
    </xf>
    <xf numFmtId="0" fontId="25" fillId="30" borderId="66" xfId="13" applyFont="1" applyFill="1" applyBorder="1" applyAlignment="1">
      <alignment horizontal="center"/>
    </xf>
    <xf numFmtId="0" fontId="25" fillId="16" borderId="58" xfId="13" applyFont="1" applyFill="1" applyBorder="1" applyAlignment="1">
      <alignment horizontal="center"/>
    </xf>
    <xf numFmtId="0" fontId="31" fillId="0" borderId="15" xfId="13" applyFont="1" applyBorder="1"/>
    <xf numFmtId="0" fontId="31" fillId="0" borderId="1" xfId="13" applyFont="1" applyBorder="1"/>
    <xf numFmtId="0" fontId="31" fillId="0" borderId="38" xfId="13" applyFont="1" applyBorder="1"/>
    <xf numFmtId="0" fontId="31" fillId="0" borderId="17" xfId="13" applyFont="1" applyBorder="1"/>
    <xf numFmtId="0" fontId="31" fillId="0" borderId="18" xfId="13" applyFont="1" applyBorder="1"/>
    <xf numFmtId="0" fontId="31" fillId="0" borderId="19" xfId="13" applyFont="1" applyBorder="1"/>
    <xf numFmtId="0" fontId="25" fillId="0" borderId="0" xfId="0" applyFont="1" applyFill="1" applyAlignment="1"/>
    <xf numFmtId="0" fontId="25" fillId="2" borderId="37" xfId="0" applyFont="1" applyFill="1" applyBorder="1" applyAlignment="1">
      <alignment horizontal="center"/>
    </xf>
    <xf numFmtId="0" fontId="25" fillId="2" borderId="31" xfId="0" applyFont="1" applyFill="1" applyBorder="1" applyAlignment="1">
      <alignment horizontal="center"/>
    </xf>
    <xf numFmtId="0" fontId="25" fillId="2" borderId="35" xfId="0" applyFont="1" applyFill="1" applyBorder="1" applyAlignment="1">
      <alignment horizontal="center"/>
    </xf>
    <xf numFmtId="0" fontId="25" fillId="0" borderId="15" xfId="0" applyFont="1" applyFill="1" applyBorder="1" applyAlignment="1">
      <alignment horizontal="center"/>
    </xf>
    <xf numFmtId="2" fontId="31" fillId="0" borderId="1" xfId="0" applyNumberFormat="1" applyFont="1" applyFill="1" applyBorder="1" applyAlignment="1">
      <alignment horizontal="center"/>
    </xf>
    <xf numFmtId="2" fontId="31" fillId="0" borderId="38" xfId="0" applyNumberFormat="1" applyFont="1" applyFill="1" applyBorder="1" applyAlignment="1">
      <alignment horizontal="center"/>
    </xf>
    <xf numFmtId="0" fontId="25" fillId="0" borderId="17" xfId="0" applyFont="1" applyFill="1" applyBorder="1" applyAlignment="1">
      <alignment horizontal="center"/>
    </xf>
    <xf numFmtId="2" fontId="31" fillId="0" borderId="18" xfId="0" applyNumberFormat="1" applyFont="1" applyFill="1" applyBorder="1" applyAlignment="1">
      <alignment horizontal="center"/>
    </xf>
    <xf numFmtId="2" fontId="31" fillId="0" borderId="19" xfId="0" applyNumberFormat="1" applyFont="1" applyFill="1" applyBorder="1" applyAlignment="1">
      <alignment horizontal="center"/>
    </xf>
    <xf numFmtId="2" fontId="31" fillId="0" borderId="0" xfId="0" applyNumberFormat="1" applyFont="1" applyFill="1" applyBorder="1" applyAlignment="1">
      <alignment horizontal="center"/>
    </xf>
    <xf numFmtId="0" fontId="31" fillId="0" borderId="0" xfId="0" applyFont="1" applyFill="1"/>
    <xf numFmtId="0" fontId="28" fillId="14" borderId="69" xfId="0" applyFont="1" applyFill="1" applyBorder="1" applyAlignment="1">
      <alignment horizontal="center"/>
    </xf>
    <xf numFmtId="0" fontId="28" fillId="16" borderId="71" xfId="0" applyFont="1" applyFill="1" applyBorder="1" applyAlignment="1">
      <alignment horizontal="center"/>
    </xf>
    <xf numFmtId="0" fontId="25" fillId="0" borderId="12" xfId="0" applyFont="1" applyBorder="1" applyAlignment="1">
      <alignment horizontal="center" vertical="center"/>
    </xf>
    <xf numFmtId="0" fontId="28" fillId="17" borderId="13" xfId="0" applyFont="1" applyFill="1" applyBorder="1" applyAlignment="1">
      <alignment horizontal="center" vertical="center"/>
    </xf>
    <xf numFmtId="0" fontId="28" fillId="17" borderId="14" xfId="0" applyFont="1" applyFill="1" applyBorder="1" applyAlignment="1">
      <alignment horizontal="center" vertical="center"/>
    </xf>
    <xf numFmtId="0" fontId="28" fillId="18" borderId="14" xfId="0" applyFont="1" applyFill="1" applyBorder="1" applyAlignment="1">
      <alignment horizontal="center" vertical="center"/>
    </xf>
    <xf numFmtId="0" fontId="31" fillId="0" borderId="67" xfId="0" applyFont="1" applyBorder="1"/>
    <xf numFmtId="0" fontId="31" fillId="0" borderId="45" xfId="0" applyFont="1" applyBorder="1"/>
    <xf numFmtId="0" fontId="27" fillId="0" borderId="0" xfId="0" applyFont="1" applyBorder="1" applyAlignment="1">
      <alignment horizontal="center"/>
    </xf>
    <xf numFmtId="0" fontId="27" fillId="0" borderId="15" xfId="0" applyFont="1" applyBorder="1"/>
    <xf numFmtId="0" fontId="31" fillId="15" borderId="1" xfId="0" applyFont="1" applyFill="1" applyBorder="1" applyAlignment="1">
      <alignment horizontal="center"/>
    </xf>
    <xf numFmtId="2" fontId="31" fillId="15" borderId="1" xfId="0" applyNumberFormat="1" applyFont="1" applyFill="1" applyBorder="1" applyAlignment="1">
      <alignment horizontal="center"/>
    </xf>
    <xf numFmtId="2" fontId="31" fillId="15" borderId="38" xfId="0" applyNumberFormat="1" applyFont="1" applyFill="1" applyBorder="1" applyAlignment="1">
      <alignment horizontal="center"/>
    </xf>
    <xf numFmtId="0" fontId="31" fillId="19" borderId="38" xfId="0" applyFont="1" applyFill="1" applyBorder="1" applyAlignment="1">
      <alignment horizontal="center"/>
    </xf>
    <xf numFmtId="0" fontId="31" fillId="0" borderId="0" xfId="0" applyFont="1" applyBorder="1" applyAlignment="1">
      <alignment horizontal="center"/>
    </xf>
    <xf numFmtId="0" fontId="31" fillId="17" borderId="17" xfId="0" applyFont="1" applyFill="1" applyBorder="1" applyAlignment="1">
      <alignment vertical="center"/>
    </xf>
    <xf numFmtId="0" fontId="31" fillId="17" borderId="19" xfId="0" applyFont="1" applyFill="1" applyBorder="1" applyAlignment="1">
      <alignment horizontal="center" wrapText="1"/>
    </xf>
    <xf numFmtId="0" fontId="31" fillId="0" borderId="35" xfId="0" applyFont="1" applyBorder="1" applyAlignment="1">
      <alignment horizontal="center"/>
    </xf>
    <xf numFmtId="0" fontId="31" fillId="0" borderId="15" xfId="0" applyFont="1" applyBorder="1"/>
    <xf numFmtId="0" fontId="31" fillId="0" borderId="38" xfId="0" applyFont="1" applyBorder="1" applyAlignment="1">
      <alignment horizontal="center"/>
    </xf>
    <xf numFmtId="169" fontId="31" fillId="0" borderId="0" xfId="0" applyNumberFormat="1" applyFont="1" applyFill="1" applyBorder="1" applyAlignment="1">
      <alignment horizontal="center"/>
    </xf>
    <xf numFmtId="0" fontId="31" fillId="0" borderId="17" xfId="0" applyFont="1" applyBorder="1"/>
    <xf numFmtId="0" fontId="31" fillId="0" borderId="19" xfId="0" applyFont="1" applyBorder="1" applyAlignment="1">
      <alignment horizontal="center"/>
    </xf>
    <xf numFmtId="0" fontId="27" fillId="0" borderId="0" xfId="0" applyFont="1" applyFill="1" applyBorder="1" applyAlignment="1"/>
    <xf numFmtId="0" fontId="27" fillId="0" borderId="17" xfId="0" applyFont="1" applyBorder="1"/>
    <xf numFmtId="169" fontId="31" fillId="15" borderId="18" xfId="0" applyNumberFormat="1" applyFont="1" applyFill="1" applyBorder="1" applyAlignment="1">
      <alignment horizontal="center"/>
    </xf>
    <xf numFmtId="2" fontId="31" fillId="15" borderId="18" xfId="0" applyNumberFormat="1" applyFont="1" applyFill="1" applyBorder="1" applyAlignment="1">
      <alignment horizontal="center"/>
    </xf>
    <xf numFmtId="0" fontId="31" fillId="15" borderId="18" xfId="0" applyFont="1" applyFill="1" applyBorder="1" applyAlignment="1">
      <alignment horizontal="center"/>
    </xf>
    <xf numFmtId="2" fontId="31" fillId="15" borderId="19" xfId="0" applyNumberFormat="1" applyFont="1" applyFill="1" applyBorder="1" applyAlignment="1">
      <alignment horizontal="center"/>
    </xf>
    <xf numFmtId="0" fontId="31" fillId="19" borderId="19" xfId="0" applyFont="1" applyFill="1" applyBorder="1" applyAlignment="1">
      <alignment horizontal="center"/>
    </xf>
    <xf numFmtId="0" fontId="47" fillId="0" borderId="0" xfId="0" applyFont="1" applyFill="1" applyBorder="1" applyAlignment="1">
      <alignment vertical="top" wrapText="1"/>
    </xf>
    <xf numFmtId="0" fontId="47" fillId="0" borderId="0" xfId="0" applyFont="1" applyFill="1" applyBorder="1" applyAlignment="1">
      <alignment horizontal="left" vertical="top" wrapText="1"/>
    </xf>
    <xf numFmtId="0" fontId="31" fillId="0" borderId="5" xfId="0" applyFont="1" applyFill="1" applyBorder="1"/>
    <xf numFmtId="0" fontId="31" fillId="0" borderId="6" xfId="0" applyFont="1" applyFill="1" applyBorder="1"/>
    <xf numFmtId="0" fontId="26" fillId="0" borderId="5" xfId="11" applyFont="1" applyFill="1" applyBorder="1"/>
    <xf numFmtId="0" fontId="26" fillId="0" borderId="7" xfId="11" applyFont="1" applyBorder="1"/>
    <xf numFmtId="0" fontId="31" fillId="15" borderId="46" xfId="0" applyFont="1" applyFill="1" applyBorder="1"/>
    <xf numFmtId="0" fontId="31" fillId="15" borderId="47" xfId="0" applyFont="1" applyFill="1" applyBorder="1" applyAlignment="1">
      <alignment horizontal="center"/>
    </xf>
    <xf numFmtId="0" fontId="31" fillId="15" borderId="48" xfId="0" applyFont="1" applyFill="1" applyBorder="1" applyAlignment="1">
      <alignment horizontal="center"/>
    </xf>
    <xf numFmtId="0" fontId="31" fillId="0" borderId="31" xfId="0" applyFont="1" applyBorder="1"/>
    <xf numFmtId="0" fontId="31" fillId="0" borderId="35" xfId="0" applyFont="1" applyBorder="1"/>
    <xf numFmtId="0" fontId="31" fillId="0" borderId="18" xfId="0" applyFont="1" applyBorder="1"/>
    <xf numFmtId="0" fontId="31" fillId="0" borderId="19" xfId="0" applyFont="1" applyBorder="1"/>
    <xf numFmtId="0" fontId="28" fillId="0" borderId="46" xfId="0" applyFont="1" applyBorder="1" applyAlignment="1">
      <alignment horizontal="center"/>
    </xf>
    <xf numFmtId="0" fontId="28" fillId="0" borderId="66" xfId="0" applyFont="1" applyBorder="1" applyAlignment="1">
      <alignment horizontal="center"/>
    </xf>
    <xf numFmtId="0" fontId="28" fillId="17" borderId="46" xfId="0" applyFont="1" applyFill="1" applyBorder="1" applyAlignment="1">
      <alignment horizontal="center"/>
    </xf>
    <xf numFmtId="0" fontId="28" fillId="17" borderId="48" xfId="0" applyFont="1" applyFill="1" applyBorder="1" applyAlignment="1">
      <alignment horizontal="center"/>
    </xf>
    <xf numFmtId="0" fontId="28" fillId="18" borderId="46" xfId="0" applyFont="1" applyFill="1" applyBorder="1" applyAlignment="1">
      <alignment horizontal="center"/>
    </xf>
    <xf numFmtId="0" fontId="28" fillId="18" borderId="66" xfId="0" applyFont="1" applyFill="1" applyBorder="1" applyAlignment="1">
      <alignment horizontal="center"/>
    </xf>
    <xf numFmtId="0" fontId="28" fillId="17" borderId="47" xfId="0" applyFont="1" applyFill="1" applyBorder="1" applyAlignment="1">
      <alignment horizontal="center"/>
    </xf>
    <xf numFmtId="0" fontId="28" fillId="18" borderId="48" xfId="0" applyFont="1" applyFill="1" applyBorder="1" applyAlignment="1">
      <alignment horizontal="center"/>
    </xf>
    <xf numFmtId="0" fontId="31" fillId="0" borderId="45" xfId="0" applyFont="1" applyBorder="1" applyAlignment="1">
      <alignment horizontal="center"/>
    </xf>
    <xf numFmtId="0" fontId="31" fillId="28" borderId="12" xfId="0" applyFont="1" applyFill="1" applyBorder="1"/>
    <xf numFmtId="0" fontId="31" fillId="28" borderId="14" xfId="0" applyFont="1" applyFill="1" applyBorder="1"/>
    <xf numFmtId="169" fontId="31" fillId="28" borderId="43" xfId="0" applyNumberFormat="1" applyFont="1" applyFill="1" applyBorder="1"/>
    <xf numFmtId="0" fontId="31" fillId="28" borderId="13" xfId="0" applyFont="1" applyFill="1" applyBorder="1"/>
    <xf numFmtId="0" fontId="31" fillId="0" borderId="10" xfId="0" applyFont="1" applyBorder="1"/>
    <xf numFmtId="0" fontId="31" fillId="0" borderId="38" xfId="0" applyFont="1" applyBorder="1"/>
    <xf numFmtId="169" fontId="31" fillId="0" borderId="10" xfId="0" applyNumberFormat="1" applyFont="1" applyFill="1" applyBorder="1"/>
    <xf numFmtId="0" fontId="31" fillId="0" borderId="1" xfId="0" applyFont="1" applyFill="1" applyBorder="1"/>
    <xf numFmtId="0" fontId="31" fillId="0" borderId="35" xfId="0" applyFont="1" applyFill="1" applyBorder="1"/>
    <xf numFmtId="0" fontId="31" fillId="28" borderId="10" xfId="0" applyFont="1" applyFill="1" applyBorder="1"/>
    <xf numFmtId="0" fontId="31" fillId="28" borderId="15" xfId="0" applyFont="1" applyFill="1" applyBorder="1"/>
    <xf numFmtId="0" fontId="31" fillId="28" borderId="38" xfId="0" applyFont="1" applyFill="1" applyBorder="1"/>
    <xf numFmtId="169" fontId="31" fillId="28" borderId="10" xfId="0" applyNumberFormat="1" applyFont="1" applyFill="1" applyBorder="1"/>
    <xf numFmtId="0" fontId="31" fillId="28" borderId="1" xfId="0" applyFont="1" applyFill="1" applyBorder="1"/>
    <xf numFmtId="0" fontId="31" fillId="28" borderId="35" xfId="0" applyFont="1" applyFill="1" applyBorder="1"/>
    <xf numFmtId="0" fontId="31" fillId="28" borderId="44" xfId="0" applyFont="1" applyFill="1" applyBorder="1"/>
    <xf numFmtId="0" fontId="31" fillId="28" borderId="17" xfId="0" applyFont="1" applyFill="1" applyBorder="1"/>
    <xf numFmtId="0" fontId="31" fillId="28" borderId="19" xfId="0" applyFont="1" applyFill="1" applyBorder="1"/>
    <xf numFmtId="169" fontId="31" fillId="28" borderId="44" xfId="0" applyNumberFormat="1" applyFont="1" applyFill="1" applyBorder="1"/>
    <xf numFmtId="0" fontId="31" fillId="28" borderId="18" xfId="0" applyFont="1" applyFill="1" applyBorder="1"/>
    <xf numFmtId="0" fontId="31" fillId="28" borderId="45" xfId="0" applyFont="1" applyFill="1" applyBorder="1"/>
    <xf numFmtId="0" fontId="31" fillId="0" borderId="39" xfId="0" applyFont="1" applyBorder="1"/>
    <xf numFmtId="169" fontId="31" fillId="0" borderId="39" xfId="0" applyNumberFormat="1" applyFont="1" applyFill="1" applyBorder="1"/>
    <xf numFmtId="0" fontId="31" fillId="0" borderId="31" xfId="0" applyFont="1" applyFill="1" applyBorder="1"/>
    <xf numFmtId="0" fontId="31" fillId="15" borderId="17" xfId="0" applyFont="1" applyFill="1" applyBorder="1" applyAlignment="1">
      <alignment horizontal="center"/>
    </xf>
    <xf numFmtId="0" fontId="31" fillId="15" borderId="19" xfId="0" applyFont="1" applyFill="1" applyBorder="1" applyAlignment="1">
      <alignment horizontal="center"/>
    </xf>
    <xf numFmtId="0" fontId="31" fillId="0" borderId="37" xfId="0" applyFont="1" applyBorder="1" applyAlignment="1">
      <alignment horizontal="center"/>
    </xf>
    <xf numFmtId="0" fontId="31" fillId="0" borderId="31" xfId="0" applyFont="1" applyBorder="1" applyAlignment="1">
      <alignment horizontal="center"/>
    </xf>
    <xf numFmtId="0" fontId="31" fillId="0" borderId="15" xfId="0" applyFont="1" applyBorder="1" applyAlignment="1">
      <alignment horizontal="center"/>
    </xf>
    <xf numFmtId="0" fontId="31" fillId="0" borderId="1" xfId="0" applyFont="1" applyBorder="1" applyAlignment="1">
      <alignment horizontal="center"/>
    </xf>
    <xf numFmtId="0" fontId="31" fillId="0" borderId="68" xfId="0" applyFont="1" applyBorder="1"/>
    <xf numFmtId="0" fontId="31" fillId="0" borderId="63" xfId="0" applyFont="1" applyBorder="1"/>
    <xf numFmtId="0" fontId="31" fillId="0" borderId="33" xfId="0" applyFont="1" applyBorder="1"/>
    <xf numFmtId="169" fontId="31" fillId="0" borderId="68" xfId="0" applyNumberFormat="1" applyFont="1" applyFill="1" applyBorder="1"/>
    <xf numFmtId="0" fontId="31" fillId="0" borderId="63" xfId="0" applyFont="1" applyFill="1" applyBorder="1"/>
    <xf numFmtId="0" fontId="31" fillId="0" borderId="29" xfId="0" applyFont="1" applyFill="1" applyBorder="1"/>
    <xf numFmtId="0" fontId="31" fillId="0" borderId="34" xfId="0" applyFont="1" applyFill="1" applyBorder="1"/>
    <xf numFmtId="0" fontId="31" fillId="0" borderId="17" xfId="0" applyFont="1" applyBorder="1" applyAlignment="1">
      <alignment horizontal="center"/>
    </xf>
    <xf numFmtId="0" fontId="31" fillId="0" borderId="18" xfId="0" applyFont="1" applyBorder="1" applyAlignment="1">
      <alignment horizontal="center"/>
    </xf>
    <xf numFmtId="0" fontId="31" fillId="28" borderId="43" xfId="0" applyFont="1" applyFill="1" applyBorder="1"/>
    <xf numFmtId="0" fontId="31" fillId="0" borderId="31" xfId="0" applyFont="1" applyBorder="1" applyAlignment="1">
      <alignment horizontal="center" vertical="center"/>
    </xf>
    <xf numFmtId="0" fontId="31" fillId="0" borderId="18"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19" xfId="0" applyFont="1" applyBorder="1" applyAlignment="1">
      <alignment horizontal="center" vertical="center"/>
    </xf>
    <xf numFmtId="0" fontId="31" fillId="0" borderId="44" xfId="0" applyFont="1" applyBorder="1"/>
    <xf numFmtId="169" fontId="31" fillId="0" borderId="44" xfId="0" applyNumberFormat="1" applyFont="1" applyFill="1" applyBorder="1"/>
    <xf numFmtId="0" fontId="31" fillId="0" borderId="18" xfId="0" applyFont="1" applyFill="1" applyBorder="1"/>
    <xf numFmtId="0" fontId="31" fillId="0" borderId="45" xfId="0" applyFont="1" applyFill="1" applyBorder="1"/>
    <xf numFmtId="0" fontId="31" fillId="28" borderId="39" xfId="0" applyFont="1" applyFill="1" applyBorder="1"/>
    <xf numFmtId="0" fontId="31" fillId="28" borderId="37" xfId="0" applyFont="1" applyFill="1" applyBorder="1"/>
    <xf numFmtId="169" fontId="31" fillId="28" borderId="39" xfId="0" applyNumberFormat="1" applyFont="1" applyFill="1" applyBorder="1"/>
    <xf numFmtId="0" fontId="31" fillId="28" borderId="31" xfId="0" applyFont="1" applyFill="1" applyBorder="1"/>
    <xf numFmtId="0" fontId="25" fillId="4" borderId="2" xfId="0" applyFont="1" applyFill="1" applyBorder="1"/>
    <xf numFmtId="0" fontId="31" fillId="4" borderId="3" xfId="0" applyFont="1" applyFill="1" applyBorder="1"/>
    <xf numFmtId="0" fontId="31" fillId="4" borderId="4" xfId="0" applyFont="1" applyFill="1" applyBorder="1"/>
    <xf numFmtId="168" fontId="23" fillId="0" borderId="0" xfId="0" applyNumberFormat="1" applyFont="1"/>
    <xf numFmtId="0" fontId="31" fillId="4" borderId="20" xfId="0" applyFont="1" applyFill="1" applyBorder="1"/>
    <xf numFmtId="168" fontId="31" fillId="4" borderId="20" xfId="0" applyNumberFormat="1" applyFont="1" applyFill="1" applyBorder="1"/>
    <xf numFmtId="168" fontId="31" fillId="0" borderId="0" xfId="0" applyNumberFormat="1" applyFont="1" applyBorder="1"/>
    <xf numFmtId="0" fontId="23" fillId="0" borderId="6" xfId="0" applyFont="1" applyBorder="1"/>
    <xf numFmtId="168" fontId="31" fillId="0" borderId="8" xfId="0" applyNumberFormat="1" applyFont="1" applyBorder="1"/>
    <xf numFmtId="168" fontId="31" fillId="0" borderId="0" xfId="0" applyNumberFormat="1" applyFont="1"/>
    <xf numFmtId="0" fontId="31" fillId="0" borderId="1" xfId="0" applyFont="1" applyBorder="1"/>
    <xf numFmtId="168" fontId="31" fillId="15" borderId="15" xfId="0" applyNumberFormat="1" applyFont="1" applyFill="1" applyBorder="1"/>
    <xf numFmtId="168" fontId="31" fillId="15" borderId="1" xfId="0" applyNumberFormat="1" applyFont="1" applyFill="1" applyBorder="1"/>
    <xf numFmtId="168" fontId="31" fillId="15" borderId="17" xfId="0" applyNumberFormat="1" applyFont="1" applyFill="1" applyBorder="1"/>
    <xf numFmtId="168" fontId="31" fillId="15" borderId="18" xfId="0" applyNumberFormat="1" applyFont="1" applyFill="1" applyBorder="1"/>
    <xf numFmtId="168" fontId="31" fillId="0" borderId="6" xfId="0" applyNumberFormat="1" applyFont="1" applyBorder="1"/>
    <xf numFmtId="168" fontId="31" fillId="0" borderId="9" xfId="0" applyNumberFormat="1" applyFont="1" applyBorder="1"/>
    <xf numFmtId="168" fontId="31" fillId="15" borderId="15" xfId="13" applyNumberFormat="1" applyFont="1" applyFill="1" applyBorder="1"/>
    <xf numFmtId="168" fontId="31" fillId="15" borderId="1" xfId="13" applyNumberFormat="1" applyFont="1" applyFill="1" applyBorder="1"/>
    <xf numFmtId="168" fontId="31" fillId="15" borderId="10" xfId="13" applyNumberFormat="1" applyFont="1" applyFill="1" applyBorder="1"/>
    <xf numFmtId="168" fontId="31" fillId="19" borderId="60" xfId="13" applyNumberFormat="1" applyFont="1" applyFill="1" applyBorder="1"/>
    <xf numFmtId="168" fontId="31" fillId="15" borderId="18" xfId="13" applyNumberFormat="1" applyFont="1" applyFill="1" applyBorder="1"/>
    <xf numFmtId="168" fontId="31" fillId="15" borderId="44" xfId="13" applyNumberFormat="1" applyFont="1" applyFill="1" applyBorder="1"/>
    <xf numFmtId="168" fontId="31" fillId="19" borderId="61" xfId="13" applyNumberFormat="1" applyFont="1" applyFill="1" applyBorder="1"/>
    <xf numFmtId="0" fontId="31" fillId="3" borderId="17" xfId="0" applyFont="1" applyFill="1" applyBorder="1" applyAlignment="1">
      <alignment horizontal="center"/>
    </xf>
    <xf numFmtId="0" fontId="31" fillId="3" borderId="18" xfId="0" applyFont="1" applyFill="1" applyBorder="1" applyAlignment="1">
      <alignment horizontal="center"/>
    </xf>
    <xf numFmtId="0" fontId="31" fillId="3" borderId="19" xfId="0" applyFont="1" applyFill="1" applyBorder="1" applyAlignment="1">
      <alignment horizontal="center"/>
    </xf>
    <xf numFmtId="0" fontId="31" fillId="0" borderId="37" xfId="0" applyFont="1" applyBorder="1" applyAlignment="1">
      <alignment vertical="center"/>
    </xf>
    <xf numFmtId="0" fontId="31" fillId="0" borderId="31" xfId="0" applyFont="1" applyBorder="1" applyAlignment="1">
      <alignment vertical="center"/>
    </xf>
    <xf numFmtId="0" fontId="31" fillId="0" borderId="15" xfId="0" applyFont="1" applyBorder="1" applyAlignment="1">
      <alignment vertical="center"/>
    </xf>
    <xf numFmtId="0" fontId="31" fillId="0" borderId="1" xfId="0" applyFont="1" applyBorder="1" applyAlignment="1">
      <alignment vertical="center"/>
    </xf>
    <xf numFmtId="0" fontId="31" fillId="0" borderId="38" xfId="0" applyFont="1" applyBorder="1" applyAlignment="1">
      <alignment vertical="center"/>
    </xf>
    <xf numFmtId="0" fontId="31" fillId="0" borderId="15" xfId="0" applyFont="1" applyFill="1" applyBorder="1" applyAlignment="1">
      <alignment vertical="center"/>
    </xf>
    <xf numFmtId="0" fontId="31" fillId="0" borderId="1" xfId="0" applyFont="1" applyFill="1" applyBorder="1" applyAlignment="1">
      <alignment vertical="center"/>
    </xf>
    <xf numFmtId="0" fontId="31" fillId="0" borderId="38" xfId="0" applyFont="1" applyFill="1" applyBorder="1" applyAlignment="1">
      <alignment vertical="center"/>
    </xf>
    <xf numFmtId="0" fontId="31" fillId="0" borderId="63" xfId="0" applyFont="1" applyFill="1" applyBorder="1" applyAlignment="1">
      <alignment vertical="center"/>
    </xf>
    <xf numFmtId="0" fontId="31" fillId="0" borderId="29" xfId="0" applyFont="1" applyFill="1" applyBorder="1" applyAlignment="1">
      <alignment vertical="center"/>
    </xf>
    <xf numFmtId="0" fontId="31" fillId="0" borderId="33" xfId="0" applyFont="1" applyFill="1" applyBorder="1" applyAlignment="1">
      <alignment vertical="center"/>
    </xf>
    <xf numFmtId="0" fontId="31" fillId="0" borderId="17" xfId="0" applyFont="1" applyBorder="1" applyAlignment="1">
      <alignment vertical="center"/>
    </xf>
    <xf numFmtId="0" fontId="31" fillId="0" borderId="18" xfId="0" applyFont="1" applyBorder="1" applyAlignment="1">
      <alignment vertical="center"/>
    </xf>
    <xf numFmtId="0" fontId="31" fillId="0" borderId="19" xfId="0" applyFont="1" applyBorder="1" applyAlignment="1">
      <alignment vertical="center"/>
    </xf>
    <xf numFmtId="0" fontId="31" fillId="0" borderId="0" xfId="0" applyFont="1" applyBorder="1" applyAlignment="1">
      <alignment horizontal="left" vertical="top" wrapText="1"/>
    </xf>
    <xf numFmtId="0" fontId="31" fillId="3" borderId="63" xfId="0" applyFont="1" applyFill="1" applyBorder="1" applyAlignment="1">
      <alignment horizontal="center" vertical="center"/>
    </xf>
    <xf numFmtId="0" fontId="31" fillId="3" borderId="29" xfId="0" applyFont="1" applyFill="1" applyBorder="1" applyAlignment="1">
      <alignment horizontal="center" vertical="center" wrapText="1"/>
    </xf>
    <xf numFmtId="0" fontId="31" fillId="3" borderId="33" xfId="0" applyFont="1" applyFill="1" applyBorder="1" applyAlignment="1">
      <alignment horizontal="center" vertical="center" wrapText="1"/>
    </xf>
    <xf numFmtId="0" fontId="31" fillId="0" borderId="12" xfId="0" applyFont="1" applyBorder="1" applyAlignment="1">
      <alignment vertical="center"/>
    </xf>
    <xf numFmtId="164" fontId="31" fillId="0" borderId="13" xfId="0" applyNumberFormat="1" applyFont="1" applyBorder="1" applyAlignment="1">
      <alignment vertical="center"/>
    </xf>
    <xf numFmtId="0" fontId="31" fillId="0" borderId="14" xfId="0" quotePrefix="1" applyFont="1" applyBorder="1" applyAlignment="1">
      <alignment horizontal="right" vertical="center"/>
    </xf>
    <xf numFmtId="164" fontId="31" fillId="0" borderId="38" xfId="0" applyNumberFormat="1" applyFont="1" applyBorder="1" applyAlignment="1">
      <alignment vertical="center"/>
    </xf>
    <xf numFmtId="164" fontId="31" fillId="0" borderId="1" xfId="0" applyNumberFormat="1" applyFont="1" applyBorder="1" applyAlignment="1">
      <alignment vertical="center"/>
    </xf>
    <xf numFmtId="0" fontId="31" fillId="0" borderId="38" xfId="0" quotePrefix="1" applyFont="1" applyBorder="1" applyAlignment="1">
      <alignment horizontal="right" vertical="center"/>
    </xf>
    <xf numFmtId="0" fontId="31" fillId="0" borderId="15" xfId="0" applyFont="1" applyBorder="1" applyAlignment="1">
      <alignment horizontal="left" vertical="center"/>
    </xf>
    <xf numFmtId="0" fontId="31" fillId="0" borderId="1" xfId="0" applyFont="1" applyBorder="1" applyAlignment="1">
      <alignment horizontal="right" vertical="center" wrapText="1"/>
    </xf>
    <xf numFmtId="0" fontId="31" fillId="0" borderId="1" xfId="0" quotePrefix="1" applyFont="1" applyBorder="1" applyAlignment="1">
      <alignment horizontal="right" vertical="center"/>
    </xf>
    <xf numFmtId="164" fontId="31" fillId="0" borderId="19" xfId="0" applyNumberFormat="1" applyFont="1" applyBorder="1" applyAlignment="1">
      <alignment vertical="center"/>
    </xf>
    <xf numFmtId="0" fontId="27" fillId="0" borderId="0" xfId="11" applyFont="1" applyFill="1" applyBorder="1" applyAlignment="1">
      <alignment horizontal="left" wrapText="1"/>
    </xf>
    <xf numFmtId="0" fontId="27" fillId="0" borderId="6" xfId="11" applyFont="1" applyFill="1" applyBorder="1" applyAlignment="1">
      <alignment horizontal="left" wrapText="1"/>
    </xf>
    <xf numFmtId="0" fontId="25" fillId="0" borderId="1" xfId="0" applyFont="1" applyFill="1" applyBorder="1" applyAlignment="1">
      <alignment horizontal="center"/>
    </xf>
    <xf numFmtId="0" fontId="25" fillId="0" borderId="38" xfId="0" applyFont="1" applyFill="1" applyBorder="1" applyAlignment="1">
      <alignment horizontal="center"/>
    </xf>
    <xf numFmtId="0" fontId="25" fillId="21" borderId="17" xfId="0" applyFont="1" applyFill="1" applyBorder="1" applyAlignment="1">
      <alignment horizontal="center"/>
    </xf>
    <xf numFmtId="0" fontId="25" fillId="21" borderId="18" xfId="0" applyFont="1" applyFill="1" applyBorder="1" applyAlignment="1">
      <alignment horizontal="center" vertical="center"/>
    </xf>
    <xf numFmtId="0" fontId="25" fillId="21" borderId="18" xfId="0" applyFont="1" applyFill="1" applyBorder="1" applyAlignment="1">
      <alignment horizontal="center"/>
    </xf>
    <xf numFmtId="0" fontId="25" fillId="21" borderId="19" xfId="0" applyFont="1" applyFill="1" applyBorder="1" applyAlignment="1">
      <alignment horizontal="center" vertical="center"/>
    </xf>
    <xf numFmtId="4" fontId="31" fillId="0" borderId="31" xfId="0" applyNumberFormat="1" applyFont="1" applyFill="1" applyBorder="1" applyAlignment="1">
      <alignment horizontal="center" vertical="center"/>
    </xf>
    <xf numFmtId="4" fontId="31" fillId="24" borderId="31" xfId="0" applyNumberFormat="1" applyFont="1" applyFill="1" applyBorder="1" applyAlignment="1">
      <alignment horizontal="center" vertical="center"/>
    </xf>
    <xf numFmtId="4" fontId="31" fillId="0" borderId="35" xfId="0" applyNumberFormat="1" applyFont="1" applyFill="1" applyBorder="1" applyAlignment="1">
      <alignment horizontal="center" vertical="center"/>
    </xf>
    <xf numFmtId="4" fontId="31" fillId="0" borderId="1" xfId="0" applyNumberFormat="1" applyFont="1" applyFill="1" applyBorder="1" applyAlignment="1">
      <alignment horizontal="center" vertical="center"/>
    </xf>
    <xf numFmtId="4" fontId="31" fillId="0" borderId="38" xfId="0" applyNumberFormat="1" applyFont="1" applyFill="1" applyBorder="1" applyAlignment="1">
      <alignment horizontal="center" vertical="center"/>
    </xf>
    <xf numFmtId="4" fontId="31" fillId="24" borderId="1" xfId="0" applyNumberFormat="1" applyFont="1" applyFill="1" applyBorder="1" applyAlignment="1">
      <alignment horizontal="center" vertical="center"/>
    </xf>
    <xf numFmtId="4" fontId="31" fillId="24" borderId="38" xfId="0" applyNumberFormat="1" applyFont="1" applyFill="1" applyBorder="1" applyAlignment="1">
      <alignment horizontal="center" vertical="center"/>
    </xf>
    <xf numFmtId="0" fontId="25" fillId="21" borderId="1" xfId="0" applyFont="1" applyFill="1" applyBorder="1" applyAlignment="1">
      <alignment horizontal="center"/>
    </xf>
    <xf numFmtId="0" fontId="25" fillId="21" borderId="38" xfId="0" applyFont="1" applyFill="1" applyBorder="1" applyAlignment="1">
      <alignment horizontal="center"/>
    </xf>
    <xf numFmtId="4" fontId="31" fillId="0" borderId="1" xfId="0" applyNumberFormat="1" applyFont="1" applyFill="1" applyBorder="1" applyAlignment="1">
      <alignment horizontal="center"/>
    </xf>
    <xf numFmtId="4" fontId="31" fillId="24" borderId="18" xfId="0" applyNumberFormat="1" applyFont="1" applyFill="1" applyBorder="1" applyAlignment="1">
      <alignment horizontal="center" vertical="center"/>
    </xf>
    <xf numFmtId="4" fontId="31" fillId="0" borderId="18" xfId="0" applyNumberFormat="1" applyFont="1" applyFill="1" applyBorder="1" applyAlignment="1">
      <alignment horizontal="center"/>
    </xf>
    <xf numFmtId="4" fontId="31" fillId="24" borderId="19" xfId="0" applyNumberFormat="1" applyFont="1" applyFill="1" applyBorder="1" applyAlignment="1">
      <alignment horizontal="center" vertical="center"/>
    </xf>
    <xf numFmtId="0" fontId="38" fillId="0" borderId="0" xfId="0" applyFont="1" applyFill="1" applyAlignment="1">
      <alignment horizontal="center"/>
    </xf>
    <xf numFmtId="4" fontId="39" fillId="0" borderId="0" xfId="0" applyNumberFormat="1" applyFont="1" applyFill="1" applyAlignment="1">
      <alignment horizontal="center"/>
    </xf>
    <xf numFmtId="0" fontId="25" fillId="4" borderId="2" xfId="0" applyFont="1" applyFill="1" applyBorder="1" applyAlignment="1"/>
    <xf numFmtId="0" fontId="25" fillId="4" borderId="3" xfId="0" applyFont="1" applyFill="1" applyBorder="1" applyAlignment="1"/>
    <xf numFmtId="0" fontId="25" fillId="4" borderId="4" xfId="0" applyFont="1" applyFill="1" applyBorder="1" applyAlignment="1"/>
    <xf numFmtId="0" fontId="37" fillId="25" borderId="5" xfId="0" applyFont="1" applyFill="1" applyBorder="1" applyAlignment="1">
      <alignment vertical="center"/>
    </xf>
    <xf numFmtId="0" fontId="23" fillId="0" borderId="8" xfId="0" applyFont="1" applyBorder="1"/>
    <xf numFmtId="0" fontId="23" fillId="0" borderId="9" xfId="0" applyFont="1" applyBorder="1"/>
    <xf numFmtId="0" fontId="26" fillId="0" borderId="0" xfId="11" applyFont="1"/>
    <xf numFmtId="0" fontId="31" fillId="0" borderId="5" xfId="0" applyFont="1" applyBorder="1" applyAlignment="1"/>
    <xf numFmtId="0" fontId="31" fillId="0" borderId="0" xfId="0" applyFont="1" applyBorder="1" applyAlignment="1"/>
    <xf numFmtId="0" fontId="31" fillId="0" borderId="6" xfId="0" applyFont="1" applyFill="1" applyBorder="1" applyAlignment="1"/>
    <xf numFmtId="0" fontId="23" fillId="0" borderId="0" xfId="0" applyFont="1" applyAlignment="1"/>
    <xf numFmtId="0" fontId="31" fillId="0" borderId="8" xfId="0" applyFont="1" applyFill="1" applyBorder="1" applyAlignment="1">
      <alignment horizontal="center"/>
    </xf>
    <xf numFmtId="0" fontId="31" fillId="0" borderId="9" xfId="0" applyFont="1" applyFill="1" applyBorder="1"/>
    <xf numFmtId="0" fontId="42" fillId="0" borderId="0" xfId="0" applyFont="1"/>
    <xf numFmtId="168" fontId="31" fillId="15" borderId="12" xfId="0" applyNumberFormat="1" applyFont="1" applyFill="1" applyBorder="1"/>
    <xf numFmtId="168" fontId="31" fillId="15" borderId="13" xfId="0" applyNumberFormat="1" applyFont="1" applyFill="1" applyBorder="1"/>
    <xf numFmtId="168" fontId="31" fillId="15" borderId="14" xfId="0" applyNumberFormat="1" applyFont="1" applyFill="1" applyBorder="1"/>
    <xf numFmtId="168" fontId="31" fillId="15" borderId="38" xfId="0" applyNumberFormat="1" applyFont="1" applyFill="1" applyBorder="1"/>
    <xf numFmtId="168" fontId="31" fillId="15" borderId="19" xfId="0" applyNumberFormat="1" applyFont="1" applyFill="1" applyBorder="1"/>
    <xf numFmtId="0" fontId="23" fillId="0" borderId="0" xfId="0" applyFont="1" applyAlignment="1">
      <alignment horizontal="center"/>
    </xf>
    <xf numFmtId="0" fontId="26" fillId="0" borderId="8" xfId="11" applyFont="1" applyFill="1" applyBorder="1"/>
    <xf numFmtId="0" fontId="31" fillId="0" borderId="0" xfId="0" applyFont="1" applyFill="1" applyBorder="1" applyAlignment="1">
      <alignment horizontal="left" vertical="top" wrapText="1"/>
    </xf>
    <xf numFmtId="0" fontId="25" fillId="11" borderId="46" xfId="2" applyFont="1" applyFill="1" applyBorder="1" applyAlignment="1">
      <alignment horizontal="center" vertical="center"/>
    </xf>
    <xf numFmtId="0" fontId="25" fillId="11" borderId="47" xfId="2" applyFont="1" applyFill="1" applyBorder="1" applyAlignment="1">
      <alignment horizontal="center" vertical="center"/>
    </xf>
    <xf numFmtId="0" fontId="28" fillId="11" borderId="47" xfId="0" applyFont="1" applyFill="1" applyBorder="1" applyAlignment="1">
      <alignment horizontal="center" vertical="center"/>
    </xf>
    <xf numFmtId="0" fontId="28" fillId="11" borderId="48" xfId="2" applyFont="1" applyFill="1" applyBorder="1" applyAlignment="1">
      <alignment horizontal="center" vertical="center"/>
    </xf>
    <xf numFmtId="0" fontId="31" fillId="0" borderId="12" xfId="2" applyFont="1" applyBorder="1" applyAlignment="1">
      <alignment horizontal="center"/>
    </xf>
    <xf numFmtId="0" fontId="31" fillId="0" borderId="13" xfId="2" applyFont="1" applyBorder="1" applyAlignment="1">
      <alignment horizontal="center"/>
    </xf>
    <xf numFmtId="0" fontId="27" fillId="0" borderId="13" xfId="12" applyFont="1" applyBorder="1" applyAlignment="1">
      <alignment horizontal="center"/>
    </xf>
    <xf numFmtId="2" fontId="27" fillId="12" borderId="14" xfId="0" applyNumberFormat="1" applyFont="1" applyFill="1" applyBorder="1" applyAlignment="1">
      <alignment horizontal="center"/>
    </xf>
    <xf numFmtId="0" fontId="31" fillId="0" borderId="15" xfId="2" applyFont="1" applyBorder="1" applyAlignment="1">
      <alignment horizontal="center"/>
    </xf>
    <xf numFmtId="0" fontId="31" fillId="0" borderId="1" xfId="2" applyFont="1" applyBorder="1" applyAlignment="1">
      <alignment horizontal="center"/>
    </xf>
    <xf numFmtId="0" fontId="27" fillId="0" borderId="1" xfId="12" applyFont="1" applyBorder="1" applyAlignment="1">
      <alignment horizontal="center"/>
    </xf>
    <xf numFmtId="2" fontId="27" fillId="12" borderId="38" xfId="0" applyNumberFormat="1" applyFont="1" applyFill="1" applyBorder="1" applyAlignment="1">
      <alignment horizontal="center"/>
    </xf>
    <xf numFmtId="0" fontId="37" fillId="0" borderId="15" xfId="12" applyFont="1" applyFill="1" applyBorder="1" applyAlignment="1">
      <alignment horizontal="center" vertical="center"/>
    </xf>
    <xf numFmtId="0" fontId="37" fillId="0" borderId="1" xfId="12" applyFont="1" applyFill="1" applyBorder="1" applyAlignment="1">
      <alignment horizontal="center" vertical="center"/>
    </xf>
    <xf numFmtId="2" fontId="37" fillId="13" borderId="38" xfId="6" applyNumberFormat="1" applyFont="1" applyFill="1" applyBorder="1" applyAlignment="1">
      <alignment horizontal="center" vertical="center"/>
    </xf>
    <xf numFmtId="0" fontId="27" fillId="0" borderId="15" xfId="0" applyFont="1" applyBorder="1" applyAlignment="1">
      <alignment horizontal="center"/>
    </xf>
    <xf numFmtId="0" fontId="27" fillId="0" borderId="1" xfId="0" applyFont="1" applyBorder="1" applyAlignment="1">
      <alignment horizontal="center"/>
    </xf>
    <xf numFmtId="0" fontId="37" fillId="0" borderId="15" xfId="6" applyFont="1" applyFill="1" applyBorder="1" applyAlignment="1">
      <alignment horizontal="center" vertical="center"/>
    </xf>
    <xf numFmtId="0" fontId="37" fillId="0" borderId="1" xfId="6" applyFont="1" applyFill="1" applyBorder="1" applyAlignment="1">
      <alignment horizontal="center" vertical="center"/>
    </xf>
    <xf numFmtId="0" fontId="27" fillId="0" borderId="15" xfId="12" applyFont="1" applyBorder="1" applyAlignment="1">
      <alignment horizontal="center"/>
    </xf>
    <xf numFmtId="0" fontId="37" fillId="0" borderId="17" xfId="12" applyFont="1" applyFill="1" applyBorder="1" applyAlignment="1">
      <alignment horizontal="center" vertical="center"/>
    </xf>
    <xf numFmtId="0" fontId="37" fillId="0" borderId="18" xfId="12" applyFont="1" applyFill="1" applyBorder="1" applyAlignment="1">
      <alignment horizontal="center" vertical="center"/>
    </xf>
    <xf numFmtId="2" fontId="37" fillId="13" borderId="19" xfId="6" applyNumberFormat="1" applyFont="1" applyFill="1" applyBorder="1" applyAlignment="1">
      <alignment horizontal="center" vertical="center"/>
    </xf>
    <xf numFmtId="0" fontId="28" fillId="0" borderId="0" xfId="0" applyFont="1" applyFill="1" applyBorder="1"/>
    <xf numFmtId="2" fontId="27" fillId="0" borderId="0" xfId="0" applyNumberFormat="1" applyFont="1" applyFill="1" applyBorder="1"/>
    <xf numFmtId="0" fontId="32" fillId="0" borderId="0" xfId="0" applyFont="1" applyFill="1" applyBorder="1" applyAlignment="1">
      <alignment wrapText="1"/>
    </xf>
    <xf numFmtId="0" fontId="31" fillId="0" borderId="0" xfId="0" applyFont="1" applyFill="1" applyBorder="1" applyAlignment="1">
      <alignment wrapText="1"/>
    </xf>
    <xf numFmtId="3" fontId="27" fillId="0" borderId="0" xfId="0" applyNumberFormat="1" applyFont="1" applyFill="1" applyBorder="1"/>
    <xf numFmtId="0" fontId="28" fillId="0" borderId="0" xfId="0" applyFont="1"/>
    <xf numFmtId="0" fontId="31" fillId="0" borderId="12" xfId="0" applyFont="1" applyFill="1" applyBorder="1" applyAlignment="1">
      <alignment vertical="center"/>
    </xf>
    <xf numFmtId="0" fontId="27" fillId="0" borderId="0" xfId="0" applyFont="1" applyFill="1" applyBorder="1" applyAlignment="1">
      <alignment vertical="center"/>
    </xf>
    <xf numFmtId="3" fontId="31" fillId="2" borderId="38" xfId="0" applyNumberFormat="1" applyFont="1" applyFill="1" applyBorder="1" applyAlignment="1">
      <alignment vertical="center"/>
    </xf>
    <xf numFmtId="0" fontId="31" fillId="0" borderId="17" xfId="0" applyFont="1" applyFill="1" applyBorder="1" applyAlignment="1">
      <alignment vertical="center"/>
    </xf>
    <xf numFmtId="0" fontId="25" fillId="0" borderId="0" xfId="0" applyFont="1" applyFill="1" applyBorder="1" applyAlignment="1">
      <alignment horizontal="right"/>
    </xf>
    <xf numFmtId="0" fontId="27" fillId="0" borderId="12" xfId="0" applyFont="1" applyFill="1" applyBorder="1" applyAlignment="1">
      <alignment vertical="center"/>
    </xf>
    <xf numFmtId="3" fontId="27" fillId="3" borderId="14" xfId="0" applyNumberFormat="1" applyFont="1" applyFill="1" applyBorder="1" applyAlignment="1" applyProtection="1">
      <alignment horizontal="right" vertical="center"/>
      <protection locked="0"/>
    </xf>
    <xf numFmtId="0" fontId="27" fillId="0" borderId="15" xfId="0" applyFont="1" applyFill="1" applyBorder="1" applyAlignment="1">
      <alignment vertical="center"/>
    </xf>
    <xf numFmtId="0" fontId="27" fillId="3" borderId="38" xfId="0" applyFont="1" applyFill="1" applyBorder="1" applyAlignment="1" applyProtection="1">
      <alignment horizontal="right" vertical="center"/>
      <protection locked="0"/>
    </xf>
    <xf numFmtId="0" fontId="27" fillId="0" borderId="17" xfId="0" applyFont="1" applyFill="1" applyBorder="1" applyAlignment="1">
      <alignment vertical="center"/>
    </xf>
    <xf numFmtId="0" fontId="31" fillId="0" borderId="30" xfId="0" applyFont="1" applyFill="1" applyBorder="1" applyAlignment="1">
      <alignment wrapText="1"/>
    </xf>
    <xf numFmtId="0" fontId="31" fillId="0" borderId="31" xfId="0" applyFont="1" applyFill="1" applyBorder="1" applyAlignment="1">
      <alignment wrapText="1"/>
    </xf>
    <xf numFmtId="3" fontId="31" fillId="2" borderId="1" xfId="10" applyNumberFormat="1" applyFont="1" applyFill="1" applyBorder="1"/>
    <xf numFmtId="3" fontId="31" fillId="2" borderId="1" xfId="0" applyNumberFormat="1" applyFont="1" applyFill="1" applyBorder="1"/>
    <xf numFmtId="3" fontId="31" fillId="2" borderId="10" xfId="0" applyNumberFormat="1" applyFont="1" applyFill="1" applyBorder="1"/>
    <xf numFmtId="3" fontId="31" fillId="2" borderId="29" xfId="10" applyNumberFormat="1" applyFont="1" applyFill="1" applyBorder="1"/>
    <xf numFmtId="3" fontId="31" fillId="2" borderId="29" xfId="0" applyNumberFormat="1" applyFont="1" applyFill="1" applyBorder="1"/>
    <xf numFmtId="3" fontId="31" fillId="2" borderId="68" xfId="0" applyNumberFormat="1" applyFont="1" applyFill="1" applyBorder="1"/>
    <xf numFmtId="0" fontId="42" fillId="0" borderId="0" xfId="0" applyFont="1" applyFill="1" applyBorder="1"/>
    <xf numFmtId="3" fontId="27" fillId="2" borderId="38" xfId="0" applyNumberFormat="1" applyFont="1" applyFill="1" applyBorder="1" applyAlignment="1">
      <alignment vertical="center"/>
    </xf>
    <xf numFmtId="0" fontId="27" fillId="0" borderId="0" xfId="3" applyFont="1" applyFill="1" applyBorder="1" applyAlignment="1">
      <alignment horizontal="left" vertical="center"/>
    </xf>
    <xf numFmtId="2" fontId="27" fillId="0" borderId="18" xfId="0" applyNumberFormat="1" applyFont="1" applyFill="1" applyBorder="1" applyAlignment="1">
      <alignment horizontal="center"/>
    </xf>
    <xf numFmtId="0" fontId="25" fillId="21" borderId="47" xfId="13" applyFont="1" applyFill="1" applyBorder="1" applyAlignment="1">
      <alignment horizontal="center"/>
    </xf>
    <xf numFmtId="0" fontId="31" fillId="0" borderId="12" xfId="13" applyFont="1" applyBorder="1"/>
    <xf numFmtId="0" fontId="25" fillId="21" borderId="55" xfId="13" applyFont="1" applyFill="1" applyBorder="1" applyAlignment="1">
      <alignment horizontal="center"/>
    </xf>
    <xf numFmtId="0" fontId="31" fillId="0" borderId="13" xfId="13" applyFont="1" applyBorder="1"/>
    <xf numFmtId="0" fontId="31" fillId="0" borderId="14" xfId="13" applyFont="1" applyBorder="1"/>
    <xf numFmtId="168" fontId="31" fillId="3" borderId="50" xfId="13" applyNumberFormat="1" applyFont="1" applyFill="1" applyBorder="1"/>
    <xf numFmtId="168" fontId="31" fillId="3" borderId="43" xfId="13" applyNumberFormat="1" applyFont="1" applyFill="1" applyBorder="1"/>
    <xf numFmtId="168" fontId="31" fillId="15" borderId="12" xfId="13" applyNumberFormat="1" applyFont="1" applyFill="1" applyBorder="1"/>
    <xf numFmtId="168" fontId="31" fillId="15" borderId="13" xfId="13" applyNumberFormat="1" applyFont="1" applyFill="1" applyBorder="1"/>
    <xf numFmtId="168" fontId="31" fillId="15" borderId="43" xfId="13" applyNumberFormat="1" applyFont="1" applyFill="1" applyBorder="1"/>
    <xf numFmtId="168" fontId="31" fillId="19" borderId="59" xfId="13" applyNumberFormat="1" applyFont="1" applyFill="1" applyBorder="1"/>
    <xf numFmtId="168" fontId="31" fillId="3" borderId="20" xfId="13" applyNumberFormat="1" applyFont="1" applyFill="1" applyBorder="1"/>
    <xf numFmtId="168" fontId="31" fillId="3" borderId="10" xfId="13" applyNumberFormat="1" applyFont="1" applyFill="1" applyBorder="1"/>
    <xf numFmtId="168" fontId="31" fillId="3" borderId="77" xfId="13" applyNumberFormat="1" applyFont="1" applyFill="1" applyBorder="1"/>
    <xf numFmtId="168" fontId="31" fillId="3" borderId="68" xfId="13" applyNumberFormat="1" applyFont="1" applyFill="1" applyBorder="1"/>
    <xf numFmtId="168" fontId="31" fillId="15" borderId="63" xfId="13" applyNumberFormat="1" applyFont="1" applyFill="1" applyBorder="1"/>
    <xf numFmtId="168" fontId="31" fillId="15" borderId="29" xfId="13" applyNumberFormat="1" applyFont="1" applyFill="1" applyBorder="1"/>
    <xf numFmtId="168" fontId="31" fillId="15" borderId="68" xfId="13" applyNumberFormat="1" applyFont="1" applyFill="1" applyBorder="1"/>
    <xf numFmtId="168" fontId="31" fillId="19" borderId="74" xfId="13" applyNumberFormat="1" applyFont="1" applyFill="1" applyBorder="1"/>
    <xf numFmtId="168" fontId="31" fillId="3" borderId="44" xfId="13" applyNumberFormat="1" applyFont="1" applyFill="1" applyBorder="1"/>
    <xf numFmtId="0" fontId="27" fillId="0" borderId="0" xfId="0" applyNumberFormat="1" applyFont="1" applyFill="1" applyBorder="1"/>
    <xf numFmtId="3" fontId="31" fillId="15" borderId="0" xfId="0" applyNumberFormat="1" applyFont="1" applyFill="1" applyBorder="1"/>
    <xf numFmtId="0" fontId="31" fillId="0" borderId="59" xfId="0" applyFont="1" applyFill="1" applyBorder="1" applyAlignment="1">
      <alignment wrapText="1"/>
    </xf>
    <xf numFmtId="168" fontId="25" fillId="17" borderId="73" xfId="0" applyNumberFormat="1" applyFont="1" applyFill="1" applyBorder="1" applyAlignment="1">
      <alignment horizontal="center" vertical="center" wrapText="1"/>
    </xf>
    <xf numFmtId="0" fontId="31" fillId="0" borderId="15" xfId="0" applyFont="1" applyFill="1" applyBorder="1" applyAlignment="1">
      <alignment horizontal="left"/>
    </xf>
    <xf numFmtId="0" fontId="31" fillId="0" borderId="17" xfId="0" applyFont="1" applyFill="1" applyBorder="1" applyAlignment="1">
      <alignment horizontal="left"/>
    </xf>
    <xf numFmtId="0" fontId="27" fillId="28" borderId="43" xfId="0" applyFont="1" applyFill="1" applyBorder="1"/>
    <xf numFmtId="0" fontId="8" fillId="0" borderId="0" xfId="13"/>
    <xf numFmtId="0" fontId="13" fillId="0" borderId="46" xfId="0" applyFont="1" applyBorder="1" applyAlignment="1">
      <alignment horizontal="center"/>
    </xf>
    <xf numFmtId="0" fontId="13" fillId="21" borderId="69" xfId="13" applyFont="1" applyFill="1" applyBorder="1" applyAlignment="1">
      <alignment horizontal="center"/>
    </xf>
    <xf numFmtId="0" fontId="13" fillId="21" borderId="70" xfId="13" applyFont="1" applyFill="1" applyBorder="1" applyAlignment="1">
      <alignment horizontal="center"/>
    </xf>
    <xf numFmtId="168" fontId="13" fillId="30" borderId="46" xfId="13" applyNumberFormat="1" applyFont="1" applyFill="1" applyBorder="1" applyAlignment="1">
      <alignment horizontal="center"/>
    </xf>
    <xf numFmtId="168" fontId="13" fillId="30" borderId="66" xfId="13" applyNumberFormat="1" applyFont="1" applyFill="1" applyBorder="1" applyAlignment="1">
      <alignment horizontal="center"/>
    </xf>
    <xf numFmtId="168" fontId="13" fillId="30" borderId="47" xfId="13" applyNumberFormat="1" applyFont="1" applyFill="1" applyBorder="1" applyAlignment="1">
      <alignment horizontal="center"/>
    </xf>
    <xf numFmtId="0" fontId="12" fillId="0" borderId="10" xfId="13" applyFont="1" applyBorder="1"/>
    <xf numFmtId="168" fontId="12" fillId="3" borderId="49" xfId="13" applyNumberFormat="1" applyFont="1" applyFill="1" applyBorder="1"/>
    <xf numFmtId="168" fontId="12" fillId="3" borderId="14" xfId="13" applyNumberFormat="1" applyFont="1" applyFill="1" applyBorder="1"/>
    <xf numFmtId="168" fontId="12" fillId="15" borderId="11" xfId="0" applyNumberFormat="1" applyFont="1" applyFill="1" applyBorder="1"/>
    <xf numFmtId="168" fontId="12" fillId="3" borderId="25" xfId="13" applyNumberFormat="1" applyFont="1" applyFill="1" applyBorder="1"/>
    <xf numFmtId="168" fontId="12" fillId="3" borderId="38" xfId="13" applyNumberFormat="1" applyFont="1" applyFill="1" applyBorder="1"/>
    <xf numFmtId="0" fontId="12" fillId="0" borderId="44" xfId="13" applyFont="1" applyBorder="1"/>
    <xf numFmtId="168" fontId="12" fillId="3" borderId="23" xfId="13" applyNumberFormat="1" applyFont="1" applyFill="1" applyBorder="1"/>
    <xf numFmtId="168" fontId="12" fillId="3" borderId="19" xfId="13" applyNumberFormat="1" applyFont="1" applyFill="1" applyBorder="1"/>
    <xf numFmtId="168" fontId="12" fillId="15" borderId="22" xfId="0" applyNumberFormat="1" applyFont="1" applyFill="1" applyBorder="1"/>
    <xf numFmtId="168" fontId="12" fillId="15" borderId="40" xfId="13" applyNumberFormat="1" applyFont="1" applyFill="1" applyBorder="1"/>
    <xf numFmtId="168" fontId="12" fillId="15" borderId="42" xfId="13" applyNumberFormat="1" applyFont="1" applyFill="1" applyBorder="1"/>
    <xf numFmtId="168" fontId="31" fillId="4" borderId="62" xfId="0" applyNumberFormat="1" applyFont="1" applyFill="1" applyBorder="1"/>
    <xf numFmtId="168" fontId="26" fillId="0" borderId="0" xfId="15" applyNumberFormat="1" applyFont="1" applyBorder="1"/>
    <xf numFmtId="0" fontId="26" fillId="0" borderId="0" xfId="15" applyFont="1" applyFill="1" applyBorder="1"/>
    <xf numFmtId="0" fontId="27" fillId="0" borderId="0" xfId="15" applyFont="1" applyFill="1" applyBorder="1" applyAlignment="1">
      <alignment horizontal="left" vertical="top"/>
    </xf>
    <xf numFmtId="168" fontId="27" fillId="0" borderId="0" xfId="15" applyNumberFormat="1" applyFont="1" applyFill="1" applyBorder="1" applyAlignment="1">
      <alignment horizontal="left" vertical="top"/>
    </xf>
    <xf numFmtId="0" fontId="25" fillId="0" borderId="69" xfId="0" applyFont="1" applyBorder="1" applyAlignment="1">
      <alignment horizontal="center" vertical="center"/>
    </xf>
    <xf numFmtId="0" fontId="25" fillId="0" borderId="70" xfId="0" applyFont="1" applyBorder="1" applyAlignment="1">
      <alignment horizontal="center" vertical="center"/>
    </xf>
    <xf numFmtId="0" fontId="25" fillId="0" borderId="78" xfId="13" applyFont="1" applyBorder="1" applyAlignment="1">
      <alignment horizontal="center" vertical="center"/>
    </xf>
    <xf numFmtId="0" fontId="25" fillId="21" borderId="58" xfId="13" applyFont="1" applyFill="1" applyBorder="1" applyAlignment="1">
      <alignment horizontal="center" vertical="center" wrapText="1"/>
    </xf>
    <xf numFmtId="168" fontId="25" fillId="17" borderId="29" xfId="0" applyNumberFormat="1" applyFont="1" applyFill="1" applyBorder="1" applyAlignment="1">
      <alignment horizontal="center" vertical="center" wrapText="1"/>
    </xf>
    <xf numFmtId="168" fontId="28" fillId="17" borderId="29" xfId="0" applyNumberFormat="1" applyFont="1" applyFill="1" applyBorder="1" applyAlignment="1">
      <alignment horizontal="center" vertical="center" wrapText="1"/>
    </xf>
    <xf numFmtId="168" fontId="28" fillId="17" borderId="77" xfId="0" applyNumberFormat="1" applyFont="1" applyFill="1" applyBorder="1" applyAlignment="1">
      <alignment horizontal="center" vertical="center" wrapText="1"/>
    </xf>
    <xf numFmtId="168" fontId="28" fillId="18" borderId="23" xfId="0" applyNumberFormat="1" applyFont="1" applyFill="1" applyBorder="1" applyAlignment="1">
      <alignment horizontal="center" vertical="center" wrapText="1"/>
    </xf>
    <xf numFmtId="168" fontId="28" fillId="18" borderId="19" xfId="0" applyNumberFormat="1" applyFont="1" applyFill="1" applyBorder="1" applyAlignment="1">
      <alignment horizontal="center" vertical="center" wrapText="1"/>
    </xf>
    <xf numFmtId="0" fontId="31" fillId="0" borderId="12" xfId="0" applyFont="1" applyBorder="1"/>
    <xf numFmtId="0" fontId="31" fillId="0" borderId="13" xfId="0" applyFont="1" applyBorder="1"/>
    <xf numFmtId="0" fontId="31" fillId="0" borderId="43" xfId="0" applyFont="1" applyBorder="1"/>
    <xf numFmtId="168" fontId="31" fillId="3" borderId="59" xfId="13" applyNumberFormat="1" applyFont="1" applyFill="1" applyBorder="1"/>
    <xf numFmtId="168" fontId="31" fillId="15" borderId="70" xfId="0" applyNumberFormat="1" applyFont="1" applyFill="1" applyBorder="1"/>
    <xf numFmtId="168" fontId="31" fillId="19" borderId="49" xfId="0" applyNumberFormat="1" applyFont="1" applyFill="1" applyBorder="1"/>
    <xf numFmtId="168" fontId="31" fillId="19" borderId="14" xfId="0" applyNumberFormat="1" applyFont="1" applyFill="1" applyBorder="1"/>
    <xf numFmtId="168" fontId="31" fillId="3" borderId="60" xfId="0" applyNumberFormat="1" applyFont="1" applyFill="1" applyBorder="1"/>
    <xf numFmtId="168" fontId="31" fillId="19" borderId="25" xfId="0" applyNumberFormat="1" applyFont="1" applyFill="1" applyBorder="1"/>
    <xf numFmtId="168" fontId="31" fillId="19" borderId="38" xfId="0" applyNumberFormat="1" applyFont="1" applyFill="1" applyBorder="1"/>
    <xf numFmtId="0" fontId="31" fillId="0" borderId="29" xfId="0" applyFont="1" applyBorder="1"/>
    <xf numFmtId="168" fontId="31" fillId="3" borderId="61" xfId="0" applyNumberFormat="1" applyFont="1" applyFill="1" applyBorder="1"/>
    <xf numFmtId="168" fontId="31" fillId="15" borderId="40" xfId="0" applyNumberFormat="1" applyFont="1" applyFill="1" applyBorder="1"/>
    <xf numFmtId="168" fontId="31" fillId="19" borderId="23" xfId="0" applyNumberFormat="1" applyFont="1" applyFill="1" applyBorder="1"/>
    <xf numFmtId="168" fontId="31" fillId="19" borderId="19" xfId="0" applyNumberFormat="1" applyFont="1" applyFill="1" applyBorder="1"/>
    <xf numFmtId="0" fontId="27" fillId="0" borderId="0" xfId="0" applyFont="1" applyAlignment="1">
      <alignment horizontal="right"/>
    </xf>
    <xf numFmtId="0" fontId="22" fillId="0" borderId="0" xfId="0" applyFont="1"/>
    <xf numFmtId="0" fontId="28" fillId="16" borderId="59" xfId="0" applyFont="1" applyFill="1" applyBorder="1" applyAlignment="1">
      <alignment horizontal="center"/>
    </xf>
    <xf numFmtId="0" fontId="27" fillId="0" borderId="0" xfId="0" applyFont="1" applyBorder="1"/>
    <xf numFmtId="0" fontId="28" fillId="0" borderId="46" xfId="13" applyFont="1" applyBorder="1" applyAlignment="1">
      <alignment horizontal="center"/>
    </xf>
    <xf numFmtId="0" fontId="28" fillId="0" borderId="47" xfId="13" applyFont="1" applyBorder="1" applyAlignment="1">
      <alignment horizontal="center"/>
    </xf>
    <xf numFmtId="0" fontId="28" fillId="0" borderId="48" xfId="13" applyFont="1" applyBorder="1" applyAlignment="1">
      <alignment horizontal="center"/>
    </xf>
    <xf numFmtId="0" fontId="28" fillId="21" borderId="69" xfId="13" applyFont="1" applyFill="1" applyBorder="1" applyAlignment="1">
      <alignment horizontal="center"/>
    </xf>
    <xf numFmtId="0" fontId="28" fillId="21" borderId="70" xfId="13" applyFont="1" applyFill="1" applyBorder="1" applyAlignment="1">
      <alignment horizontal="center"/>
    </xf>
    <xf numFmtId="0" fontId="28" fillId="30" borderId="69" xfId="13" applyFont="1" applyFill="1" applyBorder="1" applyAlignment="1">
      <alignment horizontal="center"/>
    </xf>
    <xf numFmtId="0" fontId="28" fillId="30" borderId="70" xfId="13" applyFont="1" applyFill="1" applyBorder="1" applyAlignment="1">
      <alignment horizontal="center"/>
    </xf>
    <xf numFmtId="0" fontId="28" fillId="30" borderId="78" xfId="13" applyFont="1" applyFill="1" applyBorder="1" applyAlignment="1">
      <alignment horizontal="center"/>
    </xf>
    <xf numFmtId="0" fontId="28" fillId="16" borderId="58" xfId="13" applyFont="1" applyFill="1" applyBorder="1" applyAlignment="1">
      <alignment horizontal="center"/>
    </xf>
    <xf numFmtId="0" fontId="27" fillId="0" borderId="37" xfId="13" applyFont="1" applyBorder="1"/>
    <xf numFmtId="0" fontId="27" fillId="0" borderId="31" xfId="13" applyFont="1" applyBorder="1"/>
    <xf numFmtId="0" fontId="27" fillId="0" borderId="39" xfId="13" applyFont="1" applyBorder="1"/>
    <xf numFmtId="168" fontId="27" fillId="3" borderId="12" xfId="13" applyNumberFormat="1" applyFont="1" applyFill="1" applyBorder="1"/>
    <xf numFmtId="168" fontId="27" fillId="3" borderId="14" xfId="13" applyNumberFormat="1" applyFont="1" applyFill="1" applyBorder="1"/>
    <xf numFmtId="168" fontId="27" fillId="15" borderId="21" xfId="13" applyNumberFormat="1" applyFont="1" applyFill="1" applyBorder="1"/>
    <xf numFmtId="168" fontId="27" fillId="15" borderId="43" xfId="13" applyNumberFormat="1" applyFont="1" applyFill="1" applyBorder="1"/>
    <xf numFmtId="168" fontId="27" fillId="15" borderId="13" xfId="13" applyNumberFormat="1" applyFont="1" applyFill="1" applyBorder="1"/>
    <xf numFmtId="168" fontId="27" fillId="19" borderId="59" xfId="13" applyNumberFormat="1" applyFont="1" applyFill="1" applyBorder="1"/>
    <xf numFmtId="168" fontId="27" fillId="3" borderId="15" xfId="13" applyNumberFormat="1" applyFont="1" applyFill="1" applyBorder="1"/>
    <xf numFmtId="168" fontId="27" fillId="3" borderId="38" xfId="13" applyNumberFormat="1" applyFont="1" applyFill="1" applyBorder="1"/>
    <xf numFmtId="168" fontId="27" fillId="15" borderId="30" xfId="13" applyNumberFormat="1" applyFont="1" applyFill="1" applyBorder="1"/>
    <xf numFmtId="168" fontId="27" fillId="15" borderId="39" xfId="13" applyNumberFormat="1" applyFont="1" applyFill="1" applyBorder="1"/>
    <xf numFmtId="168" fontId="27" fillId="15" borderId="31" xfId="13" applyNumberFormat="1" applyFont="1" applyFill="1" applyBorder="1"/>
    <xf numFmtId="168" fontId="27" fillId="19" borderId="75" xfId="13" applyNumberFormat="1" applyFont="1" applyFill="1" applyBorder="1"/>
    <xf numFmtId="168" fontId="27" fillId="15" borderId="1" xfId="13" applyNumberFormat="1" applyFont="1" applyFill="1" applyBorder="1"/>
    <xf numFmtId="168" fontId="27" fillId="19" borderId="37" xfId="13" applyNumberFormat="1" applyFont="1" applyFill="1" applyBorder="1"/>
    <xf numFmtId="0" fontId="27" fillId="0" borderId="15" xfId="13" applyFont="1" applyBorder="1"/>
    <xf numFmtId="0" fontId="27" fillId="0" borderId="1" xfId="13" applyFont="1" applyBorder="1"/>
    <xf numFmtId="0" fontId="27" fillId="0" borderId="10" xfId="13" applyFont="1" applyBorder="1"/>
    <xf numFmtId="0" fontId="27" fillId="0" borderId="17" xfId="13" applyFont="1" applyBorder="1"/>
    <xf numFmtId="0" fontId="27" fillId="0" borderId="18" xfId="13" applyFont="1" applyBorder="1"/>
    <xf numFmtId="0" fontId="27" fillId="0" borderId="44" xfId="13" applyFont="1" applyBorder="1"/>
    <xf numFmtId="168" fontId="27" fillId="3" borderId="17" xfId="13" applyNumberFormat="1" applyFont="1" applyFill="1" applyBorder="1"/>
    <xf numFmtId="168" fontId="27" fillId="3" borderId="19" xfId="13" applyNumberFormat="1" applyFont="1" applyFill="1" applyBorder="1"/>
    <xf numFmtId="168" fontId="27" fillId="15" borderId="41" xfId="13" applyNumberFormat="1" applyFont="1" applyFill="1" applyBorder="1"/>
    <xf numFmtId="168" fontId="27" fillId="15" borderId="42" xfId="13" applyNumberFormat="1" applyFont="1" applyFill="1" applyBorder="1"/>
    <xf numFmtId="168" fontId="27" fillId="15" borderId="40" xfId="13" applyNumberFormat="1" applyFont="1" applyFill="1" applyBorder="1"/>
    <xf numFmtId="168" fontId="27" fillId="19" borderId="76" xfId="13" applyNumberFormat="1" applyFont="1" applyFill="1" applyBorder="1"/>
    <xf numFmtId="168" fontId="22" fillId="0" borderId="0" xfId="0" applyNumberFormat="1" applyFont="1"/>
    <xf numFmtId="168" fontId="13" fillId="16" borderId="59" xfId="0" applyNumberFormat="1" applyFont="1" applyFill="1" applyBorder="1" applyAlignment="1"/>
    <xf numFmtId="168" fontId="17" fillId="18" borderId="58" xfId="0" applyNumberFormat="1" applyFont="1" applyFill="1" applyBorder="1" applyAlignment="1">
      <alignment horizontal="center" vertical="center" wrapText="1"/>
    </xf>
    <xf numFmtId="168" fontId="12" fillId="19" borderId="60" xfId="13" applyNumberFormat="1" applyFont="1" applyFill="1" applyBorder="1"/>
    <xf numFmtId="168" fontId="12" fillId="19" borderId="76" xfId="13" applyNumberFormat="1" applyFont="1" applyFill="1" applyBorder="1"/>
    <xf numFmtId="0" fontId="23" fillId="0" borderId="0" xfId="0" applyFont="1" applyFill="1" applyBorder="1" applyAlignment="1">
      <alignment wrapText="1"/>
    </xf>
    <xf numFmtId="178" fontId="31" fillId="0" borderId="0" xfId="0" applyNumberFormat="1" applyFont="1" applyFill="1" applyBorder="1"/>
    <xf numFmtId="0" fontId="53" fillId="0" borderId="0" xfId="0" applyFont="1" applyFill="1" applyBorder="1"/>
    <xf numFmtId="0" fontId="23" fillId="0" borderId="0" xfId="0" applyFont="1" applyFill="1" applyBorder="1" applyAlignment="1">
      <alignment horizontal="left"/>
    </xf>
    <xf numFmtId="0" fontId="22" fillId="0" borderId="0" xfId="0" applyFont="1" applyFill="1" applyBorder="1" applyAlignment="1">
      <alignment horizontal="left"/>
    </xf>
    <xf numFmtId="2" fontId="23" fillId="0" borderId="0" xfId="0" applyNumberFormat="1" applyFont="1" applyFill="1" applyBorder="1"/>
    <xf numFmtId="2" fontId="22" fillId="0" borderId="0" xfId="0" applyNumberFormat="1" applyFont="1" applyFill="1" applyBorder="1"/>
    <xf numFmtId="0" fontId="54" fillId="0" borderId="0" xfId="0" applyFont="1" applyFill="1" applyBorder="1" applyAlignment="1">
      <alignment wrapText="1"/>
    </xf>
    <xf numFmtId="0" fontId="42" fillId="0" borderId="0" xfId="0" applyFont="1" applyFill="1" applyBorder="1" applyAlignment="1">
      <alignment horizontal="left"/>
    </xf>
    <xf numFmtId="0" fontId="55" fillId="0" borderId="0" xfId="0" applyFont="1" applyFill="1" applyBorder="1"/>
    <xf numFmtId="0" fontId="56" fillId="0" borderId="0" xfId="0" applyFont="1" applyFill="1" applyBorder="1"/>
    <xf numFmtId="4" fontId="31" fillId="0" borderId="0" xfId="0" applyNumberFormat="1" applyFont="1" applyFill="1" applyBorder="1" applyAlignment="1">
      <alignment horizontal="center"/>
    </xf>
    <xf numFmtId="4" fontId="31" fillId="0" borderId="0" xfId="0" applyNumberFormat="1" applyFont="1" applyFill="1" applyBorder="1" applyAlignment="1">
      <alignment horizontal="center" vertical="center"/>
    </xf>
    <xf numFmtId="0" fontId="31" fillId="0" borderId="37" xfId="0" applyFont="1" applyFill="1" applyBorder="1" applyAlignment="1">
      <alignment horizontal="left"/>
    </xf>
    <xf numFmtId="0" fontId="31" fillId="0" borderId="15" xfId="0" applyFont="1" applyFill="1" applyBorder="1" applyAlignment="1">
      <alignment horizontal="left" wrapText="1"/>
    </xf>
    <xf numFmtId="0" fontId="25" fillId="21" borderId="15" xfId="0" applyFont="1" applyFill="1" applyBorder="1" applyAlignment="1">
      <alignment horizontal="left"/>
    </xf>
    <xf numFmtId="0" fontId="31" fillId="0" borderId="0" xfId="0" applyFont="1" applyFill="1" applyBorder="1" applyAlignment="1">
      <alignment horizontal="left" vertical="top" wrapText="1"/>
    </xf>
    <xf numFmtId="43" fontId="31" fillId="0" borderId="0" xfId="10" applyFont="1" applyFill="1" applyBorder="1"/>
    <xf numFmtId="1" fontId="31" fillId="0" borderId="0" xfId="0" applyNumberFormat="1" applyFont="1" applyFill="1" applyBorder="1"/>
    <xf numFmtId="4" fontId="31" fillId="0" borderId="0" xfId="0" applyNumberFormat="1" applyFont="1" applyFill="1" applyBorder="1"/>
    <xf numFmtId="0" fontId="31" fillId="2" borderId="14" xfId="0" applyFont="1" applyFill="1" applyBorder="1" applyAlignment="1">
      <alignment horizontal="center" vertical="center"/>
    </xf>
    <xf numFmtId="0" fontId="54" fillId="0" borderId="0" xfId="0" applyFont="1" applyFill="1" applyBorder="1"/>
    <xf numFmtId="0" fontId="27" fillId="0" borderId="37" xfId="0" applyFont="1" applyBorder="1" applyAlignment="1">
      <alignment horizontal="left" vertical="center"/>
    </xf>
    <xf numFmtId="43" fontId="32" fillId="0" borderId="0" xfId="1" applyFont="1" applyFill="1" applyBorder="1"/>
    <xf numFmtId="3" fontId="31" fillId="2" borderId="0" xfId="0" applyNumberFormat="1" applyFont="1" applyFill="1" applyBorder="1" applyAlignment="1">
      <alignment horizontal="right" vertical="center"/>
    </xf>
    <xf numFmtId="0" fontId="31" fillId="0" borderId="39" xfId="0" applyFont="1" applyFill="1" applyBorder="1" applyAlignment="1">
      <alignment wrapText="1"/>
    </xf>
    <xf numFmtId="3" fontId="31" fillId="2" borderId="39" xfId="0" applyNumberFormat="1" applyFont="1" applyFill="1" applyBorder="1"/>
    <xf numFmtId="3" fontId="58" fillId="0" borderId="0" xfId="0" applyNumberFormat="1" applyFont="1" applyFill="1" applyBorder="1"/>
    <xf numFmtId="0" fontId="59" fillId="0" borderId="0" xfId="0" applyFont="1"/>
    <xf numFmtId="43" fontId="32" fillId="0" borderId="0" xfId="1" applyFont="1" applyFill="1" applyBorder="1" applyAlignment="1">
      <alignment horizontal="left"/>
    </xf>
    <xf numFmtId="0" fontId="58" fillId="0" borderId="0" xfId="0" applyFont="1" applyFill="1" applyBorder="1" applyAlignment="1">
      <alignment wrapText="1"/>
    </xf>
    <xf numFmtId="3" fontId="31" fillId="2" borderId="51" xfId="0" applyNumberFormat="1" applyFont="1" applyFill="1" applyBorder="1" applyAlignment="1">
      <alignment vertical="center"/>
    </xf>
    <xf numFmtId="0" fontId="27" fillId="2" borderId="54" xfId="0" applyFont="1" applyFill="1" applyBorder="1" applyAlignment="1">
      <alignment horizontal="right" vertical="center"/>
    </xf>
    <xf numFmtId="3" fontId="31" fillId="2" borderId="62" xfId="0" applyNumberFormat="1" applyFont="1" applyFill="1" applyBorder="1" applyAlignment="1">
      <alignment vertical="center"/>
    </xf>
    <xf numFmtId="3" fontId="31" fillId="2" borderId="13" xfId="0" applyNumberFormat="1" applyFont="1" applyFill="1" applyBorder="1" applyAlignment="1">
      <alignment vertical="center"/>
    </xf>
    <xf numFmtId="0" fontId="27" fillId="2" borderId="31" xfId="0" applyFont="1" applyFill="1" applyBorder="1" applyAlignment="1">
      <alignment horizontal="right" vertical="center"/>
    </xf>
    <xf numFmtId="3" fontId="31" fillId="2" borderId="1" xfId="10" applyNumberFormat="1" applyFont="1" applyFill="1" applyBorder="1" applyAlignment="1">
      <alignment vertical="center"/>
    </xf>
    <xf numFmtId="3" fontId="31" fillId="2" borderId="1" xfId="0" applyNumberFormat="1" applyFont="1" applyFill="1" applyBorder="1" applyAlignment="1">
      <alignment vertical="center"/>
    </xf>
    <xf numFmtId="3" fontId="27" fillId="2" borderId="1" xfId="0" applyNumberFormat="1" applyFont="1" applyFill="1" applyBorder="1" applyAlignment="1">
      <alignment vertical="center"/>
    </xf>
    <xf numFmtId="0" fontId="31" fillId="0" borderId="12" xfId="0" applyFont="1" applyFill="1" applyBorder="1" applyAlignment="1"/>
    <xf numFmtId="0" fontId="27" fillId="0" borderId="15" xfId="0" applyFont="1" applyFill="1" applyBorder="1" applyAlignment="1"/>
    <xf numFmtId="0" fontId="31" fillId="0" borderId="15" xfId="0" applyFont="1" applyFill="1" applyBorder="1" applyAlignment="1"/>
    <xf numFmtId="0" fontId="31" fillId="0" borderId="17" xfId="0" applyFont="1" applyFill="1" applyBorder="1" applyAlignment="1"/>
    <xf numFmtId="0" fontId="25" fillId="0" borderId="8" xfId="0" applyFont="1" applyFill="1" applyBorder="1" applyAlignment="1">
      <alignment vertical="center"/>
    </xf>
    <xf numFmtId="0" fontId="31" fillId="0" borderId="15" xfId="0" applyFont="1" applyFill="1" applyBorder="1" applyAlignment="1">
      <alignment vertical="center" wrapText="1"/>
    </xf>
    <xf numFmtId="0" fontId="31" fillId="0" borderId="17" xfId="0" applyFont="1" applyFill="1" applyBorder="1" applyAlignment="1">
      <alignment vertical="center" wrapText="1"/>
    </xf>
    <xf numFmtId="170" fontId="31" fillId="2" borderId="19" xfId="0" applyNumberFormat="1" applyFont="1" applyFill="1" applyBorder="1" applyAlignment="1">
      <alignment vertical="center"/>
    </xf>
    <xf numFmtId="170" fontId="31" fillId="2" borderId="38" xfId="0" applyNumberFormat="1" applyFont="1" applyFill="1" applyBorder="1" applyAlignment="1">
      <alignment vertical="center"/>
    </xf>
    <xf numFmtId="0" fontId="15" fillId="0" borderId="0" xfId="0" applyFont="1" applyFill="1" applyBorder="1" applyAlignment="1">
      <alignment horizontal="center" vertical="center"/>
    </xf>
    <xf numFmtId="0" fontId="29" fillId="0" borderId="0" xfId="0" applyFont="1" applyFill="1" applyBorder="1" applyAlignment="1">
      <alignment vertical="top" wrapText="1"/>
    </xf>
    <xf numFmtId="0" fontId="29" fillId="0" borderId="0" xfId="0" applyFont="1" applyFill="1" applyBorder="1" applyAlignment="1">
      <alignment horizontal="center" vertical="top" wrapText="1"/>
    </xf>
    <xf numFmtId="0" fontId="29" fillId="0" borderId="0" xfId="0" applyFont="1" applyFill="1" applyBorder="1" applyAlignment="1">
      <alignment wrapText="1"/>
    </xf>
    <xf numFmtId="0" fontId="29" fillId="0" borderId="0" xfId="0" applyFont="1" applyFill="1" applyBorder="1" applyAlignment="1">
      <alignment vertical="center" wrapText="1"/>
    </xf>
    <xf numFmtId="0" fontId="28" fillId="0" borderId="0" xfId="0" applyFont="1" applyFill="1" applyBorder="1" applyAlignment="1">
      <alignment wrapText="1"/>
    </xf>
    <xf numFmtId="0" fontId="25" fillId="0" borderId="0" xfId="0" applyFont="1" applyFill="1" applyBorder="1" applyAlignment="1">
      <alignment vertical="center"/>
    </xf>
    <xf numFmtId="0" fontId="25" fillId="0" borderId="0" xfId="0" applyFont="1" applyFill="1" applyBorder="1" applyAlignment="1">
      <alignment horizontal="center" vertical="center"/>
    </xf>
    <xf numFmtId="0" fontId="28" fillId="0" borderId="0" xfId="0" applyFont="1" applyFill="1" applyBorder="1" applyAlignment="1">
      <alignment vertical="center"/>
    </xf>
    <xf numFmtId="0" fontId="28" fillId="0" borderId="0" xfId="0" applyFont="1" applyFill="1" applyBorder="1" applyAlignment="1">
      <alignment horizontal="center" vertical="center"/>
    </xf>
    <xf numFmtId="166" fontId="31" fillId="0" borderId="0" xfId="0" applyNumberFormat="1" applyFont="1" applyFill="1" applyBorder="1"/>
    <xf numFmtId="0" fontId="28" fillId="0" borderId="0" xfId="0" applyFont="1" applyFill="1" applyBorder="1" applyAlignment="1"/>
    <xf numFmtId="166" fontId="25" fillId="0" borderId="0" xfId="9" applyNumberFormat="1" applyFont="1" applyFill="1" applyBorder="1" applyAlignment="1"/>
    <xf numFmtId="164" fontId="37" fillId="0" borderId="0" xfId="0" applyNumberFormat="1" applyFont="1" applyFill="1" applyBorder="1" applyAlignment="1">
      <alignment horizontal="right" vertical="top" shrinkToFit="1"/>
    </xf>
    <xf numFmtId="0" fontId="24" fillId="0" borderId="0" xfId="0" applyFont="1" applyFill="1" applyBorder="1" applyAlignment="1">
      <alignment vertical="center"/>
    </xf>
    <xf numFmtId="0" fontId="21" fillId="0" borderId="0" xfId="0" applyFont="1" applyFill="1" applyBorder="1" applyAlignment="1">
      <alignment vertical="center"/>
    </xf>
    <xf numFmtId="0" fontId="27" fillId="0" borderId="0" xfId="0" applyFont="1" applyFill="1" applyBorder="1" applyProtection="1"/>
    <xf numFmtId="3" fontId="27" fillId="0" borderId="0" xfId="0" applyNumberFormat="1" applyFont="1" applyFill="1" applyBorder="1" applyProtection="1"/>
    <xf numFmtId="3" fontId="31" fillId="0" borderId="0" xfId="0" applyNumberFormat="1" applyFont="1" applyFill="1" applyBorder="1" applyProtection="1"/>
    <xf numFmtId="0" fontId="30" fillId="0" borderId="0" xfId="0" applyFont="1" applyFill="1" applyBorder="1" applyProtection="1"/>
    <xf numFmtId="0" fontId="27" fillId="3" borderId="1" xfId="0" applyFont="1" applyFill="1" applyBorder="1" applyProtection="1">
      <protection locked="0"/>
    </xf>
    <xf numFmtId="3" fontId="31" fillId="3" borderId="1" xfId="0" applyNumberFormat="1" applyFont="1" applyFill="1" applyBorder="1" applyProtection="1">
      <protection locked="0"/>
    </xf>
    <xf numFmtId="3" fontId="31" fillId="3" borderId="1" xfId="10" applyNumberFormat="1" applyFont="1" applyFill="1" applyBorder="1" applyProtection="1">
      <protection locked="0"/>
    </xf>
    <xf numFmtId="0" fontId="27" fillId="3" borderId="29" xfId="0" applyFont="1" applyFill="1" applyBorder="1" applyProtection="1">
      <protection locked="0"/>
    </xf>
    <xf numFmtId="3" fontId="31" fillId="3" borderId="29" xfId="0" applyNumberFormat="1" applyFont="1" applyFill="1" applyBorder="1" applyProtection="1">
      <protection locked="0"/>
    </xf>
    <xf numFmtId="3" fontId="31" fillId="3" borderId="29" xfId="10" applyNumberFormat="1" applyFont="1" applyFill="1" applyBorder="1" applyProtection="1">
      <protection locked="0"/>
    </xf>
    <xf numFmtId="3" fontId="27" fillId="2" borderId="19" xfId="0" applyNumberFormat="1" applyFont="1" applyFill="1" applyBorder="1" applyAlignment="1">
      <alignment vertical="center"/>
    </xf>
    <xf numFmtId="177" fontId="31" fillId="2" borderId="18" xfId="0" applyNumberFormat="1" applyFont="1" applyFill="1" applyBorder="1" applyAlignment="1">
      <alignment vertical="center"/>
    </xf>
    <xf numFmtId="177" fontId="31" fillId="2" borderId="65" xfId="0" applyNumberFormat="1" applyFont="1" applyFill="1" applyBorder="1" applyAlignment="1">
      <alignment vertical="center"/>
    </xf>
    <xf numFmtId="177" fontId="31" fillId="2" borderId="38" xfId="0" applyNumberFormat="1" applyFont="1" applyFill="1" applyBorder="1" applyAlignment="1">
      <alignment vertical="center"/>
    </xf>
    <xf numFmtId="177" fontId="31" fillId="2" borderId="19" xfId="0" applyNumberFormat="1" applyFont="1" applyFill="1" applyBorder="1" applyAlignment="1">
      <alignment vertical="center"/>
    </xf>
    <xf numFmtId="177" fontId="31" fillId="2" borderId="1" xfId="0" applyNumberFormat="1" applyFont="1" applyFill="1" applyBorder="1" applyAlignment="1">
      <alignment vertical="center"/>
    </xf>
    <xf numFmtId="0" fontId="15" fillId="0" borderId="0" xfId="0" applyFont="1" applyFill="1" applyBorder="1" applyAlignment="1">
      <alignment vertical="center"/>
    </xf>
    <xf numFmtId="0" fontId="0" fillId="0" borderId="0" xfId="0" applyFill="1" applyBorder="1" applyAlignment="1"/>
    <xf numFmtId="0" fontId="18" fillId="0" borderId="0" xfId="0" applyFont="1" applyFill="1" applyBorder="1" applyAlignment="1">
      <alignment vertical="center"/>
    </xf>
    <xf numFmtId="0" fontId="27" fillId="0" borderId="0" xfId="15" applyFont="1" applyFill="1" applyBorder="1" applyAlignment="1">
      <alignment vertical="top" wrapText="1"/>
    </xf>
    <xf numFmtId="0" fontId="31" fillId="0" borderId="15" xfId="0" applyFont="1" applyBorder="1" applyAlignment="1">
      <alignment horizontal="center" vertical="center" wrapText="1"/>
    </xf>
    <xf numFmtId="0" fontId="37" fillId="0" borderId="15" xfId="0" applyNumberFormat="1" applyFont="1" applyBorder="1" applyAlignment="1">
      <alignment horizontal="center" vertical="center" wrapText="1"/>
    </xf>
    <xf numFmtId="0" fontId="37" fillId="0" borderId="17" xfId="0" applyNumberFormat="1" applyFont="1" applyBorder="1" applyAlignment="1">
      <alignment horizontal="center" vertical="center" wrapText="1"/>
    </xf>
    <xf numFmtId="0" fontId="31" fillId="0" borderId="0" xfId="0" applyFont="1" applyBorder="1" applyAlignment="1">
      <alignment horizontal="center" vertical="center"/>
    </xf>
    <xf numFmtId="0" fontId="31" fillId="0" borderId="17" xfId="0" applyFont="1" applyBorder="1" applyAlignment="1">
      <alignment horizontal="center" vertical="center" wrapText="1"/>
    </xf>
    <xf numFmtId="0" fontId="52" fillId="0" borderId="0" xfId="0" applyFont="1" applyFill="1" applyBorder="1" applyAlignment="1">
      <alignment horizontal="left"/>
    </xf>
    <xf numFmtId="0" fontId="26" fillId="0" borderId="0" xfId="3" applyFont="1" applyFill="1" applyBorder="1" applyAlignment="1">
      <alignment wrapText="1"/>
    </xf>
    <xf numFmtId="0" fontId="26" fillId="0" borderId="0" xfId="3" applyFont="1" applyFill="1" applyBorder="1" applyAlignment="1">
      <alignment horizontal="left" vertical="top"/>
    </xf>
    <xf numFmtId="0" fontId="26" fillId="0" borderId="0" xfId="3" applyFont="1" applyFill="1" applyBorder="1"/>
    <xf numFmtId="0" fontId="26" fillId="0" borderId="0" xfId="3" applyFont="1"/>
    <xf numFmtId="0" fontId="37" fillId="0" borderId="0" xfId="0" applyFont="1" applyFill="1" applyBorder="1" applyAlignment="1">
      <alignment horizontal="center" vertical="center" wrapText="1"/>
    </xf>
    <xf numFmtId="0" fontId="31" fillId="0" borderId="15" xfId="0" applyFont="1" applyBorder="1" applyAlignment="1">
      <alignment horizontal="center" vertical="center"/>
    </xf>
    <xf numFmtId="0" fontId="31" fillId="0" borderId="12" xfId="0" applyFont="1" applyBorder="1" applyAlignment="1">
      <alignment horizontal="center" vertical="center"/>
    </xf>
    <xf numFmtId="0" fontId="31" fillId="0" borderId="17" xfId="0" applyFont="1" applyBorder="1" applyAlignment="1">
      <alignment horizontal="center" vertical="center"/>
    </xf>
    <xf numFmtId="168" fontId="28" fillId="17" borderId="63" xfId="0" applyNumberFormat="1" applyFont="1" applyFill="1" applyBorder="1" applyAlignment="1">
      <alignment horizontal="center" vertical="center" wrapText="1"/>
    </xf>
    <xf numFmtId="168" fontId="28" fillId="17" borderId="33" xfId="0" applyNumberFormat="1" applyFont="1" applyFill="1" applyBorder="1" applyAlignment="1">
      <alignment horizontal="center" vertical="center" wrapText="1"/>
    </xf>
    <xf numFmtId="168" fontId="31" fillId="15" borderId="46" xfId="0" applyNumberFormat="1" applyFont="1" applyFill="1" applyBorder="1"/>
    <xf numFmtId="168" fontId="31" fillId="15" borderId="48" xfId="0" applyNumberFormat="1" applyFont="1" applyFill="1" applyBorder="1"/>
    <xf numFmtId="0" fontId="25" fillId="0" borderId="58" xfId="0" applyFont="1" applyBorder="1" applyAlignment="1">
      <alignment horizontal="center" vertical="center"/>
    </xf>
    <xf numFmtId="0" fontId="25" fillId="0" borderId="57" xfId="0" applyFont="1" applyBorder="1" applyAlignment="1">
      <alignment horizontal="center" vertical="center"/>
    </xf>
    <xf numFmtId="0" fontId="25" fillId="0" borderId="56" xfId="0" applyFont="1" applyBorder="1" applyAlignment="1">
      <alignment horizontal="center" vertical="center"/>
    </xf>
    <xf numFmtId="0" fontId="28" fillId="17" borderId="46" xfId="0" applyFont="1" applyFill="1" applyBorder="1" applyAlignment="1">
      <alignment horizontal="center" vertical="center" wrapText="1"/>
    </xf>
    <xf numFmtId="0" fontId="28" fillId="17" borderId="47" xfId="0" applyFont="1" applyFill="1" applyBorder="1" applyAlignment="1">
      <alignment horizontal="center" vertical="center" wrapText="1"/>
    </xf>
    <xf numFmtId="0" fontId="28" fillId="17" borderId="48" xfId="0" applyFont="1" applyFill="1" applyBorder="1" applyAlignment="1">
      <alignment horizontal="center" vertical="center" wrapText="1"/>
    </xf>
    <xf numFmtId="0" fontId="28" fillId="18" borderId="7" xfId="0" applyFont="1" applyFill="1" applyBorder="1" applyAlignment="1">
      <alignment horizontal="center" vertical="center" wrapText="1"/>
    </xf>
    <xf numFmtId="0" fontId="28" fillId="18" borderId="58" xfId="0" applyFont="1" applyFill="1" applyBorder="1" applyAlignment="1">
      <alignment horizontal="center" vertical="center" wrapText="1"/>
    </xf>
    <xf numFmtId="0" fontId="31" fillId="0" borderId="43" xfId="0" applyFont="1" applyBorder="1" applyAlignment="1">
      <alignment horizontal="center" vertical="center"/>
    </xf>
    <xf numFmtId="168" fontId="31" fillId="3" borderId="59" xfId="0" applyNumberFormat="1" applyFont="1" applyFill="1" applyBorder="1" applyAlignment="1">
      <alignment horizontal="right" vertical="center"/>
    </xf>
    <xf numFmtId="170" fontId="31" fillId="19" borderId="49" xfId="0" applyNumberFormat="1" applyFont="1" applyFill="1" applyBorder="1"/>
    <xf numFmtId="170" fontId="31" fillId="19" borderId="59" xfId="0" applyNumberFormat="1" applyFont="1" applyFill="1" applyBorder="1"/>
    <xf numFmtId="168" fontId="31" fillId="15" borderId="55" xfId="0" applyNumberFormat="1" applyFont="1" applyFill="1" applyBorder="1"/>
    <xf numFmtId="0" fontId="31" fillId="0" borderId="10" xfId="0" applyFont="1" applyBorder="1" applyAlignment="1">
      <alignment horizontal="center" vertical="center"/>
    </xf>
    <xf numFmtId="168" fontId="31" fillId="3" borderId="60" xfId="0" applyNumberFormat="1" applyFont="1" applyFill="1" applyBorder="1" applyAlignment="1">
      <alignment horizontal="right" vertical="center"/>
    </xf>
    <xf numFmtId="170" fontId="31" fillId="19" borderId="25" xfId="0" applyNumberFormat="1" applyFont="1" applyFill="1" applyBorder="1"/>
    <xf numFmtId="170" fontId="31" fillId="19" borderId="60" xfId="0" applyNumberFormat="1" applyFont="1" applyFill="1" applyBorder="1"/>
    <xf numFmtId="0" fontId="31" fillId="0" borderId="44" xfId="0" applyFont="1" applyBorder="1" applyAlignment="1">
      <alignment horizontal="center" vertical="center"/>
    </xf>
    <xf numFmtId="168" fontId="31" fillId="3" borderId="61" xfId="0" applyNumberFormat="1" applyFont="1" applyFill="1" applyBorder="1" applyAlignment="1">
      <alignment horizontal="right" vertical="center"/>
    </xf>
    <xf numFmtId="170" fontId="31" fillId="19" borderId="23" xfId="0" applyNumberFormat="1" applyFont="1" applyFill="1" applyBorder="1"/>
    <xf numFmtId="170" fontId="31" fillId="19" borderId="61" xfId="0" applyNumberFormat="1" applyFont="1" applyFill="1" applyBorder="1"/>
    <xf numFmtId="0" fontId="28" fillId="30" borderId="71" xfId="13" applyFont="1" applyFill="1" applyBorder="1" applyAlignment="1">
      <alignment horizontal="center"/>
    </xf>
    <xf numFmtId="168" fontId="27" fillId="15" borderId="46" xfId="13" applyNumberFormat="1" applyFont="1" applyFill="1" applyBorder="1"/>
    <xf numFmtId="168" fontId="27" fillId="15" borderId="47" xfId="13" applyNumberFormat="1" applyFont="1" applyFill="1" applyBorder="1"/>
    <xf numFmtId="168" fontId="27" fillId="15" borderId="48" xfId="13" applyNumberFormat="1" applyFont="1" applyFill="1" applyBorder="1"/>
    <xf numFmtId="0" fontId="0" fillId="0" borderId="0" xfId="0" quotePrefix="1" applyFill="1" applyBorder="1"/>
    <xf numFmtId="0" fontId="26" fillId="0" borderId="0" xfId="11" applyFont="1" applyFill="1" applyBorder="1" applyAlignment="1">
      <alignment vertical="top"/>
    </xf>
    <xf numFmtId="0" fontId="31" fillId="0" borderId="0" xfId="0" applyFont="1" applyAlignment="1">
      <alignment horizontal="left" vertical="top" wrapText="1"/>
    </xf>
    <xf numFmtId="0" fontId="31" fillId="0" borderId="0" xfId="0" applyFont="1" applyBorder="1" applyAlignment="1">
      <alignment horizontal="left" vertical="top" wrapText="1"/>
    </xf>
    <xf numFmtId="0" fontId="31" fillId="0" borderId="17" xfId="0" applyFont="1" applyBorder="1" applyAlignment="1">
      <alignment horizontal="center" vertical="center"/>
    </xf>
    <xf numFmtId="0" fontId="31" fillId="0" borderId="15" xfId="0" applyFont="1" applyBorder="1" applyAlignment="1">
      <alignment horizontal="center" vertical="center"/>
    </xf>
    <xf numFmtId="0" fontId="31" fillId="0" borderId="0" xfId="0" applyFont="1" applyFill="1" applyBorder="1" applyAlignment="1">
      <alignment vertical="center"/>
    </xf>
    <xf numFmtId="0" fontId="30" fillId="0" borderId="0" xfId="0" applyFont="1" applyFill="1" applyBorder="1" applyAlignment="1">
      <alignment vertical="center" wrapText="1"/>
    </xf>
    <xf numFmtId="0" fontId="26" fillId="0" borderId="0" xfId="3" applyFont="1" applyFill="1" applyBorder="1" applyAlignment="1">
      <alignment horizontal="left" vertical="center" wrapText="1"/>
    </xf>
    <xf numFmtId="0" fontId="27" fillId="0" borderId="0" xfId="0" applyFont="1" applyFill="1" applyBorder="1" applyAlignment="1">
      <alignment wrapText="1"/>
    </xf>
    <xf numFmtId="0" fontId="28" fillId="0" borderId="0" xfId="3" applyFont="1" applyFill="1" applyBorder="1" applyAlignment="1">
      <alignment vertical="center" wrapText="1"/>
    </xf>
    <xf numFmtId="0" fontId="28" fillId="0" borderId="0" xfId="3" applyFont="1" applyFill="1" applyBorder="1" applyAlignment="1">
      <alignment vertical="center"/>
    </xf>
    <xf numFmtId="0" fontId="27" fillId="0" borderId="0" xfId="3" applyFont="1" applyFill="1" applyBorder="1" applyAlignment="1">
      <alignment horizontal="left" vertical="center" wrapText="1"/>
    </xf>
    <xf numFmtId="0" fontId="63" fillId="0" borderId="0" xfId="0" applyFont="1" applyAlignment="1">
      <alignment vertical="center"/>
    </xf>
    <xf numFmtId="0" fontId="27" fillId="0" borderId="0" xfId="3" applyFont="1" applyFill="1" applyBorder="1" applyAlignment="1">
      <alignment vertical="center" wrapText="1"/>
    </xf>
    <xf numFmtId="0" fontId="27" fillId="3" borderId="12" xfId="0" applyFont="1" applyFill="1" applyBorder="1" applyAlignment="1">
      <alignment vertical="center" wrapText="1"/>
    </xf>
    <xf numFmtId="0" fontId="27" fillId="0" borderId="14" xfId="0" applyFont="1" applyFill="1" applyBorder="1" applyAlignment="1">
      <alignment vertical="center" wrapText="1"/>
    </xf>
    <xf numFmtId="0" fontId="27" fillId="2" borderId="15" xfId="0" applyFont="1" applyFill="1" applyBorder="1" applyAlignment="1">
      <alignment vertical="center" wrapText="1"/>
    </xf>
    <xf numFmtId="0" fontId="27" fillId="0" borderId="38" xfId="0" applyFont="1" applyFill="1" applyBorder="1" applyAlignment="1">
      <alignment vertical="center" wrapText="1"/>
    </xf>
    <xf numFmtId="1" fontId="27" fillId="0" borderId="0" xfId="0" applyNumberFormat="1" applyFont="1" applyFill="1" applyBorder="1" applyAlignment="1">
      <alignment vertical="center"/>
    </xf>
    <xf numFmtId="0" fontId="27" fillId="5" borderId="15" xfId="0" applyFont="1" applyFill="1" applyBorder="1" applyAlignment="1">
      <alignment vertical="center" wrapText="1"/>
    </xf>
    <xf numFmtId="0" fontId="32" fillId="10" borderId="17" xfId="0" applyFont="1" applyFill="1" applyBorder="1" applyAlignment="1">
      <alignment vertical="center" wrapText="1"/>
    </xf>
    <xf numFmtId="0" fontId="27" fillId="0" borderId="19" xfId="0" applyFont="1" applyFill="1" applyBorder="1" applyAlignment="1">
      <alignment vertical="center" wrapText="1"/>
    </xf>
    <xf numFmtId="0" fontId="31" fillId="0" borderId="0" xfId="0" applyFont="1" applyAlignment="1">
      <alignment vertical="center"/>
    </xf>
    <xf numFmtId="0" fontId="26" fillId="0" borderId="0" xfId="3" applyFont="1" applyFill="1" applyBorder="1" applyAlignment="1">
      <alignment vertical="center"/>
    </xf>
    <xf numFmtId="0" fontId="31" fillId="0" borderId="0" xfId="0" applyFont="1" applyAlignment="1"/>
    <xf numFmtId="166" fontId="27" fillId="2" borderId="14" xfId="9" applyNumberFormat="1" applyFont="1" applyFill="1" applyBorder="1" applyAlignment="1"/>
    <xf numFmtId="166" fontId="27" fillId="0" borderId="0" xfId="9" applyNumberFormat="1" applyFont="1" applyFill="1" applyBorder="1" applyAlignment="1"/>
    <xf numFmtId="3" fontId="31" fillId="2" borderId="14" xfId="0" applyNumberFormat="1" applyFont="1" applyFill="1" applyBorder="1" applyAlignment="1"/>
    <xf numFmtId="0" fontId="30" fillId="0" borderId="0" xfId="0" applyFont="1" applyFill="1" applyBorder="1" applyAlignment="1"/>
    <xf numFmtId="0" fontId="27" fillId="0" borderId="37" xfId="8" applyFont="1" applyFill="1" applyBorder="1" applyAlignment="1"/>
    <xf numFmtId="166" fontId="27" fillId="2" borderId="38" xfId="9" applyNumberFormat="1" applyFont="1" applyFill="1" applyBorder="1" applyAlignment="1"/>
    <xf numFmtId="3" fontId="27" fillId="2" borderId="38" xfId="0" applyNumberFormat="1" applyFont="1" applyFill="1" applyBorder="1" applyAlignment="1"/>
    <xf numFmtId="0" fontId="27" fillId="0" borderId="15" xfId="8" applyFont="1" applyFill="1" applyBorder="1" applyAlignment="1"/>
    <xf numFmtId="0" fontId="31" fillId="3" borderId="16" xfId="8" applyFont="1" applyFill="1" applyBorder="1" applyAlignment="1" applyProtection="1">
      <alignment horizontal="right"/>
      <protection locked="0"/>
    </xf>
    <xf numFmtId="166" fontId="27" fillId="2" borderId="38" xfId="0" applyNumberFormat="1" applyFont="1" applyFill="1" applyBorder="1" applyAlignment="1"/>
    <xf numFmtId="166" fontId="27" fillId="0" borderId="0" xfId="0" applyNumberFormat="1" applyFont="1" applyFill="1" applyBorder="1" applyAlignment="1"/>
    <xf numFmtId="0" fontId="34" fillId="0" borderId="15" xfId="0" applyFont="1" applyFill="1" applyBorder="1" applyAlignment="1">
      <alignment wrapText="1"/>
    </xf>
    <xf numFmtId="166" fontId="35" fillId="2" borderId="38" xfId="0" applyNumberFormat="1" applyFont="1" applyFill="1" applyBorder="1" applyAlignment="1"/>
    <xf numFmtId="166" fontId="35" fillId="0" borderId="0" xfId="0" applyNumberFormat="1" applyFont="1" applyFill="1" applyBorder="1" applyAlignment="1"/>
    <xf numFmtId="164" fontId="27" fillId="3" borderId="16" xfId="8" applyNumberFormat="1" applyFont="1" applyFill="1" applyBorder="1" applyAlignment="1" applyProtection="1">
      <alignment horizontal="right"/>
      <protection locked="0"/>
    </xf>
    <xf numFmtId="0" fontId="31" fillId="0" borderId="15" xfId="0" applyFont="1" applyFill="1" applyBorder="1" applyAlignment="1">
      <alignment wrapText="1"/>
    </xf>
    <xf numFmtId="0" fontId="27" fillId="0" borderId="36" xfId="0" applyFont="1" applyFill="1" applyBorder="1" applyAlignment="1"/>
    <xf numFmtId="3" fontId="27" fillId="2" borderId="34" xfId="0" applyNumberFormat="1" applyFont="1" applyFill="1" applyBorder="1" applyAlignment="1"/>
    <xf numFmtId="3" fontId="27" fillId="2" borderId="19" xfId="0" applyNumberFormat="1" applyFont="1" applyFill="1" applyBorder="1" applyAlignment="1"/>
    <xf numFmtId="43" fontId="30" fillId="0" borderId="0" xfId="0" applyNumberFormat="1" applyFont="1" applyFill="1" applyBorder="1" applyAlignment="1"/>
    <xf numFmtId="167" fontId="31" fillId="0" borderId="0" xfId="10" applyNumberFormat="1" applyFont="1" applyFill="1" applyBorder="1" applyAlignment="1"/>
    <xf numFmtId="1" fontId="27" fillId="0" borderId="0" xfId="0" applyNumberFormat="1" applyFont="1" applyFill="1" applyBorder="1" applyAlignment="1"/>
    <xf numFmtId="3" fontId="31" fillId="3" borderId="16" xfId="8" applyNumberFormat="1" applyFont="1" applyFill="1" applyBorder="1" applyAlignment="1" applyProtection="1">
      <alignment horizontal="right"/>
      <protection locked="0"/>
    </xf>
    <xf numFmtId="43" fontId="31" fillId="0" borderId="0" xfId="0" applyNumberFormat="1" applyFont="1" applyFill="1" applyBorder="1" applyAlignment="1"/>
    <xf numFmtId="0" fontId="27" fillId="0" borderId="15" xfId="8" applyFont="1" applyFill="1" applyBorder="1" applyAlignment="1">
      <alignment wrapText="1"/>
    </xf>
    <xf numFmtId="164" fontId="31" fillId="3" borderId="16" xfId="8" applyNumberFormat="1" applyFont="1" applyFill="1" applyBorder="1" applyAlignment="1" applyProtection="1">
      <alignment horizontal="right"/>
      <protection locked="0"/>
    </xf>
    <xf numFmtId="0" fontId="27" fillId="0" borderId="17" xfId="8" applyFont="1" applyFill="1" applyBorder="1" applyAlignment="1"/>
    <xf numFmtId="0" fontId="27" fillId="0" borderId="15" xfId="3" applyFont="1" applyFill="1" applyBorder="1" applyAlignment="1">
      <alignment wrapText="1"/>
    </xf>
    <xf numFmtId="0" fontId="27" fillId="0" borderId="36" xfId="0" applyFont="1" applyFill="1" applyBorder="1" applyAlignment="1">
      <alignment wrapText="1"/>
    </xf>
    <xf numFmtId="0" fontId="27" fillId="2" borderId="34" xfId="0" applyFont="1" applyFill="1" applyBorder="1" applyAlignment="1">
      <alignment horizontal="right" wrapText="1"/>
    </xf>
    <xf numFmtId="0" fontId="34" fillId="0" borderId="17" xfId="0" applyFont="1" applyBorder="1" applyAlignment="1"/>
    <xf numFmtId="166" fontId="35" fillId="2" borderId="19" xfId="0" applyNumberFormat="1" applyFont="1" applyFill="1" applyBorder="1" applyAlignment="1"/>
    <xf numFmtId="0" fontId="27" fillId="0" borderId="15" xfId="0" applyFont="1" applyFill="1" applyBorder="1" applyAlignment="1">
      <alignment wrapText="1"/>
    </xf>
    <xf numFmtId="0" fontId="27" fillId="2" borderId="16" xfId="0" applyFont="1" applyFill="1" applyBorder="1" applyAlignment="1">
      <alignment horizontal="right" wrapText="1"/>
    </xf>
    <xf numFmtId="0" fontId="31" fillId="0" borderId="0" xfId="0" applyFont="1" applyAlignment="1">
      <alignment wrapText="1"/>
    </xf>
    <xf numFmtId="0" fontId="27" fillId="0" borderId="3" xfId="0" applyFont="1" applyFill="1" applyBorder="1" applyAlignment="1"/>
    <xf numFmtId="9" fontId="31" fillId="2" borderId="16" xfId="9" applyFont="1" applyFill="1" applyBorder="1" applyAlignment="1"/>
    <xf numFmtId="0" fontId="31" fillId="0" borderId="8" xfId="0" applyFont="1" applyFill="1" applyBorder="1" applyAlignment="1"/>
    <xf numFmtId="0" fontId="27" fillId="0" borderId="12" xfId="0" applyFont="1" applyFill="1" applyBorder="1" applyAlignment="1">
      <alignment wrapText="1"/>
    </xf>
    <xf numFmtId="2" fontId="31" fillId="2" borderId="14" xfId="0" applyNumberFormat="1" applyFont="1" applyFill="1" applyBorder="1" applyAlignment="1"/>
    <xf numFmtId="2" fontId="31" fillId="0" borderId="0" xfId="0" applyNumberFormat="1" applyFont="1" applyFill="1" applyBorder="1" applyAlignment="1"/>
    <xf numFmtId="0" fontId="25" fillId="0" borderId="0" xfId="0" applyFont="1" applyAlignment="1"/>
    <xf numFmtId="0" fontId="31" fillId="0" borderId="37" xfId="0" applyFont="1" applyFill="1" applyBorder="1" applyAlignment="1"/>
    <xf numFmtId="164" fontId="31" fillId="2" borderId="38" xfId="0" applyNumberFormat="1" applyFont="1" applyFill="1" applyBorder="1" applyAlignment="1"/>
    <xf numFmtId="164" fontId="31" fillId="0" borderId="0" xfId="0" applyNumberFormat="1" applyFont="1" applyFill="1" applyBorder="1" applyAlignment="1"/>
    <xf numFmtId="167" fontId="31" fillId="2" borderId="38" xfId="10" applyNumberFormat="1" applyFont="1" applyFill="1" applyBorder="1" applyAlignment="1"/>
    <xf numFmtId="0" fontId="31" fillId="0" borderId="67" xfId="0" applyFont="1" applyBorder="1" applyAlignment="1">
      <alignment wrapText="1"/>
    </xf>
    <xf numFmtId="167" fontId="27" fillId="2" borderId="45" xfId="10" applyNumberFormat="1" applyFont="1" applyFill="1" applyBorder="1" applyAlignment="1"/>
    <xf numFmtId="0" fontId="27" fillId="0" borderId="12" xfId="8" applyFont="1" applyFill="1" applyBorder="1" applyAlignment="1"/>
    <xf numFmtId="0" fontId="31" fillId="3" borderId="14" xfId="8" applyFont="1" applyFill="1" applyBorder="1" applyAlignment="1" applyProtection="1">
      <protection locked="0"/>
    </xf>
    <xf numFmtId="0" fontId="25" fillId="0" borderId="0" xfId="0" applyFont="1" applyAlignment="1">
      <alignment wrapText="1"/>
    </xf>
    <xf numFmtId="167" fontId="27" fillId="0" borderId="0" xfId="10" applyNumberFormat="1" applyFont="1" applyFill="1" applyBorder="1" applyAlignment="1"/>
    <xf numFmtId="165" fontId="31" fillId="3" borderId="16" xfId="8" applyNumberFormat="1" applyFont="1" applyFill="1" applyBorder="1" applyAlignment="1" applyProtection="1">
      <protection locked="0"/>
    </xf>
    <xf numFmtId="0" fontId="31" fillId="0" borderId="12" xfId="0" applyFont="1" applyBorder="1" applyAlignment="1">
      <alignment wrapText="1"/>
    </xf>
    <xf numFmtId="167" fontId="27" fillId="2" borderId="14" xfId="10" applyNumberFormat="1" applyFont="1" applyFill="1" applyBorder="1" applyAlignment="1"/>
    <xf numFmtId="167" fontId="30" fillId="0" borderId="0" xfId="10" applyNumberFormat="1" applyFont="1" applyFill="1" applyBorder="1" applyAlignment="1"/>
    <xf numFmtId="9" fontId="31" fillId="3" borderId="19" xfId="9" applyFont="1" applyFill="1" applyBorder="1" applyAlignment="1" applyProtection="1">
      <protection locked="0"/>
    </xf>
    <xf numFmtId="0" fontId="31" fillId="0" borderId="17" xfId="0" applyFont="1" applyBorder="1" applyAlignment="1">
      <alignment wrapText="1"/>
    </xf>
    <xf numFmtId="167" fontId="27" fillId="2" borderId="19" xfId="10" applyNumberFormat="1" applyFont="1" applyFill="1" applyBorder="1" applyAlignment="1"/>
    <xf numFmtId="43" fontId="27" fillId="0" borderId="0" xfId="0" applyNumberFormat="1" applyFont="1" applyFill="1" applyBorder="1" applyAlignment="1"/>
    <xf numFmtId="0" fontId="27" fillId="0" borderId="0" xfId="0" applyFont="1" applyAlignment="1"/>
    <xf numFmtId="9" fontId="31" fillId="2" borderId="19" xfId="9" applyNumberFormat="1" applyFont="1" applyFill="1" applyBorder="1" applyAlignment="1"/>
    <xf numFmtId="167" fontId="27" fillId="0" borderId="0" xfId="0" applyNumberFormat="1" applyFont="1" applyFill="1" applyBorder="1" applyAlignment="1"/>
    <xf numFmtId="0" fontId="31" fillId="3" borderId="19" xfId="8" applyFont="1" applyFill="1" applyBorder="1" applyAlignment="1" applyProtection="1">
      <protection locked="0"/>
    </xf>
    <xf numFmtId="0" fontId="31" fillId="0" borderId="37" xfId="0" applyFont="1" applyFill="1" applyBorder="1" applyAlignment="1">
      <alignment wrapText="1"/>
    </xf>
    <xf numFmtId="9" fontId="31" fillId="2" borderId="35" xfId="9" applyFont="1" applyFill="1" applyBorder="1" applyAlignment="1">
      <alignment wrapText="1"/>
    </xf>
    <xf numFmtId="0" fontId="31" fillId="0" borderId="17" xfId="0" applyFont="1" applyFill="1" applyBorder="1" applyAlignment="1">
      <alignment wrapText="1"/>
    </xf>
    <xf numFmtId="177" fontId="31" fillId="2" borderId="19" xfId="7" applyNumberFormat="1" applyFont="1" applyFill="1" applyBorder="1" applyAlignment="1">
      <alignment wrapText="1"/>
    </xf>
    <xf numFmtId="0" fontId="27" fillId="9" borderId="35" xfId="0" applyFont="1" applyFill="1" applyBorder="1" applyAlignment="1">
      <alignment wrapText="1"/>
    </xf>
    <xf numFmtId="0" fontId="27" fillId="0" borderId="30" xfId="0" applyFont="1" applyFill="1" applyBorder="1" applyAlignment="1">
      <alignment wrapText="1"/>
    </xf>
    <xf numFmtId="0" fontId="27" fillId="0" borderId="31" xfId="0" applyFont="1" applyFill="1" applyBorder="1" applyAlignment="1">
      <alignment wrapText="1"/>
    </xf>
    <xf numFmtId="0" fontId="27" fillId="2" borderId="29" xfId="0" applyFont="1" applyFill="1" applyBorder="1"/>
    <xf numFmtId="164" fontId="31" fillId="3" borderId="29" xfId="0" applyNumberFormat="1" applyFont="1" applyFill="1" applyBorder="1" applyProtection="1">
      <protection locked="0"/>
    </xf>
    <xf numFmtId="164" fontId="31" fillId="2" borderId="29" xfId="0" applyNumberFormat="1" applyFont="1" applyFill="1" applyBorder="1"/>
    <xf numFmtId="0" fontId="31" fillId="3" borderId="29" xfId="0" applyFont="1" applyFill="1" applyBorder="1" applyAlignment="1" applyProtection="1">
      <alignment horizontal="right"/>
      <protection locked="0"/>
    </xf>
    <xf numFmtId="0" fontId="31" fillId="2" borderId="29" xfId="0" applyNumberFormat="1" applyFont="1" applyFill="1" applyBorder="1"/>
    <xf numFmtId="168" fontId="31" fillId="2" borderId="29" xfId="0" applyNumberFormat="1" applyFont="1" applyFill="1" applyBorder="1"/>
    <xf numFmtId="3" fontId="31" fillId="3" borderId="33" xfId="0" applyNumberFormat="1" applyFont="1" applyFill="1" applyBorder="1" applyProtection="1">
      <protection locked="0"/>
    </xf>
    <xf numFmtId="3" fontId="31" fillId="2" borderId="11" xfId="0" applyNumberFormat="1" applyFont="1" applyFill="1" applyBorder="1"/>
    <xf numFmtId="3" fontId="31" fillId="2" borderId="31" xfId="0" applyNumberFormat="1" applyFont="1" applyFill="1" applyBorder="1"/>
    <xf numFmtId="0" fontId="27" fillId="2" borderId="1" xfId="0" applyFont="1" applyFill="1" applyBorder="1"/>
    <xf numFmtId="164" fontId="31" fillId="3" borderId="1" xfId="0" applyNumberFormat="1" applyFont="1" applyFill="1" applyBorder="1" applyProtection="1">
      <protection locked="0"/>
    </xf>
    <xf numFmtId="164" fontId="31" fillId="2" borderId="1" xfId="0" applyNumberFormat="1" applyFont="1" applyFill="1" applyBorder="1"/>
    <xf numFmtId="0" fontId="31" fillId="3" borderId="1" xfId="0" applyFont="1" applyFill="1" applyBorder="1" applyAlignment="1" applyProtection="1">
      <alignment horizontal="right"/>
      <protection locked="0"/>
    </xf>
    <xf numFmtId="0" fontId="31" fillId="2" borderId="1" xfId="0" applyNumberFormat="1" applyFont="1" applyFill="1" applyBorder="1"/>
    <xf numFmtId="168" fontId="31" fillId="2" borderId="1" xfId="0" applyNumberFormat="1" applyFont="1" applyFill="1" applyBorder="1"/>
    <xf numFmtId="3" fontId="31" fillId="3" borderId="38" xfId="0" applyNumberFormat="1" applyFont="1" applyFill="1" applyBorder="1" applyProtection="1">
      <protection locked="0"/>
    </xf>
    <xf numFmtId="3" fontId="31" fillId="2" borderId="22" xfId="0" applyNumberFormat="1" applyFont="1" applyFill="1" applyBorder="1"/>
    <xf numFmtId="3" fontId="31" fillId="2" borderId="18" xfId="0" applyNumberFormat="1" applyFont="1" applyFill="1" applyBorder="1"/>
    <xf numFmtId="3" fontId="31" fillId="2" borderId="32" xfId="0" applyNumberFormat="1" applyFont="1" applyFill="1" applyBorder="1"/>
    <xf numFmtId="0" fontId="29" fillId="0" borderId="0" xfId="0" applyFont="1" applyFill="1" applyBorder="1" applyAlignment="1">
      <alignment vertical="center"/>
    </xf>
    <xf numFmtId="0" fontId="31" fillId="0" borderId="15" xfId="0" applyFont="1" applyBorder="1" applyAlignment="1">
      <alignment horizontal="center" vertical="center"/>
    </xf>
    <xf numFmtId="0" fontId="27" fillId="9" borderId="39" xfId="0" applyFont="1" applyFill="1" applyBorder="1" applyAlignment="1">
      <alignment wrapText="1"/>
    </xf>
    <xf numFmtId="4" fontId="31" fillId="3" borderId="1" xfId="0" applyNumberFormat="1" applyFont="1" applyFill="1" applyBorder="1" applyProtection="1">
      <protection locked="0"/>
    </xf>
    <xf numFmtId="4" fontId="31" fillId="3" borderId="29" xfId="0" applyNumberFormat="1" applyFont="1" applyFill="1" applyBorder="1" applyProtection="1">
      <protection locked="0"/>
    </xf>
    <xf numFmtId="0" fontId="31" fillId="0" borderId="0" xfId="0" applyFont="1" applyFill="1" applyBorder="1" applyAlignment="1" applyProtection="1">
      <alignment vertical="center"/>
    </xf>
    <xf numFmtId="0" fontId="25" fillId="0" borderId="0" xfId="0" applyFont="1" applyFill="1" applyBorder="1" applyAlignment="1" applyProtection="1">
      <alignment vertical="center"/>
    </xf>
    <xf numFmtId="0" fontId="63" fillId="0" borderId="0" xfId="0" applyFont="1" applyFill="1" applyBorder="1" applyProtection="1"/>
    <xf numFmtId="0" fontId="28" fillId="0" borderId="0" xfId="0" applyFont="1" applyFill="1" applyBorder="1" applyAlignment="1" applyProtection="1">
      <alignment vertical="center"/>
    </xf>
    <xf numFmtId="0" fontId="63" fillId="0" borderId="0" xfId="0" applyFont="1" applyFill="1" applyBorder="1" applyAlignment="1" applyProtection="1">
      <alignment vertical="center"/>
    </xf>
    <xf numFmtId="0" fontId="26" fillId="0" borderId="0" xfId="3" applyFont="1" applyFill="1" applyBorder="1" applyAlignment="1" applyProtection="1">
      <alignment horizontal="left" vertical="top" wrapText="1"/>
    </xf>
    <xf numFmtId="0" fontId="26" fillId="0" borderId="0" xfId="3" applyFont="1" applyFill="1" applyBorder="1" applyAlignment="1" applyProtection="1">
      <alignment vertical="top" wrapText="1"/>
    </xf>
    <xf numFmtId="0" fontId="30" fillId="0" borderId="0" xfId="0" applyFont="1" applyFill="1" applyBorder="1" applyAlignment="1" applyProtection="1">
      <alignment vertical="top" wrapText="1"/>
    </xf>
    <xf numFmtId="0" fontId="16" fillId="0" borderId="0" xfId="0" applyFont="1" applyFill="1" applyBorder="1" applyAlignment="1" applyProtection="1">
      <alignment vertical="top" wrapText="1"/>
    </xf>
    <xf numFmtId="0" fontId="10" fillId="0" borderId="0" xfId="0" applyFont="1" applyFill="1" applyBorder="1" applyProtection="1"/>
    <xf numFmtId="1" fontId="10" fillId="0" borderId="0" xfId="0" applyNumberFormat="1" applyFont="1" applyFill="1" applyBorder="1" applyProtection="1"/>
    <xf numFmtId="0" fontId="12" fillId="0" borderId="0" xfId="0" applyFont="1" applyProtection="1"/>
    <xf numFmtId="0" fontId="61" fillId="0" borderId="0" xfId="3" applyFont="1" applyFill="1" applyBorder="1" applyProtection="1"/>
    <xf numFmtId="0" fontId="7" fillId="0" borderId="35" xfId="0" applyFont="1" applyBorder="1" applyAlignment="1">
      <alignment vertical="center"/>
    </xf>
    <xf numFmtId="0" fontId="7" fillId="3" borderId="1" xfId="0" applyFont="1" applyFill="1" applyBorder="1" applyProtection="1">
      <protection locked="0"/>
    </xf>
    <xf numFmtId="0" fontId="7" fillId="3" borderId="29" xfId="0" applyFont="1" applyFill="1" applyBorder="1" applyProtection="1">
      <protection locked="0"/>
    </xf>
    <xf numFmtId="0" fontId="60" fillId="0" borderId="0" xfId="3" applyFont="1" applyFill="1" applyBorder="1" applyAlignment="1">
      <alignment vertical="center" wrapText="1"/>
    </xf>
    <xf numFmtId="2" fontId="27" fillId="0" borderId="0" xfId="0" applyNumberFormat="1" applyFont="1" applyFill="1" applyBorder="1" applyProtection="1"/>
    <xf numFmtId="3" fontId="31" fillId="2" borderId="35" xfId="0" applyNumberFormat="1" applyFont="1" applyFill="1" applyBorder="1" applyAlignment="1"/>
    <xf numFmtId="3" fontId="27" fillId="2" borderId="14" xfId="0" applyNumberFormat="1" applyFont="1" applyFill="1" applyBorder="1" applyAlignment="1">
      <alignment vertical="center"/>
    </xf>
    <xf numFmtId="0" fontId="25" fillId="0" borderId="1" xfId="0" applyFont="1" applyFill="1" applyBorder="1" applyAlignment="1">
      <alignment horizontal="center"/>
    </xf>
    <xf numFmtId="0" fontId="31" fillId="0" borderId="15" xfId="0" applyFont="1" applyBorder="1" applyAlignment="1">
      <alignment horizontal="center" vertical="center"/>
    </xf>
    <xf numFmtId="169" fontId="31" fillId="0" borderId="31" xfId="0" applyNumberFormat="1" applyFont="1" applyBorder="1" applyAlignment="1">
      <alignment horizontal="center" vertical="center"/>
    </xf>
    <xf numFmtId="169" fontId="31" fillId="0" borderId="35" xfId="0" applyNumberFormat="1" applyFont="1" applyBorder="1" applyAlignment="1">
      <alignment horizontal="center" vertical="center"/>
    </xf>
    <xf numFmtId="0" fontId="25" fillId="0" borderId="31" xfId="0" applyFont="1" applyBorder="1" applyAlignment="1">
      <alignment horizontal="center"/>
    </xf>
    <xf numFmtId="0" fontId="25" fillId="0" borderId="35" xfId="0" applyFont="1" applyBorder="1" applyAlignment="1">
      <alignment horizontal="center"/>
    </xf>
    <xf numFmtId="0" fontId="25" fillId="0" borderId="0" xfId="0" applyFont="1" applyFill="1" applyBorder="1" applyAlignment="1">
      <alignment horizontal="center"/>
    </xf>
    <xf numFmtId="0" fontId="27" fillId="0" borderId="11" xfId="8" applyFont="1" applyFill="1" applyBorder="1" applyAlignment="1">
      <alignment vertical="center"/>
    </xf>
    <xf numFmtId="0" fontId="27" fillId="0" borderId="21" xfId="8" applyFont="1" applyFill="1" applyBorder="1" applyAlignment="1">
      <alignment vertical="center"/>
    </xf>
    <xf numFmtId="0" fontId="27" fillId="0" borderId="23" xfId="8" applyFont="1" applyFill="1" applyBorder="1" applyAlignment="1">
      <alignment vertical="center"/>
    </xf>
    <xf numFmtId="0" fontId="27" fillId="0" borderId="24" xfId="8" applyFont="1" applyFill="1" applyBorder="1" applyAlignment="1">
      <alignment vertical="center"/>
    </xf>
    <xf numFmtId="0" fontId="27" fillId="0" borderId="22" xfId="8" applyFont="1" applyFill="1" applyBorder="1" applyAlignment="1">
      <alignment vertical="center"/>
    </xf>
    <xf numFmtId="0" fontId="27" fillId="0" borderId="25" xfId="8" applyFont="1" applyFill="1" applyBorder="1" applyAlignment="1">
      <alignment vertical="center"/>
    </xf>
    <xf numFmtId="0" fontId="27" fillId="0" borderId="20" xfId="8" applyFont="1" applyFill="1" applyBorder="1" applyAlignment="1">
      <alignment vertical="center"/>
    </xf>
    <xf numFmtId="0" fontId="5" fillId="3" borderId="29" xfId="0" applyFont="1" applyFill="1" applyBorder="1" applyAlignment="1" applyProtection="1">
      <alignment horizontal="right"/>
      <protection locked="0"/>
    </xf>
    <xf numFmtId="0" fontId="5" fillId="0" borderId="15" xfId="0" applyFont="1" applyFill="1" applyBorder="1" applyAlignment="1">
      <alignment vertical="center"/>
    </xf>
    <xf numFmtId="0" fontId="25" fillId="11" borderId="55" xfId="0" applyFont="1" applyFill="1" applyBorder="1" applyAlignment="1">
      <alignment vertical="center"/>
    </xf>
    <xf numFmtId="0" fontId="25" fillId="11" borderId="56" xfId="0" applyFont="1" applyFill="1" applyBorder="1" applyAlignment="1">
      <alignment vertical="center"/>
    </xf>
    <xf numFmtId="0" fontId="25" fillId="11" borderId="57" xfId="0" applyFont="1" applyFill="1" applyBorder="1" applyAlignment="1">
      <alignment vertical="center"/>
    </xf>
    <xf numFmtId="0" fontId="25" fillId="0" borderId="31" xfId="0" applyFont="1" applyBorder="1" applyAlignment="1">
      <alignment horizontal="centerContinuous"/>
    </xf>
    <xf numFmtId="0" fontId="25" fillId="0" borderId="35" xfId="0" applyFont="1" applyBorder="1" applyAlignment="1">
      <alignment horizontal="centerContinuous"/>
    </xf>
    <xf numFmtId="0" fontId="31" fillId="16" borderId="25" xfId="0" applyFont="1" applyFill="1" applyBorder="1" applyAlignment="1"/>
    <xf numFmtId="0" fontId="31" fillId="16" borderId="20" xfId="0" applyFont="1" applyFill="1" applyBorder="1" applyAlignment="1"/>
    <xf numFmtId="0" fontId="31" fillId="16" borderId="62" xfId="0" applyFont="1" applyFill="1" applyBorder="1" applyAlignment="1"/>
    <xf numFmtId="3" fontId="31" fillId="0" borderId="1" xfId="0" applyNumberFormat="1" applyFont="1" applyFill="1" applyBorder="1" applyAlignment="1">
      <alignment horizontal="centerContinuous"/>
    </xf>
    <xf numFmtId="3" fontId="31" fillId="0" borderId="38" xfId="0" applyNumberFormat="1" applyFont="1" applyFill="1" applyBorder="1" applyAlignment="1">
      <alignment horizontal="centerContinuous"/>
    </xf>
    <xf numFmtId="3" fontId="27" fillId="20" borderId="29" xfId="10" applyNumberFormat="1" applyFont="1" applyFill="1" applyBorder="1" applyAlignment="1">
      <alignment horizontal="centerContinuous"/>
    </xf>
    <xf numFmtId="3" fontId="27" fillId="20" borderId="33" xfId="10" applyNumberFormat="1" applyFont="1" applyFill="1" applyBorder="1" applyAlignment="1">
      <alignment horizontal="centerContinuous"/>
    </xf>
    <xf numFmtId="168" fontId="31" fillId="3" borderId="31" xfId="0" applyNumberFormat="1" applyFont="1" applyFill="1" applyBorder="1" applyAlignment="1">
      <alignment horizontal="centerContinuous"/>
    </xf>
    <xf numFmtId="168" fontId="31" fillId="3" borderId="35" xfId="0" applyNumberFormat="1" applyFont="1" applyFill="1" applyBorder="1" applyAlignment="1">
      <alignment horizontal="centerContinuous"/>
    </xf>
    <xf numFmtId="171" fontId="31" fillId="21" borderId="1" xfId="0" applyNumberFormat="1" applyFont="1" applyFill="1" applyBorder="1" applyAlignment="1">
      <alignment horizontal="centerContinuous"/>
    </xf>
    <xf numFmtId="171" fontId="31" fillId="21" borderId="38" xfId="0" applyNumberFormat="1" applyFont="1" applyFill="1" applyBorder="1" applyAlignment="1">
      <alignment horizontal="centerContinuous"/>
    </xf>
    <xf numFmtId="164" fontId="31" fillId="3" borderId="1" xfId="0" applyNumberFormat="1" applyFont="1" applyFill="1" applyBorder="1" applyAlignment="1">
      <alignment horizontal="centerContinuous"/>
    </xf>
    <xf numFmtId="164" fontId="31" fillId="3" borderId="38" xfId="0" applyNumberFormat="1" applyFont="1" applyFill="1" applyBorder="1" applyAlignment="1">
      <alignment horizontal="centerContinuous"/>
    </xf>
    <xf numFmtId="168" fontId="31" fillId="21" borderId="18" xfId="0" applyNumberFormat="1" applyFont="1" applyFill="1" applyBorder="1" applyAlignment="1">
      <alignment horizontal="centerContinuous"/>
    </xf>
    <xf numFmtId="168" fontId="31" fillId="21" borderId="19" xfId="0" applyNumberFormat="1" applyFont="1" applyFill="1" applyBorder="1" applyAlignment="1">
      <alignment horizontal="centerContinuous"/>
    </xf>
    <xf numFmtId="0" fontId="25" fillId="17" borderId="12" xfId="0" applyFont="1" applyFill="1" applyBorder="1" applyAlignment="1">
      <alignment horizontal="centerContinuous"/>
    </xf>
    <xf numFmtId="0" fontId="31" fillId="15" borderId="17" xfId="0" applyFont="1" applyFill="1" applyBorder="1" applyAlignment="1">
      <alignment horizontal="centerContinuous"/>
    </xf>
    <xf numFmtId="0" fontId="31" fillId="15" borderId="18" xfId="0" applyFont="1" applyFill="1" applyBorder="1" applyAlignment="1">
      <alignment horizontal="centerContinuous"/>
    </xf>
    <xf numFmtId="0" fontId="31" fillId="15" borderId="19" xfId="0" applyFont="1" applyFill="1" applyBorder="1" applyAlignment="1">
      <alignment horizontal="centerContinuous"/>
    </xf>
    <xf numFmtId="0" fontId="31" fillId="15" borderId="46" xfId="0" applyFont="1" applyFill="1" applyBorder="1" applyAlignment="1">
      <alignment horizontal="centerContinuous"/>
    </xf>
    <xf numFmtId="0" fontId="31" fillId="15" borderId="47" xfId="0" applyFont="1" applyFill="1" applyBorder="1" applyAlignment="1">
      <alignment horizontal="centerContinuous"/>
    </xf>
    <xf numFmtId="0" fontId="31" fillId="15" borderId="48" xfId="0" applyFont="1" applyFill="1" applyBorder="1" applyAlignment="1">
      <alignment horizontal="centerContinuous"/>
    </xf>
    <xf numFmtId="0" fontId="25" fillId="15" borderId="43" xfId="0" applyFont="1" applyFill="1" applyBorder="1" applyAlignment="1"/>
    <xf numFmtId="0" fontId="25" fillId="15" borderId="50" xfId="0" applyFont="1" applyFill="1" applyBorder="1" applyAlignment="1"/>
    <xf numFmtId="0" fontId="25" fillId="15" borderId="51" xfId="0" applyFont="1" applyFill="1" applyBorder="1" applyAlignment="1"/>
    <xf numFmtId="0" fontId="25" fillId="23" borderId="2" xfId="0" applyFont="1" applyFill="1" applyBorder="1" applyAlignment="1"/>
    <xf numFmtId="0" fontId="25" fillId="23" borderId="3" xfId="0" applyFont="1" applyFill="1" applyBorder="1" applyAlignment="1"/>
    <xf numFmtId="0" fontId="25" fillId="23" borderId="4" xfId="0" applyFont="1" applyFill="1" applyBorder="1" applyAlignment="1"/>
    <xf numFmtId="0" fontId="31" fillId="0" borderId="0" xfId="0" applyFont="1" applyBorder="1" applyAlignment="1" applyProtection="1">
      <alignment vertical="top" wrapText="1"/>
    </xf>
    <xf numFmtId="0" fontId="31" fillId="0" borderId="6" xfId="0" applyFont="1" applyBorder="1" applyAlignment="1" applyProtection="1">
      <alignment vertical="top" wrapText="1"/>
    </xf>
    <xf numFmtId="0" fontId="31" fillId="0" borderId="5" xfId="0" applyFont="1" applyBorder="1" applyAlignment="1" applyProtection="1">
      <alignment vertical="top"/>
    </xf>
    <xf numFmtId="0" fontId="31" fillId="0" borderId="0" xfId="0" applyFont="1" applyBorder="1" applyAlignment="1" applyProtection="1">
      <alignment vertical="top"/>
    </xf>
    <xf numFmtId="0" fontId="31" fillId="0" borderId="6" xfId="0" applyFont="1" applyBorder="1" applyAlignment="1" applyProtection="1">
      <alignment vertical="top"/>
    </xf>
    <xf numFmtId="0" fontId="5" fillId="0" borderId="5" xfId="0" applyFont="1" applyBorder="1" applyAlignment="1" applyProtection="1">
      <alignment vertical="top"/>
    </xf>
    <xf numFmtId="168" fontId="31" fillId="0" borderId="0" xfId="0" applyNumberFormat="1" applyFont="1" applyFill="1" applyBorder="1" applyAlignment="1"/>
    <xf numFmtId="172" fontId="31" fillId="0" borderId="0" xfId="0" applyNumberFormat="1" applyFont="1" applyFill="1" applyBorder="1" applyAlignment="1"/>
    <xf numFmtId="3" fontId="23" fillId="0" borderId="1" xfId="0" applyNumberFormat="1" applyFont="1" applyFill="1" applyBorder="1" applyAlignment="1">
      <alignment horizontal="centerContinuous"/>
    </xf>
    <xf numFmtId="3" fontId="23" fillId="0" borderId="38" xfId="0" applyNumberFormat="1" applyFont="1" applyFill="1" applyBorder="1" applyAlignment="1">
      <alignment horizontal="centerContinuous"/>
    </xf>
    <xf numFmtId="0" fontId="25" fillId="14" borderId="49" xfId="0" applyFont="1" applyFill="1" applyBorder="1" applyAlignment="1">
      <alignment horizontal="centerContinuous"/>
    </xf>
    <xf numFmtId="0" fontId="25" fillId="14" borderId="50" xfId="0" applyFont="1" applyFill="1" applyBorder="1" applyAlignment="1">
      <alignment horizontal="centerContinuous"/>
    </xf>
    <xf numFmtId="0" fontId="25" fillId="14" borderId="51" xfId="0" applyFont="1" applyFill="1" applyBorder="1" applyAlignment="1">
      <alignment horizontal="centerContinuous"/>
    </xf>
    <xf numFmtId="0" fontId="25" fillId="3" borderId="55" xfId="13" applyFont="1" applyFill="1" applyBorder="1" applyAlignment="1">
      <alignment horizontal="centerContinuous" vertical="center" wrapText="1"/>
    </xf>
    <xf numFmtId="0" fontId="25" fillId="3" borderId="57" xfId="13" applyFont="1" applyFill="1" applyBorder="1" applyAlignment="1">
      <alignment horizontal="centerContinuous" vertical="center" wrapText="1"/>
    </xf>
    <xf numFmtId="0" fontId="27" fillId="15" borderId="0" xfId="11" applyFont="1" applyFill="1" applyBorder="1" applyAlignment="1">
      <alignment vertical="top"/>
    </xf>
    <xf numFmtId="0" fontId="31" fillId="0" borderId="5" xfId="0" applyFont="1" applyFill="1" applyBorder="1" applyAlignment="1">
      <alignment vertical="top"/>
    </xf>
    <xf numFmtId="0" fontId="31" fillId="0" borderId="0" xfId="0" applyFont="1" applyBorder="1" applyAlignment="1">
      <alignment vertical="top" wrapText="1"/>
    </xf>
    <xf numFmtId="0" fontId="31" fillId="0" borderId="6" xfId="0" applyFont="1" applyBorder="1" applyAlignment="1">
      <alignment vertical="top" wrapText="1"/>
    </xf>
    <xf numFmtId="0" fontId="31" fillId="0" borderId="5" xfId="0" applyFont="1" applyBorder="1" applyAlignment="1">
      <alignment vertical="top"/>
    </xf>
    <xf numFmtId="0" fontId="31" fillId="0" borderId="0" xfId="0" applyFont="1" applyBorder="1" applyAlignment="1">
      <alignment vertical="top"/>
    </xf>
    <xf numFmtId="0" fontId="31" fillId="0" borderId="6" xfId="0" applyFont="1" applyBorder="1" applyAlignment="1">
      <alignment vertical="top"/>
    </xf>
    <xf numFmtId="0" fontId="5" fillId="0" borderId="5" xfId="0" applyFont="1" applyBorder="1" applyAlignment="1">
      <alignment vertical="top"/>
    </xf>
    <xf numFmtId="3" fontId="31" fillId="20" borderId="1" xfId="0" applyNumberFormat="1" applyFont="1" applyFill="1" applyBorder="1" applyAlignment="1">
      <alignment horizontal="centerContinuous"/>
    </xf>
    <xf numFmtId="3" fontId="31" fillId="20" borderId="38" xfId="0" applyNumberFormat="1" applyFont="1" applyFill="1" applyBorder="1" applyAlignment="1">
      <alignment horizontal="centerContinuous"/>
    </xf>
    <xf numFmtId="0" fontId="25" fillId="17" borderId="18" xfId="0" applyFont="1" applyFill="1" applyBorder="1" applyAlignment="1">
      <alignment horizontal="centerContinuous" vertical="center" wrapText="1"/>
    </xf>
    <xf numFmtId="0" fontId="25" fillId="17" borderId="44" xfId="0" applyFont="1" applyFill="1" applyBorder="1" applyAlignment="1">
      <alignment horizontal="centerContinuous" vertical="center" wrapText="1"/>
    </xf>
    <xf numFmtId="0" fontId="13" fillId="3" borderId="55" xfId="0" applyFont="1" applyFill="1" applyBorder="1" applyAlignment="1">
      <alignment horizontal="centerContinuous" vertical="center" wrapText="1"/>
    </xf>
    <xf numFmtId="0" fontId="13" fillId="3" borderId="57" xfId="0" applyFont="1" applyFill="1" applyBorder="1" applyAlignment="1">
      <alignment horizontal="centerContinuous" vertical="center" wrapText="1"/>
    </xf>
    <xf numFmtId="168" fontId="13" fillId="17" borderId="73" xfId="0" applyNumberFormat="1" applyFont="1" applyFill="1" applyBorder="1" applyAlignment="1">
      <alignment horizontal="centerContinuous" vertical="center" wrapText="1"/>
    </xf>
    <xf numFmtId="168" fontId="13" fillId="17" borderId="32" xfId="0" applyNumberFormat="1" applyFont="1" applyFill="1" applyBorder="1" applyAlignment="1">
      <alignment horizontal="centerContinuous" vertical="center" wrapText="1"/>
    </xf>
    <xf numFmtId="168" fontId="13" fillId="17" borderId="68" xfId="0" applyNumberFormat="1" applyFont="1" applyFill="1" applyBorder="1" applyAlignment="1">
      <alignment horizontal="centerContinuous" vertical="center" wrapText="1"/>
    </xf>
    <xf numFmtId="168" fontId="13" fillId="17" borderId="77" xfId="0" applyNumberFormat="1" applyFont="1" applyFill="1" applyBorder="1" applyAlignment="1">
      <alignment horizontal="centerContinuous" vertical="center" wrapText="1"/>
    </xf>
    <xf numFmtId="168" fontId="17" fillId="17" borderId="44" xfId="0" applyNumberFormat="1" applyFont="1" applyFill="1" applyBorder="1" applyAlignment="1">
      <alignment horizontal="centerContinuous" vertical="center" wrapText="1"/>
    </xf>
    <xf numFmtId="168" fontId="17" fillId="17" borderId="22" xfId="0" applyNumberFormat="1" applyFont="1" applyFill="1" applyBorder="1" applyAlignment="1">
      <alignment horizontal="centerContinuous" vertical="center" wrapText="1"/>
    </xf>
    <xf numFmtId="168" fontId="17" fillId="17" borderId="65" xfId="0" applyNumberFormat="1" applyFont="1" applyFill="1" applyBorder="1" applyAlignment="1">
      <alignment horizontal="centerContinuous" vertical="center" wrapText="1"/>
    </xf>
    <xf numFmtId="168" fontId="17" fillId="18" borderId="61" xfId="0" applyNumberFormat="1" applyFont="1" applyFill="1" applyBorder="1" applyAlignment="1">
      <alignment horizontal="centerContinuous" vertical="center" wrapText="1"/>
    </xf>
    <xf numFmtId="0" fontId="25" fillId="17" borderId="17" xfId="0" applyFont="1" applyFill="1" applyBorder="1" applyAlignment="1">
      <alignment horizontal="centerContinuous" vertical="center" wrapText="1"/>
    </xf>
    <xf numFmtId="168" fontId="13" fillId="14" borderId="49" xfId="0" applyNumberFormat="1" applyFont="1" applyFill="1" applyBorder="1" applyAlignment="1">
      <alignment horizontal="centerContinuous"/>
    </xf>
    <xf numFmtId="168" fontId="13" fillId="14" borderId="50" xfId="0" applyNumberFormat="1" applyFont="1" applyFill="1" applyBorder="1" applyAlignment="1">
      <alignment horizontal="centerContinuous"/>
    </xf>
    <xf numFmtId="168" fontId="13" fillId="14" borderId="51" xfId="0" applyNumberFormat="1" applyFont="1" applyFill="1" applyBorder="1" applyAlignment="1">
      <alignment horizontal="centerContinuous"/>
    </xf>
    <xf numFmtId="0" fontId="27" fillId="15" borderId="0" xfId="15" applyFont="1" applyFill="1" applyBorder="1" applyAlignment="1">
      <alignment vertical="top"/>
    </xf>
    <xf numFmtId="0" fontId="25" fillId="4" borderId="25" xfId="0" applyFont="1" applyFill="1" applyBorder="1" applyAlignment="1">
      <alignment vertical="top"/>
    </xf>
    <xf numFmtId="0" fontId="25" fillId="4" borderId="20" xfId="0" applyFont="1" applyFill="1" applyBorder="1" applyAlignment="1">
      <alignment vertical="top"/>
    </xf>
    <xf numFmtId="0" fontId="25" fillId="4" borderId="62" xfId="0" applyFont="1" applyFill="1" applyBorder="1" applyAlignment="1">
      <alignment vertical="top"/>
    </xf>
    <xf numFmtId="0" fontId="28" fillId="14" borderId="69" xfId="0" applyFont="1" applyFill="1" applyBorder="1" applyAlignment="1">
      <alignment horizontal="centerContinuous"/>
    </xf>
    <xf numFmtId="0" fontId="28" fillId="14" borderId="70" xfId="0" applyFont="1" applyFill="1" applyBorder="1" applyAlignment="1">
      <alignment horizontal="centerContinuous"/>
    </xf>
    <xf numFmtId="0" fontId="28" fillId="14" borderId="71" xfId="0" applyFont="1" applyFill="1" applyBorder="1" applyAlignment="1">
      <alignment horizontal="centerContinuous"/>
    </xf>
    <xf numFmtId="0" fontId="28" fillId="14" borderId="66" xfId="0" applyFont="1" applyFill="1" applyBorder="1" applyAlignment="1">
      <alignment horizontal="centerContinuous"/>
    </xf>
    <xf numFmtId="0" fontId="28" fillId="14" borderId="56" xfId="0" applyFont="1" applyFill="1" applyBorder="1" applyAlignment="1">
      <alignment horizontal="centerContinuous"/>
    </xf>
    <xf numFmtId="0" fontId="28" fillId="14" borderId="72" xfId="0" applyFont="1" applyFill="1" applyBorder="1" applyAlignment="1">
      <alignment horizontal="centerContinuous"/>
    </xf>
    <xf numFmtId="0" fontId="28" fillId="14" borderId="49" xfId="0" applyFont="1" applyFill="1" applyBorder="1" applyAlignment="1">
      <alignment horizontal="centerContinuous"/>
    </xf>
    <xf numFmtId="0" fontId="28" fillId="14" borderId="51" xfId="0" applyFont="1" applyFill="1" applyBorder="1" applyAlignment="1">
      <alignment horizontal="centerContinuous"/>
    </xf>
    <xf numFmtId="0" fontId="28" fillId="14" borderId="46" xfId="0" applyFont="1" applyFill="1" applyBorder="1" applyAlignment="1">
      <alignment horizontal="centerContinuous"/>
    </xf>
    <xf numFmtId="0" fontId="28" fillId="14" borderId="48" xfId="0" applyFont="1" applyFill="1" applyBorder="1" applyAlignment="1">
      <alignment horizontal="centerContinuous"/>
    </xf>
    <xf numFmtId="0" fontId="49" fillId="0" borderId="73" xfId="0" applyFont="1" applyFill="1" applyBorder="1" applyAlignment="1">
      <alignment vertical="top"/>
    </xf>
    <xf numFmtId="0" fontId="49" fillId="0" borderId="77" xfId="0" applyFont="1" applyFill="1" applyBorder="1" applyAlignment="1">
      <alignment vertical="top"/>
    </xf>
    <xf numFmtId="0" fontId="49" fillId="0" borderId="79" xfId="0" applyFont="1" applyFill="1" applyBorder="1" applyAlignment="1">
      <alignment vertical="top"/>
    </xf>
    <xf numFmtId="0" fontId="64" fillId="0" borderId="5" xfId="0" applyFont="1" applyFill="1" applyBorder="1" applyAlignment="1">
      <alignment horizontal="left" vertical="top"/>
    </xf>
    <xf numFmtId="0" fontId="49" fillId="0" borderId="0" xfId="0" applyFont="1" applyFill="1" applyBorder="1" applyAlignment="1">
      <alignment horizontal="left" vertical="top"/>
    </xf>
    <xf numFmtId="0" fontId="49" fillId="0" borderId="6" xfId="0" applyFont="1" applyFill="1" applyBorder="1" applyAlignment="1">
      <alignment horizontal="left" vertical="top"/>
    </xf>
    <xf numFmtId="0" fontId="64" fillId="0" borderId="52" xfId="0" applyFont="1" applyFill="1" applyBorder="1" applyAlignment="1">
      <alignment horizontal="left" vertical="top"/>
    </xf>
    <xf numFmtId="0" fontId="49" fillId="0" borderId="53" xfId="0" applyFont="1" applyFill="1" applyBorder="1" applyAlignment="1">
      <alignment horizontal="left" vertical="top"/>
    </xf>
    <xf numFmtId="0" fontId="49" fillId="0" borderId="54" xfId="0" applyFont="1" applyFill="1" applyBorder="1" applyAlignment="1">
      <alignment horizontal="left" vertical="top"/>
    </xf>
    <xf numFmtId="0" fontId="49" fillId="0" borderId="63" xfId="0" applyFont="1" applyFill="1" applyBorder="1" applyAlignment="1">
      <alignment vertical="top"/>
    </xf>
    <xf numFmtId="0" fontId="49" fillId="0" borderId="29" xfId="0" applyFont="1" applyFill="1" applyBorder="1" applyAlignment="1">
      <alignment vertical="top"/>
    </xf>
    <xf numFmtId="0" fontId="49" fillId="0" borderId="33" xfId="0" applyFont="1" applyFill="1" applyBorder="1" applyAlignment="1">
      <alignment vertical="top"/>
    </xf>
    <xf numFmtId="0" fontId="64" fillId="0" borderId="7" xfId="0" applyFont="1" applyFill="1" applyBorder="1" applyAlignment="1">
      <alignment vertical="top"/>
    </xf>
    <xf numFmtId="0" fontId="49" fillId="0" borderId="8" xfId="0" applyFont="1" applyFill="1" applyBorder="1" applyAlignment="1">
      <alignment vertical="top"/>
    </xf>
    <xf numFmtId="0" fontId="49" fillId="0" borderId="9" xfId="0" applyFont="1" applyFill="1" applyBorder="1" applyAlignment="1">
      <alignment vertical="top"/>
    </xf>
    <xf numFmtId="0" fontId="33" fillId="0" borderId="49" xfId="0" quotePrefix="1" applyFont="1" applyBorder="1" applyAlignment="1"/>
    <xf numFmtId="0" fontId="48" fillId="0" borderId="50" xfId="0" applyFont="1" applyBorder="1" applyAlignment="1"/>
    <xf numFmtId="0" fontId="48" fillId="0" borderId="51" xfId="0" applyFont="1" applyBorder="1" applyAlignment="1"/>
    <xf numFmtId="0" fontId="25" fillId="17" borderId="46" xfId="0" applyFont="1" applyFill="1" applyBorder="1" applyAlignment="1">
      <alignment horizontal="centerContinuous"/>
    </xf>
    <xf numFmtId="0" fontId="25" fillId="17" borderId="47" xfId="0" applyFont="1" applyFill="1" applyBorder="1" applyAlignment="1">
      <alignment horizontal="centerContinuous"/>
    </xf>
    <xf numFmtId="0" fontId="25" fillId="17" borderId="48" xfId="0" applyFont="1" applyFill="1" applyBorder="1" applyAlignment="1">
      <alignment horizontal="centerContinuous"/>
    </xf>
    <xf numFmtId="0" fontId="33" fillId="0" borderId="25" xfId="0" applyFont="1" applyFill="1" applyBorder="1" applyAlignment="1"/>
    <xf numFmtId="0" fontId="33" fillId="0" borderId="20" xfId="0" applyFont="1" applyFill="1" applyBorder="1" applyAlignment="1"/>
    <xf numFmtId="0" fontId="33" fillId="0" borderId="62" xfId="0" applyFont="1" applyFill="1" applyBorder="1" applyAlignment="1"/>
    <xf numFmtId="0" fontId="25" fillId="14" borderId="55" xfId="0" applyFont="1" applyFill="1" applyBorder="1" applyAlignment="1">
      <alignment horizontal="centerContinuous"/>
    </xf>
    <xf numFmtId="0" fontId="25" fillId="14" borderId="56" xfId="0" applyFont="1" applyFill="1" applyBorder="1" applyAlignment="1">
      <alignment horizontal="centerContinuous"/>
    </xf>
    <xf numFmtId="0" fontId="25" fillId="14" borderId="57" xfId="0" applyFont="1" applyFill="1" applyBorder="1" applyAlignment="1">
      <alignment horizontal="centerContinuous"/>
    </xf>
    <xf numFmtId="0" fontId="25" fillId="14" borderId="2" xfId="0" applyFont="1" applyFill="1" applyBorder="1" applyAlignment="1">
      <alignment horizontal="centerContinuous"/>
    </xf>
    <xf numFmtId="0" fontId="25" fillId="14" borderId="3" xfId="0" applyFont="1" applyFill="1" applyBorder="1" applyAlignment="1">
      <alignment horizontal="centerContinuous"/>
    </xf>
    <xf numFmtId="0" fontId="25" fillId="14" borderId="4" xfId="0" applyFont="1" applyFill="1" applyBorder="1" applyAlignment="1">
      <alignment horizontal="centerContinuous"/>
    </xf>
    <xf numFmtId="0" fontId="28" fillId="14" borderId="2" xfId="0" applyFont="1" applyFill="1" applyBorder="1" applyAlignment="1">
      <alignment horizontal="centerContinuous"/>
    </xf>
    <xf numFmtId="0" fontId="28" fillId="14" borderId="3" xfId="0" applyFont="1" applyFill="1" applyBorder="1" applyAlignment="1">
      <alignment horizontal="centerContinuous"/>
    </xf>
    <xf numFmtId="0" fontId="28" fillId="14" borderId="4" xfId="0" applyFont="1" applyFill="1" applyBorder="1" applyAlignment="1">
      <alignment horizontal="centerContinuous"/>
    </xf>
    <xf numFmtId="0" fontId="31" fillId="0" borderId="69" xfId="0" applyFont="1" applyBorder="1" applyAlignment="1">
      <alignment horizontal="center" vertical="center"/>
    </xf>
    <xf numFmtId="0" fontId="31" fillId="0" borderId="36" xfId="0" applyFont="1" applyBorder="1" applyAlignment="1">
      <alignment horizontal="center" vertical="center"/>
    </xf>
    <xf numFmtId="0" fontId="31" fillId="0" borderId="67" xfId="0" applyFont="1" applyBorder="1" applyAlignment="1">
      <alignment horizontal="center" vertical="center"/>
    </xf>
    <xf numFmtId="0" fontId="31" fillId="0" borderId="69" xfId="0" applyFont="1" applyBorder="1" applyAlignment="1">
      <alignment horizontal="centerContinuous" vertical="justify"/>
    </xf>
    <xf numFmtId="0" fontId="31" fillId="0" borderId="36" xfId="0" applyFont="1" applyBorder="1" applyAlignment="1">
      <alignment horizontal="centerContinuous" vertical="justify"/>
    </xf>
    <xf numFmtId="0" fontId="31" fillId="0" borderId="67" xfId="0" applyFont="1" applyBorder="1" applyAlignment="1">
      <alignment horizontal="centerContinuous" vertical="justify"/>
    </xf>
    <xf numFmtId="0" fontId="31" fillId="0" borderId="69" xfId="0" applyFont="1" applyBorder="1" applyAlignment="1">
      <alignment vertical="center"/>
    </xf>
    <xf numFmtId="0" fontId="31" fillId="0" borderId="36" xfId="0" applyFont="1" applyBorder="1" applyAlignment="1">
      <alignment vertical="center"/>
    </xf>
    <xf numFmtId="0" fontId="31" fillId="0" borderId="67" xfId="0" applyFont="1" applyBorder="1" applyAlignment="1">
      <alignment vertical="center"/>
    </xf>
    <xf numFmtId="0" fontId="5" fillId="0" borderId="69" xfId="0" applyFont="1" applyBorder="1" applyAlignment="1">
      <alignment vertical="center"/>
    </xf>
    <xf numFmtId="0" fontId="5" fillId="0" borderId="69" xfId="0" applyFont="1" applyBorder="1" applyAlignment="1">
      <alignment horizontal="center" vertical="center"/>
    </xf>
    <xf numFmtId="0" fontId="48" fillId="0" borderId="0" xfId="0" applyFont="1" applyAlignment="1">
      <alignment vertical="top" wrapText="1"/>
    </xf>
    <xf numFmtId="0" fontId="48" fillId="0" borderId="0" xfId="0" applyFont="1" applyAlignment="1">
      <alignment vertical="top"/>
    </xf>
    <xf numFmtId="0" fontId="31" fillId="0" borderId="5" xfId="0" applyFont="1" applyBorder="1" applyAlignment="1">
      <alignment horizontal="left"/>
    </xf>
    <xf numFmtId="0" fontId="31" fillId="0" borderId="0" xfId="0" applyFont="1" applyBorder="1" applyAlignment="1">
      <alignment horizontal="left"/>
    </xf>
    <xf numFmtId="0" fontId="31" fillId="0" borderId="6" xfId="0" applyFont="1" applyBorder="1" applyAlignment="1">
      <alignment horizontal="left"/>
    </xf>
    <xf numFmtId="169" fontId="31" fillId="0" borderId="70" xfId="0" applyNumberFormat="1" applyFont="1" applyBorder="1" applyAlignment="1">
      <alignment vertical="center"/>
    </xf>
    <xf numFmtId="169" fontId="31" fillId="0" borderId="80" xfId="0" applyNumberFormat="1" applyFont="1" applyBorder="1" applyAlignment="1">
      <alignment horizontal="center" vertical="center"/>
    </xf>
    <xf numFmtId="169" fontId="31" fillId="0" borderId="71" xfId="0" applyNumberFormat="1" applyFont="1" applyBorder="1" applyAlignment="1">
      <alignment vertical="center"/>
    </xf>
    <xf numFmtId="169" fontId="31" fillId="0" borderId="34" xfId="0" applyNumberFormat="1" applyFont="1" applyBorder="1" applyAlignment="1">
      <alignment horizontal="center" vertical="center"/>
    </xf>
    <xf numFmtId="169" fontId="31" fillId="0" borderId="29" xfId="0" applyNumberFormat="1" applyFont="1" applyBorder="1" applyAlignment="1">
      <alignment horizontal="center" vertical="center"/>
    </xf>
    <xf numFmtId="169" fontId="31" fillId="0" borderId="33" xfId="0" applyNumberFormat="1" applyFont="1" applyBorder="1" applyAlignment="1">
      <alignment horizontal="center" vertical="center"/>
    </xf>
    <xf numFmtId="0" fontId="25" fillId="29" borderId="12" xfId="0" applyFont="1" applyFill="1" applyBorder="1" applyAlignment="1">
      <alignment horizontal="centerContinuous"/>
    </xf>
    <xf numFmtId="0" fontId="25" fillId="29" borderId="13" xfId="0" applyFont="1" applyFill="1" applyBorder="1" applyAlignment="1">
      <alignment horizontal="centerContinuous"/>
    </xf>
    <xf numFmtId="0" fontId="25" fillId="29" borderId="14" xfId="0" applyFont="1" applyFill="1" applyBorder="1" applyAlignment="1">
      <alignment horizontal="centerContinuous"/>
    </xf>
    <xf numFmtId="0" fontId="31" fillId="0" borderId="30" xfId="0" applyFont="1" applyBorder="1" applyAlignment="1">
      <alignment horizontal="center"/>
    </xf>
    <xf numFmtId="0" fontId="31" fillId="0" borderId="11" xfId="0" applyFont="1" applyBorder="1" applyAlignment="1">
      <alignment horizontal="center"/>
    </xf>
    <xf numFmtId="0" fontId="31" fillId="0" borderId="22" xfId="0" applyFont="1" applyBorder="1" applyAlignment="1">
      <alignment horizontal="center"/>
    </xf>
    <xf numFmtId="0" fontId="5" fillId="0" borderId="36" xfId="0" applyFont="1" applyBorder="1" applyAlignment="1">
      <alignment horizontal="center" vertical="center"/>
    </xf>
    <xf numFmtId="169" fontId="31" fillId="0" borderId="40" xfId="0" applyNumberFormat="1" applyFont="1" applyBorder="1" applyAlignment="1">
      <alignment horizontal="center" vertical="center"/>
    </xf>
    <xf numFmtId="169" fontId="31" fillId="0" borderId="45" xfId="0" applyNumberFormat="1" applyFont="1" applyBorder="1" applyAlignment="1">
      <alignment horizontal="center" vertical="center"/>
    </xf>
    <xf numFmtId="169" fontId="31" fillId="0" borderId="70" xfId="0" applyNumberFormat="1" applyFont="1" applyBorder="1" applyAlignment="1">
      <alignment horizontal="center" vertical="center"/>
    </xf>
    <xf numFmtId="169" fontId="31" fillId="0" borderId="71" xfId="0" applyNumberFormat="1" applyFont="1" applyBorder="1" applyAlignment="1">
      <alignment horizontal="center" vertical="center"/>
    </xf>
    <xf numFmtId="0" fontId="5" fillId="0" borderId="5" xfId="0" applyFont="1" applyBorder="1" applyAlignment="1"/>
    <xf numFmtId="0" fontId="31" fillId="0" borderId="6" xfId="0" applyFont="1" applyBorder="1" applyAlignment="1"/>
    <xf numFmtId="0" fontId="28" fillId="17" borderId="46" xfId="0" applyFont="1" applyFill="1" applyBorder="1" applyAlignment="1">
      <alignment horizontal="centerContinuous"/>
    </xf>
    <xf numFmtId="0" fontId="28" fillId="17" borderId="48" xfId="0" applyFont="1" applyFill="1" applyBorder="1" applyAlignment="1">
      <alignment horizontal="centerContinuous"/>
    </xf>
    <xf numFmtId="0" fontId="31" fillId="17" borderId="13" xfId="0" applyFont="1" applyFill="1" applyBorder="1" applyAlignment="1">
      <alignment horizontal="centerContinuous"/>
    </xf>
    <xf numFmtId="0" fontId="31" fillId="17" borderId="14" xfId="0" applyFont="1" applyFill="1" applyBorder="1" applyAlignment="1">
      <alignment horizontal="centerContinuous"/>
    </xf>
    <xf numFmtId="0" fontId="28" fillId="17" borderId="17" xfId="0" applyFont="1" applyFill="1" applyBorder="1" applyAlignment="1">
      <alignment horizontal="centerContinuous" vertical="center" wrapText="1"/>
    </xf>
    <xf numFmtId="0" fontId="28" fillId="17" borderId="44" xfId="0" applyFont="1" applyFill="1" applyBorder="1" applyAlignment="1">
      <alignment horizontal="centerContinuous" vertical="center" wrapText="1"/>
    </xf>
    <xf numFmtId="0" fontId="28" fillId="17" borderId="18" xfId="0" applyFont="1" applyFill="1" applyBorder="1" applyAlignment="1">
      <alignment horizontal="centerContinuous" vertical="center" wrapText="1"/>
    </xf>
    <xf numFmtId="0" fontId="28" fillId="17" borderId="19" xfId="0" applyFont="1" applyFill="1" applyBorder="1" applyAlignment="1">
      <alignment horizontal="centerContinuous" vertical="center" wrapText="1"/>
    </xf>
    <xf numFmtId="0" fontId="28" fillId="3" borderId="57" xfId="0" applyFont="1" applyFill="1" applyBorder="1" applyAlignment="1">
      <alignment horizontal="centerContinuous" vertical="center" wrapText="1"/>
    </xf>
    <xf numFmtId="0" fontId="28" fillId="14" borderId="12" xfId="0" applyFont="1" applyFill="1" applyBorder="1" applyAlignment="1">
      <alignment horizontal="centerContinuous"/>
    </xf>
    <xf numFmtId="0" fontId="28" fillId="14" borderId="13" xfId="0" applyFont="1" applyFill="1" applyBorder="1" applyAlignment="1">
      <alignment horizontal="centerContinuous"/>
    </xf>
    <xf numFmtId="0" fontId="28" fillId="14" borderId="43" xfId="0" applyFont="1" applyFill="1" applyBorder="1" applyAlignment="1">
      <alignment horizontal="centerContinuous"/>
    </xf>
    <xf numFmtId="0" fontId="28" fillId="14" borderId="50" xfId="0" applyFont="1" applyFill="1" applyBorder="1" applyAlignment="1">
      <alignment horizontal="centerContinuous"/>
    </xf>
    <xf numFmtId="0" fontId="28" fillId="3" borderId="55" xfId="0" applyFont="1" applyFill="1" applyBorder="1" applyAlignment="1">
      <alignment horizontal="centerContinuous" vertical="center" wrapText="1"/>
    </xf>
    <xf numFmtId="0" fontId="13" fillId="14" borderId="55" xfId="0" applyFont="1" applyFill="1" applyBorder="1" applyAlignment="1">
      <alignment horizontal="centerContinuous"/>
    </xf>
    <xf numFmtId="0" fontId="13" fillId="14" borderId="57" xfId="0" applyFont="1" applyFill="1" applyBorder="1" applyAlignment="1">
      <alignment horizontal="centerContinuous"/>
    </xf>
    <xf numFmtId="168" fontId="25" fillId="14" borderId="49" xfId="0" applyNumberFormat="1" applyFont="1" applyFill="1" applyBorder="1" applyAlignment="1">
      <alignment horizontal="centerContinuous"/>
    </xf>
    <xf numFmtId="168" fontId="25" fillId="14" borderId="50" xfId="0" applyNumberFormat="1" applyFont="1" applyFill="1" applyBorder="1" applyAlignment="1">
      <alignment horizontal="centerContinuous"/>
    </xf>
    <xf numFmtId="168" fontId="25" fillId="16" borderId="49" xfId="0" applyNumberFormat="1" applyFont="1" applyFill="1" applyBorder="1" applyAlignment="1">
      <alignment horizontal="centerContinuous"/>
    </xf>
    <xf numFmtId="168" fontId="25" fillId="16" borderId="51" xfId="0" applyNumberFormat="1" applyFont="1" applyFill="1" applyBorder="1" applyAlignment="1">
      <alignment horizontal="centerContinuous"/>
    </xf>
    <xf numFmtId="0" fontId="31" fillId="0" borderId="6" xfId="0" applyFont="1" applyFill="1" applyBorder="1" applyAlignment="1">
      <alignment vertical="top"/>
    </xf>
    <xf numFmtId="0" fontId="25" fillId="16" borderId="55" xfId="0" applyFont="1" applyFill="1" applyBorder="1" applyAlignment="1">
      <alignment horizontal="centerContinuous"/>
    </xf>
    <xf numFmtId="0" fontId="25" fillId="16" borderId="57" xfId="0" applyFont="1" applyFill="1" applyBorder="1" applyAlignment="1">
      <alignment horizontal="centerContinuous"/>
    </xf>
    <xf numFmtId="0" fontId="28" fillId="15" borderId="0" xfId="11" applyFont="1" applyFill="1" applyBorder="1" applyAlignment="1">
      <alignment vertical="top"/>
    </xf>
    <xf numFmtId="0" fontId="25" fillId="4" borderId="52" xfId="0" applyFont="1" applyFill="1" applyBorder="1" applyAlignment="1">
      <alignment vertical="top"/>
    </xf>
    <xf numFmtId="0" fontId="25" fillId="4" borderId="53" xfId="0" applyFont="1" applyFill="1" applyBorder="1" applyAlignment="1">
      <alignment vertical="top"/>
    </xf>
    <xf numFmtId="0" fontId="25" fillId="4" borderId="54" xfId="0" applyFont="1" applyFill="1" applyBorder="1" applyAlignment="1">
      <alignment vertical="top"/>
    </xf>
    <xf numFmtId="0" fontId="25" fillId="4" borderId="25" xfId="0" applyFont="1" applyFill="1" applyBorder="1" applyAlignment="1"/>
    <xf numFmtId="0" fontId="25" fillId="4" borderId="20" xfId="0" applyFont="1" applyFill="1" applyBorder="1" applyAlignment="1"/>
    <xf numFmtId="0" fontId="25" fillId="4" borderId="62" xfId="0" applyFont="1" applyFill="1" applyBorder="1" applyAlignment="1"/>
    <xf numFmtId="0" fontId="31" fillId="3" borderId="0" xfId="0" applyFont="1" applyFill="1" applyBorder="1" applyAlignment="1">
      <alignment vertical="top"/>
    </xf>
    <xf numFmtId="0" fontId="25" fillId="3" borderId="0" xfId="0" applyFont="1" applyFill="1" applyBorder="1" applyAlignment="1">
      <alignment vertical="top"/>
    </xf>
    <xf numFmtId="0" fontId="5" fillId="3" borderId="0" xfId="0" applyFont="1" applyFill="1" applyBorder="1" applyAlignment="1">
      <alignment vertical="top"/>
    </xf>
    <xf numFmtId="0" fontId="25" fillId="21" borderId="15" xfId="0" applyFont="1" applyFill="1" applyBorder="1" applyAlignment="1">
      <alignment horizontal="centerContinuous"/>
    </xf>
    <xf numFmtId="0" fontId="25" fillId="21" borderId="1" xfId="0" applyFont="1" applyFill="1" applyBorder="1" applyAlignment="1">
      <alignment horizontal="centerContinuous"/>
    </xf>
    <xf numFmtId="0" fontId="25" fillId="21" borderId="38" xfId="0" applyFont="1" applyFill="1" applyBorder="1" applyAlignment="1">
      <alignment horizontal="centerContinuous"/>
    </xf>
    <xf numFmtId="0" fontId="48" fillId="0" borderId="3" xfId="0" applyFont="1" applyBorder="1" applyAlignment="1">
      <alignment vertical="top" wrapText="1"/>
    </xf>
    <xf numFmtId="0" fontId="48" fillId="0" borderId="4" xfId="0" applyFont="1" applyBorder="1" applyAlignment="1">
      <alignment vertical="top" wrapText="1"/>
    </xf>
    <xf numFmtId="0" fontId="48" fillId="0" borderId="0" xfId="0" applyFont="1" applyBorder="1" applyAlignment="1">
      <alignment vertical="top" wrapText="1"/>
    </xf>
    <xf numFmtId="0" fontId="48" fillId="0" borderId="6" xfId="0" applyFont="1" applyBorder="1" applyAlignment="1">
      <alignment vertical="top" wrapText="1"/>
    </xf>
    <xf numFmtId="0" fontId="48" fillId="0" borderId="7" xfId="0" applyFont="1" applyBorder="1" applyAlignment="1">
      <alignment vertical="top" wrapText="1"/>
    </xf>
    <xf numFmtId="0" fontId="48" fillId="0" borderId="8" xfId="0" applyFont="1" applyBorder="1" applyAlignment="1">
      <alignment vertical="top" wrapText="1"/>
    </xf>
    <xf numFmtId="0" fontId="48" fillId="0" borderId="9" xfId="0" applyFont="1" applyBorder="1" applyAlignment="1">
      <alignment vertical="top" wrapText="1"/>
    </xf>
    <xf numFmtId="0" fontId="48" fillId="0" borderId="2" xfId="0" applyFont="1" applyBorder="1" applyAlignment="1">
      <alignment vertical="top"/>
    </xf>
    <xf numFmtId="0" fontId="48" fillId="0" borderId="5" xfId="0" applyFont="1" applyBorder="1" applyAlignment="1">
      <alignment vertical="top"/>
    </xf>
    <xf numFmtId="0" fontId="25" fillId="21" borderId="12" xfId="0" applyFont="1" applyFill="1" applyBorder="1" applyAlignment="1">
      <alignment horizontal="centerContinuous"/>
    </xf>
    <xf numFmtId="0" fontId="25" fillId="21" borderId="13" xfId="0" applyFont="1" applyFill="1" applyBorder="1" applyAlignment="1">
      <alignment horizontal="centerContinuous"/>
    </xf>
    <xf numFmtId="0" fontId="25" fillId="21" borderId="14" xfId="0" applyFont="1" applyFill="1" applyBorder="1" applyAlignment="1">
      <alignment horizontal="centerContinuous"/>
    </xf>
    <xf numFmtId="0" fontId="27" fillId="0" borderId="7" xfId="11" applyFont="1" applyFill="1" applyBorder="1" applyAlignment="1"/>
    <xf numFmtId="0" fontId="27" fillId="0" borderId="8" xfId="11" applyFont="1" applyFill="1" applyBorder="1" applyAlignment="1"/>
    <xf numFmtId="0" fontId="27" fillId="0" borderId="9" xfId="11" applyFont="1" applyFill="1" applyBorder="1" applyAlignment="1"/>
    <xf numFmtId="0" fontId="27" fillId="0" borderId="5" xfId="11" applyFont="1" applyFill="1" applyBorder="1" applyAlignment="1">
      <alignment horizontal="left"/>
    </xf>
    <xf numFmtId="0" fontId="25" fillId="26" borderId="49" xfId="0" applyFont="1" applyFill="1" applyBorder="1" applyAlignment="1">
      <alignment horizontal="centerContinuous"/>
    </xf>
    <xf numFmtId="0" fontId="25" fillId="26" borderId="50" xfId="0" applyFont="1" applyFill="1" applyBorder="1" applyAlignment="1">
      <alignment horizontal="centerContinuous"/>
    </xf>
    <xf numFmtId="0" fontId="25" fillId="26" borderId="51" xfId="0" applyFont="1" applyFill="1" applyBorder="1" applyAlignment="1">
      <alignment horizontal="centerContinuous"/>
    </xf>
    <xf numFmtId="0" fontId="25" fillId="27" borderId="2" xfId="0" applyFont="1" applyFill="1" applyBorder="1" applyAlignment="1">
      <alignment vertical="top"/>
    </xf>
    <xf numFmtId="0" fontId="25" fillId="27" borderId="3" xfId="0" applyFont="1" applyFill="1" applyBorder="1" applyAlignment="1">
      <alignment vertical="top"/>
    </xf>
    <xf numFmtId="0" fontId="25" fillId="27" borderId="4" xfId="0" applyFont="1" applyFill="1" applyBorder="1" applyAlignment="1">
      <alignment vertical="top"/>
    </xf>
    <xf numFmtId="0" fontId="37" fillId="0" borderId="5" xfId="0" applyFont="1" applyFill="1" applyBorder="1" applyAlignment="1">
      <alignment vertical="center"/>
    </xf>
    <xf numFmtId="0" fontId="37" fillId="0" borderId="0" xfId="0" applyFont="1" applyFill="1" applyBorder="1" applyAlignment="1">
      <alignment vertical="center"/>
    </xf>
    <xf numFmtId="0" fontId="37" fillId="0" borderId="6" xfId="0" applyFont="1" applyFill="1" applyBorder="1" applyAlignment="1">
      <alignment vertical="center"/>
    </xf>
    <xf numFmtId="0" fontId="26" fillId="0" borderId="0" xfId="11" applyFont="1" applyFill="1" applyBorder="1" applyAlignment="1">
      <alignment vertical="center"/>
    </xf>
    <xf numFmtId="0" fontId="26" fillId="0" borderId="6" xfId="11" applyFont="1" applyFill="1" applyBorder="1" applyAlignment="1">
      <alignment vertical="center"/>
    </xf>
    <xf numFmtId="0" fontId="27" fillId="0" borderId="5" xfId="11" applyFont="1" applyFill="1" applyBorder="1" applyAlignment="1"/>
    <xf numFmtId="0" fontId="27" fillId="0" borderId="0" xfId="11" applyFont="1" applyFill="1" applyBorder="1" applyAlignment="1"/>
    <xf numFmtId="0" fontId="27" fillId="0" borderId="6" xfId="11" applyFont="1" applyFill="1" applyBorder="1" applyAlignment="1"/>
    <xf numFmtId="0" fontId="25" fillId="11" borderId="49" xfId="0" applyFont="1" applyFill="1" applyBorder="1" applyAlignment="1">
      <alignment horizontal="centerContinuous"/>
    </xf>
    <xf numFmtId="0" fontId="25" fillId="11" borderId="50" xfId="0" applyFont="1" applyFill="1" applyBorder="1" applyAlignment="1">
      <alignment horizontal="centerContinuous"/>
    </xf>
    <xf numFmtId="0" fontId="25" fillId="11" borderId="51" xfId="0" applyFont="1" applyFill="1" applyBorder="1" applyAlignment="1">
      <alignment horizontal="centerContinuous"/>
    </xf>
    <xf numFmtId="0" fontId="25" fillId="14" borderId="10" xfId="0" applyFont="1" applyFill="1" applyBorder="1" applyAlignment="1">
      <alignment horizontal="centerContinuous"/>
    </xf>
    <xf numFmtId="0" fontId="25" fillId="14" borderId="20" xfId="0" applyFont="1" applyFill="1" applyBorder="1" applyAlignment="1">
      <alignment horizontal="centerContinuous"/>
    </xf>
    <xf numFmtId="0" fontId="25" fillId="14" borderId="11" xfId="0" applyFont="1" applyFill="1" applyBorder="1" applyAlignment="1">
      <alignment horizontal="centerContinuous"/>
    </xf>
    <xf numFmtId="0" fontId="25" fillId="11" borderId="55" xfId="0" applyFont="1" applyFill="1" applyBorder="1" applyAlignment="1">
      <alignment horizontal="centerContinuous" vertical="center"/>
    </xf>
    <xf numFmtId="0" fontId="25" fillId="11" borderId="56" xfId="0" applyFont="1" applyFill="1" applyBorder="1" applyAlignment="1">
      <alignment horizontal="centerContinuous" vertical="center"/>
    </xf>
    <xf numFmtId="0" fontId="25" fillId="11" borderId="57" xfId="0" applyFont="1" applyFill="1" applyBorder="1" applyAlignment="1">
      <alignment horizontal="centerContinuous" vertical="center"/>
    </xf>
    <xf numFmtId="0" fontId="25" fillId="17" borderId="13" xfId="0" applyFont="1" applyFill="1" applyBorder="1" applyAlignment="1">
      <alignment horizontal="centerContinuous"/>
    </xf>
    <xf numFmtId="0" fontId="25" fillId="17" borderId="14" xfId="0" applyFont="1" applyFill="1" applyBorder="1" applyAlignment="1">
      <alignment horizontal="centerContinuous"/>
    </xf>
    <xf numFmtId="0" fontId="26" fillId="0" borderId="0" xfId="3" applyFont="1" applyAlignment="1">
      <alignment vertical="center"/>
    </xf>
    <xf numFmtId="0" fontId="22" fillId="0" borderId="0" xfId="0" applyFont="1" applyFill="1" applyBorder="1" applyAlignment="1">
      <alignment vertical="top"/>
    </xf>
    <xf numFmtId="0" fontId="26" fillId="0" borderId="0" xfId="3" applyFont="1" applyFill="1" applyBorder="1" applyAlignment="1">
      <alignment vertical="top"/>
    </xf>
    <xf numFmtId="0" fontId="27" fillId="0" borderId="0" xfId="3" applyFont="1" applyFill="1" applyBorder="1" applyAlignment="1">
      <alignment vertical="top"/>
    </xf>
    <xf numFmtId="0" fontId="27" fillId="0" borderId="49" xfId="8" applyFont="1" applyFill="1" applyBorder="1" applyAlignment="1">
      <alignment vertical="center"/>
    </xf>
    <xf numFmtId="0" fontId="27" fillId="0" borderId="50" xfId="8" applyFont="1" applyFill="1" applyBorder="1" applyAlignment="1">
      <alignment vertical="center"/>
    </xf>
    <xf numFmtId="177" fontId="31" fillId="3" borderId="38" xfId="8" applyNumberFormat="1" applyFont="1" applyFill="1" applyBorder="1" applyAlignment="1" applyProtection="1">
      <alignment vertical="center"/>
      <protection locked="0"/>
    </xf>
    <xf numFmtId="177" fontId="31" fillId="2" borderId="19" xfId="8" applyNumberFormat="1" applyFont="1" applyFill="1" applyBorder="1" applyAlignment="1" applyProtection="1">
      <alignment vertical="center"/>
    </xf>
    <xf numFmtId="0" fontId="7" fillId="3" borderId="14" xfId="8" applyFont="1" applyFill="1" applyBorder="1" applyAlignment="1" applyProtection="1">
      <alignment horizontal="center" vertical="center"/>
      <protection locked="0"/>
    </xf>
    <xf numFmtId="0" fontId="31" fillId="3" borderId="38" xfId="8" applyFont="1" applyFill="1" applyBorder="1" applyAlignment="1" applyProtection="1">
      <alignment horizontal="center" vertical="center"/>
      <protection locked="0"/>
    </xf>
    <xf numFmtId="0" fontId="6" fillId="3" borderId="38" xfId="8" applyFont="1" applyFill="1" applyBorder="1" applyAlignment="1" applyProtection="1">
      <alignment horizontal="center" vertical="center"/>
      <protection locked="0"/>
    </xf>
    <xf numFmtId="0" fontId="7" fillId="3" borderId="38" xfId="8" applyFont="1" applyFill="1" applyBorder="1" applyAlignment="1" applyProtection="1">
      <alignment horizontal="center" vertical="center"/>
      <protection locked="0"/>
    </xf>
    <xf numFmtId="14" fontId="27" fillId="3" borderId="38" xfId="3" applyNumberFormat="1" applyFont="1" applyFill="1" applyBorder="1" applyAlignment="1" applyProtection="1">
      <alignment horizontal="center" vertical="center"/>
      <protection locked="0"/>
    </xf>
    <xf numFmtId="14" fontId="31" fillId="3" borderId="38" xfId="8" applyNumberFormat="1" applyFont="1" applyFill="1" applyBorder="1" applyAlignment="1" applyProtection="1">
      <alignment horizontal="center" vertical="center"/>
      <protection locked="0"/>
    </xf>
    <xf numFmtId="0" fontId="6" fillId="3" borderId="38" xfId="8" applyNumberFormat="1" applyFont="1" applyFill="1" applyBorder="1" applyAlignment="1" applyProtection="1">
      <alignment horizontal="center" vertical="center"/>
      <protection locked="0"/>
    </xf>
    <xf numFmtId="0" fontId="27" fillId="0" borderId="0" xfId="3" applyFont="1" applyFill="1" applyBorder="1" applyAlignment="1">
      <alignment vertical="center"/>
    </xf>
    <xf numFmtId="0" fontId="30" fillId="0" borderId="0" xfId="3" applyFont="1" applyFill="1" applyBorder="1" applyAlignment="1">
      <alignment vertical="center"/>
    </xf>
    <xf numFmtId="0" fontId="60" fillId="0" borderId="0" xfId="3" applyFont="1" applyFill="1" applyBorder="1" applyAlignment="1">
      <alignment horizontal="left" vertical="center" wrapText="1"/>
    </xf>
    <xf numFmtId="0" fontId="4" fillId="3" borderId="35" xfId="8" applyFont="1" applyFill="1" applyBorder="1" applyAlignment="1" applyProtection="1">
      <alignment horizontal="right"/>
      <protection locked="0"/>
    </xf>
    <xf numFmtId="0" fontId="4" fillId="3" borderId="16" xfId="8" applyFont="1" applyFill="1" applyBorder="1" applyAlignment="1" applyProtection="1">
      <alignment horizontal="right"/>
      <protection locked="0"/>
    </xf>
    <xf numFmtId="0" fontId="4" fillId="3" borderId="19" xfId="8" applyFont="1" applyFill="1" applyBorder="1" applyAlignment="1" applyProtection="1">
      <alignment horizontal="right"/>
      <protection locked="0"/>
    </xf>
    <xf numFmtId="177" fontId="4" fillId="3" borderId="38" xfId="8" applyNumberFormat="1" applyFont="1" applyFill="1" applyBorder="1" applyAlignment="1" applyProtection="1">
      <alignment vertical="center"/>
      <protection locked="0"/>
    </xf>
    <xf numFmtId="0" fontId="27" fillId="0" borderId="0" xfId="0" applyFont="1" applyAlignment="1">
      <alignment vertical="top" wrapText="1"/>
    </xf>
    <xf numFmtId="0" fontId="3" fillId="0" borderId="0" xfId="0" applyFont="1" applyFill="1" applyBorder="1"/>
    <xf numFmtId="0" fontId="31" fillId="0" borderId="12" xfId="0" applyFont="1" applyBorder="1" applyAlignment="1">
      <alignment horizontal="center" vertical="center" wrapText="1"/>
    </xf>
    <xf numFmtId="0" fontId="41" fillId="0" borderId="8" xfId="0" applyFont="1" applyFill="1" applyBorder="1" applyAlignment="1">
      <alignment horizontal="center" vertical="center" wrapText="1"/>
    </xf>
    <xf numFmtId="0" fontId="31" fillId="0" borderId="67" xfId="0" applyFont="1" applyBorder="1" applyAlignment="1">
      <alignment horizontal="center" vertical="center" wrapText="1"/>
    </xf>
    <xf numFmtId="0" fontId="41" fillId="0" borderId="8" xfId="0" applyFont="1" applyFill="1" applyBorder="1" applyAlignment="1">
      <alignment vertical="center"/>
    </xf>
    <xf numFmtId="0" fontId="37" fillId="0" borderId="37" xfId="0" applyNumberFormat="1" applyFont="1" applyBorder="1" applyAlignment="1">
      <alignment horizontal="center" vertical="center" wrapText="1"/>
    </xf>
    <xf numFmtId="0" fontId="31" fillId="0" borderId="37" xfId="0" applyFont="1" applyBorder="1" applyAlignment="1">
      <alignment horizontal="center" vertical="center" wrapText="1"/>
    </xf>
    <xf numFmtId="0" fontId="25" fillId="0" borderId="8" xfId="0" applyFont="1" applyFill="1" applyBorder="1" applyAlignment="1">
      <alignment horizontal="left" vertical="center"/>
    </xf>
    <xf numFmtId="0" fontId="3" fillId="0" borderId="0" xfId="0" applyFont="1" applyFill="1" applyBorder="1" applyAlignment="1">
      <alignment wrapText="1"/>
    </xf>
    <xf numFmtId="0" fontId="3" fillId="0" borderId="0" xfId="0" applyFont="1" applyAlignment="1">
      <alignment vertical="top" wrapText="1"/>
    </xf>
    <xf numFmtId="0" fontId="31" fillId="0" borderId="10" xfId="0" applyFont="1" applyFill="1" applyBorder="1" applyAlignment="1">
      <alignment vertical="center" wrapText="1"/>
    </xf>
    <xf numFmtId="0" fontId="27" fillId="0" borderId="39" xfId="0" applyFont="1" applyBorder="1" applyAlignment="1">
      <alignment vertical="center" wrapText="1"/>
    </xf>
    <xf numFmtId="0" fontId="27" fillId="0" borderId="10" xfId="0" applyFont="1" applyBorder="1" applyAlignment="1">
      <alignment vertical="center" wrapText="1"/>
    </xf>
    <xf numFmtId="0" fontId="37" fillId="0" borderId="10" xfId="0" applyFont="1" applyBorder="1" applyAlignment="1">
      <alignment vertical="center" wrapText="1"/>
    </xf>
    <xf numFmtId="0" fontId="37" fillId="0" borderId="44" xfId="0" applyFont="1" applyBorder="1" applyAlignment="1">
      <alignment vertical="center" wrapText="1"/>
    </xf>
    <xf numFmtId="0" fontId="31" fillId="0" borderId="39" xfId="0" applyFont="1" applyFill="1" applyBorder="1" applyAlignment="1">
      <alignment vertical="center"/>
    </xf>
    <xf numFmtId="0" fontId="31" fillId="0" borderId="10" xfId="0" applyFont="1" applyBorder="1" applyAlignment="1">
      <alignment vertical="center" wrapText="1"/>
    </xf>
    <xf numFmtId="0" fontId="31" fillId="0" borderId="44" xfId="0" applyFont="1" applyBorder="1" applyAlignment="1">
      <alignment vertical="top" wrapText="1"/>
    </xf>
    <xf numFmtId="0" fontId="27" fillId="0" borderId="44" xfId="3" applyFont="1" applyFill="1" applyBorder="1" applyAlignment="1">
      <alignment vertical="center" wrapText="1"/>
    </xf>
    <xf numFmtId="0" fontId="31" fillId="0" borderId="43" xfId="0" applyFont="1" applyFill="1" applyBorder="1" applyAlignment="1">
      <alignment vertical="center" wrapText="1"/>
    </xf>
    <xf numFmtId="0" fontId="31" fillId="0" borderId="44" xfId="0" applyFont="1" applyFill="1" applyBorder="1" applyAlignment="1">
      <alignment vertical="center" wrapText="1"/>
    </xf>
    <xf numFmtId="0" fontId="31" fillId="0" borderId="66" xfId="0" applyFont="1" applyFill="1" applyBorder="1" applyAlignment="1">
      <alignment vertical="center" wrapText="1"/>
    </xf>
    <xf numFmtId="0" fontId="3" fillId="0" borderId="10" xfId="0" applyFont="1" applyBorder="1" applyAlignment="1">
      <alignment vertical="top" wrapText="1"/>
    </xf>
    <xf numFmtId="0" fontId="26" fillId="0" borderId="5" xfId="3" applyFont="1" applyFill="1" applyBorder="1" applyAlignment="1">
      <alignment vertical="center"/>
    </xf>
    <xf numFmtId="0" fontId="26" fillId="0" borderId="7" xfId="3" applyFont="1" applyBorder="1"/>
    <xf numFmtId="0" fontId="26" fillId="0" borderId="7" xfId="3" applyFont="1" applyFill="1" applyBorder="1"/>
    <xf numFmtId="0" fontId="26" fillId="0" borderId="10" xfId="3" applyFont="1" applyFill="1" applyBorder="1" applyAlignment="1">
      <alignment vertical="center" wrapText="1"/>
    </xf>
    <xf numFmtId="0" fontId="2" fillId="0" borderId="39" xfId="0" applyFont="1" applyFill="1" applyBorder="1" applyAlignment="1">
      <alignment vertical="center" wrapText="1"/>
    </xf>
    <xf numFmtId="0" fontId="31" fillId="3" borderId="14" xfId="0" applyFont="1" applyFill="1" applyBorder="1" applyAlignment="1" applyProtection="1">
      <protection locked="0"/>
    </xf>
    <xf numFmtId="2" fontId="31" fillId="3" borderId="68" xfId="0" applyNumberFormat="1" applyFont="1" applyFill="1" applyBorder="1" applyProtection="1">
      <protection locked="0"/>
    </xf>
    <xf numFmtId="165" fontId="31" fillId="3" borderId="68" xfId="0" applyNumberFormat="1" applyFont="1" applyFill="1" applyBorder="1" applyProtection="1">
      <protection locked="0"/>
    </xf>
    <xf numFmtId="2" fontId="31" fillId="3" borderId="10" xfId="0" applyNumberFormat="1" applyFont="1" applyFill="1" applyBorder="1" applyProtection="1">
      <protection locked="0"/>
    </xf>
    <xf numFmtId="165" fontId="31" fillId="3" borderId="10" xfId="0" applyNumberFormat="1" applyFont="1" applyFill="1" applyBorder="1" applyProtection="1">
      <protection locked="0"/>
    </xf>
    <xf numFmtId="165" fontId="31" fillId="3" borderId="61" xfId="7" applyNumberFormat="1" applyFont="1" applyFill="1" applyBorder="1" applyProtection="1">
      <protection locked="0"/>
    </xf>
    <xf numFmtId="0" fontId="37" fillId="3" borderId="35" xfId="0" applyFont="1" applyFill="1" applyBorder="1" applyAlignment="1" applyProtection="1">
      <alignment horizontal="center" vertical="center" wrapText="1"/>
      <protection locked="0"/>
    </xf>
    <xf numFmtId="0" fontId="37" fillId="3" borderId="38"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45" xfId="0" applyFont="1" applyFill="1" applyBorder="1" applyAlignment="1" applyProtection="1">
      <alignment horizontal="center" vertical="center" wrapText="1"/>
      <protection locked="0"/>
    </xf>
  </cellXfs>
  <cellStyles count="16">
    <cellStyle name="Comma" xfId="10" builtinId="3"/>
    <cellStyle name="Comma 3" xfId="1"/>
    <cellStyle name="Currency" xfId="7" builtinId="4"/>
    <cellStyle name="Hyperlink" xfId="3" builtinId="8"/>
    <cellStyle name="Hyperlink 2" xfId="11"/>
    <cellStyle name="Hyperlink 2 2" xfId="14"/>
    <cellStyle name="Hyperlink 3" xfId="15"/>
    <cellStyle name="Normal" xfId="0" builtinId="0"/>
    <cellStyle name="Normal 10" xfId="12"/>
    <cellStyle name="Normal 11" xfId="8"/>
    <cellStyle name="Normal 13" xfId="4"/>
    <cellStyle name="Normal 14" xfId="6"/>
    <cellStyle name="Normal 16" xfId="13"/>
    <cellStyle name="Normal 3" xfId="5"/>
    <cellStyle name="Normal 9" xfId="2"/>
    <cellStyle name="Percent" xfId="9" builtinId="5"/>
  </cellStyles>
  <dxfs count="409">
    <dxf>
      <font>
        <b val="0"/>
        <i val="0"/>
        <strike val="0"/>
        <condense val="0"/>
        <extend val="0"/>
        <outline val="0"/>
        <shadow val="0"/>
        <u val="none"/>
        <vertAlign val="baseline"/>
        <sz val="12"/>
        <color theme="1"/>
        <name val="Avenir LT Std 55 Roman"/>
        <scheme val="none"/>
      </font>
      <numFmt numFmtId="165" formatCode="&quot;$&quot;#,##0.00"/>
      <fill>
        <patternFill patternType="solid">
          <fgColor indexed="64"/>
          <bgColor theme="9" tint="0.79998168889431442"/>
        </patternFill>
      </fill>
      <border diagonalUp="0" diagonalDown="0" outline="0">
        <left/>
        <right/>
        <top style="thin">
          <color auto="1"/>
        </top>
        <bottom/>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outline="0">
        <left/>
        <right style="medium">
          <color indexed="64"/>
        </right>
        <top style="thin">
          <color auto="1"/>
        </top>
        <bottom style="thin">
          <color auto="1"/>
        </bottom>
      </border>
      <protection locked="0" hidden="0"/>
    </dxf>
    <dxf>
      <font>
        <b val="0"/>
        <i val="0"/>
        <strike val="0"/>
        <condense val="0"/>
        <extend val="0"/>
        <outline val="0"/>
        <shadow val="0"/>
        <u val="none"/>
        <vertAlign val="baseline"/>
        <sz val="12"/>
        <color theme="1"/>
        <name val="Avenir LT Std 55 Roman"/>
        <scheme val="none"/>
      </font>
      <numFmt numFmtId="2" formatCode="0.00"/>
      <fill>
        <patternFill patternType="solid">
          <fgColor indexed="64"/>
          <bgColor theme="0" tint="-4.9989318521683403E-2"/>
        </patternFill>
      </fill>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2"/>
        <color theme="1"/>
        <name val="Avenir LT Std 55 Roman"/>
        <scheme val="none"/>
      </font>
      <numFmt numFmtId="168" formatCode="0.0000"/>
      <fill>
        <patternFill patternType="solid">
          <fgColor indexed="64"/>
          <bgColor theme="0" tint="-4.9989318521683403E-2"/>
        </patternFill>
      </fill>
      <border diagonalUp="0" diagonalDown="0" outline="0">
        <left style="thin">
          <color indexed="64"/>
        </left>
        <right style="thin">
          <color auto="1"/>
        </right>
        <top style="thin">
          <color indexed="64"/>
        </top>
        <bottom style="thin">
          <color indexed="64"/>
        </bottom>
      </border>
    </dxf>
    <dxf>
      <font>
        <color rgb="FF9C0006"/>
      </font>
      <fill>
        <patternFill>
          <bgColor rgb="FFFFC7CE"/>
        </patternFill>
      </fill>
    </dxf>
    <dxf>
      <font>
        <strike val="0"/>
        <outline val="0"/>
        <shadow val="0"/>
        <u val="none"/>
        <vertAlign val="baseline"/>
        <sz val="12"/>
        <color theme="1"/>
        <name val="Avenir LT Std 55 Roman"/>
        <scheme val="none"/>
      </font>
      <fill>
        <patternFill patternType="none">
          <fgColor indexed="64"/>
          <bgColor indexed="65"/>
        </patternFill>
      </fill>
    </dxf>
    <dxf>
      <font>
        <strike val="0"/>
        <outline val="0"/>
        <shadow val="0"/>
        <u val="none"/>
        <vertAlign val="baseline"/>
        <sz val="12"/>
        <color theme="1"/>
        <name val="Avenir LT Std 55 Roman"/>
        <scheme val="none"/>
      </font>
    </dxf>
    <dxf>
      <font>
        <strike val="0"/>
        <outline val="0"/>
        <shadow val="0"/>
        <u val="none"/>
        <vertAlign val="baseline"/>
        <sz val="12"/>
        <color theme="1"/>
        <name val="Avenir LT Std 55 Roman"/>
        <scheme val="none"/>
      </font>
    </dxf>
    <dxf>
      <font>
        <strike val="0"/>
        <outline val="0"/>
        <shadow val="0"/>
        <u val="none"/>
        <vertAlign val="baseline"/>
        <sz val="12"/>
        <color theme="1"/>
        <name val="Avenir LT Std 55 Roman"/>
        <scheme val="none"/>
      </font>
      <numFmt numFmtId="3" formatCode="#,##0"/>
      <fill>
        <patternFill patternType="none">
          <fgColor indexed="64"/>
          <bgColor indexed="65"/>
        </patternFill>
      </fill>
    </dxf>
    <dxf>
      <font>
        <strike val="0"/>
        <outline val="0"/>
        <shadow val="0"/>
        <u val="none"/>
        <vertAlign val="baseline"/>
        <sz val="12"/>
        <color theme="1"/>
        <name val="Avenir LT Std 55 Roman"/>
        <scheme val="none"/>
      </font>
    </dxf>
    <dxf>
      <font>
        <strike val="0"/>
        <outline val="0"/>
        <shadow val="0"/>
        <u val="none"/>
        <vertAlign val="baseline"/>
        <sz val="12"/>
        <color theme="1"/>
        <name val="Avenir LT Std 55 Roman"/>
        <scheme val="none"/>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venir LT Std 55 Roman"/>
        <scheme val="none"/>
      </font>
      <fill>
        <patternFill patternType="none">
          <fgColor indexed="64"/>
          <bgColor indexed="65"/>
        </patternFill>
      </fill>
    </dxf>
    <dxf>
      <font>
        <strike val="0"/>
        <outline val="0"/>
        <shadow val="0"/>
        <u val="none"/>
        <vertAlign val="baseline"/>
        <sz val="12"/>
        <color theme="1"/>
        <name val="Avenir LT Std 55 Roman"/>
        <scheme val="none"/>
      </font>
      <fill>
        <patternFill patternType="none">
          <fgColor indexed="64"/>
          <bgColor indexed="65"/>
        </patternFill>
      </fill>
    </dxf>
    <dxf>
      <font>
        <strike val="0"/>
        <outline val="0"/>
        <shadow val="0"/>
        <u val="none"/>
        <vertAlign val="baseline"/>
        <sz val="12"/>
        <color theme="1"/>
        <name val="Avenir LT Std 55 Roman"/>
        <scheme val="none"/>
      </font>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strike val="0"/>
        <outline val="0"/>
        <shadow val="0"/>
        <u val="none"/>
        <vertAlign val="baseline"/>
        <sz val="12"/>
        <color theme="1"/>
        <name val="Avenir LT Std 55 Roman"/>
        <scheme val="none"/>
      </font>
      <fill>
        <patternFill patternType="none">
          <fgColor indexed="64"/>
          <bgColor indexed="65"/>
        </patternFill>
      </fill>
    </dxf>
    <dxf>
      <font>
        <strike val="0"/>
        <outline val="0"/>
        <shadow val="0"/>
        <u val="none"/>
        <vertAlign val="baseline"/>
        <sz val="12"/>
        <color theme="1"/>
        <name val="Avenir LT Std 55 Roman"/>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168" formatCode="0.0000"/>
    </dxf>
    <dxf>
      <font>
        <strike val="0"/>
        <outline val="0"/>
        <shadow val="0"/>
        <u val="none"/>
        <vertAlign val="baseline"/>
        <sz val="12"/>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rial"/>
        <scheme val="none"/>
      </font>
    </dxf>
    <dxf>
      <font>
        <strike val="0"/>
        <outline val="0"/>
        <shadow val="0"/>
        <u val="none"/>
        <vertAlign val="baseline"/>
        <sz val="12"/>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rial"/>
        <scheme val="none"/>
      </font>
    </dxf>
    <dxf>
      <font>
        <strike val="0"/>
        <outline val="0"/>
        <shadow val="0"/>
        <u val="none"/>
        <vertAlign val="baseline"/>
        <sz val="12"/>
        <name val="Avenir LT Std 55 Roman"/>
        <scheme val="none"/>
      </font>
      <fill>
        <patternFill patternType="none">
          <fgColor indexed="64"/>
          <bgColor auto="1"/>
        </patternFill>
      </fill>
    </dxf>
    <dxf>
      <font>
        <strike val="0"/>
        <outline val="0"/>
        <shadow val="0"/>
        <u val="none"/>
        <vertAlign val="baseline"/>
        <name val="Avenir LT Std 55 Roman"/>
        <scheme val="none"/>
      </font>
      <fill>
        <patternFill patternType="none">
          <fgColor indexed="64"/>
          <bgColor auto="1"/>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2"/>
        <name val="Avenir LT Std 55 Roman"/>
        <scheme val="none"/>
      </font>
      <fill>
        <patternFill patternType="none">
          <fgColor indexed="64"/>
          <bgColor auto="1"/>
        </patternFill>
      </fill>
    </dxf>
    <dxf>
      <font>
        <b/>
        <i val="0"/>
        <strike val="0"/>
        <condense val="0"/>
        <extend val="0"/>
        <outline val="0"/>
        <shadow val="0"/>
        <u val="none"/>
        <vertAlign val="baseline"/>
        <sz val="12"/>
        <color theme="0"/>
        <name val="Avenir LT Std 55 Roman"/>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protection locked="1" hidden="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protection locked="1" hidden="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protection locked="1" hidden="0"/>
    </dxf>
    <dxf>
      <font>
        <b val="0"/>
        <i val="0"/>
        <strike val="0"/>
        <condense val="0"/>
        <extend val="0"/>
        <outline val="0"/>
        <shadow val="0"/>
        <u val="none"/>
        <vertAlign val="baseline"/>
        <sz val="12"/>
        <color theme="0"/>
        <name val="Avenir LT Std 55 Roman"/>
        <scheme val="none"/>
      </font>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protection locked="1" hidden="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protection locked="1" hidden="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protection locked="1" hidden="0"/>
    </dxf>
    <dxf>
      <font>
        <b val="0"/>
        <i val="0"/>
        <strike val="0"/>
        <condense val="0"/>
        <extend val="0"/>
        <outline val="0"/>
        <shadow val="0"/>
        <u val="none"/>
        <vertAlign val="baseline"/>
        <sz val="12"/>
        <color theme="0"/>
        <name val="Avenir LT Std 55 Roman"/>
        <scheme val="none"/>
      </font>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dxf>
    <dxf>
      <font>
        <b val="0"/>
        <i val="0"/>
        <strike val="0"/>
        <condense val="0"/>
        <extend val="0"/>
        <outline val="0"/>
        <shadow val="0"/>
        <u val="none"/>
        <vertAlign val="baseline"/>
        <sz val="12"/>
        <color theme="0"/>
        <name val="Avenir LT Std 55 Roman"/>
        <scheme val="none"/>
      </font>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numFmt numFmtId="2" formatCode="0.00"/>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dxf>
    <dxf>
      <font>
        <strike val="0"/>
        <outline val="0"/>
        <shadow val="0"/>
        <u val="none"/>
        <vertAlign val="baseline"/>
        <name val="Avenir LT Std 55 Roman"/>
        <scheme val="none"/>
      </font>
    </dxf>
    <dxf>
      <font>
        <b val="0"/>
        <i val="0"/>
        <strike val="0"/>
        <condense val="0"/>
        <extend val="0"/>
        <outline val="0"/>
        <shadow val="0"/>
        <u val="none"/>
        <vertAlign val="baseline"/>
        <sz val="12"/>
        <color theme="0"/>
        <name val="Avenir LT Std 55 Roman"/>
        <scheme val="none"/>
      </font>
      <fill>
        <patternFill patternType="none">
          <fgColor indexed="64"/>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venir LT Std 55 Roman"/>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venir LT Std 55 Roman"/>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venir LT Std 55 Roman"/>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venir LT Std 55 Roman"/>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venir LT Std 55 Roman"/>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venir LT Std 55 Roman"/>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venir LT Std 55 Roman"/>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venir LT Std 55 Roman"/>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venir LT Std 55 Roman"/>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venir LT Std 55 Roman"/>
        <scheme val="none"/>
      </font>
      <fill>
        <patternFill patternType="none">
          <fgColor indexed="64"/>
          <bgColor indexed="65"/>
        </patternFill>
      </fill>
    </dxf>
    <dxf>
      <font>
        <b val="0"/>
        <i val="0"/>
        <strike val="0"/>
        <condense val="0"/>
        <extend val="0"/>
        <outline val="0"/>
        <shadow val="0"/>
        <u val="none"/>
        <vertAlign val="baseline"/>
        <sz val="11"/>
        <color auto="1"/>
        <name val="Avenir LT Std 55 Roman"/>
        <scheme val="none"/>
      </font>
      <numFmt numFmtId="2" formatCode="0.00"/>
      <fill>
        <patternFill patternType="none">
          <fgColor indexed="64"/>
          <bgColor indexed="65"/>
        </patternFill>
      </fill>
    </dxf>
    <dxf>
      <font>
        <b val="0"/>
        <i val="0"/>
        <strike val="0"/>
        <condense val="0"/>
        <extend val="0"/>
        <outline val="0"/>
        <shadow val="0"/>
        <u val="none"/>
        <vertAlign val="baseline"/>
        <sz val="11"/>
        <color theme="1"/>
        <name val="Avenir LT Std 55 Roman"/>
        <scheme val="none"/>
      </font>
      <numFmt numFmtId="2" formatCode="0.00"/>
      <fill>
        <patternFill patternType="none">
          <fgColor indexed="64"/>
          <bgColor indexed="65"/>
        </patternFill>
      </fill>
    </dxf>
    <dxf>
      <font>
        <b val="0"/>
        <i val="0"/>
        <strike val="0"/>
        <condense val="0"/>
        <extend val="0"/>
        <outline val="0"/>
        <shadow val="0"/>
        <u val="none"/>
        <vertAlign val="baseline"/>
        <sz val="11"/>
        <color theme="1"/>
        <name val="Avenir LT Std 55 Roman"/>
        <scheme val="none"/>
      </font>
      <fill>
        <patternFill patternType="none">
          <fgColor indexed="64"/>
          <bgColor indexed="65"/>
        </patternFill>
      </fill>
    </dxf>
    <dxf>
      <alignment horizontal="general" vertical="bottom" textRotation="0" wrapText="1" indent="0" justifyLastLine="0" shrinkToFit="0" readingOrder="0"/>
    </dxf>
    <dxf>
      <font>
        <b val="0"/>
        <i val="0"/>
        <strike val="0"/>
        <condense val="0"/>
        <extend val="0"/>
        <outline val="0"/>
        <shadow val="0"/>
        <u val="none"/>
        <vertAlign val="baseline"/>
        <sz val="12"/>
        <color rgb="FF000000"/>
        <name val="Avenir LT Std 55 Roman"/>
        <scheme val="none"/>
      </font>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2"/>
        <color rgb="FF000000"/>
        <name val="Avenir LT Std 55 Roman"/>
        <scheme val="none"/>
      </font>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2"/>
        <color rgb="FF000000"/>
        <name val="Avenir LT Std 55 Roman"/>
        <scheme val="none"/>
      </font>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2"/>
        <color rgb="FF000000"/>
        <name val="Avenir LT Std 55 Roman"/>
        <scheme val="none"/>
      </font>
      <fill>
        <patternFill patternType="none">
          <fgColor indexed="64"/>
          <bgColor indexed="65"/>
        </patternFill>
      </fill>
      <alignment horizontal="general" vertical="top" textRotation="0" wrapText="0" indent="0" justifyLastLine="0" shrinkToFit="1" readingOrder="0"/>
    </dxf>
    <dxf>
      <font>
        <b/>
        <i val="0"/>
        <strike val="0"/>
        <condense val="0"/>
        <extend val="0"/>
        <outline val="0"/>
        <shadow val="0"/>
        <u val="none"/>
        <vertAlign val="baseline"/>
        <sz val="12"/>
        <color theme="0"/>
        <name val="Avenir LT Std 55 Roman"/>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venir LT Std 55 Roman"/>
        <scheme val="none"/>
      </font>
      <numFmt numFmtId="164" formatCode="0.0"/>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2"/>
        <color rgb="FF000000"/>
        <name val="Avenir LT Std 55 Roman"/>
        <scheme val="none"/>
      </font>
      <numFmt numFmtId="164" formatCode="0.0"/>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2"/>
        <color rgb="FF000000"/>
        <name val="Avenir LT Std 55 Roman"/>
        <scheme val="none"/>
      </font>
      <numFmt numFmtId="164" formatCode="0.0"/>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rgb="FF000000"/>
        <name val="Avenir LT Std 55 Roman"/>
        <scheme val="none"/>
      </font>
      <fill>
        <patternFill patternType="none">
          <fgColor indexed="64"/>
          <bgColor indexed="65"/>
        </patternFill>
      </fill>
      <alignment horizontal="general" vertical="top" textRotation="0" wrapText="0" indent="0" justifyLastLine="0" shrinkToFit="1" readingOrder="0"/>
    </dxf>
    <dxf>
      <font>
        <b/>
        <i val="0"/>
        <strike val="0"/>
        <condense val="0"/>
        <extend val="0"/>
        <outline val="0"/>
        <shadow val="0"/>
        <u val="none"/>
        <vertAlign val="baseline"/>
        <sz val="12"/>
        <color theme="0"/>
        <name val="Avenir LT Std 55 Roman"/>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venir LT Std 55 Roman"/>
        <scheme val="none"/>
      </font>
      <numFmt numFmtId="164" formatCode="0.0"/>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2"/>
        <color rgb="FF000000"/>
        <name val="Avenir LT Std 55 Roman"/>
        <scheme val="none"/>
      </font>
      <numFmt numFmtId="164" formatCode="0.0"/>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2"/>
        <color rgb="FF000000"/>
        <name val="Avenir LT Std 55 Roman"/>
        <scheme val="none"/>
      </font>
      <numFmt numFmtId="164" formatCode="0.0"/>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venir LT Std 55 Roman"/>
        <scheme val="none"/>
      </font>
      <numFmt numFmtId="164" formatCode="0.0"/>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rgb="FF000000"/>
        <name val="Avenir LT Std 55 Roman"/>
        <scheme val="none"/>
      </font>
      <fill>
        <patternFill patternType="none">
          <fgColor indexed="64"/>
          <bgColor indexed="65"/>
        </patternFill>
      </fill>
      <alignment horizontal="general" vertical="top" textRotation="0" wrapText="0" indent="0" justifyLastLine="0" shrinkToFit="1" readingOrder="0"/>
    </dxf>
    <dxf>
      <font>
        <b/>
        <i val="0"/>
        <strike val="0"/>
        <condense val="0"/>
        <extend val="0"/>
        <outline val="0"/>
        <shadow val="0"/>
        <u val="none"/>
        <vertAlign val="baseline"/>
        <sz val="12"/>
        <color theme="0"/>
        <name val="Avenir LT Std 55 Roman"/>
        <scheme val="none"/>
      </font>
      <fill>
        <patternFill patternType="solid">
          <fgColor theme="4"/>
          <bgColor theme="4"/>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venir LT Std 55 Roman"/>
        <scheme val="none"/>
      </font>
      <numFmt numFmtId="166" formatCode="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66" formatCode="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66" formatCode="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venir LT Std 55 Roman"/>
        <scheme val="none"/>
      </font>
    </dxf>
    <dxf>
      <font>
        <strike val="0"/>
        <outline val="0"/>
        <shadow val="0"/>
        <u val="none"/>
        <vertAlign val="baseline"/>
        <sz val="12"/>
        <color theme="1"/>
        <name val="Avenir LT Std 55 Roman"/>
        <scheme val="none"/>
      </font>
    </dxf>
    <dxf>
      <font>
        <strike val="0"/>
        <outline val="0"/>
        <shadow val="0"/>
        <u val="none"/>
        <vertAlign val="baseline"/>
        <sz val="12"/>
        <color theme="1"/>
        <name val="Avenir LT Std 55 Roman"/>
        <scheme val="none"/>
      </font>
    </dxf>
    <dxf>
      <font>
        <b val="0"/>
        <i val="0"/>
        <strike val="0"/>
        <condense val="0"/>
        <extend val="0"/>
        <outline val="0"/>
        <shadow val="0"/>
        <u val="none"/>
        <vertAlign val="baseline"/>
        <sz val="12"/>
        <color theme="1"/>
        <name val="Avenir LT Std 55 Roman"/>
        <scheme val="none"/>
      </font>
    </dxf>
    <dxf>
      <font>
        <strike val="0"/>
        <outline val="0"/>
        <shadow val="0"/>
        <u val="none"/>
        <vertAlign val="baseline"/>
        <sz val="12"/>
        <color theme="1"/>
        <name val="Avenir LT Std 55 Roman"/>
        <scheme val="none"/>
      </font>
    </dxf>
    <dxf>
      <font>
        <b/>
        <i val="0"/>
        <strike val="0"/>
        <condense val="0"/>
        <extend val="0"/>
        <outline val="0"/>
        <shadow val="0"/>
        <u val="none"/>
        <vertAlign val="baseline"/>
        <sz val="12"/>
        <color theme="1"/>
        <name val="Avenir LT Std 55 Roman"/>
        <scheme val="none"/>
      </font>
      <alignment horizontal="left" vertical="bottom" textRotation="0" wrapText="1" indent="0" justifyLastLine="0" shrinkToFit="0" readingOrder="0"/>
    </dxf>
    <dxf>
      <font>
        <b val="0"/>
        <i val="0"/>
        <strike val="0"/>
        <condense val="0"/>
        <extend val="0"/>
        <outline val="0"/>
        <shadow val="0"/>
        <u val="none"/>
        <vertAlign val="baseline"/>
        <sz val="12"/>
        <color theme="1"/>
        <name val="Avenir LT Std 55 Roman"/>
        <scheme val="none"/>
      </font>
      <numFmt numFmtId="166" formatCode="0.0%"/>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venir LT Std 55 Roman"/>
        <scheme val="none"/>
      </font>
      <numFmt numFmtId="166" formatCode="0.0%"/>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venir LT Std 55 Roman"/>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Avenir LT Std 55 Roman"/>
        <scheme val="none"/>
      </font>
      <numFmt numFmtId="165" formatCode="&quot;$&quot;#,##0.0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Avenir LT Std 55 Roman"/>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venir LT Std 55 Roman"/>
        <scheme val="none"/>
      </font>
      <fill>
        <patternFill patternType="none">
          <fgColor indexed="64"/>
          <bgColor indexed="65"/>
        </patternFill>
      </fill>
      <alignment horizontal="general" vertical="top" textRotation="0" wrapText="1" indent="0" justifyLastLine="0" shrinkToFit="0" readingOrder="0"/>
    </dxf>
    <dxf>
      <font>
        <strike val="0"/>
        <outline val="0"/>
        <shadow val="0"/>
        <u val="none"/>
        <vertAlign val="baseline"/>
        <sz val="12"/>
        <name val="Avenir LT Std 55 Roman"/>
        <scheme val="none"/>
      </font>
    </dxf>
    <dxf>
      <font>
        <strike val="0"/>
        <outline val="0"/>
        <shadow val="0"/>
        <u val="none"/>
        <vertAlign val="baseline"/>
        <sz val="12"/>
        <name val="Avenir LT Std 55 Roman"/>
        <scheme val="none"/>
      </font>
    </dxf>
    <dxf>
      <font>
        <strike val="0"/>
        <outline val="0"/>
        <shadow val="0"/>
        <u val="none"/>
        <vertAlign val="baseline"/>
        <sz val="12"/>
        <name val="Avenir LT Std 55 Roman"/>
        <scheme val="none"/>
      </font>
    </dxf>
    <dxf>
      <font>
        <strike val="0"/>
        <outline val="0"/>
        <shadow val="0"/>
        <u val="none"/>
        <vertAlign val="baseline"/>
        <sz val="12"/>
        <name val="Avenir LT Std 55 Roman"/>
        <scheme val="none"/>
      </font>
    </dxf>
    <dxf>
      <font>
        <strike val="0"/>
        <outline val="0"/>
        <shadow val="0"/>
        <u val="none"/>
        <vertAlign val="baseline"/>
        <sz val="12"/>
        <name val="Avenir LT Std 55 Roman"/>
        <scheme val="none"/>
      </font>
      <alignment horizontal="right" vertical="bottom" textRotation="0" wrapText="0" indent="0" justifyLastLine="0" shrinkToFit="0" readingOrder="0"/>
    </dxf>
    <dxf>
      <font>
        <strike val="0"/>
        <outline val="0"/>
        <shadow val="0"/>
        <u val="none"/>
        <vertAlign val="baseline"/>
        <sz val="12"/>
        <name val="Avenir LT Std 55 Roman"/>
        <scheme val="none"/>
      </font>
      <alignment horizontal="right" vertical="bottom" textRotation="0" wrapText="0" indent="0" justifyLastLine="0" shrinkToFit="0" readingOrder="0"/>
    </dxf>
    <dxf>
      <font>
        <strike val="0"/>
        <outline val="0"/>
        <shadow val="0"/>
        <u val="none"/>
        <vertAlign val="baseline"/>
        <sz val="12"/>
        <name val="Avenir LT Std 55 Roman"/>
        <scheme val="none"/>
      </font>
    </dxf>
    <dxf>
      <font>
        <strike val="0"/>
        <outline val="0"/>
        <shadow val="0"/>
        <u val="none"/>
        <vertAlign val="baseline"/>
        <sz val="12"/>
        <name val="Avenir LT Std 55 Roman"/>
        <scheme val="none"/>
      </font>
    </dxf>
    <dxf>
      <font>
        <strike val="0"/>
        <outline val="0"/>
        <shadow val="0"/>
        <u val="none"/>
        <vertAlign val="baseline"/>
        <sz val="12"/>
        <name val="Avenir LT Std 55 Roman"/>
        <scheme val="none"/>
      </font>
      <alignment horizontal="left" vertical="bottom" textRotation="0" indent="0" justifyLastLine="0" shrinkToFit="0" readingOrder="0"/>
    </dxf>
    <dxf>
      <font>
        <strike val="0"/>
        <outline val="0"/>
        <shadow val="0"/>
        <u val="none"/>
        <vertAlign val="baseline"/>
        <sz val="12"/>
        <name val="Avenir LT Std 55 Roman"/>
        <scheme val="none"/>
      </font>
    </dxf>
    <dxf>
      <font>
        <b val="0"/>
        <i val="0"/>
        <strike val="0"/>
        <condense val="0"/>
        <extend val="0"/>
        <outline val="0"/>
        <shadow val="0"/>
        <u val="none"/>
        <vertAlign val="baseline"/>
        <sz val="12"/>
        <color theme="1"/>
        <name val="Avenir LT Std 55 Roman"/>
        <scheme val="none"/>
      </font>
    </dxf>
    <dxf>
      <font>
        <strike val="0"/>
        <outline val="0"/>
        <shadow val="0"/>
        <u val="none"/>
        <vertAlign val="baseline"/>
        <sz val="12"/>
        <name val="Avenir LT Std 55 Roman"/>
        <scheme val="none"/>
      </font>
    </dxf>
    <dxf>
      <font>
        <b/>
        <i val="0"/>
        <strike val="0"/>
        <condense val="0"/>
        <extend val="0"/>
        <outline val="0"/>
        <shadow val="0"/>
        <u val="none"/>
        <vertAlign val="baseline"/>
        <sz val="12"/>
        <color theme="1"/>
        <name val="Avenir LT Std 55 Roman"/>
        <scheme val="none"/>
      </font>
      <alignment horizontal="left" vertical="bottom" textRotation="0" wrapText="1" indent="0" justifyLastLine="0" shrinkToFit="0" readingOrder="0"/>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1"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dxf>
    <dxf>
      <font>
        <b val="0"/>
        <i val="0"/>
        <strike val="0"/>
        <condense val="0"/>
        <extend val="0"/>
        <outline val="0"/>
        <shadow val="0"/>
        <u val="none"/>
        <vertAlign val="baseline"/>
        <sz val="12"/>
        <color theme="1"/>
        <name val="Avenir LT Std 55 Roman"/>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fill>
        <patternFill patternType="none">
          <fgColor indexed="64"/>
          <bgColor indexed="65"/>
        </patternFill>
      </fill>
    </dxf>
    <dxf>
      <font>
        <b val="0"/>
        <i val="0"/>
        <strike val="0"/>
        <condense val="0"/>
        <extend val="0"/>
        <outline val="0"/>
        <shadow val="0"/>
        <u val="none"/>
        <vertAlign val="baseline"/>
        <sz val="12"/>
        <color theme="0"/>
        <name val="Avenir LT Std 55 Roman"/>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indexed="65"/>
        </patternFill>
      </fill>
    </dxf>
    <dxf>
      <font>
        <b val="0"/>
        <i val="0"/>
        <strike val="0"/>
        <condense val="0"/>
        <extend val="0"/>
        <outline val="0"/>
        <shadow val="0"/>
        <u val="none"/>
        <vertAlign val="baseline"/>
        <sz val="12"/>
        <color theme="1"/>
        <name val="Avenir LT Std 55 Roman"/>
        <scheme val="none"/>
      </font>
      <fill>
        <patternFill patternType="none">
          <fgColor indexed="64"/>
          <bgColor indexed="65"/>
        </patternFill>
      </fill>
    </dxf>
    <dxf>
      <font>
        <b val="0"/>
        <i val="0"/>
        <strike val="0"/>
        <condense val="0"/>
        <extend val="0"/>
        <outline val="0"/>
        <shadow val="0"/>
        <u val="none"/>
        <vertAlign val="baseline"/>
        <sz val="12"/>
        <color theme="0"/>
        <name val="Avenir LT Std 55 Roman"/>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2"/>
        <color auto="1"/>
        <name val="Avenir LT Std 55 Roman"/>
        <scheme val="none"/>
      </font>
      <fill>
        <patternFill patternType="none">
          <fgColor indexed="64"/>
          <bgColor auto="1"/>
        </patternFill>
      </fill>
      <protection locked="1" hidden="0"/>
    </dxf>
    <dxf>
      <font>
        <b val="0"/>
        <i val="0"/>
        <strike val="0"/>
        <condense val="0"/>
        <extend val="0"/>
        <outline val="0"/>
        <shadow val="0"/>
        <u val="none"/>
        <vertAlign val="baseline"/>
        <sz val="12"/>
        <color auto="1"/>
        <name val="Avenir LT Std 55 Roman"/>
        <scheme val="none"/>
      </font>
      <numFmt numFmtId="3" formatCode="#,##0"/>
      <fill>
        <patternFill patternType="none">
          <fgColor indexed="64"/>
          <bgColor auto="1"/>
        </patternFill>
      </fill>
      <protection locked="1" hidden="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protection locked="1" hidden="0"/>
    </dxf>
    <dxf>
      <font>
        <b val="0"/>
        <i val="0"/>
        <strike val="0"/>
        <condense val="0"/>
        <extend val="0"/>
        <outline val="0"/>
        <shadow val="0"/>
        <u val="none"/>
        <vertAlign val="baseline"/>
        <sz val="12"/>
        <color auto="1"/>
        <name val="Avenir LT Std 55 Roman"/>
        <scheme val="none"/>
      </font>
      <numFmt numFmtId="3" formatCode="#,##0"/>
      <fill>
        <patternFill patternType="none">
          <fgColor indexed="64"/>
          <bgColor indexed="65"/>
        </patternFill>
      </fill>
      <protection locked="1" hidden="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protection locked="1" hidden="0"/>
    </dxf>
    <dxf>
      <font>
        <b val="0"/>
        <i val="0"/>
        <strike val="0"/>
        <condense val="0"/>
        <extend val="0"/>
        <outline val="0"/>
        <shadow val="0"/>
        <u val="none"/>
        <vertAlign val="baseline"/>
        <sz val="12"/>
        <color auto="1"/>
        <name val="Avenir LT Std 55 Roman"/>
        <scheme val="none"/>
      </font>
      <numFmt numFmtId="3" formatCode="#,##0"/>
      <fill>
        <patternFill patternType="none">
          <fgColor indexed="64"/>
          <bgColor indexed="65"/>
        </patternFill>
      </fill>
      <protection locked="1" hidden="0"/>
    </dxf>
    <dxf>
      <font>
        <b val="0"/>
        <i val="0"/>
        <strike val="0"/>
        <condense val="0"/>
        <extend val="0"/>
        <outline val="0"/>
        <shadow val="0"/>
        <u val="none"/>
        <vertAlign val="baseline"/>
        <sz val="12"/>
        <color auto="1"/>
        <name val="Avenir LT Std 55 Roman"/>
        <scheme val="none"/>
      </font>
      <fill>
        <patternFill patternType="none">
          <fgColor indexed="64"/>
          <bgColor auto="1"/>
        </patternFill>
      </fill>
      <protection locked="1" hidden="0"/>
    </dxf>
    <dxf>
      <font>
        <b val="0"/>
        <i val="0"/>
        <strike val="0"/>
        <condense val="0"/>
        <extend val="0"/>
        <outline val="0"/>
        <shadow val="0"/>
        <u val="none"/>
        <vertAlign val="baseline"/>
        <sz val="12"/>
        <color auto="1"/>
        <name val="Avenir LT Std 55 Roman"/>
        <scheme val="none"/>
      </font>
      <numFmt numFmtId="3" formatCode="#,##0"/>
      <fill>
        <patternFill patternType="none">
          <fgColor indexed="64"/>
          <bgColor auto="1"/>
        </patternFill>
      </fill>
      <protection locked="1" hidden="0"/>
    </dxf>
    <dxf>
      <font>
        <strike val="0"/>
        <outline val="0"/>
        <shadow val="0"/>
        <u val="none"/>
        <vertAlign val="baseline"/>
        <sz val="12"/>
        <name val="Avenir LT Std 55 Roman"/>
        <scheme val="none"/>
      </font>
      <fill>
        <patternFill patternType="none">
          <fgColor indexed="64"/>
          <bgColor auto="1"/>
        </patternFill>
      </fill>
      <protection locked="1" hidden="0"/>
    </dxf>
    <dxf>
      <font>
        <strike val="0"/>
        <outline val="0"/>
        <shadow val="0"/>
        <u val="none"/>
        <vertAlign val="baseline"/>
        <sz val="12"/>
        <name val="Avenir LT Std 55 Roman"/>
        <scheme val="none"/>
      </font>
      <numFmt numFmtId="3" formatCode="#,##0"/>
      <fill>
        <patternFill patternType="none">
          <fgColor indexed="64"/>
          <bgColor auto="1"/>
        </patternFill>
      </fill>
      <protection locked="1" hidden="0"/>
    </dxf>
    <dxf>
      <font>
        <b val="0"/>
        <i val="0"/>
        <strike val="0"/>
        <condense val="0"/>
        <extend val="0"/>
        <outline val="0"/>
        <shadow val="0"/>
        <u val="none"/>
        <vertAlign val="baseline"/>
        <sz val="12"/>
        <color auto="1"/>
        <name val="Avenir LT Std 55 Roman"/>
        <scheme val="none"/>
      </font>
      <fill>
        <patternFill patternType="none">
          <fgColor indexed="64"/>
          <bgColor indexed="65"/>
        </patternFill>
      </fill>
      <protection locked="1" hidden="0"/>
    </dxf>
    <dxf>
      <font>
        <b val="0"/>
        <i val="0"/>
        <strike val="0"/>
        <condense val="0"/>
        <extend val="0"/>
        <outline val="0"/>
        <shadow val="0"/>
        <u val="none"/>
        <vertAlign val="baseline"/>
        <sz val="12"/>
        <color auto="1"/>
        <name val="Avenir LT Std 55 Roman"/>
        <scheme val="none"/>
      </font>
      <numFmt numFmtId="3" formatCode="#,##0"/>
      <fill>
        <patternFill patternType="none">
          <fgColor indexed="64"/>
          <bgColor indexed="65"/>
        </patternFill>
      </fill>
      <protection locked="1" hidden="0"/>
    </dxf>
    <dxf>
      <font>
        <b val="0"/>
        <i val="0"/>
        <strike val="0"/>
        <condense val="0"/>
        <extend val="0"/>
        <outline val="0"/>
        <shadow val="0"/>
        <u val="none"/>
        <vertAlign val="baseline"/>
        <sz val="12"/>
        <color theme="1"/>
        <name val="Avenir LT Std 55 Roman"/>
        <scheme val="none"/>
      </font>
      <fill>
        <patternFill patternType="none">
          <fgColor indexed="64"/>
          <bgColor auto="1"/>
        </patternFill>
      </fill>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auto="1"/>
        </patternFill>
      </fill>
      <protection locked="1" hidden="0"/>
    </dxf>
    <dxf>
      <font>
        <b val="0"/>
        <i val="0"/>
        <strike val="0"/>
        <condense val="0"/>
        <extend val="0"/>
        <outline val="0"/>
        <shadow val="0"/>
        <u val="none"/>
        <vertAlign val="baseline"/>
        <sz val="12"/>
        <color theme="1"/>
        <name val="Avenir LT Std 55 Roman"/>
        <scheme val="none"/>
      </font>
      <fill>
        <patternFill patternType="none">
          <fgColor indexed="64"/>
          <bgColor auto="1"/>
        </patternFill>
      </fill>
      <protection locked="1" hidden="0"/>
    </dxf>
    <dxf>
      <font>
        <b val="0"/>
        <i val="0"/>
        <strike val="0"/>
        <condense val="0"/>
        <extend val="0"/>
        <outline val="0"/>
        <shadow val="0"/>
        <u val="none"/>
        <vertAlign val="baseline"/>
        <sz val="12"/>
        <color theme="1"/>
        <name val="Avenir LT Std 55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2"/>
        <color auto="1"/>
        <name val="Avenir LT Std 55 Roman"/>
        <scheme val="none"/>
      </font>
      <fill>
        <patternFill patternType="none">
          <fgColor indexed="64"/>
          <bgColor auto="1"/>
        </patternFill>
      </fill>
      <protection locked="1" hidden="0"/>
    </dxf>
    <dxf>
      <font>
        <b val="0"/>
        <i val="0"/>
        <strike val="0"/>
        <condense val="0"/>
        <extend val="0"/>
        <outline val="0"/>
        <shadow val="0"/>
        <u val="none"/>
        <vertAlign val="baseline"/>
        <sz val="12"/>
        <color auto="1"/>
        <name val="Avenir LT Std 55 Roman"/>
        <scheme val="none"/>
      </font>
      <numFmt numFmtId="0" formatCode="General"/>
      <fill>
        <patternFill patternType="none">
          <fgColor indexed="64"/>
          <bgColor auto="1"/>
        </patternFill>
      </fill>
      <protection locked="1" hidden="0"/>
    </dxf>
    <dxf>
      <font>
        <strike val="0"/>
        <outline val="0"/>
        <shadow val="0"/>
        <u val="none"/>
        <vertAlign val="baseline"/>
        <sz val="12"/>
        <name val="Avenir LT Std 55 Roman"/>
        <scheme val="none"/>
      </font>
      <fill>
        <patternFill patternType="none">
          <fgColor indexed="64"/>
          <bgColor auto="1"/>
        </patternFill>
      </fill>
      <protection locked="1" hidden="0"/>
    </dxf>
    <dxf>
      <font>
        <strike val="0"/>
        <outline val="0"/>
        <shadow val="0"/>
        <u val="none"/>
        <vertAlign val="baseline"/>
        <sz val="12"/>
        <name val="Avenir LT Std 55 Roman"/>
        <scheme val="none"/>
      </font>
      <fill>
        <patternFill patternType="none">
          <fgColor indexed="64"/>
          <bgColor auto="1"/>
        </patternFill>
      </fill>
      <alignment horizontal="general" vertical="bottom" textRotation="0" wrapText="1" indent="0" justifyLastLine="0" shrinkToFit="0" readingOrder="0"/>
    </dxf>
    <dxf>
      <fill>
        <patternFill>
          <bgColor theme="2" tint="-0.89996032593768116"/>
        </patternFill>
      </fill>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4" formatCode="#,##0.00"/>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venir LT Std 55 Roman"/>
        <scheme val="none"/>
      </font>
      <fill>
        <patternFill patternType="solid">
          <fgColor indexed="64"/>
          <bgColor theme="9" tint="0.79998168889431442"/>
        </patternFill>
      </fill>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dxf>
    <dxf>
      <border>
        <bottom style="thin">
          <color indexed="64"/>
        </bottom>
      </border>
    </dxf>
    <dxf>
      <font>
        <b val="0"/>
        <i val="0"/>
        <strike val="0"/>
        <condense val="0"/>
        <extend val="0"/>
        <outline val="0"/>
        <shadow val="0"/>
        <u val="none"/>
        <vertAlign val="baseline"/>
        <sz val="12"/>
        <color theme="1"/>
        <name val="Avenir LT Std 55 Roman"/>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ont>
        <b val="0"/>
        <strike val="0"/>
        <outline val="0"/>
        <shadow val="0"/>
        <sz val="12"/>
        <name val="Avenir LT Std 55 Roman"/>
        <scheme val="none"/>
      </font>
      <numFmt numFmtId="3" formatCode="#,##0"/>
      <fill>
        <patternFill>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strike val="0"/>
        <outline val="0"/>
        <shadow val="0"/>
        <sz val="12"/>
        <name val="Avenir LT Std 55 Roman"/>
        <scheme val="none"/>
      </font>
      <numFmt numFmtId="3" formatCode="#,##0"/>
      <fill>
        <patternFill>
          <fgColor indexed="64"/>
          <bgColor theme="0" tint="-4.9989318521683403E-2"/>
        </patternFill>
      </fill>
      <border diagonalUp="0" diagonalDown="0" outline="0">
        <left style="thin">
          <color indexed="64"/>
        </left>
        <right style="medium">
          <color indexed="64"/>
        </right>
        <top style="thin">
          <color indexed="64"/>
        </top>
        <bottom style="thin">
          <color indexed="64"/>
        </bottom>
      </border>
    </dxf>
    <dxf>
      <font>
        <b val="0"/>
        <strike val="0"/>
        <outline val="0"/>
        <shadow val="0"/>
        <sz val="12"/>
        <name val="Avenir LT Std 55 Roman"/>
        <scheme val="none"/>
      </font>
      <numFmt numFmtId="3" formatCode="#,##0"/>
      <fill>
        <patternFill>
          <fgColor indexed="64"/>
          <bgColor theme="0" tint="-4.9989318521683403E-2"/>
        </patternFill>
      </fill>
      <border diagonalUp="0" diagonalDown="0">
        <left style="thin">
          <color indexed="64"/>
        </left>
        <right style="thin">
          <color indexed="64"/>
        </right>
        <top style="thin">
          <color indexed="64"/>
        </top>
        <bottom style="thin">
          <color indexed="64"/>
        </bottom>
      </border>
    </dxf>
    <dxf>
      <font>
        <b val="0"/>
        <strike val="0"/>
        <outline val="0"/>
        <shadow val="0"/>
        <sz val="12"/>
        <name val="Avenir LT Std 55 Roman"/>
        <scheme val="none"/>
      </font>
      <numFmt numFmtId="3" formatCode="#,##0"/>
      <fill>
        <patternFill>
          <fgColor indexed="64"/>
          <bgColor theme="0" tint="-4.9989318521683403E-2"/>
        </patternFill>
      </fill>
      <border diagonalUp="0" diagonalDown="0">
        <left style="thin">
          <color indexed="64"/>
        </left>
        <right style="thin">
          <color indexed="64"/>
        </right>
        <top style="thin">
          <color indexed="64"/>
        </top>
        <bottom style="thin">
          <color indexed="64"/>
        </bottom>
      </border>
    </dxf>
    <dxf>
      <font>
        <b val="0"/>
        <strike val="0"/>
        <outline val="0"/>
        <shadow val="0"/>
        <sz val="12"/>
        <name val="Avenir LT Std 55 Roman"/>
        <scheme val="none"/>
      </font>
      <numFmt numFmtId="3" formatCode="#,##0"/>
      <fill>
        <patternFill>
          <fgColor indexed="64"/>
          <bgColor theme="0" tint="-4.9989318521683403E-2"/>
        </patternFill>
      </fill>
      <border diagonalUp="0" diagonalDown="0">
        <left style="thin">
          <color indexed="64"/>
        </left>
        <right style="thin">
          <color indexed="64"/>
        </right>
        <top style="thin">
          <color indexed="64"/>
        </top>
        <bottom style="thin">
          <color indexed="64"/>
        </bottom>
      </border>
    </dxf>
    <dxf>
      <font>
        <b val="0"/>
        <strike val="0"/>
        <outline val="0"/>
        <shadow val="0"/>
        <sz val="12"/>
        <name val="Avenir LT Std 55 Roman"/>
        <scheme val="none"/>
      </font>
      <numFmt numFmtId="3" formatCode="#,##0"/>
      <fill>
        <patternFill>
          <fgColor indexed="64"/>
          <bgColor theme="0" tint="-4.9989318521683403E-2"/>
        </patternFill>
      </fill>
      <border diagonalUp="0" diagonalDown="0">
        <left style="thin">
          <color indexed="64"/>
        </left>
        <right style="thin">
          <color indexed="64"/>
        </right>
        <top style="thin">
          <color indexed="64"/>
        </top>
        <bottom style="thin">
          <color indexed="64"/>
        </bottom>
      </border>
    </dxf>
    <dxf>
      <font>
        <b val="0"/>
        <strike val="0"/>
        <outline val="0"/>
        <shadow val="0"/>
        <sz val="12"/>
        <name val="Avenir LT Std 55 Roman"/>
        <scheme val="none"/>
      </font>
      <numFmt numFmtId="3" formatCode="#,##0"/>
      <fill>
        <patternFill>
          <fgColor indexed="64"/>
          <bgColor theme="0" tint="-4.9989318521683403E-2"/>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numFmt numFmtId="164" formatCode="0.0"/>
      <fill>
        <patternFill patternType="solid">
          <fgColor indexed="64"/>
          <bgColor theme="0" tint="-4.9989318521683403E-2"/>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numFmt numFmtId="164" formatCode="0.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venir LT Std 55 Roman"/>
        <scheme val="none"/>
      </font>
      <fill>
        <patternFill patternType="solid">
          <fgColor indexed="64"/>
          <bgColor theme="9" tint="0.79998168889431442"/>
        </patternFill>
      </fill>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strike val="0"/>
        <outline val="0"/>
        <shadow val="0"/>
        <sz val="12"/>
        <name val="Avenir LT Std 55 Roman"/>
        <scheme val="none"/>
      </font>
    </dxf>
    <dxf>
      <border>
        <bottom style="thin">
          <color indexed="64"/>
        </bottom>
      </border>
    </dxf>
    <dxf>
      <font>
        <b val="0"/>
        <i val="0"/>
        <strike val="0"/>
        <condense val="0"/>
        <extend val="0"/>
        <outline val="0"/>
        <shadow val="0"/>
        <u val="none"/>
        <vertAlign val="baseline"/>
        <sz val="12"/>
        <color auto="1"/>
        <name val="Avenir LT Std 55 Roman"/>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s>
  <tableStyles count="0" defaultTableStyle="TableStyleMedium2" defaultPivotStyle="PivotStyleLight16"/>
  <colors>
    <mruColors>
      <color rgb="FF0563C1"/>
      <color rgb="FFFFFF66"/>
      <color rgb="FF009F47"/>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hyperlink" Target="mailto:ahsc@sgc.ca.gov" TargetMode="External"/><Relationship Id="rId2" Type="http://schemas.openxmlformats.org/officeDocument/2006/relationships/hyperlink" Target="http://www.arb.ca.gov/cci-resources" TargetMode="External"/><Relationship Id="rId1" Type="http://schemas.openxmlformats.org/officeDocument/2006/relationships/image" Target="../media/image1.png"/><Relationship Id="rId6" Type="http://schemas.openxmlformats.org/officeDocument/2006/relationships/hyperlink" Target="http://www.arb.ca.gov/auctionproceeds" TargetMode="External"/><Relationship Id="rId5" Type="http://schemas.openxmlformats.org/officeDocument/2006/relationships/hyperlink" Target="mailto:GGRFProgram@arb.ca.gov" TargetMode="External"/><Relationship Id="rId4" Type="http://schemas.openxmlformats.org/officeDocument/2006/relationships/hyperlink" Target="http://www.arb.ca.gov/cci-cobenefits"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arb.ca.gov/cc/capandtrade/auctionproceeds/sgc_ahsc_userguide_110119.pdf"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arb.ca.gov/cc/capandtrade/auctionproceeds/sgc_ahsc_userguide_110119.pd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arb.ca.gov/cc/capandtrade/auctionproceeds/sgc_ahsc_userguide_110119.pd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arb.ca.gov/cc/capandtrade/auctionproceeds/sgc_ahsc_userguide_110119.pdf"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arb.ca.gov/cc/capandtrade/auctionproceeds/sgc_ahsc_userguide_110119.pdf"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85725</xdr:rowOff>
    </xdr:from>
    <xdr:to>
      <xdr:col>4</xdr:col>
      <xdr:colOff>2027743</xdr:colOff>
      <xdr:row>6</xdr:row>
      <xdr:rowOff>37935</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219075" y="85725"/>
          <a:ext cx="8657143" cy="1323810"/>
        </a:xfrm>
        <a:prstGeom prst="rect">
          <a:avLst/>
        </a:prstGeom>
      </xdr:spPr>
    </xdr:pic>
    <xdr:clientData/>
  </xdr:twoCellAnchor>
  <xdr:twoCellAnchor editAs="oneCell">
    <xdr:from>
      <xdr:col>1</xdr:col>
      <xdr:colOff>0</xdr:colOff>
      <xdr:row>8</xdr:row>
      <xdr:rowOff>1</xdr:rowOff>
    </xdr:from>
    <xdr:to>
      <xdr:col>6</xdr:col>
      <xdr:colOff>65246</xdr:colOff>
      <xdr:row>12</xdr:row>
      <xdr:rowOff>142876</xdr:rowOff>
    </xdr:to>
    <xdr:pic>
      <xdr:nvPicPr>
        <xdr:cNvPr id="4" name="Picture 3" descr="For the Strategic Growth Council (SGC) Affordable Housing and Sustainable Communities (AHSC) Program, CARB staff developed this AHSC Benefits Calculator Tool to estimate the net GHG benefit and selected co-benefits of proposed projects.">
          <a:hlinkClick xmlns:r="http://schemas.openxmlformats.org/officeDocument/2006/relationships" r:id="rId2"/>
        </xdr:cNvPr>
        <xdr:cNvPicPr>
          <a:picLocks noChangeAspect="1"/>
        </xdr:cNvPicPr>
      </xdr:nvPicPr>
      <xdr:blipFill rotWithShape="1">
        <a:blip xmlns:r="http://schemas.openxmlformats.org/officeDocument/2006/relationships" r:embed="rId3"/>
        <a:srcRect b="77356"/>
        <a:stretch/>
      </xdr:blipFill>
      <xdr:spPr>
        <a:xfrm>
          <a:off x="190500" y="1752601"/>
          <a:ext cx="11428571" cy="800100"/>
        </a:xfrm>
        <a:prstGeom prst="rect">
          <a:avLst/>
        </a:prstGeom>
      </xdr:spPr>
    </xdr:pic>
    <xdr:clientData/>
  </xdr:twoCellAnchor>
  <xdr:twoCellAnchor editAs="oneCell">
    <xdr:from>
      <xdr:col>1</xdr:col>
      <xdr:colOff>0</xdr:colOff>
      <xdr:row>12</xdr:row>
      <xdr:rowOff>66676</xdr:rowOff>
    </xdr:from>
    <xdr:to>
      <xdr:col>6</xdr:col>
      <xdr:colOff>65246</xdr:colOff>
      <xdr:row>18</xdr:row>
      <xdr:rowOff>29308</xdr:rowOff>
    </xdr:to>
    <xdr:pic>
      <xdr:nvPicPr>
        <xdr:cNvPr id="5" name="Picture 4" descr="This Benefits Calculator Tool estimates net GHG benefit and air pollutant emission co-benefits using methods described in the supporting AHSC Quantification Methodology.  Other co-benefits estimated in this and other benefits calculator tools use methods described in CARB's Co-benefit Assessment Methodologies. ">
          <a:hlinkClick xmlns:r="http://schemas.openxmlformats.org/officeDocument/2006/relationships" r:id="rId4"/>
        </xdr:cNvPr>
        <xdr:cNvPicPr>
          <a:picLocks noChangeAspect="1"/>
        </xdr:cNvPicPr>
      </xdr:nvPicPr>
      <xdr:blipFill rotWithShape="1">
        <a:blip xmlns:r="http://schemas.openxmlformats.org/officeDocument/2006/relationships" r:embed="rId3"/>
        <a:srcRect t="21566" b="47142"/>
        <a:stretch/>
      </xdr:blipFill>
      <xdr:spPr>
        <a:xfrm>
          <a:off x="190500" y="2484561"/>
          <a:ext cx="11429304" cy="1105632"/>
        </a:xfrm>
        <a:prstGeom prst="rect">
          <a:avLst/>
        </a:prstGeom>
      </xdr:spPr>
    </xdr:pic>
    <xdr:clientData/>
  </xdr:twoCellAnchor>
  <xdr:twoCellAnchor editAs="oneCell">
    <xdr:from>
      <xdr:col>1</xdr:col>
      <xdr:colOff>0</xdr:colOff>
      <xdr:row>18</xdr:row>
      <xdr:rowOff>14654</xdr:rowOff>
    </xdr:from>
    <xdr:to>
      <xdr:col>6</xdr:col>
      <xdr:colOff>65246</xdr:colOff>
      <xdr:row>24</xdr:row>
      <xdr:rowOff>58616</xdr:rowOff>
    </xdr:to>
    <xdr:pic>
      <xdr:nvPicPr>
        <xdr:cNvPr id="6" name="Picture 5" descr="CARB released the Draft AHSC Benefits Calculator Tool and Draft AHSC Quantification Methodology for public comment in August 2019.  This Final AHSC Benefits Calculator Tool and accompanying Final AHSC Quantification Methodology have been updated to address public comments, where appropriate, and for consistency with updates to the AHSC Guidelines.  Questions on this Benefits Calculator Tool should be sent to: ">
          <a:hlinkClick xmlns:r="http://schemas.openxmlformats.org/officeDocument/2006/relationships" r:id="rId5"/>
        </xdr:cNvPr>
        <xdr:cNvPicPr>
          <a:picLocks noChangeAspect="1"/>
        </xdr:cNvPicPr>
      </xdr:nvPicPr>
      <xdr:blipFill rotWithShape="1">
        <a:blip xmlns:r="http://schemas.openxmlformats.org/officeDocument/2006/relationships" r:embed="rId3"/>
        <a:srcRect t="52638" b="13789"/>
        <a:stretch/>
      </xdr:blipFill>
      <xdr:spPr>
        <a:xfrm>
          <a:off x="190500" y="3575539"/>
          <a:ext cx="11429304" cy="1186962"/>
        </a:xfrm>
        <a:prstGeom prst="rect">
          <a:avLst/>
        </a:prstGeom>
      </xdr:spPr>
    </xdr:pic>
    <xdr:clientData/>
  </xdr:twoCellAnchor>
  <xdr:twoCellAnchor editAs="oneCell">
    <xdr:from>
      <xdr:col>1</xdr:col>
      <xdr:colOff>0</xdr:colOff>
      <xdr:row>24</xdr:row>
      <xdr:rowOff>36635</xdr:rowOff>
    </xdr:from>
    <xdr:to>
      <xdr:col>6</xdr:col>
      <xdr:colOff>65246</xdr:colOff>
      <xdr:row>25</xdr:row>
      <xdr:rowOff>65942</xdr:rowOff>
    </xdr:to>
    <xdr:pic>
      <xdr:nvPicPr>
        <xdr:cNvPr id="7" name="Picture 6" descr="For more information on CARB’s efforts to support implementation of California Climate Investments, see: ">
          <a:hlinkClick xmlns:r="http://schemas.openxmlformats.org/officeDocument/2006/relationships" r:id="rId6"/>
        </xdr:cNvPr>
        <xdr:cNvPicPr>
          <a:picLocks noChangeAspect="1"/>
        </xdr:cNvPicPr>
      </xdr:nvPicPr>
      <xdr:blipFill rotWithShape="1">
        <a:blip xmlns:r="http://schemas.openxmlformats.org/officeDocument/2006/relationships" r:embed="rId3"/>
        <a:srcRect t="85589" b="8194"/>
        <a:stretch/>
      </xdr:blipFill>
      <xdr:spPr>
        <a:xfrm>
          <a:off x="190500" y="4740520"/>
          <a:ext cx="11429304" cy="219807"/>
        </a:xfrm>
        <a:prstGeom prst="rect">
          <a:avLst/>
        </a:prstGeom>
      </xdr:spPr>
    </xdr:pic>
    <xdr:clientData/>
  </xdr:twoCellAnchor>
  <xdr:twoCellAnchor editAs="oneCell">
    <xdr:from>
      <xdr:col>0</xdr:col>
      <xdr:colOff>189034</xdr:colOff>
      <xdr:row>25</xdr:row>
      <xdr:rowOff>51288</xdr:rowOff>
    </xdr:from>
    <xdr:to>
      <xdr:col>6</xdr:col>
      <xdr:colOff>63780</xdr:colOff>
      <xdr:row>26</xdr:row>
      <xdr:rowOff>171008</xdr:rowOff>
    </xdr:to>
    <xdr:pic>
      <xdr:nvPicPr>
        <xdr:cNvPr id="8" name="Picture 7" descr="Questions pertaining to the AHSC Program should be sent to:">
          <a:hlinkClick xmlns:r="http://schemas.openxmlformats.org/officeDocument/2006/relationships" r:id="rId7"/>
        </xdr:cNvPr>
        <xdr:cNvPicPr>
          <a:picLocks noChangeAspect="1"/>
        </xdr:cNvPicPr>
      </xdr:nvPicPr>
      <xdr:blipFill rotWithShape="1">
        <a:blip xmlns:r="http://schemas.openxmlformats.org/officeDocument/2006/relationships" r:embed="rId3"/>
        <a:srcRect t="91226"/>
        <a:stretch/>
      </xdr:blipFill>
      <xdr:spPr>
        <a:xfrm>
          <a:off x="189034" y="4945673"/>
          <a:ext cx="11429304" cy="3102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85725</xdr:rowOff>
    </xdr:from>
    <xdr:to>
      <xdr:col>7</xdr:col>
      <xdr:colOff>789493</xdr:colOff>
      <xdr:row>6</xdr:row>
      <xdr:rowOff>76035</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285750" y="85725"/>
          <a:ext cx="8657143" cy="13238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7</xdr:col>
      <xdr:colOff>297279</xdr:colOff>
      <xdr:row>6</xdr:row>
      <xdr:rowOff>93609</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285750" y="95250"/>
          <a:ext cx="9250779" cy="13318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168672</xdr:colOff>
      <xdr:row>0</xdr:row>
      <xdr:rowOff>69453</xdr:rowOff>
    </xdr:from>
    <xdr:to>
      <xdr:col>10</xdr:col>
      <xdr:colOff>305613</xdr:colOff>
      <xdr:row>6</xdr:row>
      <xdr:rowOff>71781</xdr:rowOff>
    </xdr:to>
    <xdr:pic>
      <xdr:nvPicPr>
        <xdr:cNvPr id="2" name="Picture 1" title="Logo"/>
        <xdr:cNvPicPr>
          <a:picLocks noChangeAspect="1"/>
        </xdr:cNvPicPr>
      </xdr:nvPicPr>
      <xdr:blipFill>
        <a:blip xmlns:r="http://schemas.openxmlformats.org/officeDocument/2006/relationships" r:embed="rId1"/>
        <a:stretch>
          <a:fillRect/>
        </a:stretch>
      </xdr:blipFill>
      <xdr:spPr>
        <a:xfrm>
          <a:off x="168672" y="69453"/>
          <a:ext cx="9241254" cy="13318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6</xdr:col>
      <xdr:colOff>859254</xdr:colOff>
      <xdr:row>6</xdr:row>
      <xdr:rowOff>150759</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285750" y="152400"/>
          <a:ext cx="9241254" cy="13318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133350</xdr:colOff>
      <xdr:row>0</xdr:row>
      <xdr:rowOff>85725</xdr:rowOff>
    </xdr:from>
    <xdr:to>
      <xdr:col>9</xdr:col>
      <xdr:colOff>478254</xdr:colOff>
      <xdr:row>6</xdr:row>
      <xdr:rowOff>84084</xdr:rowOff>
    </xdr:to>
    <xdr:pic>
      <xdr:nvPicPr>
        <xdr:cNvPr id="2" name="Picture 1" title="Logo"/>
        <xdr:cNvPicPr>
          <a:picLocks noChangeAspect="1"/>
        </xdr:cNvPicPr>
      </xdr:nvPicPr>
      <xdr:blipFill>
        <a:blip xmlns:r="http://schemas.openxmlformats.org/officeDocument/2006/relationships" r:embed="rId1"/>
        <a:stretch>
          <a:fillRect/>
        </a:stretch>
      </xdr:blipFill>
      <xdr:spPr>
        <a:xfrm>
          <a:off x="133350" y="85725"/>
          <a:ext cx="9241254" cy="13318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28575</xdr:colOff>
      <xdr:row>0</xdr:row>
      <xdr:rowOff>171450</xdr:rowOff>
    </xdr:from>
    <xdr:to>
      <xdr:col>4</xdr:col>
      <xdr:colOff>2208951</xdr:colOff>
      <xdr:row>5</xdr:row>
      <xdr:rowOff>142742</xdr:rowOff>
    </xdr:to>
    <xdr:pic>
      <xdr:nvPicPr>
        <xdr:cNvPr id="4" name="Picture 3" title="Logo"/>
        <xdr:cNvPicPr>
          <a:picLocks noChangeAspect="1"/>
        </xdr:cNvPicPr>
      </xdr:nvPicPr>
      <xdr:blipFill>
        <a:blip xmlns:r="http://schemas.openxmlformats.org/officeDocument/2006/relationships" r:embed="rId1"/>
        <a:stretch>
          <a:fillRect/>
        </a:stretch>
      </xdr:blipFill>
      <xdr:spPr>
        <a:xfrm>
          <a:off x="285750" y="171450"/>
          <a:ext cx="6790476" cy="1066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28575</xdr:colOff>
      <xdr:row>0</xdr:row>
      <xdr:rowOff>114300</xdr:rowOff>
    </xdr:from>
    <xdr:to>
      <xdr:col>3</xdr:col>
      <xdr:colOff>1504101</xdr:colOff>
      <xdr:row>5</xdr:row>
      <xdr:rowOff>85592</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152400" y="114300"/>
          <a:ext cx="6790476" cy="10666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28575</xdr:colOff>
      <xdr:row>0</xdr:row>
      <xdr:rowOff>152400</xdr:rowOff>
    </xdr:from>
    <xdr:to>
      <xdr:col>6</xdr:col>
      <xdr:colOff>161076</xdr:colOff>
      <xdr:row>5</xdr:row>
      <xdr:rowOff>123692</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257175" y="152400"/>
          <a:ext cx="6790476" cy="10666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5</xdr:col>
      <xdr:colOff>799251</xdr:colOff>
      <xdr:row>5</xdr:row>
      <xdr:rowOff>37967</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228600" y="66675"/>
          <a:ext cx="6790476" cy="1066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7</xdr:col>
      <xdr:colOff>704001</xdr:colOff>
      <xdr:row>5</xdr:row>
      <xdr:rowOff>66542</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238125" y="95250"/>
          <a:ext cx="6790476" cy="1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190500</xdr:rowOff>
    </xdr:from>
    <xdr:to>
      <xdr:col>6</xdr:col>
      <xdr:colOff>170368</xdr:colOff>
      <xdr:row>6</xdr:row>
      <xdr:rowOff>142710</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142875" y="190500"/>
          <a:ext cx="8657143" cy="1323810"/>
        </a:xfrm>
        <a:prstGeom prst="rect">
          <a:avLst/>
        </a:prstGeom>
      </xdr:spPr>
    </xdr:pic>
    <xdr:clientData/>
  </xdr:twoCellAnchor>
  <xdr:twoCellAnchor editAs="oneCell">
    <xdr:from>
      <xdr:col>1</xdr:col>
      <xdr:colOff>0</xdr:colOff>
      <xdr:row>8</xdr:row>
      <xdr:rowOff>0</xdr:rowOff>
    </xdr:from>
    <xdr:to>
      <xdr:col>5</xdr:col>
      <xdr:colOff>46652</xdr:colOff>
      <xdr:row>10</xdr:row>
      <xdr:rowOff>95188</xdr:rowOff>
    </xdr:to>
    <xdr:pic>
      <xdr:nvPicPr>
        <xdr:cNvPr id="4" name="Picture 3" descr="A step-by-step user guide, including a project example, for this Benefits Calculator Tool is available here.">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90500" y="1762125"/>
          <a:ext cx="7780952" cy="4952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9</xdr:col>
      <xdr:colOff>256326</xdr:colOff>
      <xdr:row>5</xdr:row>
      <xdr:rowOff>114167</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333375" y="142875"/>
          <a:ext cx="6790476" cy="1066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66675</xdr:colOff>
      <xdr:row>0</xdr:row>
      <xdr:rowOff>161925</xdr:rowOff>
    </xdr:from>
    <xdr:to>
      <xdr:col>9</xdr:col>
      <xdr:colOff>256326</xdr:colOff>
      <xdr:row>5</xdr:row>
      <xdr:rowOff>133217</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219075" y="161925"/>
          <a:ext cx="6790476" cy="10666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171450</xdr:rowOff>
    </xdr:from>
    <xdr:to>
      <xdr:col>8</xdr:col>
      <xdr:colOff>332526</xdr:colOff>
      <xdr:row>5</xdr:row>
      <xdr:rowOff>142742</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190500" y="171450"/>
          <a:ext cx="6790476" cy="10666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161925</xdr:rowOff>
    </xdr:from>
    <xdr:to>
      <xdr:col>9</xdr:col>
      <xdr:colOff>256326</xdr:colOff>
      <xdr:row>5</xdr:row>
      <xdr:rowOff>133217</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228600" y="161925"/>
          <a:ext cx="6790476" cy="10666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8</xdr:col>
      <xdr:colOff>751626</xdr:colOff>
      <xdr:row>5</xdr:row>
      <xdr:rowOff>161792</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171450" y="190500"/>
          <a:ext cx="6790476" cy="10666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161925</xdr:rowOff>
    </xdr:from>
    <xdr:to>
      <xdr:col>5</xdr:col>
      <xdr:colOff>408726</xdr:colOff>
      <xdr:row>5</xdr:row>
      <xdr:rowOff>133217</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161925" y="161925"/>
          <a:ext cx="6790476" cy="10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104775</xdr:rowOff>
    </xdr:from>
    <xdr:to>
      <xdr:col>7</xdr:col>
      <xdr:colOff>2884993</xdr:colOff>
      <xdr:row>6</xdr:row>
      <xdr:rowOff>95085</xdr:rowOff>
    </xdr:to>
    <xdr:pic>
      <xdr:nvPicPr>
        <xdr:cNvPr id="4" name="Picture 3" title="Logo"/>
        <xdr:cNvPicPr>
          <a:picLocks noChangeAspect="1"/>
        </xdr:cNvPicPr>
      </xdr:nvPicPr>
      <xdr:blipFill>
        <a:blip xmlns:r="http://schemas.openxmlformats.org/officeDocument/2006/relationships" r:embed="rId1"/>
        <a:stretch>
          <a:fillRect/>
        </a:stretch>
      </xdr:blipFill>
      <xdr:spPr>
        <a:xfrm>
          <a:off x="180975" y="104775"/>
          <a:ext cx="9076243" cy="1323810"/>
        </a:xfrm>
        <a:prstGeom prst="rect">
          <a:avLst/>
        </a:prstGeom>
      </xdr:spPr>
    </xdr:pic>
    <xdr:clientData/>
  </xdr:twoCellAnchor>
  <xdr:twoCellAnchor editAs="oneCell">
    <xdr:from>
      <xdr:col>1</xdr:col>
      <xdr:colOff>0</xdr:colOff>
      <xdr:row>8</xdr:row>
      <xdr:rowOff>0</xdr:rowOff>
    </xdr:from>
    <xdr:to>
      <xdr:col>7</xdr:col>
      <xdr:colOff>2027852</xdr:colOff>
      <xdr:row>10</xdr:row>
      <xdr:rowOff>114238</xdr:rowOff>
    </xdr:to>
    <xdr:pic>
      <xdr:nvPicPr>
        <xdr:cNvPr id="3" name="Picture 2" descr="A step-by-step user guide, including a project example, for this Benefits Calculator Tool is available here.">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90500" y="1714500"/>
          <a:ext cx="7780952" cy="4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114300</xdr:rowOff>
    </xdr:from>
    <xdr:to>
      <xdr:col>12</xdr:col>
      <xdr:colOff>186531</xdr:colOff>
      <xdr:row>6</xdr:row>
      <xdr:rowOff>104610</xdr:rowOff>
    </xdr:to>
    <xdr:pic>
      <xdr:nvPicPr>
        <xdr:cNvPr id="4" name="Picture 3" title="Logo"/>
        <xdr:cNvPicPr>
          <a:picLocks noChangeAspect="1"/>
        </xdr:cNvPicPr>
      </xdr:nvPicPr>
      <xdr:blipFill>
        <a:blip xmlns:r="http://schemas.openxmlformats.org/officeDocument/2006/relationships" r:embed="rId1"/>
        <a:stretch>
          <a:fillRect/>
        </a:stretch>
      </xdr:blipFill>
      <xdr:spPr>
        <a:xfrm>
          <a:off x="171450" y="114300"/>
          <a:ext cx="8657143" cy="1323810"/>
        </a:xfrm>
        <a:prstGeom prst="rect">
          <a:avLst/>
        </a:prstGeom>
      </xdr:spPr>
    </xdr:pic>
    <xdr:clientData/>
  </xdr:twoCellAnchor>
  <xdr:twoCellAnchor editAs="oneCell">
    <xdr:from>
      <xdr:col>1</xdr:col>
      <xdr:colOff>0</xdr:colOff>
      <xdr:row>8</xdr:row>
      <xdr:rowOff>0</xdr:rowOff>
    </xdr:from>
    <xdr:to>
      <xdr:col>11</xdr:col>
      <xdr:colOff>313352</xdr:colOff>
      <xdr:row>10</xdr:row>
      <xdr:rowOff>114238</xdr:rowOff>
    </xdr:to>
    <xdr:pic>
      <xdr:nvPicPr>
        <xdr:cNvPr id="3" name="Picture 2" descr="A step-by-step user guide, including a project example, for this Benefits Calculator Tool is available here.">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90500" y="1714500"/>
          <a:ext cx="7780952" cy="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7</xdr:col>
      <xdr:colOff>662781</xdr:colOff>
      <xdr:row>6</xdr:row>
      <xdr:rowOff>95085</xdr:rowOff>
    </xdr:to>
    <xdr:pic>
      <xdr:nvPicPr>
        <xdr:cNvPr id="4" name="Picture 3" title="Logo"/>
        <xdr:cNvPicPr>
          <a:picLocks noChangeAspect="1"/>
        </xdr:cNvPicPr>
      </xdr:nvPicPr>
      <xdr:blipFill>
        <a:blip xmlns:r="http://schemas.openxmlformats.org/officeDocument/2006/relationships" r:embed="rId1"/>
        <a:stretch>
          <a:fillRect/>
        </a:stretch>
      </xdr:blipFill>
      <xdr:spPr>
        <a:xfrm>
          <a:off x="190500" y="104775"/>
          <a:ext cx="8654256" cy="1323810"/>
        </a:xfrm>
        <a:prstGeom prst="rect">
          <a:avLst/>
        </a:prstGeom>
      </xdr:spPr>
    </xdr:pic>
    <xdr:clientData/>
  </xdr:twoCellAnchor>
  <xdr:twoCellAnchor editAs="oneCell">
    <xdr:from>
      <xdr:col>1</xdr:col>
      <xdr:colOff>0</xdr:colOff>
      <xdr:row>8</xdr:row>
      <xdr:rowOff>0</xdr:rowOff>
    </xdr:from>
    <xdr:to>
      <xdr:col>6</xdr:col>
      <xdr:colOff>903902</xdr:colOff>
      <xdr:row>10</xdr:row>
      <xdr:rowOff>114238</xdr:rowOff>
    </xdr:to>
    <xdr:pic>
      <xdr:nvPicPr>
        <xdr:cNvPr id="5" name="Picture 4" descr="A step-by-step user guide, including a project example, for this Benefits Calculator Tool is available here.">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90500" y="1714500"/>
          <a:ext cx="7780952" cy="4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4</xdr:col>
      <xdr:colOff>2951668</xdr:colOff>
      <xdr:row>6</xdr:row>
      <xdr:rowOff>114135</xdr:rowOff>
    </xdr:to>
    <xdr:pic>
      <xdr:nvPicPr>
        <xdr:cNvPr id="4" name="Picture 3" title="Logo"/>
        <xdr:cNvPicPr>
          <a:picLocks noChangeAspect="1"/>
        </xdr:cNvPicPr>
      </xdr:nvPicPr>
      <xdr:blipFill>
        <a:blip xmlns:r="http://schemas.openxmlformats.org/officeDocument/2006/relationships" r:embed="rId1"/>
        <a:stretch>
          <a:fillRect/>
        </a:stretch>
      </xdr:blipFill>
      <xdr:spPr>
        <a:xfrm>
          <a:off x="0" y="123825"/>
          <a:ext cx="9142918" cy="1323810"/>
        </a:xfrm>
        <a:prstGeom prst="rect">
          <a:avLst/>
        </a:prstGeom>
      </xdr:spPr>
    </xdr:pic>
    <xdr:clientData/>
  </xdr:twoCellAnchor>
  <xdr:twoCellAnchor editAs="oneCell">
    <xdr:from>
      <xdr:col>1</xdr:col>
      <xdr:colOff>0</xdr:colOff>
      <xdr:row>8</xdr:row>
      <xdr:rowOff>0</xdr:rowOff>
    </xdr:from>
    <xdr:to>
      <xdr:col>4</xdr:col>
      <xdr:colOff>2370752</xdr:colOff>
      <xdr:row>10</xdr:row>
      <xdr:rowOff>114238</xdr:rowOff>
    </xdr:to>
    <xdr:pic>
      <xdr:nvPicPr>
        <xdr:cNvPr id="3" name="Picture 2" descr="A step-by-step user guide, including a project example, for this Benefits Calculator Tool is available here.">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90500" y="1714500"/>
          <a:ext cx="7780952" cy="4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85725</xdr:rowOff>
    </xdr:from>
    <xdr:to>
      <xdr:col>3</xdr:col>
      <xdr:colOff>398968</xdr:colOff>
      <xdr:row>6</xdr:row>
      <xdr:rowOff>76035</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57150" y="85725"/>
          <a:ext cx="8657143" cy="13238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57150</xdr:rowOff>
    </xdr:from>
    <xdr:to>
      <xdr:col>4</xdr:col>
      <xdr:colOff>1360993</xdr:colOff>
      <xdr:row>6</xdr:row>
      <xdr:rowOff>47460</xdr:rowOff>
    </xdr:to>
    <xdr:pic>
      <xdr:nvPicPr>
        <xdr:cNvPr id="3" name="Picture 2" title="Logo"/>
        <xdr:cNvPicPr>
          <a:picLocks noChangeAspect="1"/>
        </xdr:cNvPicPr>
      </xdr:nvPicPr>
      <xdr:blipFill>
        <a:blip xmlns:r="http://schemas.openxmlformats.org/officeDocument/2006/relationships" r:embed="rId1"/>
        <a:stretch>
          <a:fillRect/>
        </a:stretch>
      </xdr:blipFill>
      <xdr:spPr>
        <a:xfrm>
          <a:off x="104775" y="57150"/>
          <a:ext cx="8657143" cy="13238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190500</xdr:colOff>
      <xdr:row>0</xdr:row>
      <xdr:rowOff>142875</xdr:rowOff>
    </xdr:from>
    <xdr:to>
      <xdr:col>4</xdr:col>
      <xdr:colOff>379918</xdr:colOff>
      <xdr:row>6</xdr:row>
      <xdr:rowOff>133185</xdr:rowOff>
    </xdr:to>
    <xdr:pic>
      <xdr:nvPicPr>
        <xdr:cNvPr id="4" name="Picture 3" title="Logo"/>
        <xdr:cNvPicPr>
          <a:picLocks noChangeAspect="1"/>
        </xdr:cNvPicPr>
      </xdr:nvPicPr>
      <xdr:blipFill>
        <a:blip xmlns:r="http://schemas.openxmlformats.org/officeDocument/2006/relationships" r:embed="rId1"/>
        <a:stretch>
          <a:fillRect/>
        </a:stretch>
      </xdr:blipFill>
      <xdr:spPr>
        <a:xfrm>
          <a:off x="847725" y="142875"/>
          <a:ext cx="9142918" cy="1323810"/>
        </a:xfrm>
        <a:prstGeom prst="rect">
          <a:avLst/>
        </a:prstGeom>
      </xdr:spPr>
    </xdr:pic>
    <xdr:clientData/>
  </xdr:twoCellAnchor>
  <xdr:twoCellAnchor editAs="oneCell">
    <xdr:from>
      <xdr:col>1</xdr:col>
      <xdr:colOff>0</xdr:colOff>
      <xdr:row>7</xdr:row>
      <xdr:rowOff>0</xdr:rowOff>
    </xdr:from>
    <xdr:to>
      <xdr:col>6</xdr:col>
      <xdr:colOff>179644</xdr:colOff>
      <xdr:row>13</xdr:row>
      <xdr:rowOff>428415</xdr:rowOff>
    </xdr:to>
    <xdr:pic>
      <xdr:nvPicPr>
        <xdr:cNvPr id="2" name="Picture 1" descr="Applicants must use this Benefits Calculator Tool to report the estimated GHG benefits and selected co-benefits associated with proposed projects.  In addition to AHSC application requirements, applicants for GGRF funding are required to document results from the use of this Benefits Calculator Tool, including supporting materials to verify the accuracy of project-specific inputs.  Applicants are required to provide electronic documentation that is complete and sufficient to allow the calculations to be reviewed and replicated.  Paper copies of supporting materials must be available upon request by agency staff.  &#10;The following checklist is provided as a guide to applicants; additional data and/or information may be necessary to support project-specific input assumptions." title="General Documentation"/>
        <xdr:cNvPicPr>
          <a:picLocks noChangeAspect="1"/>
        </xdr:cNvPicPr>
      </xdr:nvPicPr>
      <xdr:blipFill>
        <a:blip xmlns:r="http://schemas.openxmlformats.org/officeDocument/2006/relationships" r:embed="rId2"/>
        <a:stretch>
          <a:fillRect/>
        </a:stretch>
      </xdr:blipFill>
      <xdr:spPr>
        <a:xfrm>
          <a:off x="219075" y="1524000"/>
          <a:ext cx="10647619" cy="1676190"/>
        </a:xfrm>
        <a:prstGeom prst="rect">
          <a:avLst/>
        </a:prstGeom>
      </xdr:spPr>
    </xdr:pic>
    <xdr:clientData/>
  </xdr:twoCellAnchor>
  <xdr:twoCellAnchor editAs="oneCell">
    <xdr:from>
      <xdr:col>1</xdr:col>
      <xdr:colOff>0</xdr:colOff>
      <xdr:row>21</xdr:row>
      <xdr:rowOff>0</xdr:rowOff>
    </xdr:from>
    <xdr:to>
      <xdr:col>5</xdr:col>
      <xdr:colOff>789296</xdr:colOff>
      <xdr:row>24</xdr:row>
      <xdr:rowOff>57062</xdr:rowOff>
    </xdr:to>
    <xdr:pic>
      <xdr:nvPicPr>
        <xdr:cNvPr id="3" name="Picture 2" descr="Some applicant-provided data may require additional documentation to substantiate the inputs.  The expected documentation includes, but is not limited to, that described in the table below, organized by quantifiable project component." title="Project-specific Documentation"/>
        <xdr:cNvPicPr>
          <a:picLocks noChangeAspect="1"/>
        </xdr:cNvPicPr>
      </xdr:nvPicPr>
      <xdr:blipFill>
        <a:blip xmlns:r="http://schemas.openxmlformats.org/officeDocument/2006/relationships" r:embed="rId3"/>
        <a:stretch>
          <a:fillRect/>
        </a:stretch>
      </xdr:blipFill>
      <xdr:spPr>
        <a:xfrm>
          <a:off x="219075" y="5838825"/>
          <a:ext cx="10228571" cy="704762"/>
        </a:xfrm>
        <a:prstGeom prst="rect">
          <a:avLst/>
        </a:prstGeom>
      </xdr:spPr>
    </xdr:pic>
    <xdr:clientData/>
  </xdr:twoCellAnchor>
</xdr:wsDr>
</file>

<file path=xl/tables/table1.xml><?xml version="1.0" encoding="utf-8"?>
<table xmlns="http://schemas.openxmlformats.org/spreadsheetml/2006/main" id="8" name="ATInputs" displayName="ATInputs" ref="B13:X28" totalsRowShown="0" headerRowDxfId="402" dataDxfId="400" headerRowBorderDxfId="401" tableBorderDxfId="399" totalsRowBorderDxfId="398">
  <autoFilter ref="B13:X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name="New Facility or Program Type" dataDxfId="397"/>
    <tableColumn id="2" name="Name or Location" dataDxfId="396"/>
    <tableColumn id="4" name="First Year Operational" dataDxfId="395"/>
    <tableColumn id="5" name="Year F" dataDxfId="394">
      <calculatedColumnFormula>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calculatedColumnFormula>
    </tableColumn>
    <tableColumn id="6" name="Annual Days of Operation" dataDxfId="393">
      <calculatedColumnFormula>IF(OR(ATInputs[New Facility or Program Type]="",ATInputs[New Facility or Program Type]="Bike Share"),"",200)</calculatedColumnFormula>
    </tableColumn>
    <tableColumn id="7" name="One-way Facility Length (miles)" dataDxfId="392"/>
    <tableColumn id="8" name="Length of Average Auto Trip Reduced (miles)" dataDxfId="391">
      <calculatedColumnFormula>IF(ATInputs[New Facility or Program Type]="","",IF(ATInputs[New Facility or Program Type]="Walkway",0.3,1.5))</calculatedColumnFormula>
    </tableColumn>
    <tableColumn id="9" name="Average Daily Traffic (trips/day)" dataDxfId="390"/>
    <tableColumn id="10" name="University Town with Population &lt; 250,000?" dataDxfId="389"/>
    <tableColumn id="11" name="Adjustment Factor" dataDxfId="388">
      <calculatedColumnFormula>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calculatedColumnFormula>
    </tableColumn>
    <tableColumn id="12" name="Key Destinations within 1/4 Mile" dataDxfId="387"/>
    <tableColumn id="13" name="Key Destinations within 1/2 Mile" dataDxfId="386"/>
    <tableColumn id="14" name="Activity Center Credit" dataDxfId="3">
      <calculatedColumnFormula>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calculatedColumnFormula>
    </tableColumn>
    <tableColumn id="22" name="Bike Share Energy Consumption (kWh/mile)" dataDxfId="2"/>
    <tableColumn id="23" name="Average Cost of Bike Share Trip ($)" dataDxfId="0"/>
    <tableColumn id="15" name="Bike Share Trips in Year 1" dataDxfId="1"/>
    <tableColumn id="16" name="Passenger VMT Reductions (miles)" dataDxfId="385">
      <calculatedColumnFormula>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calculatedColumnFormula>
    </tableColumn>
    <tableColumn id="17" name="GHG Emission Reductions (MTCO2e)" dataDxfId="384">
      <calculatedColumnFormula>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calculatedColumnFormula>
    </tableColumn>
    <tableColumn id="18" name="Local ROG Emission Reductions (lbs)" dataDxfId="383">
      <calculatedColumnFormula>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calculatedColumnFormula>
    </tableColumn>
    <tableColumn id="19" name="Local NOx Emission Reductions (lbs)" dataDxfId="382">
      <calculatedColumnFormula>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calculatedColumnFormula>
    </tableColumn>
    <tableColumn id="20" name="Local PM2.5 Emission Reductions (lbs)" dataDxfId="381">
      <calculatedColumnFormula>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calculatedColumnFormula>
    </tableColumn>
    <tableColumn id="21" name="Local Diesel PM10 Emission Reductions (lbs)" dataDxfId="380">
      <calculatedColumnFormula>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calculatedColumnFormula>
    </tableColumn>
    <tableColumn id="3" name="Fossil Fuel Use Reductions (gal)" dataDxfId="379">
      <calculatedColumnFormula>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calculatedColumnFormula>
    </tableColumn>
  </tableColumns>
  <tableStyleInfo showFirstColumn="0" showLastColumn="0" showRowStripes="1" showColumnStripes="0"/>
  <extLst>
    <ext xmlns:x14="http://schemas.microsoft.com/office/spreadsheetml/2009/9/main" uri="{504A1905-F514-4f6f-8877-14C23A59335A}">
      <x14:table altTextSummary="Inputs for new active transportation facilities and programs"/>
    </ext>
  </extLst>
</table>
</file>

<file path=xl/tables/table10.xml><?xml version="1.0" encoding="utf-8"?>
<table xmlns="http://schemas.openxmlformats.org/spreadsheetml/2006/main" id="27" name="TrainEmissions" displayName="TrainEmissions" ref="B41:S46" totalsRowShown="0" headerRowDxfId="188" dataDxfId="187">
  <autoFilter ref="B41:S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name="New Transit Service or Infrastructure Type" dataDxfId="186">
      <calculatedColumnFormula>IF('Transit Inputs'!B14="Heavy Rail",'Transit Inputs'!B14,"")</calculatedColumnFormula>
    </tableColumn>
    <tableColumn id="2" name="Name or Location" dataDxfId="185">
      <calculatedColumnFormula>IF(ISBLANK('Transit Inputs'!C14),"",'Transit Inputs'!C14)</calculatedColumnFormula>
    </tableColumn>
    <tableColumn id="23" name="Useful Life (years)" dataDxfId="184">
      <calculatedColumnFormula>IF(OR(ISBLANK('Transit Inputs'!D14),ISBLANK('Transit Inputs'!E14)),"",'Transit Inputs'!E14-'Transit Inputs'!D14)</calculatedColumnFormula>
    </tableColumn>
    <tableColumn id="12" name="Fuel Type" dataDxfId="183">
      <calculatedColumnFormula>IF(ISBLANK('Transit Inputs'!K14),"",'Transit Inputs'!K14)</calculatedColumnFormula>
    </tableColumn>
    <tableColumn id="29" name="Hybrid?" dataDxfId="182">
      <calculatedColumnFormula>IF(ISBLANK('Transit Inputs'!L14),"",'Transit Inputs'!L14)</calculatedColumnFormula>
    </tableColumn>
    <tableColumn id="14" name="Annual VMT" dataDxfId="181">
      <calculatedColumnFormula>IF(ISBLANK('Transit Inputs'!N14),"",'Transit Inputs'!N14)</calculatedColumnFormula>
    </tableColumn>
    <tableColumn id="10" name="GHG Emission Factor (gCO2e/mile)" dataDxfId="180">
      <calculatedColumnFormula>IFERROR('Locomotive Criteria &amp; Toxic'!$J$21*(IF(TrainEmissions[[#This Row],[Fuel Type]]="Electric",'Modes of Transportation GHG'!$E$19,VLOOKUP(TrainEmissions[[#This Row],[Fuel Type]],'Modes of Transportation GHG'!$B$11:$E$17,4,FALSE)))*IF(TrainEmissions[[#This Row],[Hybrid?]]="Yes",0.8,1),"")</calculatedColumnFormula>
    </tableColumn>
    <tableColumn id="20" name="GHG Emissions (MTCO2e)" dataDxfId="179">
      <calculatedColumnFormula>IFERROR(TrainEmissions[[#This Row],[GHG Emission Factor (gCO2e/mile)]]*TrainEmissions[[#This Row],[Annual VMT]]*TrainEmissions[[#This Row],[Useful Life (years)]]/1000000,"")</calculatedColumnFormula>
    </tableColumn>
    <tableColumn id="35" name="ROG Emission Factor (g/mile)" dataDxfId="178">
      <calculatedColumnFormula>IF(TrainEmissions[[#This Row],[New Transit Service or Infrastructure Type]]="Heavy Rail",IF(OR(TrainEmissions[[#This Row],[Fuel Type]]="Electric",TrainEmissions[[#This Row],[Fuel Type]]="Hydrogen"),0,('Locomotive Criteria &amp; Toxic'!$D$27*'Locomotive Criteria &amp; Toxic'!$J$25*'Locomotive Criteria &amp; Toxic'!$J$21))*IF(TrainEmissions[[#This Row],[Hybrid?]]="Yes",0.8,1),"")</calculatedColumnFormula>
    </tableColumn>
    <tableColumn id="34" name="ROG Emissions (lbs)" dataDxfId="177">
      <calculatedColumnFormula>IFERROR(TrainEmissions[[#This Row],[ROG Emission Factor (g/mile)]]*TrainEmissions[[#This Row],[Annual VMT]]*TrainEmissions[[#This Row],[Useful Life (years)]]/453.59,"")</calculatedColumnFormula>
    </tableColumn>
    <tableColumn id="21" name="NOx Emission Factor (g/mile)" dataDxfId="176">
      <calculatedColumnFormula>IF(TrainEmissions[[#This Row],[New Transit Service or Infrastructure Type]]="Heavy Rail",IF(OR(TrainEmissions[[#This Row],[Fuel Type]]="Electric",TrainEmissions[[#This Row],[Fuel Type]]="Hydrogen"),0,('Locomotive Criteria &amp; Toxic'!$E$27*'Locomotive Criteria &amp; Toxic'!$J$25*'Locomotive Criteria &amp; Toxic'!$J$21))*IF(TrainEmissions[[#This Row],[Hybrid?]]="Yes",0.8,1),"")</calculatedColumnFormula>
    </tableColumn>
    <tableColumn id="33" name="NOx Emissions (lbs)" dataDxfId="175">
      <calculatedColumnFormula>IFERROR(TrainEmissions[[#This Row],[NOx Emission Factor (g/mile)]]*TrainEmissions[[#This Row],[Annual VMT]]*TrainEmissions[[#This Row],[Useful Life (years)]]/453.59,"")</calculatedColumnFormula>
    </tableColumn>
    <tableColumn id="22" name="PM2.5 Emission Factor (g/mile)" dataDxfId="174">
      <calculatedColumnFormula>IF(TrainEmissions[[#This Row],[New Transit Service or Infrastructure Type]]="Heavy Rail",IF(OR(TrainEmissions[[#This Row],[Fuel Type]]="Electric",TrainEmissions[[#This Row],[Fuel Type]]="Hydrogen"),0,('Locomotive Criteria &amp; Toxic'!$F$27*'Locomotive Criteria &amp; Toxic'!$J$25*'Locomotive Criteria &amp; Toxic'!$J$21))*IF(TrainEmissions[[#This Row],[Hybrid?]]="Yes",0.8,1),"")</calculatedColumnFormula>
    </tableColumn>
    <tableColumn id="32" name="PM2.5 Emissions (lbs)" dataDxfId="173">
      <calculatedColumnFormula>IFERROR(TrainEmissions[[#This Row],[PM2.5 Emission Factor (g/mile)]]*TrainEmissions[[#This Row],[Annual VMT]]*TrainEmissions[[#This Row],[Useful Life (years)]]/453.59,"")</calculatedColumnFormula>
    </tableColumn>
    <tableColumn id="31" name="Diesel PM10 Emission Factor (g/mile)" dataDxfId="172">
      <calculatedColumnFormula>IF(TrainEmissions[[#This Row],[New Transit Service or Infrastructure Type]]="Heavy Rail",IF(OR(TrainEmissions[[#This Row],[Fuel Type]]="Electric",TrainEmissions[[#This Row],[Fuel Type]]="Hydrogen"),0,('Locomotive Criteria &amp; Toxic'!$G$27*'Locomotive Criteria &amp; Toxic'!$J$25*'Locomotive Criteria &amp; Toxic'!$J$21))*IF(TrainEmissions[[#This Row],[Hybrid?]]="Yes",0.8,1),"")</calculatedColumnFormula>
    </tableColumn>
    <tableColumn id="30" name="Diesel PM10 Emissions (lbs)" dataDxfId="171">
      <calculatedColumnFormula>IFERROR(TrainEmissions[[#This Row],[Diesel PM10 Emission Factor (g/mile)]]*TrainEmissions[[#This Row],[Annual VMT]]*TrainEmissions[[#This Row],[Useful Life (years)]]/453.59,"")</calculatedColumnFormula>
    </tableColumn>
    <tableColumn id="24" name="Fossil Fuel Use (GGE)" dataDxfId="170">
      <calculatedColumnFormula>IFERROR(IF(OR(TrainEmissions[[#This Row],[Fuel Type]]="Electric", TrainEmissions[[#This Row],[Fuel Type]]="Hydrogen"),0,TrainEmissions[[#This Row],[GHG Emissions (MTCO2e)]]*1000000/VLOOKUP(TrainEmissions[[#This Row],[Fuel Type]],'Modes of Transportation GHG'!$B$11:$E$17,4,FALSE)*1.14),"")</calculatedColumnFormula>
    </tableColumn>
    <tableColumn id="3" name="Alternative Fuel Use (GGE)" dataDxfId="169">
      <calculatedColumnFormula>IFERROR(IF(TrainEmissions[[#This Row],[Fuel Type]]="Electric",TrainEmissions[[#This Row],[GHG Emissions (MTCO2e)]]*1000000/'Modes of Transportation GHG'!$E$19*1.14,IF(TrainEmissions[[#This Row],[Fuel Type]]="Hydrogen",TrainEmissions[[#This Row],[GHG Emissions (MTCO2e)]]*1000000/'Modes of Transportation GHG'!$E$17*1.14,0)),"")</calculatedColumnFormula>
    </tableColumn>
  </tableColumns>
  <tableStyleInfo name="TableStyleMedium9" showFirstColumn="0" showLastColumn="0" showRowStripes="1" showColumnStripes="0"/>
  <extLst>
    <ext xmlns:x14="http://schemas.microsoft.com/office/spreadsheetml/2009/9/main" uri="{504A1905-F514-4f6f-8877-14C23A59335A}">
      <x14:table altText="Heavy Rail Emissions" altTextSummary="Assumes Tier 2 locomotive"/>
    </ext>
  </extLst>
</table>
</file>

<file path=xl/tables/table11.xml><?xml version="1.0" encoding="utf-8"?>
<table xmlns="http://schemas.openxmlformats.org/spreadsheetml/2006/main" id="28" name="VanEmissions" displayName="VanEmissions" ref="B49:T54" totalsRowShown="0" headerRowDxfId="168" dataDxfId="167">
  <autoFilter ref="B49:T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name="New Transit Service or Infrastructure Type" dataDxfId="166">
      <calculatedColumnFormula>IF('Transit Inputs'!B14="Vanpool",'Transit Inputs'!B14,"")</calculatedColumnFormula>
    </tableColumn>
    <tableColumn id="2" name="Name or Location" dataDxfId="165">
      <calculatedColumnFormula>IF(ISBLANK('Transit Inputs'!C14),"",'Transit Inputs'!C14)</calculatedColumnFormula>
    </tableColumn>
    <tableColumn id="23" name="Useful Life (years)" dataDxfId="164">
      <calculatedColumnFormula>IF(OR(ISBLANK('Transit Inputs'!D14),ISBLANK('Transit Inputs'!E14)),"",'Transit Inputs'!E14-'Transit Inputs'!D14)</calculatedColumnFormula>
    </tableColumn>
    <tableColumn id="5" name="YearMid_ModelYear" dataDxfId="163">
      <calculatedColumnFormula>IF(OR(ISBLANK('Transit Inputs'!D14),ISBLANK('Transit Inputs'!E14),ISBLANK('Transit Inputs'!M14)),"",CONCATENATE(ROUNDDOWN(('Transit Inputs'!E14+'Transit Inputs'!D14)/2,0),"_",'Transit Inputs'!M14))</calculatedColumnFormula>
    </tableColumn>
    <tableColumn id="12" name="Fuel Type" dataDxfId="162">
      <calculatedColumnFormula>IF(ISBLANK('Transit Inputs'!K14),"",'Transit Inputs'!K14)</calculatedColumnFormula>
    </tableColumn>
    <tableColumn id="29" name="Hybrid?" dataDxfId="161">
      <calculatedColumnFormula>IF(ISBLANK('Transit Inputs'!L14),"",'Transit Inputs'!L14)</calculatedColumnFormula>
    </tableColumn>
    <tableColumn id="14" name="Annual VMT" dataDxfId="160">
      <calculatedColumnFormula>IF(ISBLANK('Transit Inputs'!N14),"",'Transit Inputs'!N14)</calculatedColumnFormula>
    </tableColumn>
    <tableColumn id="10" name="Year Mid GHG Emission Factor (gCO2e/mile)" dataDxfId="159">
      <calculatedColumnFormula>IFERROR(IF(VanEmissions[[#This Row],[Fuel Type]]="Gasoline",VLOOKUP(VanEmissions[[#This Row],[YearMid_ModelYear]],'Van Criteria &amp; Toxic'!$D$29:$Q$1646,3,FALSE)*11518.14,VLOOKUP(VanEmissions[[#This Row],[YearMid_ModelYear]],'Van Criteria &amp; Toxic'!$D$29:$Q$1646,2,FALSE)*VLOOKUP(VanEmissions[[#This Row],[Fuel Type]],GallonEquivalents[[Fuel Type]:[Units per DGE]],2,FALSE)*IF(VanEmissions[[#This Row],[Fuel Type]]="Biodiesel",3894.89,IF(VanEmissions[[#This Row],[Fuel Type]]="Compressed Natural Gas",77.63,IF(VanEmissions[[#This Row],[Fuel Type]]="Diesel",13507.51,IF(VanEmissions[[#This Row],[Fuel Type]]="Electric",293.36,IF(VanEmissions[[#This Row],[Fuel Type]]="Hydrogen",13393.2,IF(VanEmissions[[#This Row],[Fuel Type]]="Liquefied Natural Gas",8489.99,IF(VanEmissions[[#This Row],[Fuel Type]]="Renewable Diesel",4178.62,""))))))))*IF(VanEmissions[[#This Row],[Hybrid?]]="Yes",0.8,1),"")</calculatedColumnFormula>
    </tableColumn>
    <tableColumn id="20" name="GHG Emissions (MTCO2e)" dataDxfId="158">
      <calculatedColumnFormula>IFERROR(VanEmissions[[#This Row],[Year Mid GHG Emission Factor (gCO2e/mile)]]*VanEmissions[[#This Row],[Annual VMT]]*VanEmissions[[#This Row],[Useful Life (years)]]/1000000,"")</calculatedColumnFormula>
    </tableColumn>
    <tableColumn id="35" name="Year Mid ROG Emission Factor (g/mile)" dataDxfId="157">
      <calculatedColumnFormula>IFERROR(IF(OR(VanEmissions[[#This Row],[Fuel Type]]="Electric",VanEmissions[[#This Row],[Fuel Type]]="Hydrogen"),0,IF(VanEmissions[[#This Row],[Fuel Type]]="Gasoline",VLOOKUP(VanEmissions[[#This Row],[YearMid_ModelYear]],'Van Criteria &amp; Toxic'!$D$30:$Q$1646,5,FALSE),VLOOKUP(VanEmissions[[#This Row],[YearMid_ModelYear]],'Van Criteria &amp; Toxic'!$D$30:$Q$1646,4,FALSE)))*IF(VanEmissions[[#This Row],[Hybrid?]]="Yes",0.8,1),"")</calculatedColumnFormula>
    </tableColumn>
    <tableColumn id="34" name="ROG Emissions (lbs)" dataDxfId="156">
      <calculatedColumnFormula>IFERROR(VanEmissions[[#This Row],[Year Mid ROG Emission Factor (g/mile)]]*VanEmissions[[#This Row],[Annual VMT]]*VanEmissions[[#This Row],[Useful Life (years)]]/453.59,"")</calculatedColumnFormula>
    </tableColumn>
    <tableColumn id="21" name="Year Mid NOx Emission Factor (g/mile)" dataDxfId="155">
      <calculatedColumnFormula>IFERROR(IF(OR(VanEmissions[[#This Row],[Fuel Type]]="Electric",VanEmissions[[#This Row],[Fuel Type]]="Hydrogen"),0,IF(VanEmissions[[#This Row],[Fuel Type]]="Gasoline",VLOOKUP(VanEmissions[[#This Row],[YearMid_ModelYear]],'Van Criteria &amp; Toxic'!$D$30:$Q$1646,7,FALSE),VLOOKUP(VanEmissions[[#This Row],[YearMid_ModelYear]],'Van Criteria &amp; Toxic'!$D$30:$Q$1646,6,FALSE)))*IF(VanEmissions[[#This Row],[Hybrid?]]="Yes",0.8,1),"")</calculatedColumnFormula>
    </tableColumn>
    <tableColumn id="33" name="NOx Emissions (lbs)" dataDxfId="154">
      <calculatedColumnFormula>IFERROR(VanEmissions[[#This Row],[Year Mid NOx Emission Factor (g/mile)]]*VanEmissions[[#This Row],[Annual VMT]]*VanEmissions[[#This Row],[Useful Life (years)]]/453.59,"")</calculatedColumnFormula>
    </tableColumn>
    <tableColumn id="22" name="Year Mid PM2.5 Emission Factor (g/mile)" dataDxfId="153">
      <calculatedColumnFormula>IFERROR(IF(OR(VanEmissions[[#This Row],[Fuel Type]]="Electric",VanEmissions[[#This Row],[Fuel Type]]="Hydrogen"),VLOOKUP(VanEmissions[[#This Row],[YearMid_ModelYear]],'Van Criteria &amp; Toxic'!$D$30:$Q$1646,10,FALSE)+VLOOKUP(VanEmissions[[#This Row],[YearMid_ModelYear]],'Van Criteria &amp; Toxic'!$D$30:$Q$1646,12,FALSE)*0.5,IF(VanEmissions[[#This Row],[Fuel Type]]="Gasoline",VLOOKUP(VanEmissions[[#This Row],[YearMid_ModelYear]],'Van Criteria &amp; Toxic'!$D$30:$Q$1646,9,FALSE)*IF(VanEmissions[[#This Row],[Hybrid?]]="Yes",0.8,1)+VLOOKUP(VanEmissions[[#This Row],[YearMid_ModelYear]],'Van Criteria &amp; Toxic'!$D$30:$Q$1646,11,FALSE)+VLOOKUP(VanEmissions[[#This Row],[YearMid_ModelYear]],'Van Criteria &amp; Toxic'!$D$30:$Q$1646,13,FALSE)*IF(VanEmissions[[#This Row],[Hybrid?]]="Yes",0.5,1),VLOOKUP(VanEmissions[[#This Row],[YearMid_ModelYear]],'Van Criteria &amp; Toxic'!$D$30:$Q$1646,8,FALSE)*IF(VanEmissions[[#This Row],[Hybrid?]]="Yes",0.8,1)+VLOOKUP(VanEmissions[[#This Row],[YearMid_ModelYear]],'Van Criteria &amp; Toxic'!$D$30:$Q$1646,10,FALSE)+VLOOKUP(VanEmissions[[#This Row],[YearMid_ModelYear]],'Van Criteria &amp; Toxic'!$D$30:$Q$1646,12,FALSE)*IF(VanEmissions[[#This Row],[Hybrid?]]="Yes",0.5,1))),"")</calculatedColumnFormula>
    </tableColumn>
    <tableColumn id="32" name="PM2.5 Emissions (lbs)" dataDxfId="152">
      <calculatedColumnFormula>IFERROR(VanEmissions[[#This Row],[Year Mid PM2.5 Emission Factor (g/mile)]]*VanEmissions[[#This Row],[Annual VMT]]*VanEmissions[[#This Row],[Useful Life (years)]]/453.59,"")</calculatedColumnFormula>
    </tableColumn>
    <tableColumn id="31" name="Year Mid Diesel PM10 Emission Factor (g/mile)" dataDxfId="151">
      <calculatedColumnFormula>IFERROR(IF(VanEmissions[[#This Row],[New Transit Service or Infrastructure Type]]="","",IF(OR(VanEmissions[[#This Row],[Fuel Type]]="Diesel",VanEmissions[[#This Row],[Fuel Type]]="Biodiesel",VanEmissions[[#This Row],[Fuel Type]]="Renewable Diesel"),VLOOKUP(VanEmissions[[#This Row],[YearMid_ModelYear]],'Van Criteria &amp; Toxic'!$D$30:$Q$1646,14,FALSE)*IF(VanEmissions[[#This Row],[Hybrid?]]="Yes",0.8,1),0)),"")</calculatedColumnFormula>
    </tableColumn>
    <tableColumn id="30" name="Diesel PM10 Emissions (lbs)" dataDxfId="150">
      <calculatedColumnFormula>IFERROR(VanEmissions[[#This Row],[Year Mid Diesel PM10 Emission Factor (g/mile)]]*VanEmissions[[#This Row],[Annual VMT]]*VanEmissions[[#This Row],[Useful Life (years)]]/453.59,"")</calculatedColumnFormula>
    </tableColumn>
    <tableColumn id="24" name="Fossil Fuel Use (GGE)" dataDxfId="149">
      <calculatedColumnFormula>IFERROR(IF(OR(VanEmissions[[#This Row],[Fuel Type]]="Electric",VanEmissions[[#This Row],[Fuel Type]]="Hydrogen"),0,1000000*VanEmissions[[#This Row],[GHG Emissions (MTCO2e)]]*IF(VanEmissions[[#This Row],[Fuel Type]]="Gasoline",VLOOKUP(VanEmissions[[#This Row],[YearMid_ModelYear]],'Van Criteria &amp; Toxic'!$D$29:$Q$1646,3,FALSE),VLOOKUP(VanEmissions[[#This Row],[YearMid_ModelYear]],'Van Criteria &amp; Toxic'!$D$29:$Q$1646,2,FALSE)/0.78)/VanEmissions[[#This Row],[Year Mid GHG Emission Factor (gCO2e/mile)]]),"")</calculatedColumnFormula>
    </tableColumn>
    <tableColumn id="3" name="Alternative Fuel Use (GGE)" dataDxfId="148">
      <calculatedColumnFormula>IFERROR(IF(OR(VanEmissions[[#This Row],[Fuel Type]]="Electric",VanEmissions[[#This Row],[Fuel Type]]="Hydrogen"),1000000*VanEmissions[[#This Row],[GHG Emissions (MTCO2e)]]*VLOOKUP(VanEmissions[[#This Row],[YearMid_ModelYear]],'Van Criteria &amp; Toxic'!$D$29:$Q$1646,2,FALSE)/(0.78*VanEmissions[[#This Row],[Year Mid GHG Emission Factor (gCO2e/mile)]]),0),"")</calculatedColumnFormula>
    </tableColumn>
  </tableColumns>
  <tableStyleInfo name="TableStyleMedium9" showFirstColumn="0" showLastColumn="0" showRowStripes="1" showColumnStripes="0"/>
  <extLst>
    <ext xmlns:x14="http://schemas.microsoft.com/office/spreadsheetml/2009/9/main" uri="{504A1905-F514-4f6f-8877-14C23A59335A}">
      <x14:table altText="Vanpool Emissions"/>
    </ext>
  </extLst>
</table>
</file>

<file path=xl/tables/table12.xml><?xml version="1.0" encoding="utf-8"?>
<table xmlns="http://schemas.openxmlformats.org/spreadsheetml/2006/main" id="29" name="ShuttleEmissions" displayName="ShuttleEmissions" ref="B57:T62" totalsRowShown="0" headerRowDxfId="147" dataDxfId="146">
  <autoFilter ref="B57:T6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name="New Transit Service or Infrastructure Type" dataDxfId="145">
      <calculatedColumnFormula>IF('Transit Inputs'!B14="Shuttle",'Transit Inputs'!B14,"")</calculatedColumnFormula>
    </tableColumn>
    <tableColumn id="2" name="Name or Location" dataDxfId="144">
      <calculatedColumnFormula>IF(ISBLANK('Transit Inputs'!C14),"",'Transit Inputs'!C14)</calculatedColumnFormula>
    </tableColumn>
    <tableColumn id="23" name="Useful Life (years)" dataDxfId="143">
      <calculatedColumnFormula>IF(OR(ISBLANK('Transit Inputs'!D14),ISBLANK('Transit Inputs'!E14)),"",'Transit Inputs'!E14-'Transit Inputs'!D14)</calculatedColumnFormula>
    </tableColumn>
    <tableColumn id="5" name="YearMid_ModelYear" dataDxfId="142">
      <calculatedColumnFormula>IF(OR(ISBLANK('Transit Inputs'!D14),ISBLANK('Transit Inputs'!E14),ISBLANK('Transit Inputs'!M14)),"",CONCATENATE(ROUNDDOWN(('Transit Inputs'!E14+'Transit Inputs'!D14)/2,0),"_",'Transit Inputs'!M14))</calculatedColumnFormula>
    </tableColumn>
    <tableColumn id="12" name="Fuel Type" dataDxfId="141">
      <calculatedColumnFormula>IF(ISBLANK('Transit Inputs'!K14),"",'Transit Inputs'!K14)</calculatedColumnFormula>
    </tableColumn>
    <tableColumn id="29" name="Hybrid?" dataDxfId="140">
      <calculatedColumnFormula>IF(ISBLANK('Transit Inputs'!L14),"",'Transit Inputs'!L14)</calculatedColumnFormula>
    </tableColumn>
    <tableColumn id="14" name="Annual VMT" dataDxfId="139">
      <calculatedColumnFormula>IF(ISBLANK('Transit Inputs'!N14),"",'Transit Inputs'!N14)</calculatedColumnFormula>
    </tableColumn>
    <tableColumn id="10" name="Year Mid GHG Emission Factor (gCO2e/mile)" dataDxfId="138">
      <calculatedColumnFormula>IFERROR(IF(ShuttleEmissions[[#This Row],[Fuel Type]]="Diesel",VLOOKUP(ShuttleEmissions[[#This Row],[YearMid_ModelYear]],'Cut-a-way Criteria &amp; Toxic'!$D$30:$F$1594,2,FALSE)*'Modes of Transportation GHG'!$D$25,VLOOKUP(ShuttleEmissions[[#This Row],[YearMid_ModelYear]],'Cut-a-way Criteria &amp; Toxic'!$D$30:$F$1594,3,FALSE)*VLOOKUP(ShuttleEmissions[[#This Row],[Fuel Type]],'Modes of Transportation GHG'!$B$12:$D$22,3,FALSE)*1.14)*IF(ShuttleEmissions[[#This Row],[Hybrid?]]="Yes",0.8,1),"")</calculatedColumnFormula>
    </tableColumn>
    <tableColumn id="20" name="GHG Emissions (MTCO2e)" dataDxfId="137">
      <calculatedColumnFormula>IFERROR(ShuttleEmissions[[#This Row],[Year Mid GHG Emission Factor (gCO2e/mile)]]*ShuttleEmissions[[#This Row],[Annual VMT]]*ShuttleEmissions[[#This Row],[Useful Life (years)]]/1000000,"")</calculatedColumnFormula>
    </tableColumn>
    <tableColumn id="35" name="Year Mid ROG Emission Factor (g/mile)" dataDxfId="136">
      <calculatedColumnFormula>IFERROR(IF(OR(ShuttleEmissions[[#This Row],[Fuel Type]]="Electric",ShuttleEmissions[[#This Row],[Fuel Type]]="Hydrogen"),0,IF(ShuttleEmissions[[#This Row],[Fuel Type]]="Gasoline",VLOOKUP(ShuttleEmissions[[#This Row],[YearMid_ModelYear]],'Cut-a-way Criteria &amp; Toxic'!$D$29:$M$1594,5,FALSE),VLOOKUP(ShuttleEmissions[[#This Row],[YearMid_ModelYear]],'Cut-a-way Criteria &amp; Toxic'!$D$29:$M$1594,4,FALSE)))*IF(ShuttleEmissions[[#This Row],[Hybrid?]]="Yes",0.8,1),"")</calculatedColumnFormula>
    </tableColumn>
    <tableColumn id="34" name="ROG Emissions (lbs)" dataDxfId="135">
      <calculatedColumnFormula>IFERROR(ShuttleEmissions[[#This Row],[Year Mid ROG Emission Factor (g/mile)]]*ShuttleEmissions[[#This Row],[Annual VMT]]*ShuttleEmissions[[#This Row],[Useful Life (years)]]/453.59,"")</calculatedColumnFormula>
    </tableColumn>
    <tableColumn id="21" name="Year Mid NOx Emission Factor (g/mile)" dataDxfId="134">
      <calculatedColumnFormula>IFERROR(IF(OR(ShuttleEmissions[[#This Row],[Fuel Type]]="Electric",ShuttleEmissions[[#This Row],[Fuel Type]]="Hydrogen"),0,IF(ShuttleEmissions[[#This Row],[Fuel Type]]="Gasoline",VLOOKUP(ShuttleEmissions[[#This Row],[YearMid_ModelYear]],'Cut-a-way Criteria &amp; Toxic'!$D$29:$M$1594,7,FALSE),VLOOKUP(ShuttleEmissions[[#This Row],[YearMid_ModelYear]],'Cut-a-way Criteria &amp; Toxic'!$D$29:$M$1594,6,FALSE)))*IF(ShuttleEmissions[[#This Row],[Hybrid?]]="Yes",0.8,1),"")</calculatedColumnFormula>
    </tableColumn>
    <tableColumn id="33" name="NOx Emissions (lbs)" dataDxfId="133">
      <calculatedColumnFormula>IFERROR(ShuttleEmissions[[#This Row],[Year Mid NOx Emission Factor (g/mile)]]*ShuttleEmissions[[#This Row],[Annual VMT]]*ShuttleEmissions[[#This Row],[Useful Life (years)]]/453.59,"")</calculatedColumnFormula>
    </tableColumn>
    <tableColumn id="22" name="Year Mid PM2.5 Emission Factor (g/mile)" dataDxfId="132">
      <calculatedColumnFormula>IFERROR(IF(OR(ShuttleEmissions[[#This Row],[Fuel Type]]="Electric",ShuttleEmissions[[#This Row],[Fuel Type]]="Hydrogen"),('Cut-a-way Criteria &amp; Toxic'!$P$30+0.5*'Cut-a-way Criteria &amp; Toxic'!$R$30),IF(ShuttleEmissions[[#This Row],[Fuel Type]]="Gasoline",VLOOKUP(ShuttleEmissions[[#This Row],[YearMid_ModelYear]],'Cut-a-way Criteria &amp; Toxic'!$D$29:$M$1594,9,FALSE)*IF(ShuttleEmissions[[#This Row],[Hybrid?]]="Yes",0.8,1)+'Cut-a-way Criteria &amp; Toxic'!$P$30+'Cut-a-way Criteria &amp; Toxic'!$R$30*IF(ShuttleEmissions[[#This Row],[Hybrid?]]="Yes",0.5,1),VLOOKUP(ShuttleEmissions[[#This Row],[YearMid_ModelYear]],'Cut-a-way Criteria &amp; Toxic'!$D$29:$M$1594,8,FALSE)*IF(ShuttleEmissions[[#This Row],[Hybrid?]]="Yes",0.8,1)+'Cut-a-way Criteria &amp; Toxic'!$O$30+'Cut-a-way Criteria &amp; Toxic'!$Q$30*IF(ShuttleEmissions[[#This Row],[Hybrid?]]="Yes",0.5,1))),"")</calculatedColumnFormula>
    </tableColumn>
    <tableColumn id="32" name="PM2.5 Emissions (lbs)" dataDxfId="131">
      <calculatedColumnFormula>IFERROR(ShuttleEmissions[[#This Row],[Year Mid ROG Emission Factor (g/mile)]]*ShuttleEmissions[[#This Row],[Annual VMT]]*ShuttleEmissions[[#This Row],[Useful Life (years)]]/453.59,"")</calculatedColumnFormula>
    </tableColumn>
    <tableColumn id="31" name="Year Mid Diesel PM10 Emission Factor (g/mile)" dataDxfId="130">
      <calculatedColumnFormula>IF(ShuttleEmissions[[#This Row],[New Transit Service or Infrastructure Type]]="","",IF(OR(ShuttleEmissions[[#This Row],[Fuel Type]]="Diesel",ShuttleEmissions[[#This Row],[Fuel Type]]="Biodiesel",ShuttleEmissions[[#This Row],[Fuel Type]]="Renewable Diesel"),VLOOKUP(ShuttleEmissions[[#This Row],[YearMid_ModelYear]],'Cut-a-way Criteria &amp; Toxic'!$D$29:$M$1594,10,FALSE)*IF(ShuttleEmissions[[#This Row],[Hybrid?]]="Yes",0.8,1),0))</calculatedColumnFormula>
    </tableColumn>
    <tableColumn id="30" name="Diesel PM10 Emissions (lbs)" dataDxfId="129">
      <calculatedColumnFormula>IFERROR(ShuttleEmissions[[#This Row],[Year Mid Diesel PM10 Emission Factor (g/mile)]]*ShuttleEmissions[[#This Row],[Annual VMT]]*ShuttleEmissions[[#This Row],[Useful Life (years)]]/453.59,"")</calculatedColumnFormula>
    </tableColumn>
    <tableColumn id="24" name="Fossil Fuel Use (GGE)" dataDxfId="128">
      <calculatedColumnFormula>IFERROR(IF(OR(ShuttleEmissions[[#This Row],[Fuel Type]]="Electric", ShuttleEmissions[[#This Row],[Fuel Type]]="Hydrogen"),0,IF(ShuttleEmissions[[#This Row],[Fuel Type]]="Diesel",ShuttleEmissions[[#This Row],[GHG Emissions (MTCO2e)]]*1000000/'Modes of Transportation GHG'!$D$25*1.14,ShuttleEmissions[[#This Row],[GHG Emissions (MTCO2e)]]*1000000/VLOOKUP(ShuttleEmissions[[#This Row],[Fuel Type]],'Modes of Transportation GHG'!$B$12:$D$22,3,FALSE))),"")</calculatedColumnFormula>
    </tableColumn>
    <tableColumn id="3" name="Alternative Fuel Use (GGE)" dataDxfId="127">
      <calculatedColumnFormula>IFERROR(IF(OR(ShuttleEmissions[[#This Row],[Fuel Type]]="Electric", ShuttleEmissions[[#This Row],[Fuel Type]]="Hydrogen"),ShuttleEmissions[[#This Row],[GHG Emissions (MTCO2e)]]*1000000/VLOOKUP(ShuttleEmissions[[#This Row],[Fuel Type]],'Modes of Transportation GHG'!$B$17:$D$28,3,FALSE),0),"")</calculatedColumnFormula>
    </tableColumn>
  </tableColumns>
  <tableStyleInfo name="TableStyleMedium9" showFirstColumn="0" showLastColumn="0" showRowStripes="1" showColumnStripes="0"/>
  <extLst>
    <ext xmlns:x14="http://schemas.microsoft.com/office/spreadsheetml/2009/9/main" uri="{504A1905-F514-4f6f-8877-14C23A59335A}">
      <x14:table altText="Shuttle Emissions"/>
    </ext>
  </extLst>
</table>
</file>

<file path=xl/tables/table13.xml><?xml version="1.0" encoding="utf-8"?>
<table xmlns="http://schemas.openxmlformats.org/spreadsheetml/2006/main" id="30" name="FerryEmissions" displayName="FerryEmissions" ref="B65:T70" totalsRowShown="0" headerRowDxfId="126" dataDxfId="125">
  <autoFilter ref="B65:T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name="New Transit Service or Infrastructure Type" dataDxfId="124">
      <calculatedColumnFormula>IF('Transit Inputs'!B14="Ferry",'Transit Inputs'!B14,"")</calculatedColumnFormula>
    </tableColumn>
    <tableColumn id="2" name="Name or Location" dataDxfId="123">
      <calculatedColumnFormula>IF(ISBLANK('Transit Inputs'!C14),"",'Transit Inputs'!C14)</calculatedColumnFormula>
    </tableColumn>
    <tableColumn id="23" name="Useful Life (years)" dataDxfId="122">
      <calculatedColumnFormula>IF(OR(ISBLANK('Transit Inputs'!D14),ISBLANK('Transit Inputs'!E14)),"",'Transit Inputs'!E14-'Transit Inputs'!D14)</calculatedColumnFormula>
    </tableColumn>
    <tableColumn id="5" name="Model Year" dataDxfId="121">
      <calculatedColumnFormula>IF(ISBLANK('Transit Inputs'!M14),"",'Transit Inputs'!M14)</calculatedColumnFormula>
    </tableColumn>
    <tableColumn id="12" name="Fuel Type" dataDxfId="120">
      <calculatedColumnFormula>IF(ISBLANK('Transit Inputs'!K14),"",'Transit Inputs'!K14)</calculatedColumnFormula>
    </tableColumn>
    <tableColumn id="29" name="Hybrid?" dataDxfId="119">
      <calculatedColumnFormula>IF(ISBLANK('Transit Inputs'!L14),"",'Transit Inputs'!L14)</calculatedColumnFormula>
    </tableColumn>
    <tableColumn id="15" name="Annual Fuel Consumption" dataDxfId="118">
      <calculatedColumnFormula>IF(ISBLANK('Transit Inputs'!O14),"",'Transit Inputs'!O14)</calculatedColumnFormula>
    </tableColumn>
    <tableColumn id="10" name="GHG Emission Factor (gCO2e/unit fuel)" dataDxfId="117">
      <calculatedColumnFormula>IFERROR(VLOOKUP(FerryEmissions[[#This Row],[Fuel Type]],'Modes of Transportation GHG'!$B$11:$G$22,6,FALSE)*IF(FerryEmissions[[#This Row],[Hybrid?]]="Yes",0.8,1),"")</calculatedColumnFormula>
    </tableColumn>
    <tableColumn id="20" name="GHG Emissions (MTCO2e)" dataDxfId="116">
      <calculatedColumnFormula>IFERROR(FerryEmissions[[#This Row],[GHG Emission Factor (gCO2e/unit fuel)]]*FerryEmissions[[#This Row],[Annual Fuel Consumption]]*FerryEmissions[[#This Row],[Useful Life (years)]]/1000000,"")</calculatedColumnFormula>
    </tableColumn>
    <tableColumn id="35" name="ROG Emission Factor (g/unit of fuel)" dataDxfId="115">
      <calculatedColumnFormula>IF(FerryEmissions[[#This Row],[Model Year]]="","",IF(OR(FerryEmissions[[#This Row],[Fuel Type]]="Electric",FerryEmissions[[#This Row],[Fuel Type]]="Hydrogen"),0,IF(FerryEmissions[[#This Row],[Model Year]]&gt;=2014,'Ferry Criteria &amp; Toxic'!$C$13*IF(FerryEmissions[[#This Row],[Hybrid?]]="Yes",0.8,1),"")))</calculatedColumnFormula>
    </tableColumn>
    <tableColumn id="34" name="ROG Emissions (lbs)" dataDxfId="114">
      <calculatedColumnFormula>IFERROR(FerryEmissions[[#This Row],[ROG Emission Factor (g/unit of fuel)]]*FerryEmissions[[#This Row],[Annual Fuel Consumption]]*FerryEmissions[[#This Row],[Useful Life (years)]]/453.59,"")</calculatedColumnFormula>
    </tableColumn>
    <tableColumn id="21" name="NOx Emission Factor (g/unit of fuel)" dataDxfId="113">
      <calculatedColumnFormula>IF(FerryEmissions[[#This Row],[Model Year]]="","",IF(OR(FerryEmissions[[#This Row],[Fuel Type]]="Electric",FerryEmissions[[#This Row],[Fuel Type]]="Hydrogen"),0,IF(FerryEmissions[[#This Row],[Model Year]]&gt;=2014,'Ferry Criteria &amp; Toxic'!$D$13*IF(FerryEmissions[[#This Row],[Hybrid?]]="Yes",0.8,1),"")))</calculatedColumnFormula>
    </tableColumn>
    <tableColumn id="33" name="NOx Emissions (lbs)" dataDxfId="112">
      <calculatedColumnFormula>IFERROR(FerryEmissions[[#This Row],[NOx Emission Factor (g/unit of fuel)]]*FerryEmissions[[#This Row],[Annual Fuel Consumption]]*FerryEmissions[[#This Row],[Useful Life (years)]]/453.59,"")</calculatedColumnFormula>
    </tableColumn>
    <tableColumn id="22" name="PM2.5 Emission Factor (g/unit of fuel)" dataDxfId="111">
      <calculatedColumnFormula>IF(FerryEmissions[[#This Row],[Model Year]]="","",IF(OR(FerryEmissions[[#This Row],[Fuel Type]]="Electric",FerryEmissions[[#This Row],[Fuel Type]]="Hydrogen"),0,IF(FerryEmissions[[#This Row],[Model Year]]&gt;=2014,'Ferry Criteria &amp; Toxic'!$E$13*IF(FerryEmissions[[#This Row],[Hybrid?]]="Yes",0.8,1),"")))</calculatedColumnFormula>
    </tableColumn>
    <tableColumn id="32" name="PM2.5 Emissions (lbs)" dataDxfId="110">
      <calculatedColumnFormula>IFERROR(FerryEmissions[[#This Row],[PM2.5 Emission Factor (g/unit of fuel)]]*FerryEmissions[[#This Row],[Annual Fuel Consumption]]*FerryEmissions[[#This Row],[Useful Life (years)]]/453.59,"")</calculatedColumnFormula>
    </tableColumn>
    <tableColumn id="31" name="Diesel PM10 Emission Factor (g/unit of fuel)" dataDxfId="109">
      <calculatedColumnFormula>IF(FerryEmissions[[#This Row],[Model Year]]="","",IF(OR(FerryEmissions[[#This Row],[Fuel Type]]="Electric",FerryEmissions[[#This Row],[Fuel Type]]="Hydrogen"),0,IF(FerryEmissions[[#This Row],[Model Year]]&gt;=2014,'Ferry Criteria &amp; Toxic'!$F$13*IF(FerryEmissions[[#This Row],[Hybrid?]]="Yes",0.8,1),"")))</calculatedColumnFormula>
    </tableColumn>
    <tableColumn id="30" name="Diesel PM10 Emissions (lbs)" dataDxfId="108">
      <calculatedColumnFormula>IFERROR(FerryEmissions[[#This Row],[Diesel PM10 Emission Factor (g/unit of fuel)]]*FerryEmissions[[#This Row],[Annual Fuel Consumption]]*FerryEmissions[[#This Row],[Useful Life (years)]]/453.59,"")</calculatedColumnFormula>
    </tableColumn>
    <tableColumn id="24" name="Fossil Fuel Use (GGE)" dataDxfId="107">
      <calculatedColumnFormula>IFERROR(IF(OR(FerryEmissions[[#This Row],[Fuel Type]]="Electric",FerryEmissions[[#This Row],[Fuel Type]]="Hydrogen"),0,FerryEmissions[[#This Row],[Annual Fuel Consumption]]*FerryEmissions[[#This Row],[Useful Life (years)]]/VLOOKUP(FerryEmissions[[#This Row],[Fuel Type]],GallonEquivalents[],3,FALSE)),"")</calculatedColumnFormula>
    </tableColumn>
    <tableColumn id="3" name="Alternative Fuel Use (GGE)" dataDxfId="106">
      <calculatedColumnFormula>IFERROR(IF(OR(FerryEmissions[[#This Row],[Fuel Type]]="Electric",FerryEmissions[[#This Row],[Fuel Type]]="Hydrogen"),FerryEmissions[[#This Row],[Annual Fuel Consumption]]*FerryEmissions[[#This Row],[Useful Life (years)]]/VLOOKUP(FerryEmissions[[#This Row],[Fuel Type]],GallonEquivalents[],3,FALSE),0),"")</calculatedColumnFormula>
    </tableColumn>
  </tableColumns>
  <tableStyleInfo name="TableStyleMedium9" showFirstColumn="0" showLastColumn="0" showRowStripes="1" showColumnStripes="0"/>
  <extLst>
    <ext xmlns:x14="http://schemas.microsoft.com/office/spreadsheetml/2009/9/main" uri="{504A1905-F514-4f6f-8877-14C23A59335A}">
      <x14:table altText="Ferry Emissions"/>
    </ext>
  </extLst>
</table>
</file>

<file path=xl/tables/table14.xml><?xml version="1.0" encoding="utf-8"?>
<table xmlns="http://schemas.openxmlformats.org/spreadsheetml/2006/main" id="2" name="DensityRequirements" displayName="DensityRequirements" ref="V9:W12" totalsRowShown="0" headerRowDxfId="105" dataDxfId="104">
  <autoFilter ref="V9:W12">
    <filterColumn colId="0" hiddenButton="1"/>
    <filterColumn colId="1" hiddenButton="1"/>
  </autoFilter>
  <tableColumns count="2">
    <tableColumn id="1" name="Project Area Type" dataDxfId="103"/>
    <tableColumn id="2" name="Dwelling Units per Acre" dataDxfId="102"/>
  </tableColumns>
  <tableStyleInfo name="TableStyleMedium9" showFirstColumn="0" showLastColumn="0" showRowStripes="1" showColumnStripes="0"/>
  <extLst>
    <ext xmlns:x14="http://schemas.microsoft.com/office/spreadsheetml/2009/9/main" uri="{504A1905-F514-4f6f-8877-14C23A59335A}">
      <x14:table altText="Density Requirements"/>
    </ext>
  </extLst>
</table>
</file>

<file path=xl/tables/table15.xml><?xml version="1.0" encoding="utf-8"?>
<table xmlns="http://schemas.openxmlformats.org/spreadsheetml/2006/main" id="4" name="TripParkingRates" displayName="TripParkingRates" ref="N9:T17" totalsRowShown="0" headerRowDxfId="101" dataDxfId="100">
  <autoFilter ref="N9:T1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Land Use Subtype" dataDxfId="99"/>
    <tableColumn id="2" name="Min Stories" dataDxfId="98"/>
    <tableColumn id="3" name="Max Stories" dataDxfId="97"/>
    <tableColumn id="4" name="Peak Parking Demand (vehicles per unit)" dataDxfId="96"/>
    <tableColumn id="6" name="Weekday Trips" dataDxfId="95"/>
    <tableColumn id="7" name="Saturday Trips" dataDxfId="94"/>
    <tableColumn id="8" name="Sunday Trips" dataDxfId="93"/>
  </tableColumns>
  <tableStyleInfo name="TableStyleMedium9" showFirstColumn="0" showLastColumn="0" showRowStripes="1" showColumnStripes="0"/>
  <extLst>
    <ext xmlns:x14="http://schemas.microsoft.com/office/spreadsheetml/2009/9/main" uri="{504A1905-F514-4f6f-8877-14C23A59335A}">
      <x14:table altText="Land Use Subtypes, Parking Rates, and Trip Rates"/>
    </ext>
  </extLst>
</table>
</file>

<file path=xl/tables/table16.xml><?xml version="1.0" encoding="utf-8"?>
<table xmlns="http://schemas.openxmlformats.org/spreadsheetml/2006/main" id="7" name="SubsidyElasticities" displayName="SubsidyElasticities" ref="N21:Q26" totalsRowShown="0" headerRowDxfId="92" dataDxfId="91">
  <autoFilter ref="N21:Q26">
    <filterColumn colId="0" hiddenButton="1"/>
    <filterColumn colId="1" hiddenButton="1"/>
    <filterColumn colId="2" hiddenButton="1"/>
    <filterColumn colId="3" hiddenButton="1"/>
  </autoFilter>
  <tableColumns count="4">
    <tableColumn id="1" name="Min Subsidy" dataDxfId="90" dataCellStyle="Currency"/>
    <tableColumn id="2" name="Max Subsidy" dataDxfId="89" dataCellStyle="Currency"/>
    <tableColumn id="3" name="Rural Elasticity" dataDxfId="88" dataCellStyle="Percent"/>
    <tableColumn id="4" name="Urban Elasticity" dataDxfId="87" dataCellStyle="Percent"/>
  </tableColumns>
  <tableStyleInfo name="TableStyleMedium9" showFirstColumn="0" showLastColumn="0" showRowStripes="1" showColumnStripes="0"/>
  <extLst>
    <ext xmlns:x14="http://schemas.microsoft.com/office/spreadsheetml/2009/9/main" uri="{504A1905-F514-4f6f-8877-14C23A59335A}">
      <x14:table altText="VMT Elasticities by Transit Subsidy Value"/>
    </ext>
  </extLst>
</table>
</file>

<file path=xl/tables/table17.xml><?xml version="1.0" encoding="utf-8"?>
<table xmlns="http://schemas.openxmlformats.org/spreadsheetml/2006/main" id="9" name="VMTCaps" displayName="VMTCaps" ref="N30:Q33" totalsRowShown="0" headerRowDxfId="86" dataDxfId="85">
  <autoFilter ref="N30:Q33">
    <filterColumn colId="0" hiddenButton="1"/>
    <filterColumn colId="1" hiddenButton="1"/>
    <filterColumn colId="2" hiddenButton="1"/>
    <filterColumn colId="3" hiddenButton="1"/>
  </autoFilter>
  <tableColumns count="4">
    <tableColumn id="1" name="Project Area Type" dataDxfId="84"/>
    <tableColumn id="2" name="LUT" dataDxfId="83" dataCellStyle="Percent"/>
    <tableColumn id="3" name="LUT + PDT + SDT" dataDxfId="82" dataCellStyle="Percent"/>
    <tableColumn id="4" name="Total" dataDxfId="81" dataCellStyle="Percent"/>
  </tableColumns>
  <tableStyleInfo name="TableStyleMedium9" showFirstColumn="0" showLastColumn="0" showRowStripes="1" showColumnStripes="0"/>
  <extLst>
    <ext xmlns:x14="http://schemas.microsoft.com/office/spreadsheetml/2009/9/main" uri="{504A1905-F514-4f6f-8877-14C23A59335A}">
      <x14:table altText="Maximum VMT Reductions by Mitigation Type"/>
    </ext>
  </extLst>
</table>
</file>

<file path=xl/tables/table18.xml><?xml version="1.0" encoding="utf-8"?>
<table xmlns="http://schemas.openxmlformats.org/spreadsheetml/2006/main" id="11" name="TripTypes" displayName="TripTypes" ref="V16:X17" totalsRowShown="0" headerRowDxfId="80" dataDxfId="79">
  <autoFilter ref="V16:X17">
    <filterColumn colId="0" hiddenButton="1"/>
    <filterColumn colId="1" hiddenButton="1"/>
    <filterColumn colId="2" hiddenButton="1"/>
  </autoFilter>
  <tableColumns count="3">
    <tableColumn id="1" name="Home-Work" dataDxfId="78"/>
    <tableColumn id="2" name="Home-Shopping" dataDxfId="77"/>
    <tableColumn id="3" name="Home-Other" dataDxfId="76"/>
  </tableColumns>
  <tableStyleInfo name="TableStyleMedium2" showFirstColumn="0" showLastColumn="0" showRowStripes="1" showColumnStripes="0"/>
  <extLst>
    <ext xmlns:x14="http://schemas.microsoft.com/office/spreadsheetml/2009/9/main" uri="{504A1905-F514-4f6f-8877-14C23A59335A}">
      <x14:table altText="Trip Types"/>
    </ext>
  </extLst>
</table>
</file>

<file path=xl/tables/table19.xml><?xml version="1.0" encoding="utf-8"?>
<table xmlns="http://schemas.openxmlformats.org/spreadsheetml/2006/main" id="5" name="UrbanTripLength" displayName="UrbanTripLength" ref="H9:L69" totalsRowShown="0" headerRowDxfId="75" dataDxfId="74">
  <autoFilter ref="H9:L69">
    <filterColumn colId="0" hiddenButton="1"/>
    <filterColumn colId="1" hiddenButton="1"/>
    <filterColumn colId="2" hiddenButton="1"/>
    <filterColumn colId="3" hiddenButton="1"/>
    <filterColumn colId="4" hiddenButton="1"/>
  </autoFilter>
  <tableColumns count="5">
    <tableColumn id="1" name="County" dataDxfId="73"/>
    <tableColumn id="2" name="MPO or Region" dataDxfId="72"/>
    <tableColumn id="5" name="Home-Work" dataDxfId="71"/>
    <tableColumn id="6" name="Home-Shopping" dataDxfId="70"/>
    <tableColumn id="7" name="Home-Other" dataDxfId="69"/>
  </tableColumns>
  <tableStyleInfo name="TableStyleMedium9" showFirstColumn="0" showLastColumn="0" showRowStripes="1" showColumnStripes="0"/>
  <extLst>
    <ext xmlns:x14="http://schemas.microsoft.com/office/spreadsheetml/2009/9/main" uri="{504A1905-F514-4f6f-8877-14C23A59335A}">
      <x14:table altText="Urban Trip Lengths" altTextSummary="Miles"/>
    </ext>
  </extLst>
</table>
</file>

<file path=xl/tables/table2.xml><?xml version="1.0" encoding="utf-8"?>
<table xmlns="http://schemas.openxmlformats.org/spreadsheetml/2006/main" id="15" name="TransitInputs" displayName="TransitInputs" ref="B13:AL18" totalsRowShown="0" headerRowDxfId="352" dataDxfId="350" headerRowBorderDxfId="351" tableBorderDxfId="349" totalsRowBorderDxfId="348">
  <autoFilter ref="B13:AL1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tableColumns count="37">
    <tableColumn id="1" name="New Transit Service or Infrastructure Type" dataDxfId="347"/>
    <tableColumn id="2" name="Name or Location" dataDxfId="346"/>
    <tableColumn id="3" name="First Year Operational" dataDxfId="345"/>
    <tableColumn id="4" name="Final Year Operational" dataDxfId="344"/>
    <tableColumn id="5" name="Annual Days of Operation" dataDxfId="343"/>
    <tableColumn id="6" name="Year 1 Daily Ridership Increase (trips/day)" dataDxfId="342"/>
    <tableColumn id="7" name="Year F Daily Ridership Increase (trips/day)" dataDxfId="341" dataCellStyle="Comma"/>
    <tableColumn id="9" name="Adjustment Factor" dataDxfId="340"/>
    <tableColumn id="11" name="Length of Average Auto Trip Reduced (miles)" dataDxfId="339"/>
    <tableColumn id="12" name="Fuel Type of Transit Vehicle" dataDxfId="338"/>
    <tableColumn id="29" name="Hybrid Vehicle?" dataDxfId="337"/>
    <tableColumn id="13" name="Engine Model Year of Transit Vehicle" dataDxfId="336"/>
    <tableColumn id="14" name="Annual VMT of Transit Vehicle (miles)" dataDxfId="335"/>
    <tableColumn id="15" name="Annual Fuel Consumption of Ferry" dataDxfId="334"/>
    <tableColumn id="16" name="Avoid Toll Bridge or Road?" dataDxfId="333"/>
    <tableColumn id="17" name="Paid Parking at Transit Facility?" dataDxfId="332"/>
    <tableColumn id="18" name="Year 1 Auto VMT Reductions" dataDxfId="331">
      <calculatedColumnFormula>IF(TransitInputs[Annual Days of Operation]*TransitInputs[Year 1 Daily Ridership Increase (trips/day)]*TransitInputs[Adjustment Factor]*TransitInputs[Length of Average Auto Trip Reduced (miles)]&lt;&gt;0,TransitInputs[Annual Days of Operation]*TransitInputs[Year 1 Daily Ridership Increase (trips/day)]*TransitInputs[Adjustment Factor]*TransitInputs[Length of Average Auto Trip Reduced (miles)],"")</calculatedColumnFormula>
    </tableColumn>
    <tableColumn id="19" name="Year F Auto VMT Reductions" dataDxfId="330">
      <calculatedColumnFormula>IF(TransitInputs[Annual Days of Operation]*TransitInputs[Year F Daily Ridership Increase (trips/day)]*TransitInputs[Adjustment Factor]*TransitInputs[Length of Average Auto Trip Reduced (miles)]&lt;&gt;0,TransitInputs[Annual Days of Operation]*TransitInputs[Year F Daily Ridership Increase (trips/day)]*TransitInputs[Adjustment Factor]*TransitInputs[Length of Average Auto Trip Reduced (miles)],"")</calculatedColumnFormula>
    </tableColumn>
    <tableColumn id="8" name="Passenger VMT Reductions (miles)" dataDxfId="329">
      <calculatedColumnFormula>IFERROR(((TransitInputs[Year 1 Auto VMT Reductions]+TransitInputs[Year F Auto VMT Reductions])/2)*(TransitInputs[Final Year Operational]-TransitInputs[First Year Operational]),"")</calculatedColumnFormula>
    </tableColumn>
    <tableColumn id="10" name="Auto GHG Emission Reductions (MTCO2e)" dataDxfId="328">
      <calculatedColumnFormula>IFERROR(AVERAGE(VLOOKUP(CONCATENATE(County,"_",TransitInputs[First Year Operational]),'Passenger Auto GHG'!$D$31:$E$2731,2,FALSE)*TransitInputs[Year 1 Auto VMT Reductions],VLOOKUP(CONCATENATE(County,"_",IF(TransitInputs[Final Year Operational]&gt;2050,2050,TransitInputs[Final Year Operational])),'Passenger Auto GHG'!$D$31:$E$2731,2,FALSE)*TransitInputs[Year F Auto VMT Reductions])*(TransitInputs[Final Year Operational]-TransitInputs[First Year Operational])/1000000,"")</calculatedColumnFormula>
    </tableColumn>
    <tableColumn id="20" name="Auto ROG Emission Reductions (lbs)" dataDxfId="327">
      <calculatedColumnFormula>IFERROR(AVERAGE(VLOOKUP(CONCATENATE(County,"_",TransitInputs[First Year Operational]),'Passenger Auto Criteria &amp; Toxic'!$D$32:$K$2732,3,FALSE)*TransitInputs[Year 1 Auto VMT Reductions],VLOOKUP(CONCATENATE(County,"_",IF(TransitInputs[Final Year Operational]&gt;2050,2050,TransitInputs[Final Year Operational])),'Passenger Auto Criteria &amp; Toxic'!$D$32:$K$2732,3,FALSE)*TransitInputs[Year F Auto VMT Reductions])*(TransitInputs[Final Year Operational]-TransitInputs[First Year Operational])/453.59,"")</calculatedColumnFormula>
    </tableColumn>
    <tableColumn id="21" name="Auto NOx Emission Reductions (lbs)" dataDxfId="326">
      <calculatedColumnFormula>IFERROR(AVERAGE(VLOOKUP(CONCATENATE(County,"_",TransitInputs[First Year Operational]),'Passenger Auto Criteria &amp; Toxic'!$D$32:$K$2732,4,FALSE)*TransitInputs[Year 1 Auto VMT Reductions],VLOOKUP(CONCATENATE(County,"_",IF(TransitInputs[Final Year Operational]&gt;2050,2050,TransitInputs[Final Year Operational])),'Passenger Auto Criteria &amp; Toxic'!$D$32:$K$2732,4,FALSE)*TransitInputs[Year F Auto VMT Reductions])*(TransitInputs[Final Year Operational]-TransitInputs[First Year Operational])/453.59,"")</calculatedColumnFormula>
    </tableColumn>
    <tableColumn id="22" name="Auto PM2.5 Emission Reductions (lbs)" dataDxfId="325">
      <calculatedColumnFormula>IFERROR(AVERAGE((VLOOKUP(CONCATENATE(County,"_",TransitInputs[First Year Operational]),'Passenger Auto Criteria &amp; Toxic'!$D$32:$K$2732,5,FALSE)+'Passenger Auto Criteria &amp; Toxic'!$M$33+'Passenger Auto Criteria &amp; Toxic'!$N$33)*TransitInputs[Year 1 Auto VMT Reductions],(VLOOKUP(CONCATENATE(County,"_",IF(TransitInputs[Final Year Operational]&gt;2050,2050,TransitInputs[Final Year Operational])),'Passenger Auto Criteria &amp; Toxic'!$D$32:$K$2732,5,FALSE)+'Passenger Auto Criteria &amp; Toxic'!$M$33+'Passenger Auto Criteria &amp; Toxic'!$N$33)*TransitInputs[Year F Auto VMT Reductions])*(TransitInputs[Final Year Operational]-TransitInputs[First Year Operational])/453.59,"")</calculatedColumnFormula>
    </tableColumn>
    <tableColumn id="23" name="Auto Diesel PM10 Emission Reductions (lbs)" dataDxfId="324">
      <calculatedColumnFormula>IFERROR(AVERAGE(VLOOKUP(CONCATENATE(County,"_",TransitInputs[First Year Operational]),'Passenger Auto Criteria &amp; Toxic'!$D$32:$K$2732,8,FALSE)*TransitInputs[Year 1 Auto VMT Reductions],VLOOKUP(CONCATENATE(County,"_",IF(TransitInputs[Final Year Operational]&gt;2050,2050,TransitInputs[Final Year Operational])),'Passenger Auto Criteria &amp; Toxic'!$D$32:$K$2732,8,FALSE)*TransitInputs[Year F Auto VMT Reductions])*(TransitInputs[Final Year Operational]-TransitInputs[First Year Operational])/453.59,"")</calculatedColumnFormula>
    </tableColumn>
    <tableColumn id="30" name="Auto Fossil Fuel Use Reductions (gal)" dataDxfId="323">
      <calculatedColumnFormula>IFERROR(AVERAGE(VLOOKUP(CONCATENATE(County,"_",TransitInputs[First Year Operational]),'Passenger Auto Criteria &amp; Toxic'!$D$32:$K$2732,2,FALSE)*TransitInputs[Year 1 Auto VMT Reductions],VLOOKUP(CONCATENATE(County,"_",IF(TransitInputs[Final Year Operational]&gt;2050,2050,TransitInputs[Final Year Operational])),'Passenger Auto Criteria &amp; Toxic'!$D$32:$K$2732,2,FALSE)*TransitInputs[Year F Auto VMT Reductions])*(TransitInputs[Final Year Operational]-TransitInputs[First Year Operational]),"")</calculatedColumnFormula>
    </tableColumn>
    <tableColumn id="24" name="Transit Vehicle GHG Emissions (MTCO2e)" dataDxfId="322">
      <calculatedColumnFormula>IF(TransitInputs[[#This Row],[New Transit Service or Infrastructure Type]]="Ferry",'Transit Emissions'!J66,IF(TransitInputs[[#This Row],[New Transit Service or Infrastructure Type]]="Light Rail",'Transit Emissions'!H34,IF(TransitInputs[[#This Row],[New Transit Service or Infrastructure Type]]="Local Bus",'Transit Emissions'!J10,IF(TransitInputs[[#This Row],[New Transit Service or Infrastructure Type]]="Long-distance Commuter Bus",'Transit Emissions'!J18,(IF(TransitInputs[[#This Row],[New Transit Service or Infrastructure Type]]="Shuttle",'Transit Emissions'!J58,IF(TransitInputs[[#This Row],[New Transit Service or Infrastructure Type]]="Streetcar",'Transit Emissions'!H26,IF(TransitInputs[[#This Row],[New Transit Service or Infrastructure Type]]="Train",'Transit Emissions'!I42,IF(TransitInputs[[#This Row],[New Transit Service or Infrastructure Type]]="Vanpool",'Transit Emissions'!J50,0)))))))))</calculatedColumnFormula>
    </tableColumn>
    <tableColumn id="25" name="Transit Vehicle ROG Emissions (lbs)" dataDxfId="321">
      <calculatedColumnFormula>IF(TransitInputs[[#This Row],[New Transit Service or Infrastructure Type]]="Ferry",'Transit Emissions'!L66,IF(TransitInputs[[#This Row],[New Transit Service or Infrastructure Type]]="Light Rail",'Transit Emissions'!J34,IF(TransitInputs[[#This Row],[New Transit Service or Infrastructure Type]]="Local Bus",'Transit Emissions'!L10,IF(TransitInputs[[#This Row],[New Transit Service or Infrastructure Type]]="Long-distance Commuter Bus",'Transit Emissions'!L18,(IF(TransitInputs[[#This Row],[New Transit Service or Infrastructure Type]]="Shuttle",'Transit Emissions'!L58,IF(TransitInputs[[#This Row],[New Transit Service or Infrastructure Type]]="Streetcar",'Transit Emissions'!J26,IF(TransitInputs[[#This Row],[New Transit Service or Infrastructure Type]]="Train",'Transit Emissions'!K42,IF(TransitInputs[[#This Row],[New Transit Service or Infrastructure Type]]="Vanpool",'Transit Emissions'!L50,0)))))))))</calculatedColumnFormula>
    </tableColumn>
    <tableColumn id="26" name="Transit Vehicle NOx Emissions (lbs)" dataDxfId="320">
      <calculatedColumnFormula>IF(TransitInputs[[#This Row],[New Transit Service or Infrastructure Type]]="Ferry",'Transit Emissions'!N66,IF(TransitInputs[[#This Row],[New Transit Service or Infrastructure Type]]="Light Rail",'Transit Emissions'!L34,IF(TransitInputs[[#This Row],[New Transit Service or Infrastructure Type]]="Local Bus",'Transit Emissions'!N10,IF(TransitInputs[[#This Row],[New Transit Service or Infrastructure Type]]="Long-distance Commuter Bus",'Transit Emissions'!N18,(IF(TransitInputs[[#This Row],[New Transit Service or Infrastructure Type]]="Shuttle",'Transit Emissions'!N58,IF(TransitInputs[[#This Row],[New Transit Service or Infrastructure Type]]="Streetcar",'Transit Emissions'!L26,IF(TransitInputs[[#This Row],[New Transit Service or Infrastructure Type]]="Train",'Transit Emissions'!M42,IF(TransitInputs[[#This Row],[New Transit Service or Infrastructure Type]]="Vanpool",'Transit Emissions'!N50,0)))))))))</calculatedColumnFormula>
    </tableColumn>
    <tableColumn id="27" name="Transit Vehicle PM2.5 Emissions (lbs)" dataDxfId="319">
      <calculatedColumnFormula>IF(TransitInputs[[#This Row],[New Transit Service or Infrastructure Type]]="Ferry",'Transit Emissions'!P66,IF(TransitInputs[[#This Row],[New Transit Service or Infrastructure Type]]="Light Rail",'Transit Emissions'!N34,IF(TransitInputs[[#This Row],[New Transit Service or Infrastructure Type]]="Local Bus",'Transit Emissions'!P10,IF(TransitInputs[[#This Row],[New Transit Service or Infrastructure Type]]="Long-distance Commuter Bus",'Transit Emissions'!P18,(IF(TransitInputs[[#This Row],[New Transit Service or Infrastructure Type]]="Shuttle",'Transit Emissions'!P58,IF(TransitInputs[[#This Row],[New Transit Service or Infrastructure Type]]="Streetcar",'Transit Emissions'!N26,IF(TransitInputs[[#This Row],[New Transit Service or Infrastructure Type]]="Train",'Transit Emissions'!O42,IF(TransitInputs[[#This Row],[New Transit Service or Infrastructure Type]]="Vanpool",'Transit Emissions'!P50,0)))))))))</calculatedColumnFormula>
    </tableColumn>
    <tableColumn id="31" name="Transit Vehicle Diesel PM10 Emissions (lbs)" dataDxfId="318">
      <calculatedColumnFormula>IF(TransitInputs[[#This Row],[New Transit Service or Infrastructure Type]]="Ferry",'Transit Emissions'!R66,IF(TransitInputs[[#This Row],[New Transit Service or Infrastructure Type]]="Light Rail",'Transit Emissions'!P34,IF(TransitInputs[[#This Row],[New Transit Service or Infrastructure Type]]="Local Bus",'Transit Emissions'!R10,IF(TransitInputs[[#This Row],[New Transit Service or Infrastructure Type]]="Long-distance Commuter Bus",'Transit Emissions'!R18,(IF(TransitInputs[[#This Row],[New Transit Service or Infrastructure Type]]="Shuttle",'Transit Emissions'!R58,IF(TransitInputs[[#This Row],[New Transit Service or Infrastructure Type]]="Streetcar",'Transit Emissions'!P26,IF(TransitInputs[[#This Row],[New Transit Service or Infrastructure Type]]="Train",'Transit Emissions'!Q42,IF(TransitInputs[[#This Row],[New Transit Service or Infrastructure Type]]="Vanpool",'Transit Emissions'!R50,0)))))))))</calculatedColumnFormula>
    </tableColumn>
    <tableColumn id="28" name="Transit Vehicle Fossil Fuel Use (gal)" dataDxfId="317">
      <calculatedColumnFormula>IF(TransitInputs[[#This Row],[New Transit Service or Infrastructure Type]]="Ferry",'Transit Emissions'!S66,IF(TransitInputs[[#This Row],[New Transit Service or Infrastructure Type]]="Light Rail",'Transit Emissions'!Q34,IF(TransitInputs[[#This Row],[New Transit Service or Infrastructure Type]]="Local Bus",'Transit Emissions'!S10,IF(TransitInputs[[#This Row],[New Transit Service or Infrastructure Type]]="Long-distance Commuter Bus",'Transit Emissions'!S18,(IF(TransitInputs[[#This Row],[New Transit Service or Infrastructure Type]]="Shuttle",'Transit Emissions'!S58,IF(TransitInputs[[#This Row],[New Transit Service or Infrastructure Type]]="Streetcar",'Transit Emissions'!Q26,IF(TransitInputs[[#This Row],[New Transit Service or Infrastructure Type]]="Train",'Transit Emissions'!R42,IF(TransitInputs[[#This Row],[New Transit Service or Infrastructure Type]]="Vanpool",'Transit Emissions'!Q50,0)))))))))</calculatedColumnFormula>
    </tableColumn>
    <tableColumn id="37" name="GHG Emission Reductions (MTCO2e)" dataDxfId="316">
      <calculatedColumnFormula>IFERROR(TransitInputs[[#This Row],[Auto GHG Emission Reductions (MTCO2e)]]-TransitInputs[[#This Row],[Transit Vehicle GHG Emissions (MTCO2e)]],"")</calculatedColumnFormula>
    </tableColumn>
    <tableColumn id="36" name="Local ROG Emission Reductions (lbs)" dataDxfId="315">
      <calculatedColumnFormula>IFERROR(TransitInputs[[#This Row],[Auto ROG Emission Reductions (lbs)]]-TransitInputs[[#This Row],[Transit Vehicle ROG Emissions (lbs)]],"")</calculatedColumnFormula>
    </tableColumn>
    <tableColumn id="35" name="Local NOx Emission Reductions (lbs)" dataDxfId="314">
      <calculatedColumnFormula>IFERROR(TransitInputs[[#This Row],[Auto NOx Emission Reductions (lbs)]]-TransitInputs[[#This Row],[Transit Vehicle NOx Emissions (lbs)]],"")</calculatedColumnFormula>
    </tableColumn>
    <tableColumn id="34" name="Local  PM2.5 Emissions (lbs)" dataDxfId="313">
      <calculatedColumnFormula>IFERROR(TransitInputs[[#This Row],[Auto PM2.5 Emission Reductions (lbs)]]-TransitInputs[[#This Row],[Transit Vehicle PM2.5 Emissions (lbs)]],"")</calculatedColumnFormula>
    </tableColumn>
    <tableColumn id="33" name="Local Diesel PM10 Emissions (lbs)" dataDxfId="312">
      <calculatedColumnFormula>IFERROR(TransitInputs[[#This Row],[Auto Diesel PM10 Emission Reductions (lbs)]]-TransitInputs[[#This Row],[Transit Vehicle Diesel PM10 Emissions (lbs)]],"")</calculatedColumnFormula>
    </tableColumn>
    <tableColumn id="32" name="Fossil Fuel Use Reductions (gal)" dataDxfId="311">
      <calculatedColumnFormula>IFERROR(TransitInputs[[#This Row],[Auto Fossil Fuel Use Reductions (gal)]]-TransitInputs[[#This Row],[Transit Vehicle Fossil Fuel Use (gal)]],"")</calculatedColumnFormula>
    </tableColumn>
  </tableColumns>
  <tableStyleInfo showFirstColumn="0" showLastColumn="0" showRowStripes="1" showColumnStripes="0"/>
  <extLst>
    <ext xmlns:x14="http://schemas.microsoft.com/office/spreadsheetml/2009/9/main" uri="{504A1905-F514-4f6f-8877-14C23A59335A}">
      <x14:table altTextSummary="Inputs for new or expanded transit service and capital improvments"/>
    </ext>
  </extLst>
</table>
</file>

<file path=xl/tables/table20.xml><?xml version="1.0" encoding="utf-8"?>
<table xmlns="http://schemas.openxmlformats.org/spreadsheetml/2006/main" id="3" name="RuralTripLength" displayName="RuralTripLength" ref="B9:F69" totalsRowShown="0" headerRowDxfId="68" dataDxfId="67">
  <autoFilter ref="B9:F69">
    <filterColumn colId="0" hiddenButton="1"/>
    <filterColumn colId="1" hiddenButton="1"/>
    <filterColumn colId="2" hiddenButton="1"/>
    <filterColumn colId="3" hiddenButton="1"/>
    <filterColumn colId="4" hiddenButton="1"/>
  </autoFilter>
  <tableColumns count="5">
    <tableColumn id="1" name="County" dataDxfId="66"/>
    <tableColumn id="2" name="MPO or Region" dataDxfId="65"/>
    <tableColumn id="5" name="Home-Work" dataDxfId="64"/>
    <tableColumn id="6" name="Home-Shopping" dataDxfId="63"/>
    <tableColumn id="7" name="Home-Other" dataDxfId="62"/>
  </tableColumns>
  <tableStyleInfo name="TableStyleMedium9" showFirstColumn="0" showLastColumn="0" showRowStripes="1" showColumnStripes="0"/>
  <extLst>
    <ext xmlns:x14="http://schemas.microsoft.com/office/spreadsheetml/2009/9/main" uri="{504A1905-F514-4f6f-8877-14C23A59335A}">
      <x14:table altText="Rural Trip Lengths" altTextSummary="Miles"/>
    </ext>
  </extLst>
</table>
</file>

<file path=xl/tables/table21.xml><?xml version="1.0" encoding="utf-8"?>
<table xmlns="http://schemas.openxmlformats.org/spreadsheetml/2006/main" id="31" name="TripLinks" displayName="TripLinks" ref="V21:X22" totalsRowShown="0" headerRowDxfId="61" dataDxfId="60" dataCellStyle="Percent">
  <autoFilter ref="V21:X22">
    <filterColumn colId="0" hiddenButton="1"/>
    <filterColumn colId="1" hiddenButton="1"/>
    <filterColumn colId="2" hiddenButton="1"/>
  </autoFilter>
  <tableColumns count="3">
    <tableColumn id="1" name="Primary" dataDxfId="59" dataCellStyle="Percent"/>
    <tableColumn id="2" name="Diverted" dataDxfId="58" dataCellStyle="Percent"/>
    <tableColumn id="3" name="Pass-by" dataDxfId="57" dataCellStyle="Percent"/>
  </tableColumns>
  <tableStyleInfo name="TableStyleMedium9" showFirstColumn="0" showLastColumn="0" showRowStripes="1" showColumnStripes="0"/>
  <extLst>
    <ext xmlns:x14="http://schemas.microsoft.com/office/spreadsheetml/2009/9/main" uri="{504A1905-F514-4f6f-8877-14C23A59335A}">
      <x14:table altText="Trip Links"/>
    </ext>
  </extLst>
</table>
</file>

<file path=xl/tables/table22.xml><?xml version="1.0" encoding="utf-8"?>
<table xmlns="http://schemas.openxmlformats.org/spreadsheetml/2006/main" id="24" name="GallonEquivalents" displayName="GallonEquivalents" ref="B22:D31" totalsRowShown="0" headerRowDxfId="56">
  <autoFilter ref="B22:D31">
    <filterColumn colId="0" hiddenButton="1"/>
    <filterColumn colId="1" hiddenButton="1"/>
    <filterColumn colId="2" hiddenButton="1"/>
  </autoFilter>
  <tableColumns count="3">
    <tableColumn id="1" name="Fuel Type" dataDxfId="55"/>
    <tableColumn id="2" name="Units per DGE" dataDxfId="54"/>
    <tableColumn id="3" name="Units per GGE" dataDxfId="53"/>
  </tableColumns>
  <tableStyleInfo name="TableStyleMedium9" showFirstColumn="0" showLastColumn="0" showRowStripes="1" showColumnStripes="0"/>
  <extLst>
    <ext xmlns:x14="http://schemas.microsoft.com/office/spreadsheetml/2009/9/main" uri="{504A1905-F514-4f6f-8877-14C23A59335A}">
      <x14:table altText="Gallon Equivalents by Fuel Type"/>
    </ext>
  </extLst>
</table>
</file>

<file path=xl/tables/table23.xml><?xml version="1.0" encoding="utf-8"?>
<table xmlns="http://schemas.openxmlformats.org/spreadsheetml/2006/main" id="25" name="VehicleFuels" displayName="VehicleFuels" ref="B9:I19" totalsRowShown="0" headerRowDxfId="52" dataDxfId="51">
  <autoFilter ref="B9:I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Ferry" dataDxfId="50"/>
    <tableColumn id="9" name="Heavy Rail" dataDxfId="49"/>
    <tableColumn id="2" name="Light Rail" dataDxfId="48"/>
    <tableColumn id="3" name="Local Bus" dataDxfId="47"/>
    <tableColumn id="4" name="Long-distance Commuter Bus" dataDxfId="46"/>
    <tableColumn id="5" name="Shuttle" dataDxfId="45"/>
    <tableColumn id="6" name="Streetcar, Cable Car, or Trolley Bus" dataDxfId="44"/>
    <tableColumn id="8" name="Vanpool" dataDxfId="43"/>
  </tableColumns>
  <tableStyleInfo name="TableStyleMedium9" showFirstColumn="0" showLastColumn="0" showRowStripes="1" showColumnStripes="0"/>
  <extLst>
    <ext xmlns:x14="http://schemas.microsoft.com/office/spreadsheetml/2009/9/main" uri="{504A1905-F514-4f6f-8877-14C23A59335A}">
      <x14:table altText="Fuel Types by Transit Vehicle"/>
    </ext>
  </extLst>
</table>
</file>

<file path=xl/tables/table24.xml><?xml version="1.0" encoding="utf-8"?>
<table xmlns="http://schemas.openxmlformats.org/spreadsheetml/2006/main" id="16" name="FuelPrices" displayName="FuelPrices" ref="F22:G31" totalsRowShown="0" headerRowDxfId="42" dataDxfId="41" headerRowCellStyle="Comma 3">
  <autoFilter ref="F22:G31">
    <filterColumn colId="0" hiddenButton="1"/>
    <filterColumn colId="1" hiddenButton="1"/>
  </autoFilter>
  <sortState ref="G29:I37">
    <sortCondition ref="G10"/>
  </sortState>
  <tableColumns count="2">
    <tableColumn id="1" name="Fuel" dataDxfId="40"/>
    <tableColumn id="3" name="$ per GGE" dataDxfId="39"/>
  </tableColumns>
  <tableStyleInfo name="TableStyleMedium9" showFirstColumn="0" showLastColumn="0" showRowStripes="1" showColumnStripes="0"/>
  <extLst>
    <ext xmlns:x14="http://schemas.microsoft.com/office/spreadsheetml/2009/9/main" uri="{504A1905-F514-4f6f-8877-14C23A59335A}">
      <x14:table altText="Fuel Prices"/>
    </ext>
  </extLst>
</table>
</file>

<file path=xl/tables/table25.xml><?xml version="1.0" encoding="utf-8"?>
<table xmlns="http://schemas.openxmlformats.org/spreadsheetml/2006/main" id="17" name="ElectricityPrices" displayName="ElectricityPrices" ref="I22:J25" totalsRowShown="0" headerRowDxfId="38" dataDxfId="37">
  <autoFilter ref="I22:J25">
    <filterColumn colId="0" hiddenButton="1"/>
    <filterColumn colId="1" hiddenButton="1"/>
  </autoFilter>
  <tableColumns count="2">
    <tableColumn id="1" name="Use" dataDxfId="36"/>
    <tableColumn id="2" name="$ per kWh" dataDxfId="35"/>
  </tableColumns>
  <tableStyleInfo name="TableStyleMedium9" showFirstColumn="0" showLastColumn="0" showRowStripes="1" showColumnStripes="0"/>
  <extLst>
    <ext xmlns:x14="http://schemas.microsoft.com/office/spreadsheetml/2009/9/main" uri="{504A1905-F514-4f6f-8877-14C23A59335A}">
      <x14:table altText="Electricity Prices"/>
    </ext>
  </extLst>
</table>
</file>

<file path=xl/tables/table26.xml><?xml version="1.0" encoding="utf-8"?>
<table xmlns="http://schemas.openxmlformats.org/spreadsheetml/2006/main" id="18" name="ParkingPrices" displayName="ParkingPrices" ref="I34:J38" totalsRowShown="0" headerRowDxfId="34" dataDxfId="33">
  <autoFilter ref="I34:J38">
    <filterColumn colId="0" hiddenButton="1"/>
    <filterColumn colId="1" hiddenButton="1"/>
  </autoFilter>
  <tableColumns count="2">
    <tableColumn id="1" name="Setting" dataDxfId="32"/>
    <tableColumn id="2" name="$ per Day" dataDxfId="31"/>
  </tableColumns>
  <tableStyleInfo name="TableStyleMedium9" showFirstColumn="0" showLastColumn="0" showRowStripes="1" showColumnStripes="0"/>
  <extLst>
    <ext xmlns:x14="http://schemas.microsoft.com/office/spreadsheetml/2009/9/main" uri="{504A1905-F514-4f6f-8877-14C23A59335A}">
      <x14:table altText="Parking and Toll Prices"/>
    </ext>
  </extLst>
</table>
</file>

<file path=xl/tables/table27.xml><?xml version="1.0" encoding="utf-8"?>
<table xmlns="http://schemas.openxmlformats.org/spreadsheetml/2006/main" id="14" name="TransportationPrices" displayName="TransportationPrices" ref="I28:J31" totalsRowShown="0" headerRowDxfId="30" dataDxfId="29">
  <autoFilter ref="I28:J31">
    <filterColumn colId="0" hiddenButton="1"/>
    <filterColumn colId="1" hiddenButton="1"/>
  </autoFilter>
  <tableColumns count="2">
    <tableColumn id="1" name="Mode" dataDxfId="28"/>
    <tableColumn id="2" name="$ per Mile" dataDxfId="27"/>
  </tableColumns>
  <tableStyleInfo name="TableStyleMedium9" showFirstColumn="0" showLastColumn="0" showRowStripes="1" showColumnStripes="0"/>
  <extLst>
    <ext xmlns:x14="http://schemas.microsoft.com/office/spreadsheetml/2009/9/main" uri="{504A1905-F514-4f6f-8877-14C23A59335A}">
      <x14:table altText="Transportation Prices"/>
    </ext>
  </extLst>
</table>
</file>

<file path=xl/tables/table28.xml><?xml version="1.0" encoding="utf-8"?>
<table xmlns="http://schemas.openxmlformats.org/spreadsheetml/2006/main" id="1" name="ActivityCenterCredits" displayName="ActivityCenterCredits" ref="B9:D13" headerRowDxfId="26" dataDxfId="25" totalsRowDxfId="23" tableBorderDxfId="24">
  <autoFilter ref="B9:D13">
    <filterColumn colId="0" hiddenButton="1"/>
    <filterColumn colId="1" hiddenButton="1"/>
    <filterColumn colId="2" hiddenButton="1"/>
  </autoFilter>
  <tableColumns count="3">
    <tableColumn id="1" name="Minimum Key Destinations" totalsRowLabel="Total" dataDxfId="22" totalsRowDxfId="21"/>
    <tableColumn id="3" name="Within 1/4 Mile" dataDxfId="20" totalsRowDxfId="19"/>
    <tableColumn id="4" name="Within 1/2 Mile" totalsRowFunction="sum" dataDxfId="18" totalsRowDxfId="17"/>
  </tableColumns>
  <tableStyleInfo name="TableStyleMedium9" showFirstColumn="0" showLastColumn="0" showRowStripes="1" showColumnStripes="0"/>
  <extLst>
    <ext xmlns:x14="http://schemas.microsoft.com/office/spreadsheetml/2009/9/main" uri="{504A1905-F514-4f6f-8877-14C23A59335A}">
      <x14:table altText="Key Destination Credits"/>
    </ext>
  </extLst>
</table>
</file>

<file path=xl/tables/table29.xml><?xml version="1.0" encoding="utf-8"?>
<table xmlns="http://schemas.openxmlformats.org/spreadsheetml/2006/main" id="12" name="AdjFactorsUniversity" displayName="AdjFactorsUniversity" ref="F9:I12" totalsRowShown="0" headerRowDxfId="16" dataDxfId="15">
  <autoFilter ref="F9:I12">
    <filterColumn colId="0" hiddenButton="1"/>
    <filterColumn colId="1" hiddenButton="1"/>
    <filterColumn colId="2" hiddenButton="1"/>
    <filterColumn colId="3" hiddenButton="1"/>
  </autoFilter>
  <tableColumns count="4">
    <tableColumn id="1" name="Minimum Average Daily Traffic" dataDxfId="14" dataCellStyle="Comma"/>
    <tableColumn id="2" name="≤ 1 Mile" dataDxfId="13"/>
    <tableColumn id="3" name="&gt; 1 and ≤ 2 Miles" dataDxfId="12"/>
    <tableColumn id="4" name="&gt; 2 Miles" dataDxfId="11"/>
  </tableColumns>
  <tableStyleInfo name="TableStyleMedium9" showFirstColumn="0" showLastColumn="0" showRowStripes="1" showColumnStripes="0"/>
  <extLst>
    <ext xmlns:x14="http://schemas.microsoft.com/office/spreadsheetml/2009/9/main" uri="{504A1905-F514-4f6f-8877-14C23A59335A}">
      <x14:table altText="Adjustment Factors for Unviersity Towns with Population &lt; 250,000"/>
    </ext>
  </extLst>
</table>
</file>

<file path=xl/tables/table3.xml><?xml version="1.0" encoding="utf-8"?>
<table xmlns="http://schemas.openxmlformats.org/spreadsheetml/2006/main" id="19" name="ATCosts" displayName="ATCosts" ref="B9:J24" totalsRowShown="0" headerRowDxfId="309" dataDxfId="308">
  <autoFilter ref="B9:J2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New Facility Type" dataDxfId="307" totalsRowDxfId="306">
      <calculatedColumnFormula>IF(ISBLANK('Active Transportation Inputs'!B14),"",'Active Transportation Inputs'!B14)</calculatedColumnFormula>
    </tableColumn>
    <tableColumn id="2" name="Name or Location" dataDxfId="305" totalsRowDxfId="304">
      <calculatedColumnFormula>IF(ISBLANK('Active Transportation Inputs'!C14),"",'Active Transportation Inputs'!C14)</calculatedColumnFormula>
    </tableColumn>
    <tableColumn id="3" name="Auto VMT Reductions" dataDxfId="303" totalsRowDxfId="302">
      <calculatedColumnFormula>IF(ISBLANK('Active Transportation Inputs'!R14),"",'Active Transportation Inputs'!R14)</calculatedColumnFormula>
    </tableColumn>
    <tableColumn id="9" name="New Bike or Ped Trips" dataDxfId="301" totalsRowDxfId="300">
      <calculatedColumnFormula>IF(ATCosts[[#This Row],[New Facility Type]]="","",IF(ATCosts[[#This Row],[New Facility Type]]="Bike Share",'Active Transportation Inputs'!Q14*'Active Transportation Inputs'!K14*('Active Transportation Inputs'!E14-'Active Transportation Inputs'!D14),('Active Transportation Inputs'!E14-'Active Transportation Inputs'!D14)*'Active Transportation Inputs'!F14*'Active Transportation Inputs'!I14*('Active Transportation Inputs'!K14+'Active Transportation Inputs'!N14)))</calculatedColumnFormula>
    </tableColumn>
    <tableColumn id="4" name="Active Mode Cost ($)" dataDxfId="299" totalsRowDxfId="298">
      <calculatedColumnFormula>IF(ATCosts[[#This Row],[New Facility Type]]="","",IF(ATCosts[[#This Row],[New Facility Type]]="Walkway",0,IF(ATCosts[[#This Row],[New Facility Type]]="Bike Share",'Active Transportation Inputs'!P14*ATCosts[[#This Row],[New Bike or Ped Trips]],'Energy, Fuel, &amp; Travel Prices'!$J$30*ATCosts[[#This Row],[Auto VMT Reductions]])))</calculatedColumnFormula>
    </tableColumn>
    <tableColumn id="5" name="Avoided Auto Miles Cost ($)" dataDxfId="297" totalsRowDxfId="296">
      <calculatedColumnFormula>IF(ATCosts[[#This Row],[New Facility Type]]="","",ATCosts[[#This Row],[Auto VMT Reductions]]*'Energy, Fuel, &amp; Travel Prices'!$J$29)</calculatedColumnFormula>
    </tableColumn>
    <tableColumn id="8" name="Avoided Weekday Parking Cost ($)" dataDxfId="295" totalsRowDxfId="294">
      <calculatedColumnFormula>IFERROR(IF(ProjectAreaType="RIPA",0,(ATCosts[[#This Row],[New Bike or Ped Trips]]/2)*(5/7)*'Energy, Fuel, &amp; Travel Prices'!$J$35),"")</calculatedColumnFormula>
    </tableColumn>
    <tableColumn id="7" name="Avoided Weekend Parking Cost ($)" dataDxfId="293" totalsRowDxfId="292"/>
    <tableColumn id="6" name="Travel Cost Savings ($)" dataDxfId="291" totalsRowDxfId="290"/>
  </tableColumns>
  <tableStyleInfo name="TableStyleMedium9" showFirstColumn="0" showLastColumn="0" showRowStripes="1" showColumnStripes="0"/>
  <extLst>
    <ext xmlns:x14="http://schemas.microsoft.com/office/spreadsheetml/2009/9/main" uri="{504A1905-F514-4f6f-8877-14C23A59335A}">
      <x14:table altText="Active Transportation Costs"/>
    </ext>
  </extLst>
</table>
</file>

<file path=xl/tables/table30.xml><?xml version="1.0" encoding="utf-8"?>
<table xmlns="http://schemas.openxmlformats.org/spreadsheetml/2006/main" id="13" name="AdjFactorsCities" displayName="AdjFactorsCities" ref="F17:I20" totalsRowShown="0" headerRowDxfId="10" dataDxfId="9">
  <autoFilter ref="F17:I20">
    <filterColumn colId="0" hiddenButton="1"/>
    <filterColumn colId="1" hiddenButton="1"/>
    <filterColumn colId="2" hiddenButton="1"/>
    <filterColumn colId="3" hiddenButton="1"/>
  </autoFilter>
  <tableColumns count="4">
    <tableColumn id="1" name="Minimum Average Daily Traffic" dataDxfId="8"/>
    <tableColumn id="2" name="≤ 1 Mile" dataDxfId="7"/>
    <tableColumn id="3" name="&gt; 1 and ≤ 2 Miles" dataDxfId="6"/>
    <tableColumn id="4" name="&gt; 2 Miles" dataDxfId="5"/>
  </tableColumns>
  <tableStyleInfo name="TableStyleMedium9" showFirstColumn="0" showLastColumn="0" showRowStripes="1" showColumnStripes="0"/>
  <extLst>
    <ext xmlns:x14="http://schemas.microsoft.com/office/spreadsheetml/2009/9/main" uri="{504A1905-F514-4f6f-8877-14C23A59335A}">
      <x14:table altText="Adjustment Factors for Cities with Population &gt; 250,000  and Non-university Towns with Population &lt; 250,000"/>
    </ext>
  </extLst>
</table>
</file>

<file path=xl/tables/table4.xml><?xml version="1.0" encoding="utf-8"?>
<table xmlns="http://schemas.openxmlformats.org/spreadsheetml/2006/main" id="20" name="TransitCosts" displayName="TransitCosts" ref="B27:L32" totalsRowShown="0" headerRowDxfId="289" dataDxfId="288">
  <autoFilter ref="B27:L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New Transit Service or Infrastructure Type" dataDxfId="287">
      <calculatedColumnFormula>IF(ISBLANK('Transit Inputs'!B14),"",'Transit Inputs'!B14)</calculatedColumnFormula>
    </tableColumn>
    <tableColumn id="2" name="Name or Location" dataDxfId="286">
      <calculatedColumnFormula>IF(ISBLANK('Transit Inputs'!C14),"",'Transit Inputs'!C14)</calculatedColumnFormula>
    </tableColumn>
    <tableColumn id="3" name="Auto VMT Reductions" dataDxfId="285">
      <calculatedColumnFormula>IF(ISBLANK('Transit Inputs'!T14),"",'Transit Inputs'!T14)</calculatedColumnFormula>
    </tableColumn>
    <tableColumn id="4" name="New Transit Trips" dataDxfId="284">
      <calculatedColumnFormula>IFERROR(AVERAGE('Transit Inputs'!G14,'Transit Inputs'!H14)*'Transit Inputs'!F14*('Transit Inputs'!E14-'Transit Inputs'!D14)*'Transit Inputs'!I14,"")</calculatedColumnFormula>
    </tableColumn>
    <tableColumn id="5" name="Transit Cost ($)" dataDxfId="283">
      <calculatedColumnFormula>IFERROR(TransitCosts[[#This Row],[New Transit Trips]]*Fare,"")</calculatedColumnFormula>
    </tableColumn>
    <tableColumn id="14" name="Transit Facility Parking Cost ($)" dataDxfId="282">
      <calculatedColumnFormula>IF('Transit Inputs'!Q14="Yes",(TransitCosts[[#This Row],[New Transit Trips]]/2)*'Energy, Fuel, &amp; Travel Prices'!$J$37,0)</calculatedColumnFormula>
    </tableColumn>
    <tableColumn id="6" name="Avoided Auto Miles Cost ($)" dataDxfId="281">
      <calculatedColumnFormula>IF(TransitCosts[[#This Row],[New Transit Service or Infrastructure Type]]="","",TransitCosts[[#This Row],[Auto VMT Reductions]]*'Energy, Fuel, &amp; Travel Prices'!J$29)</calculatedColumnFormula>
    </tableColumn>
    <tableColumn id="7" name="Avoided Weekday Parking Cost ($)" dataDxfId="280">
      <calculatedColumnFormula>IFERROR(IF(ProjectAreaType="RIPA",0,IF('Transit Inputs'!F14=260,(TransitCosts[[#This Row],[New Transit Trips]]/2)*'Energy, Fuel, &amp; Travel Prices'!J$35,(TransitCosts[[#This Row],[New Transit Trips]]/2)*(5/7)*'Energy, Fuel, &amp; Travel Prices'!J$35)),"")</calculatedColumnFormula>
    </tableColumn>
    <tableColumn id="8" name="Avoided Weekend Parking Cost ($)" dataDxfId="279">
      <calculatedColumnFormula>IFERROR(IF(OR(ProjectAreaType="RIPA",'Transit Inputs'!F14=260),0,(TransitCosts[[#This Row],[New Transit Trips]]/2)*(2/7)*'Energy, Fuel, &amp; Travel Prices'!$J$36),0)</calculatedColumnFormula>
    </tableColumn>
    <tableColumn id="9" name="Avoided Bridge Toll ($)" dataDxfId="278">
      <calculatedColumnFormula>IF('Transit Inputs'!P14="Yes",TransitCosts[[#This Row],[New Transit Trips]]/2*'Energy, Fuel, &amp; Travel Prices'!J38,0)</calculatedColumnFormula>
    </tableColumn>
    <tableColumn id="10" name="Travel Cost Savings ($)" dataDxfId="277">
      <calculatedColumnFormula>IFERROR((TransitCosts[[#This Row],[Avoided Auto Miles Cost ($)]]+TransitCosts[[#This Row],[Avoided Weekday Parking Cost ($)]]+TransitCosts[[#This Row],[Avoided Weekend Parking Cost ($)]]+TransitCosts[[#This Row],[Avoided Bridge Toll ($)]])-(TransitCosts[[#This Row],[Transit Cost ($)]]+TransitCosts[[#This Row],[Transit Facility Parking Cost ($)]]),"")</calculatedColumnFormula>
    </tableColumn>
  </tableColumns>
  <tableStyleInfo name="TableStyleMedium9" showFirstColumn="0" showLastColumn="0" showRowStripes="1" showColumnStripes="0"/>
  <extLst>
    <ext xmlns:x14="http://schemas.microsoft.com/office/spreadsheetml/2009/9/main" uri="{504A1905-F514-4f6f-8877-14C23A59335A}">
      <x14:table altText="Transit Travel Costs"/>
    </ext>
  </extLst>
</table>
</file>

<file path=xl/tables/table5.xml><?xml version="1.0" encoding="utf-8"?>
<table xmlns="http://schemas.openxmlformats.org/spreadsheetml/2006/main" id="38" name="TransitFuelCosts" displayName="TransitFuelCosts" ref="B35:G40" totalsRowShown="0" headerRowDxfId="276" dataDxfId="275">
  <autoFilter ref="B35:G40">
    <filterColumn colId="0" hiddenButton="1"/>
    <filterColumn colId="1" hiddenButton="1"/>
    <filterColumn colId="2" hiddenButton="1"/>
    <filterColumn colId="3" hiddenButton="1"/>
    <filterColumn colId="4" hiddenButton="1"/>
    <filterColumn colId="5" hiddenButton="1"/>
  </autoFilter>
  <tableColumns count="6">
    <tableColumn id="1" name="New Transit Service or Infrastructure Type" dataDxfId="274">
      <calculatedColumnFormula>IF('Transit Inputs'!B14="","",'Transit Inputs'!B14)</calculatedColumnFormula>
    </tableColumn>
    <tableColumn id="2" name="Name or Location" dataDxfId="273">
      <calculatedColumnFormula>IF('Transit Inputs'!C14="","",'Transit Inputs'!C14)</calculatedColumnFormula>
    </tableColumn>
    <tableColumn id="6" name="Fuel Type" dataDxfId="272">
      <calculatedColumnFormula>IF('Transit Inputs'!K14="","",'Transit Inputs'!K14)</calculatedColumnFormula>
    </tableColumn>
    <tableColumn id="3" name="Fuel Consumption (GGE)" dataDxfId="271">
      <calculatedColumnFormula>IF(OR(TransitFuelCosts[[#This Row],[Fuel Type]]="Electric",TransitFuelCosts[[#This Row],[Fuel Type]]="Hydrogen"),IF(TransitFuelCosts[[#This Row],[New Transit Service or Infrastructure Type]]="Ferry",'Transit Emissions'!T66,IF(TransitFuelCosts[[#This Row],[New Transit Service or Infrastructure Type]]="Light Rail",'Transit Emissions'!R34,IF(TransitFuelCosts[[#This Row],[New Transit Service or Infrastructure Type]]="Local Bus",'Transit Emissions'!T10,IF(TransitFuelCosts[[#This Row],[New Transit Service or Infrastructure Type]]="Long-distance Commuter Bus",'Transit Emissions'!T18,IF(TransitFuelCosts[[#This Row],[New Transit Service or Infrastructure Type]]="Shuttle",'Transit Emissions'!T58,IF(TransitFuelCosts[[#This Row],[New Transit Service or Infrastructure Type]]="Streetcar",'Transit Emissions'!R26,IF(TransitFuelCosts[[#This Row],[New Transit Service or Infrastructure Type]]="Train",'Transit Emissions'!U42,IF(TransitFuelCosts[[#This Row],[New Transit Service or Infrastructure Type]]="Vanpool",'Transit Emissions'!R50,0)))))))),'Transit Inputs'!AF14)</calculatedColumnFormula>
    </tableColumn>
    <tableColumn id="5" name="Fuel Cost ($)" dataDxfId="270">
      <calculatedColumnFormula>IFERROR(VLOOKUP(TransitFuelCosts[[#This Row],[Fuel Type]],FuelPrices[#All],2,FALSE)*TransitFuelCosts[[#This Row],[Fuel Consumption (GGE)]],"")</calculatedColumnFormula>
    </tableColumn>
    <tableColumn id="4" name="Fare Recovered ($)" dataDxfId="269">
      <calculatedColumnFormula>IF(Costs!F28="","",Costs!F28)</calculatedColumnFormula>
    </tableColumn>
  </tableColumns>
  <tableStyleInfo name="TableStyleMedium9" showFirstColumn="0" showLastColumn="0" showRowStripes="1" showColumnStripes="0"/>
  <extLst>
    <ext xmlns:x14="http://schemas.microsoft.com/office/spreadsheetml/2009/9/main" uri="{504A1905-F514-4f6f-8877-14C23A59335A}">
      <x14:table altText="Transit Fuel Costs"/>
    </ext>
  </extLst>
</table>
</file>

<file path=xl/tables/table6.xml><?xml version="1.0" encoding="utf-8"?>
<table xmlns="http://schemas.openxmlformats.org/spreadsheetml/2006/main" id="21" name="LocalBusEmissions" displayName="LocalBusEmissions" ref="B9:T14" totalsRowShown="0" headerRowDxfId="268" dataDxfId="267">
  <autoFilter ref="B9:T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name="New Transit Service or Infrastructure Type" dataDxfId="266">
      <calculatedColumnFormula>IF('Transit Inputs'!B14="Local Bus",'Transit Inputs'!B14,"")</calculatedColumnFormula>
    </tableColumn>
    <tableColumn id="2" name="Name or Location" dataDxfId="265">
      <calculatedColumnFormula>IF(ISBLANK('Transit Inputs'!C14),"",'Transit Inputs'!C14)</calculatedColumnFormula>
    </tableColumn>
    <tableColumn id="23" name="Useful Life (years)" dataDxfId="264">
      <calculatedColumnFormula>IF(OR(ISBLANK('Transit Inputs'!D14),ISBLANK('Transit Inputs'!E14)),"",'Transit Inputs'!E14-'Transit Inputs'!D14)</calculatedColumnFormula>
    </tableColumn>
    <tableColumn id="5" name="YearMid_ModelYear" dataDxfId="263">
      <calculatedColumnFormula>IF(OR(ISBLANK('Transit Inputs'!D14),ISBLANK('Transit Inputs'!E14),ISBLANK('Transit Inputs'!M14)),"",CONCATENATE(ROUNDDOWN(('Transit Inputs'!E14+'Transit Inputs'!D14)/2,0),"_",'Transit Inputs'!M14))</calculatedColumnFormula>
    </tableColumn>
    <tableColumn id="12" name="Fuel Type" dataDxfId="262">
      <calculatedColumnFormula>IF(ISBLANK('Transit Inputs'!K14),"",'Transit Inputs'!K14)</calculatedColumnFormula>
    </tableColumn>
    <tableColumn id="29" name="Hybrid?" dataDxfId="261">
      <calculatedColumnFormula>IF(ISBLANK('Transit Inputs'!L14),"",'Transit Inputs'!L14)</calculatedColumnFormula>
    </tableColumn>
    <tableColumn id="14" name="Annual VMT" dataDxfId="260">
      <calculatedColumnFormula>IF(ISBLANK('Transit Inputs'!N14),"",'Transit Inputs'!N14)</calculatedColumnFormula>
    </tableColumn>
    <tableColumn id="10" name="Year Mid GHG Emission Factor (gCO2e/mile)" dataDxfId="259">
      <calculatedColumnFormula>IFERROR(IF(LocalBusEmissions[[#This Row],[Fuel Type]]="Gasoline",(VLOOKUP(LocalBusEmissions[[#This Row],[YearMid_ModelYear]],'Transit Bus Criteria &amp; Toxic'!$D$29:$F$573,3,FALSE)*'Modes of Transportation GHG'!$C$24),(VLOOKUP(LocalBusEmissions[[#This Row],[YearMid_ModelYear]],'Transit Bus Criteria &amp; Toxic'!$D$29:$F$573,2,FALSE)*VLOOKUP(LocalBusEmissions[[#This Row],[Fuel Type]],'Modes of Transportation GHG'!$B$10:$C$18,2,FALSE)))*IF(LocalBusEmissions[[#This Row],[Hybrid?]]="Yes",0.8,1),"")</calculatedColumnFormula>
    </tableColumn>
    <tableColumn id="20" name="GHG Emissions (MTCO2e)" dataDxfId="258">
      <calculatedColumnFormula>IFERROR(LocalBusEmissions[[#This Row],[Year Mid GHG Emission Factor (gCO2e/mile)]]*LocalBusEmissions[[#This Row],[Annual VMT]]*LocalBusEmissions[[#This Row],[Useful Life (years)]]/1000000,"")</calculatedColumnFormula>
    </tableColumn>
    <tableColumn id="35" name="Year Mid ROG Emission Factor (g/mile)" dataDxfId="257">
      <calculatedColumnFormula>IFERROR(IF(LocalBusEmissions[[#This Row],[Fuel Type]]="Gasoline",VLOOKUP(LocalBusEmissions[[#This Row],[YearMid_ModelYear]],'Transit Bus Criteria &amp; Toxic'!$D$29:$Q$573,5,FALSE),IF(OR(LocalBusEmissions[[#This Row],[Fuel Type]]="Electric",LocalBusEmissions[[#This Row],[Fuel Type]]="Hydrogen"),0,VLOOKUP(LocalBusEmissions[[#This Row],[YearMid_ModelYear]],'Transit Bus Criteria &amp; Toxic'!$D$29:$Q$573,4,FALSE)))*IF(LocalBusEmissions[[#This Row],[Hybrid?]]="Yes",0.8,1),"")</calculatedColumnFormula>
    </tableColumn>
    <tableColumn id="34" name="ROG Emissions (lbs)" dataDxfId="256">
      <calculatedColumnFormula>IFERROR(LocalBusEmissions[[#This Row],[Year Mid ROG Emission Factor (g/mile)]]*LocalBusEmissions[[#This Row],[Annual VMT]]*LocalBusEmissions[[#This Row],[Useful Life (years)]]/453.59,"")</calculatedColumnFormula>
    </tableColumn>
    <tableColumn id="21" name="Year Mid NOx Emission Factor (g/mile)" dataDxfId="255">
      <calculatedColumnFormula>IFERROR(IF(LocalBusEmissions[[#This Row],[Fuel Type]]="Gasoline",VLOOKUP(LocalBusEmissions[[#This Row],[YearMid_ModelYear]],'Transit Bus Criteria &amp; Toxic'!$D$29:$Q$573,7,FALSE),IF(OR(LocalBusEmissions[[#This Row],[Fuel Type]]="Electric",LocalBusEmissions[[#This Row],[Fuel Type]]="Hydrogen"),0,VLOOKUP(LocalBusEmissions[[#This Row],[YearMid_ModelYear]],'Transit Bus Criteria &amp; Toxic'!$D$29:$Q$573,6,FALSE)))*IF(LocalBusEmissions[[#This Row],[Hybrid?]]="Yes",0.8,1),"")</calculatedColumnFormula>
    </tableColumn>
    <tableColumn id="33" name="NOx Emissions (lbs)" dataDxfId="254">
      <calculatedColumnFormula>IFERROR(LocalBusEmissions[[#This Row],[Year Mid NOx Emission Factor (g/mile)]]*LocalBusEmissions[[#This Row],[Annual VMT]]*LocalBusEmissions[[#This Row],[Useful Life (years)]]/453.59,"")</calculatedColumnFormula>
    </tableColumn>
    <tableColumn id="22" name="Year Mid PM2.5 Emission Factor (g/mile)" dataDxfId="253">
      <calculatedColumnFormula>IFERROR(IF(LocalBusEmissions[[#This Row],[Fuel Type]]="Gasoline",VLOOKUP(LocalBusEmissions[[#This Row],[YearMid_ModelYear]],'Transit Bus Criteria &amp; Toxic'!$D$29:$Q$573,9,FALSE)*IF(LocalBusEmissions[[#This Row],[Hybrid?]]="Yes",0.8,1)+VLOOKUP(LocalBusEmissions[[#This Row],[YearMid_ModelYear]],'Transit Bus Criteria &amp; Toxic'!$D$29:$Q$573,11,FALSE)+VLOOKUP(LocalBusEmissions[[#This Row],[YearMid_ModelYear]],'Transit Bus Criteria &amp; Toxic'!$D$29:$Q$573,13,FALSE)*IF(LocalBusEmissions[[#This Row],[Hybrid?]]="Yes",0.5,1),IF(OR(LocalBusEmissions[[#This Row],[Fuel Type]]="Electric",LocalBusEmissions[[#This Row],[Fuel Type]]="Hydrogen"),VLOOKUP(LocalBusEmissions[[#This Row],[YearMid_ModelYear]],'Transit Bus Criteria &amp; Toxic'!$D$29:$Q$573,10,FALSE)+VLOOKUP(LocalBusEmissions[[#This Row],[YearMid_ModelYear]],'Transit Bus Criteria &amp; Toxic'!$D$29:$Q$573,12,FALSE)*0.5,VLOOKUP(LocalBusEmissions[[#This Row],[YearMid_ModelYear]],'Transit Bus Criteria &amp; Toxic'!$D$29:$Q$573,8,FALSE)*IF(LocalBusEmissions[[#This Row],[Hybrid?]]="Yes",0.8,1)+VLOOKUP(LocalBusEmissions[[#This Row],[YearMid_ModelYear]],'Transit Bus Criteria &amp; Toxic'!$D$29:$Q$573,10,FALSE)+VLOOKUP(LocalBusEmissions[[#This Row],[YearMid_ModelYear]],'Transit Bus Criteria &amp; Toxic'!$D$29:$Q$573,12,FALSE)*IF(LocalBusEmissions[[#This Row],[Hybrid?]]="Yes",0.5,1))),"")</calculatedColumnFormula>
    </tableColumn>
    <tableColumn id="32" name="PM2.5 Emissions (lbs)" dataDxfId="252">
      <calculatedColumnFormula>IFERROR(LocalBusEmissions[[#This Row],[Year Mid PM2.5 Emission Factor (g/mile)]]*LocalBusEmissions[[#This Row],[Annual VMT]]*LocalBusEmissions[[#This Row],[Useful Life (years)]]/453.59,"")</calculatedColumnFormula>
    </tableColumn>
    <tableColumn id="31" name="Year Mid Diesel PM10 Emission Factor (g/mile)" dataDxfId="251">
      <calculatedColumnFormula>IFERROR(IF(OR(LocalBusEmissions[[#This Row],[Fuel Type]]="Diesel",LocalBusEmissions[[#This Row],[Fuel Type]]="Biodiesel",LocalBusEmissions[[#This Row],[Fuel Type]]="Renewable Diesel"),VLOOKUP(LocalBusEmissions[[#This Row],[YearMid_ModelYear]],'Transit Bus Criteria &amp; Toxic'!D29:Q573,14,FALSE),IF(LocalBusEmissions[[#This Row],[Fuel Type]]="","",0))*IF(LocalBusEmissions[[#This Row],[Hybrid?]]="Yes",0.8,1),"")</calculatedColumnFormula>
    </tableColumn>
    <tableColumn id="30" name="Diesel PM10 Emissions (lbs)" dataDxfId="250">
      <calculatedColumnFormula>IFERROR(LocalBusEmissions[[#This Row],[Year Mid Diesel PM10 Emission Factor (g/mile)]]*LocalBusEmissions[[#This Row],[Annual VMT]]*LocalBusEmissions[[#This Row],[Useful Life (years)]]/453.59,"")</calculatedColumnFormula>
    </tableColumn>
    <tableColumn id="24" name="Fossil Fuel Use (GGE)" dataDxfId="249">
      <calculatedColumnFormula>IFERROR(IF(OR(LocalBusEmissions[[#This Row],[Fuel Type]]="Electric", LocalBusEmissions[[#This Row],[Fuel Type]]="Hydrogen"),0,IF(LocalBusEmissions[[#This Row],[Fuel Type]]="Gasoline",LocalBusEmissions[[#This Row],[GHG Emissions (MTCO2e)]]*1000000/'Modes of Transportation GHG'!$C$24,LocalBusEmissions[[#This Row],[GHG Emissions (MTCO2e)]]*1000000/VLOOKUP(LocalBusEmissions[[#This Row],[Fuel Type]],'Modes of Transportation GHG'!$B$11:$C$16,2,FALSE)*1.14)),"")</calculatedColumnFormula>
    </tableColumn>
    <tableColumn id="3" name="Alternative Fuel Use (GGE)" dataDxfId="248">
      <calculatedColumnFormula>IFERROR(IF(OR(LocalBusEmissions[[#This Row],[Fuel Type]]="Electric",LocalBusEmissions[[#This Row],[Fuel Type]]="Hydrogen"),LocalBusEmissions[[#This Row],[GHG Emissions (MTCO2e)]]*1000000/VLOOKUP(LocalBusEmissions[[#This Row],[Fuel Type]],'Modes of Transportation GHG'!$B$17:$C$18,2,FALSE)*1.14,0),"")</calculatedColumnFormula>
    </tableColumn>
  </tableColumns>
  <tableStyleInfo name="TableStyleMedium9" showFirstColumn="0" showLastColumn="0" showRowStripes="1" showColumnStripes="0"/>
  <extLst>
    <ext xmlns:x14="http://schemas.microsoft.com/office/spreadsheetml/2009/9/main" uri="{504A1905-F514-4f6f-8877-14C23A59335A}">
      <x14:table altText="Local Bus Emissions"/>
    </ext>
  </extLst>
</table>
</file>

<file path=xl/tables/table7.xml><?xml version="1.0" encoding="utf-8"?>
<table xmlns="http://schemas.openxmlformats.org/spreadsheetml/2006/main" id="22" name="CommuterBusEmissions" displayName="CommuterBusEmissions" ref="B17:T22" totalsRowShown="0" headerRowDxfId="247" dataDxfId="246">
  <autoFilter ref="B17:T2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name="New Transit Service or Infrastructure Type" dataDxfId="245">
      <calculatedColumnFormula>IF('Transit Inputs'!B14="Long-distance Commuter Bus",'Transit Inputs'!B14,"")</calculatedColumnFormula>
    </tableColumn>
    <tableColumn id="2" name="Name or Location" dataDxfId="244">
      <calculatedColumnFormula>IF(ISBLANK('Transit Inputs'!C14),"",'Transit Inputs'!C14)</calculatedColumnFormula>
    </tableColumn>
    <tableColumn id="23" name="Useful Life (years)" dataDxfId="243">
      <calculatedColumnFormula>IF(OR(ISBLANK('Transit Inputs'!D14),ISBLANK('Transit Inputs'!E14)),"",'Transit Inputs'!E14-'Transit Inputs'!D14)</calculatedColumnFormula>
    </tableColumn>
    <tableColumn id="5" name="YearMid_ModelYear" dataDxfId="242">
      <calculatedColumnFormula>IF(OR(ISBLANK('Transit Inputs'!D14),ISBLANK('Transit Inputs'!E14),ISBLANK('Transit Inputs'!M14)),"",CONCATENATE(ROUNDDOWN(('Transit Inputs'!E14+'Transit Inputs'!D14)/2,0),"_",'Transit Inputs'!M14))</calculatedColumnFormula>
    </tableColumn>
    <tableColumn id="12" name="Fuel Type" dataDxfId="241">
      <calculatedColumnFormula>IF(ISBLANK('Transit Inputs'!K14),"",'Transit Inputs'!K14)</calculatedColumnFormula>
    </tableColumn>
    <tableColumn id="29" name="Hybrid?" dataDxfId="240">
      <calculatedColumnFormula>IF(ISBLANK('Transit Inputs'!L14),"",'Transit Inputs'!L14)</calculatedColumnFormula>
    </tableColumn>
    <tableColumn id="14" name="Annual VMT" dataDxfId="239">
      <calculatedColumnFormula>IF(ISBLANK('Transit Inputs'!N14),"",'Transit Inputs'!N14)</calculatedColumnFormula>
    </tableColumn>
    <tableColumn id="10" name="Year Mid GHG Emission Factor (gCO2e/mile)" dataDxfId="238">
      <calculatedColumnFormula>IFERROR(IF(CommuterBusEmissions[[#This Row],[Fuel Type]]="Gasoline",(VLOOKUP(CommuterBusEmissions[[#This Row],[YearMid_ModelYear]],'Coach Criteria &amp; Toxic'!$D$27:$E$950,2,FALSE)*'Modes of Transportation GHG'!$C$24*'Energy, Fuel, &amp; Travel Prices'!C27),(VLOOKUP(CommuterBusEmissions[[#This Row],[YearMid_ModelYear]],'Coach Criteria &amp; Toxic'!$D$27:$E$950,2,FALSE)*VLOOKUP(CommuterBusEmissions[[#This Row],[Fuel Type]],'Modes of Transportation GHG'!$B$10:$C$18,2,FALSE)))*IF(CommuterBusEmissions[[#This Row],[Hybrid?]]="Yes",0.8,1),"")</calculatedColumnFormula>
    </tableColumn>
    <tableColumn id="20" name="GHG Emissions (MTCO2e)" dataDxfId="237">
      <calculatedColumnFormula>IFERROR(CommuterBusEmissions[[#This Row],[Year Mid GHG Emission Factor (gCO2e/mile)]]*CommuterBusEmissions[[#This Row],[Annual VMT]]*CommuterBusEmissions[[#This Row],[Useful Life (years)]]/1000000,"")</calculatedColumnFormula>
    </tableColumn>
    <tableColumn id="35" name="Year Mid ROG Emission Factor (g/mile)" dataDxfId="236">
      <calculatedColumnFormula>IFERROR(IF(OR(CommuterBusEmissions[[#This Row],[Fuel Type]]="Electric",CommuterBusEmissions[[#This Row],[Fuel Type]]="Hydrogen"),0,(VLOOKUP(CommuterBusEmissions[[#This Row],[YearMid_ModelYear]],'Coach Criteria &amp; Toxic'!$D$27:$M$950,3,FALSE)+VLOOKUP(CommuterBusEmissions[[#This Row],[YearMid_ModelYear]],'Coach Criteria &amp; Toxic'!$D$27:$M$950,4,FALSE))*IF(CommuterBusEmissions[[#This Row],[Hybrid?]]="Yes",0.8,1)),"")</calculatedColumnFormula>
    </tableColumn>
    <tableColumn id="34" name="ROG Emissions (lbs)" dataDxfId="235">
      <calculatedColumnFormula>IFERROR(CommuterBusEmissions[[#This Row],[Year Mid ROG Emission Factor (g/mile)]]*CommuterBusEmissions[[#This Row],[Annual VMT]]*CommuterBusEmissions[[#This Row],[Useful Life (years)]]/453.59,"")</calculatedColumnFormula>
    </tableColumn>
    <tableColumn id="21" name="Year Mid NOx Emission Factor (g/mile)" dataDxfId="234">
      <calculatedColumnFormula>IFERROR(IF(OR(CommuterBusEmissions[[#This Row],[Fuel Type]]="Electric",CommuterBusEmissions[[#This Row],[Fuel Type]]="Hydrogen"),0,(VLOOKUP(CommuterBusEmissions[[#This Row],[YearMid_ModelYear]],'Coach Criteria &amp; Toxic'!$D$27:$M$950,5,FALSE)+VLOOKUP(CommuterBusEmissions[[#This Row],[YearMid_ModelYear]],'Coach Criteria &amp; Toxic'!$D$27:$M$950,6,FALSE))*IF(CommuterBusEmissions[[#This Row],[Hybrid?]]="Yes",0.8,1)),"")</calculatedColumnFormula>
    </tableColumn>
    <tableColumn id="33" name="NOx Emissions (lbs)" dataDxfId="233">
      <calculatedColumnFormula>IFERROR(CommuterBusEmissions[[#This Row],[Year Mid NOx Emission Factor (g/mile)]]*CommuterBusEmissions[[#This Row],[Annual VMT]]*CommuterBusEmissions[[#This Row],[Useful Life (years)]]/453.59,"")</calculatedColumnFormula>
    </tableColumn>
    <tableColumn id="22" name="Year Mid PM2.5 Emission Factor (g/mile)" dataDxfId="232">
      <calculatedColumnFormula>IFERROR(IF(OR(CommuterBusEmissions[[#This Row],[Fuel Type]]="Electric",CommuterBusEmissions[[#This Row],[Fuel Type]]="Hydrogen"),('Coach Criteria &amp; Toxic'!$O$28+0.5*'Coach Criteria &amp; Toxic'!$P$28),(VLOOKUP(CommuterBusEmissions[[#This Row],[YearMid_ModelYear]],'Coach Criteria &amp; Toxic'!$D$27:$M$950,7,FALSE)+VLOOKUP(CommuterBusEmissions[[#This Row],[YearMid_ModelYear]],'Coach Criteria &amp; Toxic'!$D$27:$M$950,8,FALSE))*IF(CommuterBusEmissions[[#This Row],[Hybrid?]]="Yes",0.8,1)+'Coach Criteria &amp; Toxic'!$O$28+'Coach Criteria &amp; Toxic'!$P$28*IF(CommuterBusEmissions[[#This Row],[Hybrid?]]="Yes",0.5,1)),"")</calculatedColumnFormula>
    </tableColumn>
    <tableColumn id="32" name="PM2.5 Emissions (lbs)" dataDxfId="231">
      <calculatedColumnFormula>IFERROR(CommuterBusEmissions[[#This Row],[Year Mid PM2.5 Emission Factor (g/mile)]]*CommuterBusEmissions[[#This Row],[Annual VMT]]*CommuterBusEmissions[[#This Row],[Useful Life (years)]]/453.59,"")</calculatedColumnFormula>
    </tableColumn>
    <tableColumn id="31" name="Year Mid Diesel PM10 Emission Factor (g/mile)" dataDxfId="230">
      <calculatedColumnFormula>IFERROR(IF(OR(CommuterBusEmissions[[#This Row],[Fuel Type]]="Diesel",CommuterBusEmissions[[#This Row],[Fuel Type]]="Biodiesel",CommuterBusEmissions[[#This Row],[Fuel Type]]="Renewable Diesel"),VLOOKUP(CommuterBusEmissions[[#This Row],[YearMid_ModelYear]],'Coach Criteria &amp; Toxic'!$D$27:$M$950,9,FALSE)+VLOOKUP(CommuterBusEmissions[[#This Row],[YearMid_ModelYear]],'Coach Criteria &amp; Toxic'!$D$27:$M$950,10,FALSE),IF(CommuterBusEmissions[[#This Row],[Fuel Type]]="","",0))*IF(CommuterBusEmissions[[#This Row],[Hybrid?]]="Yes",0.8,1),"")</calculatedColumnFormula>
    </tableColumn>
    <tableColumn id="30" name="Diesel PM10 Emissions (lbs)" dataDxfId="229">
      <calculatedColumnFormula>IFERROR(CommuterBusEmissions[[#This Row],[Year Mid Diesel PM10 Emission Factor (g/mile)]]*CommuterBusEmissions[[#This Row],[Annual VMT]]*CommuterBusEmissions[[#This Row],[Useful Life (years)]]/453.59,"")</calculatedColumnFormula>
    </tableColumn>
    <tableColumn id="24" name="Fossil Fuel Use (GGE)" dataDxfId="228">
      <calculatedColumnFormula>IFERROR(IF(OR(CommuterBusEmissions[[#This Row],[Fuel Type]]="Electric", CommuterBusEmissions[[#This Row],[Fuel Type]]="Hydrogen"),0,IF(CommuterBusEmissions[[#This Row],[Fuel Type]]="Gasoline",CommuterBusEmissions[[#This Row],[GHG Emissions (MTCO2e)]]*1000000/'Modes of Transportation GHG'!$C$24,CommuterBusEmissions[[#This Row],[GHG Emissions (MTCO2e)]]*1000000/VLOOKUP(CommuterBusEmissions[[#This Row],[Fuel Type]],'Modes of Transportation GHG'!$B$11:$C$16,2,FALSE)*1.14)),"")</calculatedColumnFormula>
    </tableColumn>
    <tableColumn id="4" name="Alternative Fuel Use (GGE)" dataDxfId="227">
      <calculatedColumnFormula>IFERROR(IF(OR(CommuterBusEmissions[[#This Row],[Fuel Type]]="Electric",CommuterBusEmissions[[#This Row],[Fuel Type]]="Hydrogen"),CommuterBusEmissions[[#This Row],[GHG Emissions (MTCO2e)]]*1000000/VLOOKUP(CommuterBusEmissions[[#This Row],[Fuel Type]],'Modes of Transportation GHG'!$B$17:$C$18,2,FALSE)*1.14,0),"")</calculatedColumnFormula>
    </tableColumn>
  </tableColumns>
  <tableStyleInfo name="TableStyleMedium9" showFirstColumn="0" showLastColumn="0" showRowStripes="1" showColumnStripes="0"/>
  <extLst>
    <ext xmlns:x14="http://schemas.microsoft.com/office/spreadsheetml/2009/9/main" uri="{504A1905-F514-4f6f-8877-14C23A59335A}">
      <x14:table altText="Long-distance Commuter Bus Emissions"/>
    </ext>
  </extLst>
</table>
</file>

<file path=xl/tables/table8.xml><?xml version="1.0" encoding="utf-8"?>
<table xmlns="http://schemas.openxmlformats.org/spreadsheetml/2006/main" id="23" name="StreetcarEmissions" displayName="StreetcarEmissions" ref="B25:R30" totalsRowShown="0" headerRowDxfId="226" dataDxfId="225">
  <autoFilter ref="B25:R3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name="New Transit Service or Infrastructure Type" dataDxfId="224">
      <calculatedColumnFormula>IF('Transit Inputs'!B14="Streetcar, Cable Car, or Trolley Bus",'Transit Inputs'!B14,"")</calculatedColumnFormula>
    </tableColumn>
    <tableColumn id="2" name="Name or Location" dataDxfId="223">
      <calculatedColumnFormula>IF(ISBLANK('Transit Inputs'!C14),"",'Transit Inputs'!C14)</calculatedColumnFormula>
    </tableColumn>
    <tableColumn id="23" name="Useful Life (years)" dataDxfId="222">
      <calculatedColumnFormula>IF(OR(ISBLANK('Transit Inputs'!D14),ISBLANK('Transit Inputs'!E14)),"",'Transit Inputs'!E14-'Transit Inputs'!D14)</calculatedColumnFormula>
    </tableColumn>
    <tableColumn id="12" name="Fuel Type" dataDxfId="221">
      <calculatedColumnFormula>IF(ISBLANK('Transit Inputs'!K14),"",'Transit Inputs'!K14)</calculatedColumnFormula>
    </tableColumn>
    <tableColumn id="14" name="Annual VMT" dataDxfId="220">
      <calculatedColumnFormula>IF(ISBLANK('Transit Inputs'!N14),"",'Transit Inputs'!N14)</calculatedColumnFormula>
    </tableColumn>
    <tableColumn id="10" name="GHG Emission Factor (gCO2e/mile)" dataDxfId="219">
      <calculatedColumnFormula>IF(AND(StreetcarEmissions[[#This Row],[New Transit Service or Infrastructure Type]]="Streetcar, Cable Car, or Trolley Bus",StreetcarEmissions[[#This Row],[Fuel Type]]="Electric"),'Locomotive Criteria &amp; Toxic'!$J$21*'Modes of Transportation GHG'!$E$21,"")</calculatedColumnFormula>
    </tableColumn>
    <tableColumn id="20" name="GHG Emissions (MTCO2e)" dataDxfId="218">
      <calculatedColumnFormula>IFERROR(StreetcarEmissions[[#This Row],[GHG Emission Factor (gCO2e/mile)]]*StreetcarEmissions[[#This Row],[Annual VMT]]*StreetcarEmissions[[#This Row],[Useful Life (years)]]/1000000,"")</calculatedColumnFormula>
    </tableColumn>
    <tableColumn id="35" name="ROG Emission Factor (g/mile)" dataDxfId="217">
      <calculatedColumnFormula>IF(StreetcarEmissions[[#This Row],[Fuel Type]]="Electric",0,"")</calculatedColumnFormula>
    </tableColumn>
    <tableColumn id="34" name="ROG Emissions (lbs)" dataDxfId="216">
      <calculatedColumnFormula>IF(StreetcarEmissions[[#This Row],[Fuel Type]]="Electric",0,"")</calculatedColumnFormula>
    </tableColumn>
    <tableColumn id="21" name="NOx Emission Factor (g/mile)" dataDxfId="215">
      <calculatedColumnFormula>IF(StreetcarEmissions[[#This Row],[Fuel Type]]="Electric",0,"")</calculatedColumnFormula>
    </tableColumn>
    <tableColumn id="33" name="NOx Emissions (lbs)" dataDxfId="214">
      <calculatedColumnFormula>IF(StreetcarEmissions[[#This Row],[Fuel Type]]="Electric",0,"")</calculatedColumnFormula>
    </tableColumn>
    <tableColumn id="22" name="PM2.5 Emission Factor (g/mile)" dataDxfId="213">
      <calculatedColumnFormula>IF(StreetcarEmissions[[#This Row],[Fuel Type]]="Electric",0,"")</calculatedColumnFormula>
    </tableColumn>
    <tableColumn id="32" name="PM2.5 Emissions (lbs)" dataDxfId="212">
      <calculatedColumnFormula>IF(StreetcarEmissions[[#This Row],[Fuel Type]]="Electric",0,"")</calculatedColumnFormula>
    </tableColumn>
    <tableColumn id="31" name="Diesel PM10 Emission Factor (g/mile)" dataDxfId="211">
      <calculatedColumnFormula>IF(StreetcarEmissions[[#This Row],[Fuel Type]]="Electric",0,"")</calculatedColumnFormula>
    </tableColumn>
    <tableColumn id="30" name="Diesel PM10 Emissions (lbs)" dataDxfId="210">
      <calculatedColumnFormula>IF(StreetcarEmissions[[#This Row],[Fuel Type]]="Electric",0,"")</calculatedColumnFormula>
    </tableColumn>
    <tableColumn id="24" name="Fossil Fuel Use (GGE)" dataDxfId="209">
      <calculatedColumnFormula>IF(StreetcarEmissions[[#This Row],[Fuel Type]]="Electric",0,"")</calculatedColumnFormula>
    </tableColumn>
    <tableColumn id="3" name="Alternative Fuel Use (GGE)" dataDxfId="208">
      <calculatedColumnFormula>IFERROR(StreetcarEmissions[[#This Row],[GHG Emissions (MTCO2e)]]*1000000/'Modes of Transportation GHG'!$E$21*1.14,0)</calculatedColumnFormula>
    </tableColumn>
  </tableColumns>
  <tableStyleInfo name="TableStyleMedium9" showFirstColumn="0" showLastColumn="0" showRowStripes="1" showColumnStripes="0"/>
  <extLst>
    <ext xmlns:x14="http://schemas.microsoft.com/office/spreadsheetml/2009/9/main" uri="{504A1905-F514-4f6f-8877-14C23A59335A}">
      <x14:table altText="Streetcar, Cable Car, and Trolley Bus Emissions"/>
    </ext>
  </extLst>
</table>
</file>

<file path=xl/tables/table9.xml><?xml version="1.0" encoding="utf-8"?>
<table xmlns="http://schemas.openxmlformats.org/spreadsheetml/2006/main" id="26" name="LightRailEmissions" displayName="LightRailEmissions" ref="B33:R38" totalsRowShown="0" headerRowDxfId="207" dataDxfId="206">
  <autoFilter ref="B33:R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name="New Transit Service or Infrastructure Type" dataDxfId="205">
      <calculatedColumnFormula>IF('Transit Inputs'!B14="Light Rail",'Transit Inputs'!B14,"")</calculatedColumnFormula>
    </tableColumn>
    <tableColumn id="2" name="Name or Location" dataDxfId="204">
      <calculatedColumnFormula>IF(ISBLANK('Transit Inputs'!C14),"",'Transit Inputs'!C14)</calculatedColumnFormula>
    </tableColumn>
    <tableColumn id="23" name="Useful Life (years)" dataDxfId="203">
      <calculatedColumnFormula>IF(OR(ISBLANK('Transit Inputs'!D14),ISBLANK('Transit Inputs'!E14)),"",'Transit Inputs'!E14-'Transit Inputs'!D14)</calculatedColumnFormula>
    </tableColumn>
    <tableColumn id="12" name="Fuel Type" dataDxfId="202">
      <calculatedColumnFormula>IF(ISBLANK('Transit Inputs'!K14),"",'Transit Inputs'!K14)</calculatedColumnFormula>
    </tableColumn>
    <tableColumn id="14" name="Annual VMT" dataDxfId="201">
      <calculatedColumnFormula>IF(ISBLANK('Transit Inputs'!N14),"",'Transit Inputs'!N14)</calculatedColumnFormula>
    </tableColumn>
    <tableColumn id="10" name="GHG Emission Factor (gCO2e/mile)" dataDxfId="200">
      <calculatedColumnFormula>IF(AND(LightRailEmissions[[#This Row],[New Transit Service or Infrastructure Type]]="Light Rail",LightRailEmissions[[#This Row],[Fuel Type]]="Electric"),'Locomotive Criteria &amp; Toxic'!$J$21*'Modes of Transportation GHG'!$E$20,"")</calculatedColumnFormula>
    </tableColumn>
    <tableColumn id="20" name="GHG Emissions (MTCO2e)" dataDxfId="199">
      <calculatedColumnFormula>IFERROR(LightRailEmissions[[#This Row],[GHG Emission Factor (gCO2e/mile)]]*LightRailEmissions[[#This Row],[Annual VMT]]*LightRailEmissions[[#This Row],[Useful Life (years)]]/1000000,"")</calculatedColumnFormula>
    </tableColumn>
    <tableColumn id="35" name="ROG Emission Factor (g/mile)" dataDxfId="198">
      <calculatedColumnFormula>IF(LightRailEmissions[[#This Row],[Fuel Type]]="Electric",0,"")</calculatedColumnFormula>
    </tableColumn>
    <tableColumn id="34" name="ROG Emissions (lbs)" dataDxfId="197">
      <calculatedColumnFormula>IF(LightRailEmissions[[#This Row],[Fuel Type]]="Electric",0,"")</calculatedColumnFormula>
    </tableColumn>
    <tableColumn id="21" name="NOx Emission Factor (g/mile)" dataDxfId="196">
      <calculatedColumnFormula>IF(LightRailEmissions[[#This Row],[Fuel Type]]="Electric",0,"")</calculatedColumnFormula>
    </tableColumn>
    <tableColumn id="33" name="NOx Emissions (lbs)" dataDxfId="195">
      <calculatedColumnFormula>IF(LightRailEmissions[[#This Row],[Fuel Type]]="Electric",0,"")</calculatedColumnFormula>
    </tableColumn>
    <tableColumn id="22" name="PM2.5 Emission Factor (g/mile)" dataDxfId="194">
      <calculatedColumnFormula>IF(LightRailEmissions[[#This Row],[Fuel Type]]="Electric",0,"")</calculatedColumnFormula>
    </tableColumn>
    <tableColumn id="32" name="PM2.5 Emissions (lbs)" dataDxfId="193">
      <calculatedColumnFormula>IF(LightRailEmissions[[#This Row],[Fuel Type]]="Electric",0,"")</calculatedColumnFormula>
    </tableColumn>
    <tableColumn id="31" name="Diesel PM10 Emission Factor (g/mile)" dataDxfId="192">
      <calculatedColumnFormula>IF(LightRailEmissions[[#This Row],[Fuel Type]]="Electric",0,"")</calculatedColumnFormula>
    </tableColumn>
    <tableColumn id="30" name="Diesel PM10 Emissions (lbs)" dataDxfId="191">
      <calculatedColumnFormula>IF(LightRailEmissions[[#This Row],[Fuel Type]]="Electric",0,"")</calculatedColumnFormula>
    </tableColumn>
    <tableColumn id="24" name="Fossil Fuel Use (GGE)" dataDxfId="190">
      <calculatedColumnFormula>IF(LightRailEmissions[[#This Row],[Fuel Type]]="Electric",0,"")</calculatedColumnFormula>
    </tableColumn>
    <tableColumn id="3" name="Alternative Fuel Use (GGE)" dataDxfId="189">
      <calculatedColumnFormula>IFERROR(LightRailEmissions[[#This Row],[GHG Emissions (MTCO2e)]]*1000000/'Modes of Transportation GHG'!$E$20*1.14,0)</calculatedColumnFormula>
    </tableColumn>
  </tableColumns>
  <tableStyleInfo name="TableStyleMedium9" showFirstColumn="0" showLastColumn="0" showRowStripes="1" showColumnStripes="0"/>
  <extLst>
    <ext xmlns:x14="http://schemas.microsoft.com/office/spreadsheetml/2009/9/main" uri="{504A1905-F514-4f6f-8877-14C23A59335A}">
      <x14:table altText="Light Rail Emission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vmlDrawing" Target="../drawings/vmlDrawing11.vml"/><Relationship Id="rId7" Type="http://schemas.openxmlformats.org/officeDocument/2006/relationships/table" Target="../tables/table9.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0" Type="http://schemas.openxmlformats.org/officeDocument/2006/relationships/table" Target="../tables/table12.xml"/><Relationship Id="rId4" Type="http://schemas.openxmlformats.org/officeDocument/2006/relationships/table" Target="../tables/table6.xml"/><Relationship Id="rId9"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13" Type="http://schemas.openxmlformats.org/officeDocument/2006/relationships/table" Target="../tables/table18.xml"/><Relationship Id="rId3" Type="http://schemas.openxmlformats.org/officeDocument/2006/relationships/hyperlink" Target="http://sgc.ca.gov/programs/ahsc/resources/guidelines.html" TargetMode="External"/><Relationship Id="rId7" Type="http://schemas.openxmlformats.org/officeDocument/2006/relationships/drawing" Target="../drawings/drawing12.xml"/><Relationship Id="rId12" Type="http://schemas.openxmlformats.org/officeDocument/2006/relationships/table" Target="../tables/table17.xml"/><Relationship Id="rId2" Type="http://schemas.openxmlformats.org/officeDocument/2006/relationships/hyperlink" Target="http://www.capcoa.org/wp-content/uploads/2010/11/CAPCOA-Quantification-Report-9-14-Final.pdf" TargetMode="External"/><Relationship Id="rId16" Type="http://schemas.openxmlformats.org/officeDocument/2006/relationships/table" Target="../tables/table21.xml"/><Relationship Id="rId1" Type="http://schemas.openxmlformats.org/officeDocument/2006/relationships/hyperlink" Target="https://dot.ca.gov/programs/transportation-planning/multi-modal-system-planning/statewide-modeling" TargetMode="External"/><Relationship Id="rId6" Type="http://schemas.openxmlformats.org/officeDocument/2006/relationships/printerSettings" Target="../printerSettings/printerSettings12.bin"/><Relationship Id="rId11" Type="http://schemas.openxmlformats.org/officeDocument/2006/relationships/table" Target="../tables/table16.xml"/><Relationship Id="rId5" Type="http://schemas.openxmlformats.org/officeDocument/2006/relationships/hyperlink" Target="https://www.ite.org/technical-resources/topics/trip-and-parking-generation/" TargetMode="External"/><Relationship Id="rId15" Type="http://schemas.openxmlformats.org/officeDocument/2006/relationships/table" Target="../tables/table20.xml"/><Relationship Id="rId10" Type="http://schemas.openxmlformats.org/officeDocument/2006/relationships/table" Target="../tables/table15.xml"/><Relationship Id="rId4" Type="http://schemas.openxmlformats.org/officeDocument/2006/relationships/hyperlink" Target="http://www.aqmd.gov/docs/default-source/caleemod/05_appendix-d2016-3-2.pdf?sfvrsn=4" TargetMode="External"/><Relationship Id="rId9" Type="http://schemas.openxmlformats.org/officeDocument/2006/relationships/table" Target="../tables/table14.xml"/><Relationship Id="rId14" Type="http://schemas.openxmlformats.org/officeDocument/2006/relationships/table" Target="../tables/table19.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hyperlink" Target="https://ww2.arb.ca.gov/resources/documents/cci-co-benefit-assessment-methodologies" TargetMode="Externa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hyperlink" Target="https://ww2.arb.ca.gov/resources/documents/cci-co-benefit-assessment-methodologies" TargetMode="External"/><Relationship Id="rId1" Type="http://schemas.openxmlformats.org/officeDocument/2006/relationships/hyperlink" Target="https://www.arb.ca.gov/fuels/lcfs/dashboard/dashboard.htm" TargetMode="External"/><Relationship Id="rId6" Type="http://schemas.openxmlformats.org/officeDocument/2006/relationships/vmlDrawing" Target="../drawings/vmlDrawing13.vml"/><Relationship Id="rId11" Type="http://schemas.openxmlformats.org/officeDocument/2006/relationships/table" Target="../tables/table26.xml"/><Relationship Id="rId5" Type="http://schemas.openxmlformats.org/officeDocument/2006/relationships/drawing" Target="../drawings/drawing13.xml"/><Relationship Id="rId10" Type="http://schemas.openxmlformats.org/officeDocument/2006/relationships/table" Target="../tables/table25.xml"/><Relationship Id="rId4" Type="http://schemas.openxmlformats.org/officeDocument/2006/relationships/printerSettings" Target="../printerSettings/printerSettings13.bin"/><Relationship Id="rId9" Type="http://schemas.openxmlformats.org/officeDocument/2006/relationships/table" Target="../tables/table24.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7" Type="http://schemas.openxmlformats.org/officeDocument/2006/relationships/table" Target="../tables/table30.xml"/><Relationship Id="rId2" Type="http://schemas.openxmlformats.org/officeDocument/2006/relationships/printerSettings" Target="../printerSettings/printerSettings14.bin"/><Relationship Id="rId1" Type="http://schemas.openxmlformats.org/officeDocument/2006/relationships/hyperlink" Target="http://www.arb.ca.gov/planning/tsaq/eval/eval.htm" TargetMode="External"/><Relationship Id="rId6" Type="http://schemas.openxmlformats.org/officeDocument/2006/relationships/table" Target="../tables/table29.xml"/><Relationship Id="rId5" Type="http://schemas.openxmlformats.org/officeDocument/2006/relationships/table" Target="../tables/table28.xm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arb.ca.gov/regact/2018/lcfs18/frolcfs.pdf" TargetMode="External"/><Relationship Id="rId1" Type="http://schemas.openxmlformats.org/officeDocument/2006/relationships/hyperlink" Target="https://www.arb.ca.gov/regact/2018/lcfs18/frolcfs.pdf"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arb.ca.gov/regact/2018/lcfs18/frolcfs.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arb.ca.gov/emfac/2017/"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arb.ca.gov/emfac/2017/" TargetMode="Externa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arb.ca.gov/emfac/2017/" TargetMode="Externa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pvwatts.nrel.gov/" TargetMode="Externa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arb.ca.gov/emfac/2017/" TargetMode="Externa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arb.ca.gov/msei/chc-appendix-b-emission-estimates-ver02-27-2012.pdf"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nepis.epa.gov/Exe/ZyPDF.cgi/P100500B.PDF?Dockey=P100500B.PDF" TargetMode="External"/><Relationship Id="rId1" Type="http://schemas.openxmlformats.org/officeDocument/2006/relationships/hyperlink" Target="https://www.epa.gov/regulations-emissions-vehicles-and-engines/final-rule-control-emissions-air-pollution-locomotive" TargetMode="External"/><Relationship Id="rId5" Type="http://schemas.openxmlformats.org/officeDocument/2006/relationships/vmlDrawing" Target="../drawings/vmlDrawing20.vm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arb.ca.gov/emfac/2017/" TargetMode="External"/><Relationship Id="rId4" Type="http://schemas.openxmlformats.org/officeDocument/2006/relationships/vmlDrawing" Target="../drawings/vmlDrawing21.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arb.ca.gov/emfac/2017/" TargetMode="External"/><Relationship Id="rId4" Type="http://schemas.openxmlformats.org/officeDocument/2006/relationships/vmlDrawing" Target="../drawings/vmlDrawing22.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arb.ca.gov/app/emsinv/2017/emssumcat_query.php?F_YR=2012&amp;F_DIV=-4&amp;F_SEASON=A&amp;SP=SIP105ADJ&amp;F_AREA=CA" TargetMode="External"/><Relationship Id="rId2" Type="http://schemas.openxmlformats.org/officeDocument/2006/relationships/hyperlink" Target="http://www.energy.ca.gov/almanac/electricity_data/electricity_generation.html" TargetMode="External"/><Relationship Id="rId1" Type="http://schemas.openxmlformats.org/officeDocument/2006/relationships/hyperlink" Target="https://www.arb.ca.gov/cc/inventory/data/tables/ghg_inventory_sector_sum_2000-16.pdf" TargetMode="External"/><Relationship Id="rId6" Type="http://schemas.openxmlformats.org/officeDocument/2006/relationships/drawing" Target="../drawings/drawing25.xml"/><Relationship Id="rId5" Type="http://schemas.openxmlformats.org/officeDocument/2006/relationships/printerSettings" Target="../printerSettings/printerSettings25.bin"/><Relationship Id="rId4" Type="http://schemas.openxmlformats.org/officeDocument/2006/relationships/hyperlink" Target="http://www.energy.ca.gov/almanac/electricity_data/electricity_generation.htm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rb.ca.gov/cc/capandtrade/auctionproceeds/kml/jobcentermap.htm"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A7A7"/>
  </sheetPr>
  <dimension ref="A1:V165"/>
  <sheetViews>
    <sheetView showGridLines="0" tabSelected="1" zoomScaleNormal="100" workbookViewId="0"/>
  </sheetViews>
  <sheetFormatPr defaultColWidth="9.140625" defaultRowHeight="15" customHeight="1" x14ac:dyDescent="0.25"/>
  <cols>
    <col min="1" max="1" width="2.85546875" style="824" customWidth="1"/>
    <col min="2" max="5" width="33.28515625" style="822" customWidth="1"/>
    <col min="6" max="6" width="37.28515625" style="822" customWidth="1"/>
    <col min="7" max="7" width="2.85546875" style="822" customWidth="1"/>
    <col min="8" max="16384" width="9.140625" style="822"/>
  </cols>
  <sheetData>
    <row r="1" spans="1:22" ht="20.100000000000001" customHeight="1" x14ac:dyDescent="0.25">
      <c r="A1" s="820"/>
      <c r="B1" s="821"/>
      <c r="C1" s="821"/>
      <c r="D1" s="821"/>
      <c r="E1" s="821"/>
      <c r="F1" s="821"/>
    </row>
    <row r="2" spans="1:22" ht="15" customHeight="1" x14ac:dyDescent="0.25">
      <c r="A2" s="820"/>
      <c r="B2" s="820"/>
      <c r="C2" s="820"/>
      <c r="D2" s="820"/>
      <c r="E2" s="820"/>
      <c r="F2" s="820"/>
    </row>
    <row r="3" spans="1:22" ht="20.100000000000001" customHeight="1" x14ac:dyDescent="0.25">
      <c r="A3" s="820"/>
      <c r="B3" s="821"/>
      <c r="C3" s="821"/>
      <c r="D3" s="821"/>
      <c r="E3" s="821"/>
      <c r="F3" s="821"/>
    </row>
    <row r="4" spans="1:22" ht="20.100000000000001" customHeight="1" x14ac:dyDescent="0.25">
      <c r="A4" s="820"/>
      <c r="B4" s="823"/>
      <c r="C4" s="823"/>
      <c r="D4" s="823"/>
      <c r="E4" s="823"/>
      <c r="F4" s="823"/>
    </row>
    <row r="5" spans="1:22" ht="15" customHeight="1" x14ac:dyDescent="0.25">
      <c r="A5" s="820"/>
      <c r="B5" s="820"/>
      <c r="C5" s="820"/>
      <c r="D5" s="820"/>
      <c r="E5" s="820"/>
      <c r="F5" s="820"/>
    </row>
    <row r="6" spans="1:22" ht="20.100000000000001" customHeight="1" x14ac:dyDescent="0.25">
      <c r="A6" s="820"/>
      <c r="B6" s="821"/>
      <c r="C6" s="821"/>
      <c r="D6" s="821"/>
      <c r="E6" s="821"/>
      <c r="F6" s="821"/>
    </row>
    <row r="7" spans="1:22" ht="15" customHeight="1" x14ac:dyDescent="0.25">
      <c r="A7" s="820"/>
      <c r="B7" s="820"/>
      <c r="C7" s="820"/>
      <c r="D7" s="820"/>
      <c r="E7" s="820"/>
      <c r="F7" s="820"/>
    </row>
    <row r="8" spans="1:22" ht="15" customHeight="1" x14ac:dyDescent="0.25">
      <c r="A8" s="820"/>
      <c r="B8" s="821" t="s">
        <v>4826</v>
      </c>
      <c r="C8" s="820"/>
      <c r="D8" s="820"/>
      <c r="E8" s="820"/>
      <c r="F8" s="820"/>
    </row>
    <row r="9" spans="1:22" ht="6.75" customHeight="1" x14ac:dyDescent="0.25">
      <c r="A9" s="820"/>
      <c r="B9" s="825"/>
      <c r="C9" s="825"/>
      <c r="D9" s="825"/>
      <c r="E9" s="825"/>
      <c r="F9" s="825"/>
    </row>
    <row r="10" spans="1:22" ht="15" customHeight="1" x14ac:dyDescent="0.25">
      <c r="A10" s="820"/>
      <c r="B10" s="826"/>
      <c r="C10" s="827"/>
      <c r="D10" s="827"/>
      <c r="E10" s="827"/>
      <c r="F10" s="827"/>
    </row>
    <row r="11" spans="1:22" ht="15" customHeight="1" x14ac:dyDescent="0.25">
      <c r="A11" s="820"/>
      <c r="B11" s="827"/>
      <c r="C11" s="827"/>
      <c r="D11" s="827"/>
      <c r="E11" s="827"/>
      <c r="F11" s="827"/>
    </row>
    <row r="12" spans="1:22" ht="15" customHeight="1" x14ac:dyDescent="0.25">
      <c r="A12" s="820"/>
      <c r="B12" s="827"/>
      <c r="C12" s="827"/>
      <c r="D12" s="827"/>
      <c r="E12" s="827"/>
      <c r="F12" s="827"/>
    </row>
    <row r="13" spans="1:22" ht="15" customHeight="1" x14ac:dyDescent="0.25">
      <c r="B13" s="828"/>
      <c r="C13" s="828"/>
      <c r="D13" s="828"/>
      <c r="E13" s="828"/>
      <c r="F13" s="828"/>
    </row>
    <row r="14" spans="1:22" ht="15" customHeight="1" x14ac:dyDescent="0.25">
      <c r="B14" s="828"/>
      <c r="C14" s="828"/>
      <c r="D14" s="828"/>
      <c r="E14" s="828"/>
      <c r="F14" s="828"/>
    </row>
    <row r="15" spans="1:22" ht="15" customHeight="1" x14ac:dyDescent="0.25">
      <c r="B15" s="828"/>
      <c r="C15" s="828"/>
      <c r="D15" s="828"/>
      <c r="E15" s="828"/>
      <c r="F15" s="828"/>
      <c r="G15" s="829"/>
      <c r="H15" s="829"/>
      <c r="I15" s="829"/>
      <c r="J15" s="829"/>
      <c r="K15" s="829"/>
      <c r="L15" s="829"/>
      <c r="M15" s="829"/>
      <c r="N15" s="829"/>
      <c r="O15" s="829"/>
      <c r="P15" s="829"/>
      <c r="Q15" s="829"/>
      <c r="R15" s="829"/>
      <c r="S15" s="829"/>
      <c r="T15" s="830"/>
      <c r="U15" s="830"/>
      <c r="V15" s="829"/>
    </row>
    <row r="16" spans="1:22" ht="15" customHeight="1" x14ac:dyDescent="0.25">
      <c r="B16" s="828"/>
      <c r="C16" s="828"/>
      <c r="D16" s="828"/>
      <c r="E16" s="828"/>
      <c r="F16" s="828"/>
      <c r="G16" s="829"/>
    </row>
    <row r="17" spans="1:7" ht="15" customHeight="1" x14ac:dyDescent="0.25">
      <c r="B17" s="828"/>
      <c r="C17" s="828"/>
      <c r="D17" s="828"/>
      <c r="E17" s="828"/>
      <c r="F17" s="828"/>
      <c r="G17" s="829"/>
    </row>
    <row r="18" spans="1:7" ht="15" customHeight="1" x14ac:dyDescent="0.25">
      <c r="B18" s="828"/>
      <c r="C18" s="828"/>
      <c r="D18" s="828"/>
      <c r="E18" s="828"/>
      <c r="F18" s="828"/>
      <c r="G18" s="829"/>
    </row>
    <row r="19" spans="1:7" ht="15" customHeight="1" x14ac:dyDescent="0.25">
      <c r="B19" s="828"/>
      <c r="C19" s="828"/>
      <c r="D19" s="828"/>
      <c r="E19" s="828"/>
      <c r="F19" s="828"/>
      <c r="G19" s="829"/>
    </row>
    <row r="20" spans="1:7" ht="15" customHeight="1" x14ac:dyDescent="0.25">
      <c r="B20" s="828"/>
      <c r="C20" s="828"/>
      <c r="D20" s="828"/>
      <c r="E20" s="828"/>
      <c r="F20" s="828"/>
      <c r="G20" s="829"/>
    </row>
    <row r="21" spans="1:7" ht="15" customHeight="1" x14ac:dyDescent="0.25">
      <c r="B21" s="828"/>
      <c r="C21" s="828"/>
      <c r="D21" s="828"/>
      <c r="E21" s="828"/>
      <c r="F21" s="828"/>
      <c r="G21" s="829"/>
    </row>
    <row r="22" spans="1:7" ht="15" customHeight="1" x14ac:dyDescent="0.25">
      <c r="B22" s="828"/>
      <c r="C22" s="828"/>
      <c r="D22" s="828"/>
      <c r="E22" s="828"/>
      <c r="F22" s="828"/>
      <c r="G22" s="829"/>
    </row>
    <row r="23" spans="1:7" ht="15" customHeight="1" x14ac:dyDescent="0.25">
      <c r="B23" s="828"/>
      <c r="C23" s="828"/>
      <c r="D23" s="828"/>
      <c r="E23" s="828"/>
      <c r="F23" s="828"/>
      <c r="G23" s="829"/>
    </row>
    <row r="24" spans="1:7" ht="15" customHeight="1" x14ac:dyDescent="0.25">
      <c r="B24" s="828"/>
      <c r="C24" s="828"/>
      <c r="D24" s="828"/>
      <c r="E24" s="828"/>
      <c r="F24" s="828"/>
      <c r="G24" s="829"/>
    </row>
    <row r="25" spans="1:7" ht="15" customHeight="1" x14ac:dyDescent="0.25">
      <c r="B25" s="828"/>
      <c r="C25" s="828"/>
      <c r="D25" s="828"/>
      <c r="E25" s="828"/>
      <c r="F25" s="828"/>
      <c r="G25" s="829"/>
    </row>
    <row r="26" spans="1:7" ht="15" customHeight="1" x14ac:dyDescent="0.25">
      <c r="A26" s="822"/>
      <c r="B26" s="828"/>
      <c r="C26" s="828"/>
      <c r="D26" s="828"/>
      <c r="E26" s="828"/>
      <c r="F26" s="828"/>
      <c r="G26" s="829"/>
    </row>
    <row r="27" spans="1:7" ht="15" customHeight="1" x14ac:dyDescent="0.25">
      <c r="A27" s="822"/>
      <c r="B27" s="828"/>
      <c r="C27" s="828"/>
      <c r="D27" s="828"/>
      <c r="E27" s="828"/>
      <c r="F27" s="828"/>
      <c r="G27" s="829"/>
    </row>
    <row r="28" spans="1:7" ht="15" customHeight="1" x14ac:dyDescent="0.25">
      <c r="A28" s="822"/>
      <c r="B28" s="828"/>
      <c r="C28" s="828"/>
      <c r="D28" s="828"/>
      <c r="E28" s="828"/>
      <c r="F28" s="828"/>
      <c r="G28" s="829"/>
    </row>
    <row r="29" spans="1:7" ht="15" customHeight="1" x14ac:dyDescent="0.25">
      <c r="A29" s="822"/>
      <c r="B29" s="828"/>
      <c r="C29" s="828"/>
      <c r="D29" s="828"/>
      <c r="E29" s="828"/>
      <c r="F29" s="828"/>
      <c r="G29" s="829"/>
    </row>
    <row r="30" spans="1:7" ht="15" customHeight="1" x14ac:dyDescent="0.25">
      <c r="A30" s="822"/>
      <c r="B30" s="828"/>
      <c r="C30" s="828"/>
      <c r="D30" s="828"/>
      <c r="E30" s="828"/>
      <c r="F30" s="828"/>
      <c r="G30" s="829"/>
    </row>
    <row r="31" spans="1:7" ht="15" customHeight="1" x14ac:dyDescent="0.25">
      <c r="A31" s="822"/>
      <c r="B31" s="828"/>
      <c r="C31" s="828"/>
      <c r="D31" s="828"/>
      <c r="E31" s="828"/>
      <c r="F31" s="828"/>
      <c r="G31" s="829"/>
    </row>
    <row r="32" spans="1:7" ht="15" customHeight="1" x14ac:dyDescent="0.25">
      <c r="A32" s="822"/>
      <c r="B32" s="828"/>
      <c r="C32" s="828"/>
      <c r="D32" s="828"/>
      <c r="E32" s="828"/>
      <c r="F32" s="828"/>
      <c r="G32" s="829"/>
    </row>
    <row r="33" spans="1:7" ht="15" customHeight="1" x14ac:dyDescent="0.25">
      <c r="A33" s="822"/>
      <c r="B33" s="828"/>
      <c r="C33" s="828"/>
      <c r="D33" s="828"/>
      <c r="E33" s="828"/>
      <c r="F33" s="828"/>
      <c r="G33" s="829"/>
    </row>
    <row r="34" spans="1:7" ht="15" customHeight="1" x14ac:dyDescent="0.25">
      <c r="A34" s="822"/>
      <c r="B34" s="828"/>
      <c r="C34" s="828"/>
      <c r="D34" s="828"/>
      <c r="E34" s="828"/>
      <c r="F34" s="828"/>
      <c r="G34" s="829"/>
    </row>
    <row r="35" spans="1:7" ht="15" customHeight="1" x14ac:dyDescent="0.25">
      <c r="A35" s="822"/>
      <c r="B35" s="828"/>
      <c r="C35" s="828"/>
      <c r="D35" s="828"/>
      <c r="E35" s="828"/>
      <c r="F35" s="828"/>
      <c r="G35" s="829"/>
    </row>
    <row r="36" spans="1:7" ht="15" customHeight="1" x14ac:dyDescent="0.25">
      <c r="A36" s="822"/>
      <c r="B36" s="828"/>
      <c r="C36" s="828"/>
      <c r="D36" s="828"/>
      <c r="E36" s="828"/>
      <c r="F36" s="828"/>
      <c r="G36" s="829"/>
    </row>
    <row r="37" spans="1:7" ht="15" customHeight="1" x14ac:dyDescent="0.25">
      <c r="A37" s="822"/>
      <c r="B37" s="828"/>
      <c r="C37" s="828"/>
      <c r="D37" s="828"/>
      <c r="E37" s="828"/>
      <c r="F37" s="828"/>
      <c r="G37" s="829"/>
    </row>
    <row r="38" spans="1:7" ht="15" customHeight="1" x14ac:dyDescent="0.25">
      <c r="A38" s="822"/>
      <c r="B38" s="828"/>
      <c r="C38" s="828"/>
      <c r="D38" s="828"/>
      <c r="E38" s="828"/>
      <c r="F38" s="828"/>
      <c r="G38" s="829"/>
    </row>
    <row r="39" spans="1:7" ht="15" customHeight="1" x14ac:dyDescent="0.25">
      <c r="A39" s="822"/>
      <c r="B39" s="828"/>
      <c r="C39" s="828"/>
      <c r="D39" s="828"/>
      <c r="E39" s="828"/>
      <c r="F39" s="828"/>
      <c r="G39" s="829"/>
    </row>
    <row r="40" spans="1:7" ht="15" customHeight="1" x14ac:dyDescent="0.25">
      <c r="A40" s="822"/>
      <c r="B40" s="828"/>
      <c r="C40" s="828"/>
      <c r="D40" s="828"/>
      <c r="E40" s="828"/>
      <c r="F40" s="828"/>
      <c r="G40" s="829"/>
    </row>
    <row r="41" spans="1:7" ht="15" customHeight="1" x14ac:dyDescent="0.25">
      <c r="A41" s="822"/>
      <c r="B41" s="828"/>
      <c r="C41" s="828"/>
      <c r="D41" s="828"/>
      <c r="E41" s="828"/>
      <c r="F41" s="828"/>
      <c r="G41" s="829"/>
    </row>
    <row r="42" spans="1:7" ht="15" customHeight="1" x14ac:dyDescent="0.25">
      <c r="A42" s="822"/>
      <c r="B42" s="828"/>
      <c r="C42" s="828"/>
      <c r="D42" s="828"/>
      <c r="E42" s="828"/>
      <c r="F42" s="828"/>
      <c r="G42" s="829"/>
    </row>
    <row r="43" spans="1:7" ht="15" customHeight="1" x14ac:dyDescent="0.25">
      <c r="A43" s="822"/>
      <c r="B43" s="828"/>
      <c r="C43" s="828"/>
      <c r="D43" s="828"/>
      <c r="E43" s="828"/>
      <c r="F43" s="828"/>
      <c r="G43" s="829"/>
    </row>
    <row r="44" spans="1:7" ht="15" customHeight="1" x14ac:dyDescent="0.25">
      <c r="A44" s="822"/>
      <c r="G44" s="829"/>
    </row>
    <row r="45" spans="1:7" ht="15" customHeight="1" x14ac:dyDescent="0.25">
      <c r="A45" s="822"/>
      <c r="B45" s="831"/>
      <c r="G45" s="829"/>
    </row>
    <row r="46" spans="1:7" ht="15" customHeight="1" x14ac:dyDescent="0.25">
      <c r="A46" s="822"/>
      <c r="B46" s="832"/>
      <c r="G46" s="829"/>
    </row>
    <row r="47" spans="1:7" ht="15" customHeight="1" x14ac:dyDescent="0.25">
      <c r="A47" s="822"/>
      <c r="G47" s="829"/>
    </row>
    <row r="48" spans="1:7" ht="15" customHeight="1" x14ac:dyDescent="0.25">
      <c r="A48" s="822"/>
      <c r="G48" s="829"/>
    </row>
    <row r="49" spans="1:7" ht="15" customHeight="1" x14ac:dyDescent="0.25">
      <c r="A49" s="822"/>
      <c r="G49" s="829"/>
    </row>
    <row r="50" spans="1:7" ht="15" customHeight="1" x14ac:dyDescent="0.25">
      <c r="A50" s="822"/>
      <c r="G50" s="829"/>
    </row>
    <row r="51" spans="1:7" ht="15" customHeight="1" x14ac:dyDescent="0.25">
      <c r="A51" s="822"/>
      <c r="G51" s="829"/>
    </row>
    <row r="52" spans="1:7" ht="15" customHeight="1" x14ac:dyDescent="0.25">
      <c r="A52" s="822"/>
      <c r="G52" s="829"/>
    </row>
    <row r="53" spans="1:7" ht="15" customHeight="1" x14ac:dyDescent="0.25">
      <c r="A53" s="822"/>
      <c r="G53" s="829"/>
    </row>
    <row r="54" spans="1:7" ht="15" customHeight="1" x14ac:dyDescent="0.25">
      <c r="A54" s="822"/>
      <c r="G54" s="829"/>
    </row>
    <row r="55" spans="1:7" ht="15" customHeight="1" x14ac:dyDescent="0.25">
      <c r="A55" s="822"/>
      <c r="G55" s="829"/>
    </row>
    <row r="56" spans="1:7" ht="15" customHeight="1" x14ac:dyDescent="0.25">
      <c r="A56" s="822"/>
      <c r="G56" s="829"/>
    </row>
    <row r="57" spans="1:7" ht="15" customHeight="1" x14ac:dyDescent="0.25">
      <c r="A57" s="822"/>
      <c r="G57" s="829"/>
    </row>
    <row r="58" spans="1:7" ht="15" customHeight="1" x14ac:dyDescent="0.25">
      <c r="A58" s="822"/>
      <c r="G58" s="829"/>
    </row>
    <row r="59" spans="1:7" ht="15" customHeight="1" x14ac:dyDescent="0.25">
      <c r="A59" s="822"/>
      <c r="G59" s="829"/>
    </row>
    <row r="60" spans="1:7" ht="15" customHeight="1" x14ac:dyDescent="0.25">
      <c r="A60" s="822"/>
      <c r="G60" s="829"/>
    </row>
    <row r="61" spans="1:7" ht="15" customHeight="1" x14ac:dyDescent="0.25">
      <c r="A61" s="822"/>
      <c r="G61" s="829"/>
    </row>
    <row r="62" spans="1:7" ht="15" customHeight="1" x14ac:dyDescent="0.25">
      <c r="A62" s="822"/>
      <c r="G62" s="829"/>
    </row>
    <row r="63" spans="1:7" ht="15" customHeight="1" x14ac:dyDescent="0.25">
      <c r="A63" s="822"/>
      <c r="G63" s="829"/>
    </row>
    <row r="64" spans="1:7" ht="15" customHeight="1" x14ac:dyDescent="0.25">
      <c r="A64" s="822"/>
      <c r="G64" s="829"/>
    </row>
    <row r="65" spans="1:7" ht="15" customHeight="1" x14ac:dyDescent="0.25">
      <c r="A65" s="822"/>
      <c r="G65" s="829"/>
    </row>
    <row r="66" spans="1:7" ht="15" customHeight="1" x14ac:dyDescent="0.25">
      <c r="A66" s="822"/>
      <c r="G66" s="829"/>
    </row>
    <row r="67" spans="1:7" ht="15" customHeight="1" x14ac:dyDescent="0.25">
      <c r="A67" s="822"/>
      <c r="G67" s="829"/>
    </row>
    <row r="68" spans="1:7" ht="15" customHeight="1" x14ac:dyDescent="0.25">
      <c r="A68" s="822"/>
      <c r="G68" s="829"/>
    </row>
    <row r="69" spans="1:7" ht="15" customHeight="1" x14ac:dyDescent="0.25">
      <c r="A69" s="822"/>
      <c r="G69" s="829"/>
    </row>
    <row r="70" spans="1:7" ht="15" customHeight="1" x14ac:dyDescent="0.25">
      <c r="A70" s="822"/>
      <c r="G70" s="829"/>
    </row>
    <row r="71" spans="1:7" ht="15" customHeight="1" x14ac:dyDescent="0.25">
      <c r="A71" s="822"/>
      <c r="G71" s="829"/>
    </row>
    <row r="72" spans="1:7" ht="15" customHeight="1" x14ac:dyDescent="0.25">
      <c r="A72" s="822"/>
      <c r="G72" s="829"/>
    </row>
    <row r="73" spans="1:7" ht="15" customHeight="1" x14ac:dyDescent="0.25">
      <c r="A73" s="822"/>
      <c r="G73" s="829"/>
    </row>
    <row r="74" spans="1:7" ht="15" customHeight="1" x14ac:dyDescent="0.25">
      <c r="A74" s="822"/>
      <c r="G74" s="829"/>
    </row>
    <row r="75" spans="1:7" ht="15" customHeight="1" x14ac:dyDescent="0.25">
      <c r="A75" s="822"/>
      <c r="G75" s="829"/>
    </row>
    <row r="76" spans="1:7" ht="15" customHeight="1" x14ac:dyDescent="0.25">
      <c r="A76" s="822"/>
      <c r="G76" s="829"/>
    </row>
    <row r="77" spans="1:7" ht="15" customHeight="1" x14ac:dyDescent="0.25">
      <c r="A77" s="822"/>
      <c r="G77" s="829"/>
    </row>
    <row r="78" spans="1:7" ht="15" customHeight="1" x14ac:dyDescent="0.25">
      <c r="A78" s="822"/>
      <c r="G78" s="829"/>
    </row>
    <row r="79" spans="1:7" ht="15" customHeight="1" x14ac:dyDescent="0.25">
      <c r="A79" s="822"/>
      <c r="G79" s="829"/>
    </row>
    <row r="80" spans="1:7" ht="15" customHeight="1" x14ac:dyDescent="0.25">
      <c r="A80" s="822"/>
      <c r="G80" s="829"/>
    </row>
    <row r="81" spans="1:7" ht="15" customHeight="1" x14ac:dyDescent="0.25">
      <c r="A81" s="822"/>
      <c r="G81" s="829"/>
    </row>
    <row r="82" spans="1:7" ht="15" customHeight="1" x14ac:dyDescent="0.25">
      <c r="A82" s="822"/>
      <c r="G82" s="829"/>
    </row>
    <row r="83" spans="1:7" ht="15" customHeight="1" x14ac:dyDescent="0.25">
      <c r="A83" s="822"/>
      <c r="G83" s="829"/>
    </row>
    <row r="84" spans="1:7" ht="15" customHeight="1" x14ac:dyDescent="0.25">
      <c r="A84" s="822"/>
      <c r="G84" s="829"/>
    </row>
    <row r="85" spans="1:7" ht="15" customHeight="1" x14ac:dyDescent="0.25">
      <c r="A85" s="822"/>
      <c r="G85" s="829"/>
    </row>
    <row r="86" spans="1:7" ht="15" customHeight="1" x14ac:dyDescent="0.25">
      <c r="A86" s="822"/>
      <c r="G86" s="829"/>
    </row>
    <row r="87" spans="1:7" ht="15" customHeight="1" x14ac:dyDescent="0.25">
      <c r="A87" s="822"/>
      <c r="G87" s="829"/>
    </row>
    <row r="88" spans="1:7" ht="15" customHeight="1" x14ac:dyDescent="0.25">
      <c r="A88" s="822"/>
      <c r="G88" s="829"/>
    </row>
    <row r="89" spans="1:7" ht="15" customHeight="1" x14ac:dyDescent="0.25">
      <c r="A89" s="822"/>
      <c r="G89" s="829"/>
    </row>
    <row r="90" spans="1:7" ht="15" customHeight="1" x14ac:dyDescent="0.25">
      <c r="A90" s="822"/>
      <c r="G90" s="829"/>
    </row>
    <row r="91" spans="1:7" ht="15" customHeight="1" x14ac:dyDescent="0.25">
      <c r="A91" s="822"/>
      <c r="G91" s="829"/>
    </row>
    <row r="92" spans="1:7" ht="15" customHeight="1" x14ac:dyDescent="0.25">
      <c r="A92" s="822"/>
      <c r="G92" s="829"/>
    </row>
    <row r="93" spans="1:7" ht="15" customHeight="1" x14ac:dyDescent="0.25">
      <c r="A93" s="822"/>
      <c r="G93" s="829"/>
    </row>
    <row r="94" spans="1:7" ht="15" customHeight="1" x14ac:dyDescent="0.25">
      <c r="A94" s="822"/>
      <c r="G94" s="829"/>
    </row>
    <row r="95" spans="1:7" ht="15" customHeight="1" x14ac:dyDescent="0.25">
      <c r="A95" s="822"/>
      <c r="G95" s="829"/>
    </row>
    <row r="96" spans="1:7" ht="15" customHeight="1" x14ac:dyDescent="0.25">
      <c r="A96" s="822"/>
      <c r="G96" s="829"/>
    </row>
    <row r="97" spans="1:7" ht="15" customHeight="1" x14ac:dyDescent="0.25">
      <c r="A97" s="822"/>
      <c r="G97" s="829"/>
    </row>
    <row r="98" spans="1:7" ht="15" customHeight="1" x14ac:dyDescent="0.25">
      <c r="A98" s="822"/>
      <c r="G98" s="829"/>
    </row>
    <row r="99" spans="1:7" ht="15" customHeight="1" x14ac:dyDescent="0.25">
      <c r="A99" s="822"/>
      <c r="G99" s="829"/>
    </row>
    <row r="100" spans="1:7" ht="15" customHeight="1" x14ac:dyDescent="0.25">
      <c r="A100" s="822"/>
      <c r="G100" s="829"/>
    </row>
    <row r="101" spans="1:7" ht="15" customHeight="1" x14ac:dyDescent="0.25">
      <c r="A101" s="822"/>
      <c r="G101" s="829"/>
    </row>
    <row r="102" spans="1:7" ht="15" customHeight="1" x14ac:dyDescent="0.25">
      <c r="A102" s="822"/>
      <c r="G102" s="829"/>
    </row>
    <row r="103" spans="1:7" ht="15" customHeight="1" x14ac:dyDescent="0.25">
      <c r="A103" s="822"/>
      <c r="G103" s="829"/>
    </row>
    <row r="104" spans="1:7" ht="15" customHeight="1" x14ac:dyDescent="0.25">
      <c r="A104" s="822"/>
      <c r="G104" s="829"/>
    </row>
    <row r="105" spans="1:7" ht="15" customHeight="1" x14ac:dyDescent="0.25">
      <c r="A105" s="822"/>
      <c r="G105" s="829"/>
    </row>
    <row r="106" spans="1:7" ht="15" customHeight="1" x14ac:dyDescent="0.25">
      <c r="A106" s="822"/>
      <c r="G106" s="829"/>
    </row>
    <row r="107" spans="1:7" ht="15" customHeight="1" x14ac:dyDescent="0.25">
      <c r="A107" s="822"/>
      <c r="G107" s="829"/>
    </row>
    <row r="108" spans="1:7" ht="15" customHeight="1" x14ac:dyDescent="0.25">
      <c r="A108" s="822"/>
      <c r="G108" s="829"/>
    </row>
    <row r="109" spans="1:7" ht="15" customHeight="1" x14ac:dyDescent="0.25">
      <c r="A109" s="822"/>
      <c r="G109" s="829"/>
    </row>
    <row r="110" spans="1:7" ht="15" customHeight="1" x14ac:dyDescent="0.25">
      <c r="A110" s="822"/>
      <c r="G110" s="829"/>
    </row>
    <row r="111" spans="1:7" ht="15" customHeight="1" x14ac:dyDescent="0.25">
      <c r="A111" s="822"/>
      <c r="G111" s="829"/>
    </row>
    <row r="112" spans="1:7" ht="15" customHeight="1" x14ac:dyDescent="0.25">
      <c r="A112" s="822"/>
      <c r="G112" s="829"/>
    </row>
    <row r="113" spans="1:7" ht="15" customHeight="1" x14ac:dyDescent="0.25">
      <c r="A113" s="822"/>
      <c r="G113" s="829"/>
    </row>
    <row r="114" spans="1:7" ht="15" customHeight="1" x14ac:dyDescent="0.25">
      <c r="A114" s="822"/>
      <c r="G114" s="829"/>
    </row>
    <row r="115" spans="1:7" ht="15" customHeight="1" x14ac:dyDescent="0.25">
      <c r="A115" s="822"/>
      <c r="G115" s="829"/>
    </row>
    <row r="116" spans="1:7" ht="15" customHeight="1" x14ac:dyDescent="0.25">
      <c r="A116" s="822"/>
      <c r="G116" s="829"/>
    </row>
    <row r="117" spans="1:7" ht="15" customHeight="1" x14ac:dyDescent="0.25">
      <c r="A117" s="822"/>
      <c r="G117" s="829"/>
    </row>
    <row r="118" spans="1:7" ht="15" customHeight="1" x14ac:dyDescent="0.25">
      <c r="A118" s="822"/>
      <c r="G118" s="829"/>
    </row>
    <row r="119" spans="1:7" ht="15" customHeight="1" x14ac:dyDescent="0.25">
      <c r="A119" s="822"/>
      <c r="G119" s="829"/>
    </row>
    <row r="120" spans="1:7" ht="15" customHeight="1" x14ac:dyDescent="0.25">
      <c r="A120" s="822"/>
      <c r="G120" s="829"/>
    </row>
    <row r="121" spans="1:7" ht="15" customHeight="1" x14ac:dyDescent="0.25">
      <c r="A121" s="822"/>
      <c r="G121" s="829"/>
    </row>
    <row r="122" spans="1:7" ht="15" customHeight="1" x14ac:dyDescent="0.25">
      <c r="A122" s="822"/>
      <c r="G122" s="829"/>
    </row>
    <row r="123" spans="1:7" ht="15" customHeight="1" x14ac:dyDescent="0.25">
      <c r="A123" s="822"/>
      <c r="G123" s="829"/>
    </row>
    <row r="124" spans="1:7" ht="15" customHeight="1" x14ac:dyDescent="0.25">
      <c r="A124" s="822"/>
      <c r="G124" s="829"/>
    </row>
    <row r="125" spans="1:7" ht="15" customHeight="1" x14ac:dyDescent="0.25">
      <c r="A125" s="822"/>
      <c r="G125" s="829"/>
    </row>
    <row r="126" spans="1:7" ht="15" customHeight="1" x14ac:dyDescent="0.25">
      <c r="A126" s="822"/>
      <c r="G126" s="829"/>
    </row>
    <row r="127" spans="1:7" ht="15" customHeight="1" x14ac:dyDescent="0.25">
      <c r="A127" s="822"/>
      <c r="G127" s="829"/>
    </row>
    <row r="128" spans="1:7" ht="15" customHeight="1" x14ac:dyDescent="0.25">
      <c r="A128" s="822"/>
      <c r="G128" s="829"/>
    </row>
    <row r="129" spans="1:7" ht="15" customHeight="1" x14ac:dyDescent="0.25">
      <c r="A129" s="822"/>
      <c r="G129" s="829"/>
    </row>
    <row r="130" spans="1:7" ht="15" customHeight="1" x14ac:dyDescent="0.25">
      <c r="A130" s="822"/>
      <c r="G130" s="829"/>
    </row>
    <row r="131" spans="1:7" ht="15" customHeight="1" x14ac:dyDescent="0.25">
      <c r="A131" s="822"/>
      <c r="G131" s="829"/>
    </row>
    <row r="132" spans="1:7" ht="15" customHeight="1" x14ac:dyDescent="0.25">
      <c r="A132" s="822"/>
      <c r="G132" s="829"/>
    </row>
    <row r="133" spans="1:7" ht="15" customHeight="1" x14ac:dyDescent="0.25">
      <c r="A133" s="822"/>
      <c r="G133" s="829"/>
    </row>
    <row r="134" spans="1:7" ht="15" customHeight="1" x14ac:dyDescent="0.25">
      <c r="A134" s="822"/>
      <c r="G134" s="829"/>
    </row>
    <row r="135" spans="1:7" ht="15" customHeight="1" x14ac:dyDescent="0.25">
      <c r="A135" s="822"/>
      <c r="G135" s="829"/>
    </row>
    <row r="136" spans="1:7" ht="15" customHeight="1" x14ac:dyDescent="0.25">
      <c r="A136" s="822"/>
      <c r="G136" s="829"/>
    </row>
    <row r="137" spans="1:7" ht="15" customHeight="1" x14ac:dyDescent="0.25">
      <c r="A137" s="822"/>
      <c r="G137" s="829"/>
    </row>
    <row r="138" spans="1:7" ht="15" customHeight="1" x14ac:dyDescent="0.25">
      <c r="A138" s="822"/>
      <c r="G138" s="829"/>
    </row>
    <row r="139" spans="1:7" ht="15" customHeight="1" x14ac:dyDescent="0.25">
      <c r="A139" s="822"/>
      <c r="G139" s="829"/>
    </row>
    <row r="140" spans="1:7" ht="15" customHeight="1" x14ac:dyDescent="0.25">
      <c r="A140" s="822"/>
      <c r="G140" s="829"/>
    </row>
    <row r="141" spans="1:7" ht="15" customHeight="1" x14ac:dyDescent="0.25">
      <c r="A141" s="822"/>
      <c r="G141" s="829"/>
    </row>
    <row r="142" spans="1:7" ht="15" customHeight="1" x14ac:dyDescent="0.25">
      <c r="A142" s="822"/>
      <c r="G142" s="829"/>
    </row>
    <row r="143" spans="1:7" ht="15" customHeight="1" x14ac:dyDescent="0.25">
      <c r="A143" s="822"/>
      <c r="G143" s="829"/>
    </row>
    <row r="144" spans="1:7" ht="15" customHeight="1" x14ac:dyDescent="0.25">
      <c r="A144" s="822"/>
      <c r="G144" s="829"/>
    </row>
    <row r="145" spans="1:7" ht="15" customHeight="1" x14ac:dyDescent="0.25">
      <c r="A145" s="822"/>
      <c r="G145" s="829"/>
    </row>
    <row r="146" spans="1:7" ht="15" customHeight="1" x14ac:dyDescent="0.25">
      <c r="A146" s="822"/>
      <c r="G146" s="829"/>
    </row>
    <row r="147" spans="1:7" ht="15" customHeight="1" x14ac:dyDescent="0.25">
      <c r="A147" s="822"/>
      <c r="G147" s="829"/>
    </row>
    <row r="148" spans="1:7" ht="15" customHeight="1" x14ac:dyDescent="0.25">
      <c r="A148" s="822"/>
      <c r="G148" s="829"/>
    </row>
    <row r="149" spans="1:7" ht="15" customHeight="1" x14ac:dyDescent="0.25">
      <c r="A149" s="822"/>
      <c r="G149" s="829"/>
    </row>
    <row r="150" spans="1:7" ht="15" customHeight="1" x14ac:dyDescent="0.25">
      <c r="A150" s="822"/>
      <c r="G150" s="829"/>
    </row>
    <row r="151" spans="1:7" ht="15" customHeight="1" x14ac:dyDescent="0.25">
      <c r="A151" s="822"/>
      <c r="G151" s="829"/>
    </row>
    <row r="152" spans="1:7" ht="15" customHeight="1" x14ac:dyDescent="0.25">
      <c r="A152" s="822"/>
      <c r="G152" s="829"/>
    </row>
    <row r="153" spans="1:7" ht="15" customHeight="1" x14ac:dyDescent="0.25">
      <c r="A153" s="822"/>
      <c r="G153" s="829"/>
    </row>
    <row r="154" spans="1:7" ht="15" customHeight="1" x14ac:dyDescent="0.25">
      <c r="A154" s="822"/>
      <c r="G154" s="829"/>
    </row>
    <row r="155" spans="1:7" ht="15" customHeight="1" x14ac:dyDescent="0.25">
      <c r="A155" s="822"/>
      <c r="G155" s="829"/>
    </row>
    <row r="156" spans="1:7" ht="15" customHeight="1" x14ac:dyDescent="0.25">
      <c r="A156" s="822"/>
      <c r="G156" s="829"/>
    </row>
    <row r="157" spans="1:7" ht="15" customHeight="1" x14ac:dyDescent="0.25">
      <c r="A157" s="822"/>
      <c r="G157" s="829"/>
    </row>
    <row r="158" spans="1:7" ht="15" customHeight="1" x14ac:dyDescent="0.25">
      <c r="A158" s="822"/>
      <c r="G158" s="829"/>
    </row>
    <row r="159" spans="1:7" ht="15" customHeight="1" x14ac:dyDescent="0.25">
      <c r="A159" s="822"/>
      <c r="G159" s="829"/>
    </row>
    <row r="160" spans="1:7" ht="15" customHeight="1" x14ac:dyDescent="0.25">
      <c r="A160" s="822"/>
      <c r="G160" s="829"/>
    </row>
    <row r="161" spans="1:7" ht="15" customHeight="1" x14ac:dyDescent="0.25">
      <c r="A161" s="822"/>
      <c r="G161" s="829"/>
    </row>
    <row r="162" spans="1:7" ht="15" customHeight="1" x14ac:dyDescent="0.25">
      <c r="A162" s="822"/>
      <c r="G162" s="829"/>
    </row>
    <row r="163" spans="1:7" ht="15" customHeight="1" x14ac:dyDescent="0.25">
      <c r="A163" s="822"/>
      <c r="G163" s="829"/>
    </row>
    <row r="164" spans="1:7" ht="15" customHeight="1" x14ac:dyDescent="0.25">
      <c r="A164" s="822"/>
      <c r="G164" s="829"/>
    </row>
    <row r="165" spans="1:7" ht="15" customHeight="1" x14ac:dyDescent="0.25">
      <c r="A165" s="822"/>
      <c r="G165" s="829"/>
    </row>
  </sheetData>
  <sheetProtection algorithmName="SHA-512" hashValue="c4d+SQzwLLOAzAOznQAmIryJpx2HG26A76mPylu48eLQq1UQjF4+YDf+74JfcvdFGb1L2iN18AXrSmHrnIq+Iw==" saltValue="EpI9qma1BynEuT9smX8Q8A==" spinCount="100000" sheet="1" objects="1" scenarios="1"/>
  <pageMargins left="0.7" right="0.7" top="0.98479166666666662" bottom="0.75" header="0.3" footer="0.3"/>
  <pageSetup scale="65" fitToWidth="0" fitToHeight="0" orientation="landscape" r:id="rId1"/>
  <headerFooter>
    <oddFooter>&amp;L&amp;"Avenir LT Std 55 Roman,Regular"&amp;12&amp;K000000FINAL November 1, 2019&amp;C&amp;"Avenir LT Std 55 Roman,Regular"&amp;12Page &amp;P of &amp;N&amp;R&amp;"Avenir LT Std 55 Roman,Regular"&amp;12&amp;K000000&amp;A</oddFooter>
  </headerFooter>
  <rowBreaks count="1" manualBreakCount="1">
    <brk id="8" max="16383"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sheetPr>
  <dimension ref="A1:O119"/>
  <sheetViews>
    <sheetView showGridLines="0" zoomScaleNormal="100" workbookViewId="0"/>
  </sheetViews>
  <sheetFormatPr defaultColWidth="9.140625" defaultRowHeight="15" x14ac:dyDescent="0.25"/>
  <cols>
    <col min="1" max="1" width="4.28515625" style="13" customWidth="1"/>
    <col min="2" max="2" width="33.140625" style="13" customWidth="1"/>
    <col min="3" max="3" width="26.42578125" style="13" customWidth="1"/>
    <col min="4" max="4" width="13.85546875" style="13" customWidth="1"/>
    <col min="5" max="5" width="15.42578125" style="13" customWidth="1"/>
    <col min="6" max="6" width="12" style="13" customWidth="1"/>
    <col min="7" max="7" width="17.140625" style="13" customWidth="1"/>
    <col min="8" max="8" width="18.5703125" style="13" customWidth="1"/>
    <col min="9" max="9" width="19.7109375" style="13" customWidth="1"/>
    <col min="10" max="10" width="19" style="13" customWidth="1"/>
    <col min="11" max="11" width="15" style="13" customWidth="1"/>
    <col min="12" max="12" width="22.42578125" style="13" customWidth="1"/>
    <col min="13" max="13" width="23.140625" style="13" customWidth="1"/>
    <col min="14" max="14" width="12.140625" style="13" customWidth="1"/>
    <col min="15" max="16384" width="9.140625" style="13"/>
  </cols>
  <sheetData>
    <row r="1" spans="1:13" ht="18.75" customHeight="1" x14ac:dyDescent="0.25">
      <c r="A1" s="634"/>
      <c r="B1" s="634"/>
      <c r="C1" s="634"/>
      <c r="D1" s="634"/>
      <c r="E1" s="634"/>
      <c r="F1" s="634"/>
    </row>
    <row r="2" spans="1:13" ht="15" customHeight="1" x14ac:dyDescent="0.25">
      <c r="A2" s="100"/>
      <c r="B2" s="100"/>
      <c r="C2" s="100"/>
      <c r="D2" s="100"/>
      <c r="E2" s="100"/>
      <c r="F2" s="100"/>
    </row>
    <row r="3" spans="1:13" ht="18.75" customHeight="1" x14ac:dyDescent="0.25">
      <c r="A3" s="634"/>
      <c r="B3" s="634"/>
      <c r="C3" s="634"/>
      <c r="D3" s="634"/>
      <c r="E3" s="634"/>
      <c r="F3" s="634"/>
    </row>
    <row r="4" spans="1:13" ht="18.75" customHeight="1" x14ac:dyDescent="0.25">
      <c r="A4" s="635"/>
      <c r="B4" s="635"/>
      <c r="C4" s="635"/>
      <c r="D4" s="635"/>
      <c r="E4" s="635"/>
      <c r="F4" s="635"/>
      <c r="G4" s="12"/>
      <c r="H4" s="12"/>
      <c r="I4" s="12"/>
    </row>
    <row r="5" spans="1:13" ht="15" customHeight="1" x14ac:dyDescent="0.25">
      <c r="A5" s="100"/>
      <c r="B5" s="100"/>
      <c r="C5" s="100"/>
      <c r="D5" s="100"/>
      <c r="E5" s="100"/>
      <c r="F5" s="100"/>
    </row>
    <row r="6" spans="1:13" ht="18.75" customHeight="1" x14ac:dyDescent="0.25">
      <c r="A6" s="634"/>
      <c r="B6" s="634"/>
      <c r="C6" s="634"/>
      <c r="D6" s="634"/>
      <c r="E6" s="634"/>
      <c r="F6" s="634"/>
    </row>
    <row r="7" spans="1:13" ht="15" customHeight="1" x14ac:dyDescent="0.25"/>
    <row r="8" spans="1:13" ht="15" customHeight="1" x14ac:dyDescent="0.25">
      <c r="B8" s="14" t="s">
        <v>180</v>
      </c>
      <c r="G8" s="30"/>
      <c r="H8" s="30"/>
      <c r="I8" s="30"/>
      <c r="J8" s="30"/>
      <c r="K8" s="30"/>
      <c r="L8" s="38"/>
      <c r="M8" s="38"/>
    </row>
    <row r="9" spans="1:13" ht="49.5" customHeight="1" x14ac:dyDescent="0.25">
      <c r="B9" s="424" t="s">
        <v>121</v>
      </c>
      <c r="C9" s="424" t="s">
        <v>142</v>
      </c>
      <c r="D9" s="424" t="s">
        <v>133</v>
      </c>
      <c r="E9" s="424" t="s">
        <v>4689</v>
      </c>
      <c r="F9" s="425" t="s">
        <v>519</v>
      </c>
      <c r="G9" s="424" t="s">
        <v>4692</v>
      </c>
      <c r="H9" s="424" t="s">
        <v>4687</v>
      </c>
      <c r="I9" s="424" t="s">
        <v>4688</v>
      </c>
      <c r="J9" s="424" t="s">
        <v>153</v>
      </c>
      <c r="K9" s="424"/>
    </row>
    <row r="10" spans="1:13" ht="15" customHeight="1" x14ac:dyDescent="0.25">
      <c r="B10" s="636" t="str">
        <f>IF(ISBLANK('Active Transportation Inputs'!B14),"",'Active Transportation Inputs'!B14)</f>
        <v/>
      </c>
      <c r="C10" s="636" t="str">
        <f>IF(ISBLANK('Active Transportation Inputs'!C14),"",'Active Transportation Inputs'!C14)</f>
        <v/>
      </c>
      <c r="D10" s="637" t="str">
        <f ca="1">IF(ISBLANK('Active Transportation Inputs'!R14),"",'Active Transportation Inputs'!R14)</f>
        <v/>
      </c>
      <c r="E10" s="637" t="str">
        <f>IF(ATCosts[[#This Row],[New Facility Type]]="","",IF(ATCosts[[#This Row],[New Facility Type]]="Bike Share",'Active Transportation Inputs'!Q14*'Active Transportation Inputs'!K14*('Active Transportation Inputs'!E14-'Active Transportation Inputs'!D14),('Active Transportation Inputs'!E14-'Active Transportation Inputs'!D14)*'Active Transportation Inputs'!F14*'Active Transportation Inputs'!I14*('Active Transportation Inputs'!K14+'Active Transportation Inputs'!N14)))</f>
        <v/>
      </c>
      <c r="F10" s="638" t="str">
        <f>IF(ATCosts[[#This Row],[New Facility Type]]="","",IF(ATCosts[[#This Row],[New Facility Type]]="Walkway",0,IF(ATCosts[[#This Row],[New Facility Type]]="Bike Share",'Active Transportation Inputs'!P14*ATCosts[[#This Row],[New Bike or Ped Trips]],'Energy, Fuel, &amp; Travel Prices'!$J$30*ATCosts[[#This Row],[Auto VMT Reductions]])))</f>
        <v/>
      </c>
      <c r="G10" s="637" t="str">
        <f>IF(ATCosts[[#This Row],[New Facility Type]]="","",ATCosts[[#This Row],[Auto VMT Reductions]]*'Energy, Fuel, &amp; Travel Prices'!$J$29)</f>
        <v/>
      </c>
      <c r="H10" s="637" t="str">
        <f>IFERROR(IF(ProjectAreaType="RIPA",0,(ATCosts[[#This Row],[New Bike or Ped Trips]]/2)*(5/7)*'Energy, Fuel, &amp; Travel Prices'!$J$35),"")</f>
        <v/>
      </c>
      <c r="I10" s="637" t="str">
        <f>IFERROR(IF(ProjectAreaType="RIPA",0,(ATCosts[[#This Row],[New Bike or Ped Trips]]/2)*(2/7)*'Energy, Fuel, &amp; Travel Prices'!J$36),"")</f>
        <v/>
      </c>
      <c r="J10" s="637" t="str">
        <f>IFERROR(ATCosts[[#This Row],[Avoided Auto Miles Cost ($)]]+ATCosts[[#This Row],[Avoided Weekday Parking Cost ($)]]+ATCosts[[#This Row],[Avoided Weekend Parking Cost ($)]]-ATCosts[[#This Row],[Active Mode Cost ($)]],"")</f>
        <v/>
      </c>
      <c r="K10" s="426"/>
    </row>
    <row r="11" spans="1:13" ht="15" customHeight="1" x14ac:dyDescent="0.25">
      <c r="B11" s="636" t="str">
        <f>IF(ISBLANK('Active Transportation Inputs'!B15),"",'Active Transportation Inputs'!B15)</f>
        <v/>
      </c>
      <c r="C11" s="636" t="str">
        <f>IF(ISBLANK('Active Transportation Inputs'!C15),"",'Active Transportation Inputs'!C15)</f>
        <v/>
      </c>
      <c r="D11" s="637" t="str">
        <f ca="1">IF(ISBLANK('Active Transportation Inputs'!R15),"",'Active Transportation Inputs'!R15)</f>
        <v/>
      </c>
      <c r="E11" s="637" t="str">
        <f>IF(ATCosts[[#This Row],[New Facility Type]]="","",IF(ATCosts[[#This Row],[New Facility Type]]="Bike Share",'Active Transportation Inputs'!Q15*'Active Transportation Inputs'!K15*('Active Transportation Inputs'!E15-'Active Transportation Inputs'!D15),('Active Transportation Inputs'!E15-'Active Transportation Inputs'!D15)*'Active Transportation Inputs'!F15*'Active Transportation Inputs'!I15*('Active Transportation Inputs'!K15+'Active Transportation Inputs'!N15)))</f>
        <v/>
      </c>
      <c r="F11" s="638" t="str">
        <f>IF(ATCosts[[#This Row],[New Facility Type]]="","",IF(ATCosts[[#This Row],[New Facility Type]]="Walkway",0,IF(ATCosts[[#This Row],[New Facility Type]]="Bike Share",'Active Transportation Inputs'!P15*ATCosts[[#This Row],[New Bike or Ped Trips]],'Energy, Fuel, &amp; Travel Prices'!$J$30*ATCosts[[#This Row],[Auto VMT Reductions]])))</f>
        <v/>
      </c>
      <c r="G11" s="637" t="str">
        <f>IF(ATCosts[[#This Row],[New Facility Type]]="","",ATCosts[[#This Row],[Auto VMT Reductions]]*'Energy, Fuel, &amp; Travel Prices'!$J$29)</f>
        <v/>
      </c>
      <c r="H11" s="637" t="str">
        <f>IFERROR(IF(ProjectAreaType="RIPA",0,(ATCosts[[#This Row],[New Bike or Ped Trips]]/2)*(5/7)*'Energy, Fuel, &amp; Travel Prices'!$J$35),"")</f>
        <v/>
      </c>
      <c r="I11" s="637" t="str">
        <f>IFERROR(IF(ProjectAreaType="RIPA",0,(ATCosts[[#This Row],[New Bike or Ped Trips]]/2)*(2/7)*'Energy, Fuel, &amp; Travel Prices'!J$36),"")</f>
        <v/>
      </c>
      <c r="J11" s="637" t="str">
        <f>IFERROR(ATCosts[[#This Row],[Avoided Auto Miles Cost ($)]]+ATCosts[[#This Row],[Avoided Weekday Parking Cost ($)]]+ATCosts[[#This Row],[Avoided Weekend Parking Cost ($)]]-ATCosts[[#This Row],[Active Mode Cost ($)]],"")</f>
        <v/>
      </c>
      <c r="K11" s="426"/>
    </row>
    <row r="12" spans="1:13" ht="15" customHeight="1" x14ac:dyDescent="0.25">
      <c r="B12" s="636" t="str">
        <f>IF(ISBLANK('Active Transportation Inputs'!B16),"",'Active Transportation Inputs'!B16)</f>
        <v/>
      </c>
      <c r="C12" s="636" t="str">
        <f>IF(ISBLANK('Active Transportation Inputs'!C16),"",'Active Transportation Inputs'!C16)</f>
        <v/>
      </c>
      <c r="D12" s="637" t="str">
        <f ca="1">IF(ISBLANK('Active Transportation Inputs'!R16),"",'Active Transportation Inputs'!R16)</f>
        <v/>
      </c>
      <c r="E12" s="637" t="str">
        <f>IF(ATCosts[[#This Row],[New Facility Type]]="","",IF(ATCosts[[#This Row],[New Facility Type]]="Bike Share",'Active Transportation Inputs'!Q16*'Active Transportation Inputs'!K16*('Active Transportation Inputs'!E16-'Active Transportation Inputs'!D16),('Active Transportation Inputs'!E16-'Active Transportation Inputs'!D16)*'Active Transportation Inputs'!F16*'Active Transportation Inputs'!I16*('Active Transportation Inputs'!K16+'Active Transportation Inputs'!N16)))</f>
        <v/>
      </c>
      <c r="F12" s="638" t="str">
        <f>IF(ATCosts[[#This Row],[New Facility Type]]="","",IF(ATCosts[[#This Row],[New Facility Type]]="Walkway",0,IF(ATCosts[[#This Row],[New Facility Type]]="Bike Share",'Active Transportation Inputs'!P16*ATCosts[[#This Row],[New Bike or Ped Trips]],'Energy, Fuel, &amp; Travel Prices'!$J$30*ATCosts[[#This Row],[Auto VMT Reductions]])))</f>
        <v/>
      </c>
      <c r="G12" s="637" t="str">
        <f>IF(ATCosts[[#This Row],[New Facility Type]]="","",ATCosts[[#This Row],[Auto VMT Reductions]]*'Energy, Fuel, &amp; Travel Prices'!$J$29)</f>
        <v/>
      </c>
      <c r="H12" s="637" t="str">
        <f>IFERROR(IF(ProjectAreaType="RIPA",0,(ATCosts[[#This Row],[New Bike or Ped Trips]]/2)*(5/7)*'Energy, Fuel, &amp; Travel Prices'!$J$35),"")</f>
        <v/>
      </c>
      <c r="I12" s="637" t="str">
        <f>IFERROR(IF(ProjectAreaType="RIPA",0,(ATCosts[[#This Row],[New Bike or Ped Trips]]/2)*(2/7)*'Energy, Fuel, &amp; Travel Prices'!J$36),"")</f>
        <v/>
      </c>
      <c r="J12" s="637" t="str">
        <f>IFERROR(ATCosts[[#This Row],[Avoided Auto Miles Cost ($)]]+ATCosts[[#This Row],[Avoided Weekday Parking Cost ($)]]+ATCosts[[#This Row],[Avoided Weekend Parking Cost ($)]]-ATCosts[[#This Row],[Active Mode Cost ($)]],"")</f>
        <v/>
      </c>
      <c r="K12" s="426"/>
      <c r="L12" s="14" t="s">
        <v>4695</v>
      </c>
    </row>
    <row r="13" spans="1:13" ht="15" customHeight="1" x14ac:dyDescent="0.25">
      <c r="B13" s="636" t="str">
        <f>IF(ISBLANK('Active Transportation Inputs'!B17),"",'Active Transportation Inputs'!B17)</f>
        <v/>
      </c>
      <c r="C13" s="636" t="str">
        <f>IF(ISBLANK('Active Transportation Inputs'!C17),"",'Active Transportation Inputs'!C17)</f>
        <v/>
      </c>
      <c r="D13" s="637" t="str">
        <f ca="1">IF(ISBLANK('Active Transportation Inputs'!R17),"",'Active Transportation Inputs'!R17)</f>
        <v/>
      </c>
      <c r="E13" s="637" t="str">
        <f>IF(ATCosts[[#This Row],[New Facility Type]]="","",IF(ATCosts[[#This Row],[New Facility Type]]="Bike Share",'Active Transportation Inputs'!Q17*'Active Transportation Inputs'!K17*('Active Transportation Inputs'!E17-'Active Transportation Inputs'!D17),('Active Transportation Inputs'!E17-'Active Transportation Inputs'!D17)*'Active Transportation Inputs'!F17*'Active Transportation Inputs'!I17*('Active Transportation Inputs'!K17+'Active Transportation Inputs'!N17)))</f>
        <v/>
      </c>
      <c r="F13" s="638" t="str">
        <f>IF(ATCosts[[#This Row],[New Facility Type]]="","",IF(ATCosts[[#This Row],[New Facility Type]]="Walkway",0,IF(ATCosts[[#This Row],[New Facility Type]]="Bike Share",'Active Transportation Inputs'!P17*ATCosts[[#This Row],[New Bike or Ped Trips]],'Energy, Fuel, &amp; Travel Prices'!$J$30*ATCosts[[#This Row],[Auto VMT Reductions]])))</f>
        <v/>
      </c>
      <c r="G13" s="637" t="str">
        <f>IF(ATCosts[[#This Row],[New Facility Type]]="","",ATCosts[[#This Row],[Auto VMT Reductions]]*'Energy, Fuel, &amp; Travel Prices'!$J$29)</f>
        <v/>
      </c>
      <c r="H13" s="637" t="str">
        <f>IFERROR(IF(ProjectAreaType="RIPA",0,(ATCosts[[#This Row],[New Bike or Ped Trips]]/2)*(5/7)*'Energy, Fuel, &amp; Travel Prices'!$J$35),"")</f>
        <v/>
      </c>
      <c r="I13" s="637" t="str">
        <f>IFERROR(IF(ProjectAreaType="RIPA",0,(ATCosts[[#This Row],[New Bike or Ped Trips]]/2)*(2/7)*'Energy, Fuel, &amp; Travel Prices'!J$36),"")</f>
        <v/>
      </c>
      <c r="J13" s="637" t="str">
        <f>IFERROR(ATCosts[[#This Row],[Avoided Auto Miles Cost ($)]]+ATCosts[[#This Row],[Avoided Weekday Parking Cost ($)]]+ATCosts[[#This Row],[Avoided Weekend Parking Cost ($)]]-ATCosts[[#This Row],[Active Mode Cost ($)]],"")</f>
        <v/>
      </c>
      <c r="K13" s="426"/>
      <c r="L13" s="471" t="str">
        <f>IFERROR(SUM(ATCosts[Travel Cost Savings ($)])+SUM(TransitCosts[Travel Cost Savings ($)])+SubsidyTotal,"")</f>
        <v/>
      </c>
    </row>
    <row r="14" spans="1:13" ht="15" customHeight="1" x14ac:dyDescent="0.25">
      <c r="B14" s="636" t="str">
        <f>IF(ISBLANK('Active Transportation Inputs'!B18),"",'Active Transportation Inputs'!B18)</f>
        <v/>
      </c>
      <c r="C14" s="636" t="str">
        <f>IF(ISBLANK('Active Transportation Inputs'!C18),"",'Active Transportation Inputs'!C18)</f>
        <v/>
      </c>
      <c r="D14" s="637" t="str">
        <f ca="1">IF(ISBLANK('Active Transportation Inputs'!R18),"",'Active Transportation Inputs'!R18)</f>
        <v/>
      </c>
      <c r="E14" s="637" t="str">
        <f>IF(ATCosts[[#This Row],[New Facility Type]]="","",IF(ATCosts[[#This Row],[New Facility Type]]="Bike Share",'Active Transportation Inputs'!Q18*'Active Transportation Inputs'!K18*('Active Transportation Inputs'!E18-'Active Transportation Inputs'!D18),('Active Transportation Inputs'!E18-'Active Transportation Inputs'!D18)*'Active Transportation Inputs'!F18*'Active Transportation Inputs'!I18*('Active Transportation Inputs'!K18+'Active Transportation Inputs'!N18)))</f>
        <v/>
      </c>
      <c r="F14" s="638" t="str">
        <f>IF(ATCosts[[#This Row],[New Facility Type]]="","",IF(ATCosts[[#This Row],[New Facility Type]]="Walkway",0,IF(ATCosts[[#This Row],[New Facility Type]]="Bike Share",'Active Transportation Inputs'!P18*ATCosts[[#This Row],[New Bike or Ped Trips]],'Energy, Fuel, &amp; Travel Prices'!$J$30*ATCosts[[#This Row],[Auto VMT Reductions]])))</f>
        <v/>
      </c>
      <c r="G14" s="637" t="str">
        <f>IF(ATCosts[[#This Row],[New Facility Type]]="","",ATCosts[[#This Row],[Auto VMT Reductions]]*'Energy, Fuel, &amp; Travel Prices'!$J$29)</f>
        <v/>
      </c>
      <c r="H14" s="637" t="str">
        <f>IFERROR(IF(ProjectAreaType="RIPA",0,(ATCosts[[#This Row],[New Bike or Ped Trips]]/2)*(5/7)*'Energy, Fuel, &amp; Travel Prices'!$J$35),"")</f>
        <v/>
      </c>
      <c r="I14" s="637" t="str">
        <f>IFERROR(IF(ProjectAreaType="RIPA",0,(ATCosts[[#This Row],[New Bike or Ped Trips]]/2)*(2/7)*'Energy, Fuel, &amp; Travel Prices'!J$36),"")</f>
        <v/>
      </c>
      <c r="J14" s="637" t="str">
        <f>IFERROR(ATCosts[[#This Row],[Avoided Auto Miles Cost ($)]]+ATCosts[[#This Row],[Avoided Weekday Parking Cost ($)]]+ATCosts[[#This Row],[Avoided Weekend Parking Cost ($)]]-ATCosts[[#This Row],[Active Mode Cost ($)]],"")</f>
        <v/>
      </c>
      <c r="K14" s="426"/>
    </row>
    <row r="15" spans="1:13" ht="15.75" x14ac:dyDescent="0.25">
      <c r="B15" s="636" t="str">
        <f>IF(ISBLANK('Active Transportation Inputs'!B19),"",'Active Transportation Inputs'!B19)</f>
        <v/>
      </c>
      <c r="C15" s="636" t="str">
        <f>IF(ISBLANK('Active Transportation Inputs'!C19),"",'Active Transportation Inputs'!C19)</f>
        <v/>
      </c>
      <c r="D15" s="637" t="str">
        <f ca="1">IF(ISBLANK('Active Transportation Inputs'!R19),"",'Active Transportation Inputs'!R19)</f>
        <v/>
      </c>
      <c r="E15" s="637" t="str">
        <f>IF(ATCosts[[#This Row],[New Facility Type]]="","",IF(ATCosts[[#This Row],[New Facility Type]]="Bike Share",'Active Transportation Inputs'!Q19*'Active Transportation Inputs'!K19*('Active Transportation Inputs'!E19-'Active Transportation Inputs'!D19),('Active Transportation Inputs'!E19-'Active Transportation Inputs'!D19)*'Active Transportation Inputs'!F19*'Active Transportation Inputs'!I19*('Active Transportation Inputs'!K19+'Active Transportation Inputs'!N19)))</f>
        <v/>
      </c>
      <c r="F15" s="638" t="str">
        <f>IF(ATCosts[[#This Row],[New Facility Type]]="","",IF(ATCosts[[#This Row],[New Facility Type]]="Walkway",0,IF(ATCosts[[#This Row],[New Facility Type]]="Bike Share",'Active Transportation Inputs'!P19*ATCosts[[#This Row],[New Bike or Ped Trips]],'Energy, Fuel, &amp; Travel Prices'!$J$30*ATCosts[[#This Row],[Auto VMT Reductions]])))</f>
        <v/>
      </c>
      <c r="G15" s="637" t="str">
        <f>IF(ATCosts[[#This Row],[New Facility Type]]="","",ATCosts[[#This Row],[Auto VMT Reductions]]*'Energy, Fuel, &amp; Travel Prices'!$J$29)</f>
        <v/>
      </c>
      <c r="H15" s="637" t="str">
        <f>IFERROR(IF(ProjectAreaType="RIPA",0,(ATCosts[[#This Row],[New Bike or Ped Trips]]/2)*(5/7)*'Energy, Fuel, &amp; Travel Prices'!$J$35),"")</f>
        <v/>
      </c>
      <c r="I15" s="637" t="str">
        <f>IFERROR(IF(ProjectAreaType="RIPA",0,(ATCosts[[#This Row],[New Bike or Ped Trips]]/2)*(2/7)*'Energy, Fuel, &amp; Travel Prices'!J$36),"")</f>
        <v/>
      </c>
      <c r="J15" s="637" t="str">
        <f>IFERROR(ATCosts[[#This Row],[Avoided Auto Miles Cost ($)]]+ATCosts[[#This Row],[Avoided Weekday Parking Cost ($)]]+ATCosts[[#This Row],[Avoided Weekend Parking Cost ($)]]-ATCosts[[#This Row],[Active Mode Cost ($)]],"")</f>
        <v/>
      </c>
      <c r="K15" s="426"/>
      <c r="L15" s="14" t="s">
        <v>4525</v>
      </c>
    </row>
    <row r="16" spans="1:13" ht="15.75" x14ac:dyDescent="0.25">
      <c r="B16" s="636" t="str">
        <f>IF(ISBLANK('Active Transportation Inputs'!B20),"",'Active Transportation Inputs'!B20)</f>
        <v/>
      </c>
      <c r="C16" s="636" t="str">
        <f>IF(ISBLANK('Active Transportation Inputs'!C20),"",'Active Transportation Inputs'!C20)</f>
        <v/>
      </c>
      <c r="D16" s="637" t="str">
        <f ca="1">IF(ISBLANK('Active Transportation Inputs'!R20),"",'Active Transportation Inputs'!R20)</f>
        <v/>
      </c>
      <c r="E16" s="637" t="str">
        <f>IF(ATCosts[[#This Row],[New Facility Type]]="","",IF(ATCosts[[#This Row],[New Facility Type]]="Bike Share",'Active Transportation Inputs'!Q20*'Active Transportation Inputs'!K20*('Active Transportation Inputs'!E20-'Active Transportation Inputs'!D20),('Active Transportation Inputs'!E20-'Active Transportation Inputs'!D20)*'Active Transportation Inputs'!F20*'Active Transportation Inputs'!I20*('Active Transportation Inputs'!K20+'Active Transportation Inputs'!N20)))</f>
        <v/>
      </c>
      <c r="F16" s="638" t="str">
        <f>IF(ATCosts[[#This Row],[New Facility Type]]="","",IF(ATCosts[[#This Row],[New Facility Type]]="Walkway",0,IF(ATCosts[[#This Row],[New Facility Type]]="Bike Share",'Active Transportation Inputs'!P20*ATCosts[[#This Row],[New Bike or Ped Trips]],'Energy, Fuel, &amp; Travel Prices'!$J$30*ATCosts[[#This Row],[Auto VMT Reductions]])))</f>
        <v/>
      </c>
      <c r="G16" s="637" t="str">
        <f>IF(ATCosts[[#This Row],[New Facility Type]]="","",ATCosts[[#This Row],[Auto VMT Reductions]]*'Energy, Fuel, &amp; Travel Prices'!$J$29)</f>
        <v/>
      </c>
      <c r="H16" s="637" t="str">
        <f>IFERROR(IF(ProjectAreaType="RIPA",0,(ATCosts[[#This Row],[New Bike or Ped Trips]]/2)*(5/7)*'Energy, Fuel, &amp; Travel Prices'!$J$35),"")</f>
        <v/>
      </c>
      <c r="I16" s="637" t="str">
        <f>IFERROR(IF(ProjectAreaType="RIPA",0,(ATCosts[[#This Row],[New Bike or Ped Trips]]/2)*(2/7)*'Energy, Fuel, &amp; Travel Prices'!J$36),"")</f>
        <v/>
      </c>
      <c r="J16" s="637" t="str">
        <f>IFERROR(ATCosts[[#This Row],[Avoided Auto Miles Cost ($)]]+ATCosts[[#This Row],[Avoided Weekday Parking Cost ($)]]+ATCosts[[#This Row],[Avoided Weekend Parking Cost ($)]]-ATCosts[[#This Row],[Active Mode Cost ($)]],"")</f>
        <v/>
      </c>
      <c r="K16" s="426"/>
      <c r="L16" s="471" t="str">
        <f ca="1">IFERROR(TotalkWh*(VLOOKUP(ElectricityUse,ElectricityPrices[#All],2,FALSE)),"")</f>
        <v/>
      </c>
    </row>
    <row r="17" spans="2:15" ht="15.75" x14ac:dyDescent="0.25">
      <c r="B17" s="636" t="str">
        <f>IF(ISBLANK('Active Transportation Inputs'!B21),"",'Active Transportation Inputs'!B21)</f>
        <v/>
      </c>
      <c r="C17" s="639" t="str">
        <f>IF(ISBLANK('Active Transportation Inputs'!C21),"",'Active Transportation Inputs'!C21)</f>
        <v/>
      </c>
      <c r="D17" s="637" t="str">
        <f ca="1">IF(ISBLANK('Active Transportation Inputs'!R21),"",'Active Transportation Inputs'!R21)</f>
        <v/>
      </c>
      <c r="E17" s="637" t="str">
        <f>IF(ATCosts[[#This Row],[New Facility Type]]="","",IF(ATCosts[[#This Row],[New Facility Type]]="Bike Share",'Active Transportation Inputs'!Q21*'Active Transportation Inputs'!K21*('Active Transportation Inputs'!E21-'Active Transportation Inputs'!D21),('Active Transportation Inputs'!E21-'Active Transportation Inputs'!D21)*'Active Transportation Inputs'!F21*'Active Transportation Inputs'!I21*('Active Transportation Inputs'!K21+'Active Transportation Inputs'!N21)))</f>
        <v/>
      </c>
      <c r="F17" s="638" t="str">
        <f>IF(ATCosts[[#This Row],[New Facility Type]]="","",IF(ATCosts[[#This Row],[New Facility Type]]="Walkway",0,IF(ATCosts[[#This Row],[New Facility Type]]="Bike Share",'Active Transportation Inputs'!P21*ATCosts[[#This Row],[New Bike or Ped Trips]],'Energy, Fuel, &amp; Travel Prices'!$J$30*ATCosts[[#This Row],[Auto VMT Reductions]])))</f>
        <v/>
      </c>
      <c r="G17" s="637" t="str">
        <f>IF(ATCosts[[#This Row],[New Facility Type]]="","",ATCosts[[#This Row],[Auto VMT Reductions]]*'Energy, Fuel, &amp; Travel Prices'!$J$29)</f>
        <v/>
      </c>
      <c r="H17" s="637" t="str">
        <f>IFERROR(IF(ProjectAreaType="RIPA",0,(ATCosts[[#This Row],[New Bike or Ped Trips]]/2)*(5/7)*'Energy, Fuel, &amp; Travel Prices'!$J$35),"")</f>
        <v/>
      </c>
      <c r="I17" s="637" t="str">
        <f>IFERROR(IF(ProjectAreaType="RIPA",0,(ATCosts[[#This Row],[New Bike or Ped Trips]]/2)*(2/7)*'Energy, Fuel, &amp; Travel Prices'!J$36),"")</f>
        <v/>
      </c>
      <c r="J17" s="637" t="str">
        <f>IFERROR(ATCosts[[#This Row],[Avoided Auto Miles Cost ($)]]+ATCosts[[#This Row],[Avoided Weekday Parking Cost ($)]]+ATCosts[[#This Row],[Avoided Weekend Parking Cost ($)]]-ATCosts[[#This Row],[Active Mode Cost ($)]],"")</f>
        <v/>
      </c>
      <c r="K17" s="426"/>
    </row>
    <row r="18" spans="2:15" ht="15.75" x14ac:dyDescent="0.25">
      <c r="B18" s="636" t="str">
        <f>IF(ISBLANK('Active Transportation Inputs'!B22),"",'Active Transportation Inputs'!B22)</f>
        <v/>
      </c>
      <c r="C18" s="636" t="str">
        <f>IF(ISBLANK('Active Transportation Inputs'!C22),"",'Active Transportation Inputs'!C22)</f>
        <v/>
      </c>
      <c r="D18" s="637" t="str">
        <f ca="1">IF(ISBLANK('Active Transportation Inputs'!R22),"",'Active Transportation Inputs'!R22)</f>
        <v/>
      </c>
      <c r="E18" s="637" t="str">
        <f>IF(ATCosts[[#This Row],[New Facility Type]]="","",IF(ATCosts[[#This Row],[New Facility Type]]="Bike Share",'Active Transportation Inputs'!Q22*'Active Transportation Inputs'!K22*('Active Transportation Inputs'!E22-'Active Transportation Inputs'!D22),('Active Transportation Inputs'!E22-'Active Transportation Inputs'!D22)*'Active Transportation Inputs'!F22*'Active Transportation Inputs'!I22*('Active Transportation Inputs'!K22+'Active Transportation Inputs'!N22)))</f>
        <v/>
      </c>
      <c r="F18" s="638" t="str">
        <f>IF(ATCosts[[#This Row],[New Facility Type]]="","",IF(ATCosts[[#This Row],[New Facility Type]]="Walkway",0,IF(ATCosts[[#This Row],[New Facility Type]]="Bike Share",'Active Transportation Inputs'!P22*ATCosts[[#This Row],[New Bike or Ped Trips]],'Energy, Fuel, &amp; Travel Prices'!$J$30*ATCosts[[#This Row],[Auto VMT Reductions]])))</f>
        <v/>
      </c>
      <c r="G18" s="637" t="str">
        <f>IF(ATCosts[[#This Row],[New Facility Type]]="","",ATCosts[[#This Row],[Auto VMT Reductions]]*'Energy, Fuel, &amp; Travel Prices'!$J$29)</f>
        <v/>
      </c>
      <c r="H18" s="637" t="str">
        <f>IFERROR(IF(ProjectAreaType="RIPA",0,(ATCosts[[#This Row],[New Bike or Ped Trips]]/2)*(5/7)*'Energy, Fuel, &amp; Travel Prices'!$J$35),"")</f>
        <v/>
      </c>
      <c r="I18" s="637" t="str">
        <f>IFERROR(IF(ProjectAreaType="RIPA",0,(ATCosts[[#This Row],[New Bike or Ped Trips]]/2)*(2/7)*'Energy, Fuel, &amp; Travel Prices'!J$36),"")</f>
        <v/>
      </c>
      <c r="J18" s="637" t="str">
        <f>IFERROR(ATCosts[[#This Row],[Avoided Auto Miles Cost ($)]]+ATCosts[[#This Row],[Avoided Weekday Parking Cost ($)]]+ATCosts[[#This Row],[Avoided Weekend Parking Cost ($)]]-ATCosts[[#This Row],[Active Mode Cost ($)]],"")</f>
        <v/>
      </c>
      <c r="K18" s="426"/>
      <c r="L18" s="14" t="s">
        <v>4791</v>
      </c>
    </row>
    <row r="19" spans="2:15" ht="15.75" x14ac:dyDescent="0.25">
      <c r="B19" s="636" t="str">
        <f>IF(ISBLANK('Active Transportation Inputs'!B23),"",'Active Transportation Inputs'!B23)</f>
        <v/>
      </c>
      <c r="C19" s="636" t="str">
        <f>IF(ISBLANK('Active Transportation Inputs'!C23),"",'Active Transportation Inputs'!C23)</f>
        <v/>
      </c>
      <c r="D19" s="637" t="str">
        <f ca="1">IF(ISBLANK('Active Transportation Inputs'!R23),"",'Active Transportation Inputs'!R23)</f>
        <v/>
      </c>
      <c r="E19" s="637" t="str">
        <f>IF(ATCosts[[#This Row],[New Facility Type]]="","",IF(ATCosts[[#This Row],[New Facility Type]]="Bike Share",'Active Transportation Inputs'!Q23*'Active Transportation Inputs'!K23*('Active Transportation Inputs'!E23-'Active Transportation Inputs'!D23),('Active Transportation Inputs'!E23-'Active Transportation Inputs'!D23)*'Active Transportation Inputs'!F23*'Active Transportation Inputs'!I23*('Active Transportation Inputs'!K23+'Active Transportation Inputs'!N23)))</f>
        <v/>
      </c>
      <c r="F19" s="638" t="str">
        <f>IF(ATCosts[[#This Row],[New Facility Type]]="","",IF(ATCosts[[#This Row],[New Facility Type]]="Walkway",0,IF(ATCosts[[#This Row],[New Facility Type]]="Bike Share",'Active Transportation Inputs'!P23*ATCosts[[#This Row],[New Bike or Ped Trips]],'Energy, Fuel, &amp; Travel Prices'!$J$30*ATCosts[[#This Row],[Auto VMT Reductions]])))</f>
        <v/>
      </c>
      <c r="G19" s="637" t="str">
        <f>IF(ATCosts[[#This Row],[New Facility Type]]="","",ATCosts[[#This Row],[Auto VMT Reductions]]*'Energy, Fuel, &amp; Travel Prices'!$J$29)</f>
        <v/>
      </c>
      <c r="H19" s="637" t="str">
        <f>IFERROR(IF(ProjectAreaType="RIPA",0,(ATCosts[[#This Row],[New Bike or Ped Trips]]/2)*(5/7)*'Energy, Fuel, &amp; Travel Prices'!$J$35),"")</f>
        <v/>
      </c>
      <c r="I19" s="637" t="str">
        <f>IFERROR(IF(ProjectAreaType="RIPA",0,(ATCosts[[#This Row],[New Bike or Ped Trips]]/2)*(2/7)*'Energy, Fuel, &amp; Travel Prices'!J$36),"")</f>
        <v/>
      </c>
      <c r="J19" s="637" t="str">
        <f>IFERROR(ATCosts[[#This Row],[Avoided Auto Miles Cost ($)]]+ATCosts[[#This Row],[Avoided Weekday Parking Cost ($)]]+ATCosts[[#This Row],[Avoided Weekend Parking Cost ($)]]-ATCosts[[#This Row],[Active Mode Cost ($)]],"")</f>
        <v/>
      </c>
      <c r="K19" s="426"/>
      <c r="L19" s="471" t="str">
        <f ca="1">IFERROR(ElectricityCosts-SUM(TransitFuelCosts[Fuel Cost ($)])+SUM(TransitFuelCosts[Fare Recovered ($)]),"")</f>
        <v/>
      </c>
    </row>
    <row r="20" spans="2:15" ht="15.75" x14ac:dyDescent="0.25">
      <c r="B20" s="636" t="str">
        <f>IF(ISBLANK('Active Transportation Inputs'!B24),"",'Active Transportation Inputs'!B24)</f>
        <v/>
      </c>
      <c r="C20" s="636" t="str">
        <f>IF(ISBLANK('Active Transportation Inputs'!C24),"",'Active Transportation Inputs'!C24)</f>
        <v/>
      </c>
      <c r="D20" s="637" t="str">
        <f ca="1">IF(ISBLANK('Active Transportation Inputs'!R24),"",'Active Transportation Inputs'!R24)</f>
        <v/>
      </c>
      <c r="E20" s="637" t="str">
        <f>IF(ATCosts[[#This Row],[New Facility Type]]="","",IF(ATCosts[[#This Row],[New Facility Type]]="Bike Share",'Active Transportation Inputs'!Q24*'Active Transportation Inputs'!K24*('Active Transportation Inputs'!E24-'Active Transportation Inputs'!D24),('Active Transportation Inputs'!E24-'Active Transportation Inputs'!D24)*'Active Transportation Inputs'!F24*'Active Transportation Inputs'!I24*('Active Transportation Inputs'!K24+'Active Transportation Inputs'!N24)))</f>
        <v/>
      </c>
      <c r="F20" s="638" t="str">
        <f>IF(ATCosts[[#This Row],[New Facility Type]]="","",IF(ATCosts[[#This Row],[New Facility Type]]="Walkway",0,IF(ATCosts[[#This Row],[New Facility Type]]="Bike Share",'Active Transportation Inputs'!P24*ATCosts[[#This Row],[New Bike or Ped Trips]],'Energy, Fuel, &amp; Travel Prices'!$J$30*ATCosts[[#This Row],[Auto VMT Reductions]])))</f>
        <v/>
      </c>
      <c r="G20" s="637" t="str">
        <f>IF(ATCosts[[#This Row],[New Facility Type]]="","",ATCosts[[#This Row],[Auto VMT Reductions]]*'Energy, Fuel, &amp; Travel Prices'!$J$29)</f>
        <v/>
      </c>
      <c r="H20" s="637" t="str">
        <f>IFERROR(IF(ProjectAreaType="RIPA",0,(ATCosts[[#This Row],[New Bike or Ped Trips]]/2)*(5/7)*'Energy, Fuel, &amp; Travel Prices'!$J$35),"")</f>
        <v/>
      </c>
      <c r="I20" s="637" t="str">
        <f>IFERROR(IF(ProjectAreaType="RIPA",0,(ATCosts[[#This Row],[New Bike or Ped Trips]]/2)*(2/7)*'Energy, Fuel, &amp; Travel Prices'!J$36),"")</f>
        <v/>
      </c>
      <c r="J20" s="637" t="str">
        <f>IFERROR(ATCosts[[#This Row],[Avoided Auto Miles Cost ($)]]+ATCosts[[#This Row],[Avoided Weekday Parking Cost ($)]]+ATCosts[[#This Row],[Avoided Weekend Parking Cost ($)]]-ATCosts[[#This Row],[Active Mode Cost ($)]],"")</f>
        <v/>
      </c>
      <c r="K20" s="426"/>
    </row>
    <row r="21" spans="2:15" ht="15.75" x14ac:dyDescent="0.25">
      <c r="B21" s="636" t="str">
        <f>IF(ISBLANK('Active Transportation Inputs'!B25),"",'Active Transportation Inputs'!B25)</f>
        <v/>
      </c>
      <c r="C21" s="636" t="str">
        <f>IF(ISBLANK('Active Transportation Inputs'!C25),"",'Active Transportation Inputs'!C25)</f>
        <v/>
      </c>
      <c r="D21" s="637" t="str">
        <f ca="1">IF(ISBLANK('Active Transportation Inputs'!R25),"",'Active Transportation Inputs'!R25)</f>
        <v/>
      </c>
      <c r="E21" s="637" t="str">
        <f>IF(ATCosts[[#This Row],[New Facility Type]]="","",IF(ATCosts[[#This Row],[New Facility Type]]="Bike Share",'Active Transportation Inputs'!Q25*'Active Transportation Inputs'!K25*('Active Transportation Inputs'!E25-'Active Transportation Inputs'!D25),('Active Transportation Inputs'!E25-'Active Transportation Inputs'!D25)*'Active Transportation Inputs'!F25*'Active Transportation Inputs'!I25*('Active Transportation Inputs'!K25+'Active Transportation Inputs'!N25)))</f>
        <v/>
      </c>
      <c r="F21" s="638" t="str">
        <f>IF(ATCosts[[#This Row],[New Facility Type]]="","",IF(ATCosts[[#This Row],[New Facility Type]]="Walkway",0,IF(ATCosts[[#This Row],[New Facility Type]]="Bike Share",'Active Transportation Inputs'!P25*ATCosts[[#This Row],[New Bike or Ped Trips]],'Energy, Fuel, &amp; Travel Prices'!$J$30*ATCosts[[#This Row],[Auto VMT Reductions]])))</f>
        <v/>
      </c>
      <c r="G21" s="637" t="str">
        <f>IF(ATCosts[[#This Row],[New Facility Type]]="","",ATCosts[[#This Row],[Auto VMT Reductions]]*'Energy, Fuel, &amp; Travel Prices'!$J$29)</f>
        <v/>
      </c>
      <c r="H21" s="637" t="str">
        <f>IFERROR(IF(ProjectAreaType="RIPA",0,(ATCosts[[#This Row],[New Bike or Ped Trips]]/2)*(5/7)*'Energy, Fuel, &amp; Travel Prices'!$J$35),"")</f>
        <v/>
      </c>
      <c r="I21" s="637" t="str">
        <f>IFERROR(IF(ProjectAreaType="RIPA",0,(ATCosts[[#This Row],[New Bike or Ped Trips]]/2)*(2/7)*'Energy, Fuel, &amp; Travel Prices'!J$36),"")</f>
        <v/>
      </c>
      <c r="J21" s="637" t="str">
        <f>IFERROR(ATCosts[[#This Row],[Avoided Auto Miles Cost ($)]]+ATCosts[[#This Row],[Avoided Weekday Parking Cost ($)]]+ATCosts[[#This Row],[Avoided Weekend Parking Cost ($)]]-ATCosts[[#This Row],[Active Mode Cost ($)]],"")</f>
        <v/>
      </c>
      <c r="K21" s="30"/>
      <c r="N21" s="30"/>
    </row>
    <row r="22" spans="2:15" ht="15.75" x14ac:dyDescent="0.25">
      <c r="B22" s="636" t="str">
        <f>IF(ISBLANK('Active Transportation Inputs'!B26),"",'Active Transportation Inputs'!B26)</f>
        <v/>
      </c>
      <c r="C22" s="636" t="str">
        <f>IF(ISBLANK('Active Transportation Inputs'!C26),"",'Active Transportation Inputs'!C26)</f>
        <v/>
      </c>
      <c r="D22" s="637" t="str">
        <f ca="1">IF(ISBLANK('Active Transportation Inputs'!R26),"",'Active Transportation Inputs'!R26)</f>
        <v/>
      </c>
      <c r="E22" s="637" t="str">
        <f>IF(ATCosts[[#This Row],[New Facility Type]]="","",IF(ATCosts[[#This Row],[New Facility Type]]="Bike Share",'Active Transportation Inputs'!Q26*'Active Transportation Inputs'!K26*('Active Transportation Inputs'!E26-'Active Transportation Inputs'!D26),('Active Transportation Inputs'!E26-'Active Transportation Inputs'!D26)*'Active Transportation Inputs'!F26*'Active Transportation Inputs'!I26*('Active Transportation Inputs'!K26+'Active Transportation Inputs'!N26)))</f>
        <v/>
      </c>
      <c r="F22" s="638" t="str">
        <f>IF(ATCosts[[#This Row],[New Facility Type]]="","",IF(ATCosts[[#This Row],[New Facility Type]]="Walkway",0,IF(ATCosts[[#This Row],[New Facility Type]]="Bike Share",'Active Transportation Inputs'!P26*ATCosts[[#This Row],[New Bike or Ped Trips]],'Energy, Fuel, &amp; Travel Prices'!$J$30*ATCosts[[#This Row],[Auto VMT Reductions]])))</f>
        <v/>
      </c>
      <c r="G22" s="637" t="str">
        <f>IF(ATCosts[[#This Row],[New Facility Type]]="","",ATCosts[[#This Row],[Auto VMT Reductions]]*'Energy, Fuel, &amp; Travel Prices'!$J$29)</f>
        <v/>
      </c>
      <c r="H22" s="637" t="str">
        <f>IFERROR(IF(ProjectAreaType="RIPA",0,(ATCosts[[#This Row],[New Bike or Ped Trips]]/2)*(5/7)*'Energy, Fuel, &amp; Travel Prices'!$J$35),"")</f>
        <v/>
      </c>
      <c r="I22" s="637" t="str">
        <f>IFERROR(IF(ProjectAreaType="RIPA",0,(ATCosts[[#This Row],[New Bike or Ped Trips]]/2)*(2/7)*'Energy, Fuel, &amp; Travel Prices'!J$36),"")</f>
        <v/>
      </c>
      <c r="J22" s="637" t="str">
        <f>IFERROR(ATCosts[[#This Row],[Avoided Auto Miles Cost ($)]]+ATCosts[[#This Row],[Avoided Weekday Parking Cost ($)]]+ATCosts[[#This Row],[Avoided Weekend Parking Cost ($)]]-ATCosts[[#This Row],[Active Mode Cost ($)]],"")</f>
        <v/>
      </c>
      <c r="K22" s="30"/>
      <c r="N22" s="30"/>
    </row>
    <row r="23" spans="2:15" ht="15.75" x14ac:dyDescent="0.25">
      <c r="B23" s="636" t="str">
        <f>IF(ISBLANK('Active Transportation Inputs'!B27),"",'Active Transportation Inputs'!B27)</f>
        <v/>
      </c>
      <c r="C23" s="636" t="str">
        <f>IF(ISBLANK('Active Transportation Inputs'!C27),"",'Active Transportation Inputs'!C27)</f>
        <v/>
      </c>
      <c r="D23" s="637" t="str">
        <f ca="1">IF(ISBLANK('Active Transportation Inputs'!R27),"",'Active Transportation Inputs'!R27)</f>
        <v/>
      </c>
      <c r="E23" s="637" t="str">
        <f>IF(ATCosts[[#This Row],[New Facility Type]]="","",IF(ATCosts[[#This Row],[New Facility Type]]="Bike Share",'Active Transportation Inputs'!Q27*'Active Transportation Inputs'!K27*('Active Transportation Inputs'!E27-'Active Transportation Inputs'!D27),('Active Transportation Inputs'!E27-'Active Transportation Inputs'!D27)*'Active Transportation Inputs'!F27*'Active Transportation Inputs'!I27*('Active Transportation Inputs'!K27+'Active Transportation Inputs'!N27)))</f>
        <v/>
      </c>
      <c r="F23" s="638" t="str">
        <f>IF(ATCosts[[#This Row],[New Facility Type]]="","",IF(ATCosts[[#This Row],[New Facility Type]]="Walkway",0,IF(ATCosts[[#This Row],[New Facility Type]]="Bike Share",'Active Transportation Inputs'!P27*ATCosts[[#This Row],[New Bike or Ped Trips]],'Energy, Fuel, &amp; Travel Prices'!$J$30*ATCosts[[#This Row],[Auto VMT Reductions]])))</f>
        <v/>
      </c>
      <c r="G23" s="637" t="str">
        <f>IF(ATCosts[[#This Row],[New Facility Type]]="","",ATCosts[[#This Row],[Auto VMT Reductions]]*'Energy, Fuel, &amp; Travel Prices'!$J$29)</f>
        <v/>
      </c>
      <c r="H23" s="637" t="str">
        <f>IFERROR(IF(ProjectAreaType="RIPA",0,(ATCosts[[#This Row],[New Bike or Ped Trips]]/2)*(5/7)*'Energy, Fuel, &amp; Travel Prices'!$J$35),"")</f>
        <v/>
      </c>
      <c r="I23" s="637" t="str">
        <f>IFERROR(IF(ProjectAreaType="RIPA",0,(ATCosts[[#This Row],[New Bike or Ped Trips]]/2)*(2/7)*'Energy, Fuel, &amp; Travel Prices'!J$36),"")</f>
        <v/>
      </c>
      <c r="J23" s="637" t="str">
        <f>IFERROR(ATCosts[[#This Row],[Avoided Auto Miles Cost ($)]]+ATCosts[[#This Row],[Avoided Weekday Parking Cost ($)]]+ATCosts[[#This Row],[Avoided Weekend Parking Cost ($)]]-ATCosts[[#This Row],[Active Mode Cost ($)]],"")</f>
        <v/>
      </c>
      <c r="K23" s="30"/>
      <c r="N23" s="30"/>
    </row>
    <row r="24" spans="2:15" ht="15.75" x14ac:dyDescent="0.25">
      <c r="B24" s="636" t="str">
        <f>IF(ISBLANK('Active Transportation Inputs'!B28),"",'Active Transportation Inputs'!B28)</f>
        <v/>
      </c>
      <c r="C24" s="636" t="str">
        <f>IF(ISBLANK('Active Transportation Inputs'!C28),"",'Active Transportation Inputs'!C28)</f>
        <v/>
      </c>
      <c r="D24" s="637" t="str">
        <f ca="1">IF(ISBLANK('Active Transportation Inputs'!R28),"",'Active Transportation Inputs'!R28)</f>
        <v/>
      </c>
      <c r="E24" s="637" t="str">
        <f>IF(ATCosts[[#This Row],[New Facility Type]]="","",IF(ATCosts[[#This Row],[New Facility Type]]="Bike Share",'Active Transportation Inputs'!Q28*'Active Transportation Inputs'!K28*('Active Transportation Inputs'!E28-'Active Transportation Inputs'!D28),('Active Transportation Inputs'!E28-'Active Transportation Inputs'!D28)*'Active Transportation Inputs'!F28*'Active Transportation Inputs'!I28*('Active Transportation Inputs'!K28+'Active Transportation Inputs'!N28)))</f>
        <v/>
      </c>
      <c r="F24" s="638" t="str">
        <f>IF(ATCosts[[#This Row],[New Facility Type]]="","",IF(ATCosts[[#This Row],[New Facility Type]]="Walkway",0,IF(ATCosts[[#This Row],[New Facility Type]]="Bike Share",'Active Transportation Inputs'!P28*ATCosts[[#This Row],[New Bike or Ped Trips]],'Energy, Fuel, &amp; Travel Prices'!$J$30*ATCosts[[#This Row],[Auto VMT Reductions]])))</f>
        <v/>
      </c>
      <c r="G24" s="637" t="str">
        <f>IF(ATCosts[[#This Row],[New Facility Type]]="","",ATCosts[[#This Row],[Auto VMT Reductions]]*'Energy, Fuel, &amp; Travel Prices'!$J$29)</f>
        <v/>
      </c>
      <c r="H24" s="637" t="str">
        <f>IFERROR(IF(ProjectAreaType="RIPA",0,(ATCosts[[#This Row],[New Bike or Ped Trips]]/2)*(5/7)*'Energy, Fuel, &amp; Travel Prices'!$J$35),"")</f>
        <v/>
      </c>
      <c r="I24" s="637" t="str">
        <f>IFERROR(IF(ProjectAreaType="RIPA",0,(ATCosts[[#This Row],[New Bike or Ped Trips]]/2)*(2/7)*'Energy, Fuel, &amp; Travel Prices'!J$36),"")</f>
        <v/>
      </c>
      <c r="J24" s="637" t="str">
        <f>IFERROR(ATCosts[[#This Row],[Avoided Auto Miles Cost ($)]]+ATCosts[[#This Row],[Avoided Weekday Parking Cost ($)]]+ATCosts[[#This Row],[Avoided Weekend Parking Cost ($)]]-ATCosts[[#This Row],[Active Mode Cost ($)]],"")</f>
        <v/>
      </c>
      <c r="K24" s="30"/>
      <c r="N24" s="30"/>
    </row>
    <row r="25" spans="2:15" ht="15.75" x14ac:dyDescent="0.25">
      <c r="G25" s="30"/>
      <c r="H25" s="30"/>
      <c r="I25" s="30"/>
      <c r="J25" s="30"/>
      <c r="K25" s="30"/>
    </row>
    <row r="26" spans="2:15" ht="15.75" x14ac:dyDescent="0.25">
      <c r="B26" s="14" t="s">
        <v>4829</v>
      </c>
      <c r="C26" s="18"/>
      <c r="D26" s="18"/>
      <c r="E26" s="18"/>
      <c r="F26" s="18"/>
      <c r="G26" s="30"/>
      <c r="H26" s="30"/>
      <c r="I26" s="30"/>
      <c r="J26" s="30"/>
      <c r="K26" s="30"/>
      <c r="L26" s="18"/>
      <c r="M26" s="18"/>
      <c r="N26" s="18"/>
      <c r="O26" s="18"/>
    </row>
    <row r="27" spans="2:15" ht="47.25" x14ac:dyDescent="0.25">
      <c r="B27" s="424" t="s">
        <v>135</v>
      </c>
      <c r="C27" s="424" t="s">
        <v>142</v>
      </c>
      <c r="D27" s="424" t="s">
        <v>133</v>
      </c>
      <c r="E27" s="424" t="s">
        <v>4685</v>
      </c>
      <c r="F27" s="424" t="s">
        <v>4686</v>
      </c>
      <c r="G27" s="424" t="s">
        <v>4691</v>
      </c>
      <c r="H27" s="424" t="s">
        <v>4692</v>
      </c>
      <c r="I27" s="424" t="s">
        <v>4687</v>
      </c>
      <c r="J27" s="424" t="s">
        <v>4688</v>
      </c>
      <c r="K27" s="424" t="s">
        <v>4690</v>
      </c>
      <c r="L27" s="424" t="s">
        <v>153</v>
      </c>
      <c r="M27" s="18"/>
      <c r="N27" s="18"/>
      <c r="O27" s="18"/>
    </row>
    <row r="28" spans="2:15" ht="15.75" x14ac:dyDescent="0.25">
      <c r="B28" s="18" t="str">
        <f>IF(ISBLANK('Transit Inputs'!B14),"",'Transit Inputs'!B14)</f>
        <v/>
      </c>
      <c r="C28" s="18" t="str">
        <f>IF(ISBLANK('Transit Inputs'!C14),"",'Transit Inputs'!C14)</f>
        <v/>
      </c>
      <c r="D28" s="69" t="str">
        <f>IF(ISBLANK('Transit Inputs'!T14),"",'Transit Inputs'!T14)</f>
        <v/>
      </c>
      <c r="E28" s="69" t="str">
        <f>IFERROR(AVERAGE('Transit Inputs'!G14,'Transit Inputs'!H14)*'Transit Inputs'!F14*('Transit Inputs'!E14-'Transit Inputs'!D14)*'Transit Inputs'!I14,"")</f>
        <v/>
      </c>
      <c r="F28" s="69" t="str">
        <f>IFERROR(TransitCosts[[#This Row],[New Transit Trips]]*Fare,"")</f>
        <v/>
      </c>
      <c r="G28" s="426">
        <f>IF('Transit Inputs'!Q14="Yes",(TransitCosts[[#This Row],[New Transit Trips]]/2)*'Energy, Fuel, &amp; Travel Prices'!$J$37,0)</f>
        <v>0</v>
      </c>
      <c r="H28" s="69" t="str">
        <f>IF(TransitCosts[[#This Row],[New Transit Service or Infrastructure Type]]="","",TransitCosts[[#This Row],[Auto VMT Reductions]]*'Energy, Fuel, &amp; Travel Prices'!J$29)</f>
        <v/>
      </c>
      <c r="I28" s="426" t="str">
        <f>IFERROR(IF(ProjectAreaType="RIPA",0,IF('Transit Inputs'!F14=260,(TransitCosts[[#This Row],[New Transit Trips]]/2)*'Energy, Fuel, &amp; Travel Prices'!J$35,(TransitCosts[[#This Row],[New Transit Trips]]/2)*(5/7)*'Energy, Fuel, &amp; Travel Prices'!J$35)),"")</f>
        <v/>
      </c>
      <c r="J28" s="426">
        <f>IFERROR(IF(OR(ProjectAreaType="RIPA",'Transit Inputs'!F14=260),0,(TransitCosts[[#This Row],[New Transit Trips]]/2)*(2/7)*'Energy, Fuel, &amp; Travel Prices'!$J$36),0)</f>
        <v>0</v>
      </c>
      <c r="K28" s="426">
        <f>IF('Transit Inputs'!P14="Yes",TransitCosts[[#This Row],[New Transit Trips]]/2*'Energy, Fuel, &amp; Travel Prices'!J38,0)</f>
        <v>0</v>
      </c>
      <c r="L28" s="426" t="str">
        <f>IFERROR((TransitCosts[[#This Row],[Avoided Auto Miles Cost ($)]]+TransitCosts[[#This Row],[Avoided Weekday Parking Cost ($)]]+TransitCosts[[#This Row],[Avoided Weekend Parking Cost ($)]]+TransitCosts[[#This Row],[Avoided Bridge Toll ($)]])-(TransitCosts[[#This Row],[Transit Cost ($)]]+TransitCosts[[#This Row],[Transit Facility Parking Cost ($)]]),"")</f>
        <v/>
      </c>
      <c r="M28" s="18"/>
      <c r="N28" s="18"/>
      <c r="O28" s="18"/>
    </row>
    <row r="29" spans="2:15" ht="15.75" x14ac:dyDescent="0.25">
      <c r="B29" s="18" t="str">
        <f>IF(ISBLANK('Transit Inputs'!B15),"",'Transit Inputs'!B15)</f>
        <v/>
      </c>
      <c r="C29" s="18" t="str">
        <f>IF(ISBLANK('Transit Inputs'!C15),"",'Transit Inputs'!C15)</f>
        <v/>
      </c>
      <c r="D29" s="69" t="str">
        <f>IF(ISBLANK('Transit Inputs'!T15),"",'Transit Inputs'!T15)</f>
        <v/>
      </c>
      <c r="E29" s="69" t="str">
        <f>IFERROR(AVERAGE('Transit Inputs'!G15,'Transit Inputs'!H15)*'Transit Inputs'!F15*('Transit Inputs'!E15-'Transit Inputs'!D15)*'Transit Inputs'!I15,"")</f>
        <v/>
      </c>
      <c r="F29" s="69" t="str">
        <f>IFERROR(TransitCosts[[#This Row],[New Transit Trips]]*Fare,"")</f>
        <v/>
      </c>
      <c r="G29" s="426">
        <f>IF('Transit Inputs'!Q15="Yes",(TransitCosts[[#This Row],[New Transit Trips]]/2)*'Energy, Fuel, &amp; Travel Prices'!$J$37,0)</f>
        <v>0</v>
      </c>
      <c r="H29" s="69" t="str">
        <f>IF(TransitCosts[[#This Row],[New Transit Service or Infrastructure Type]]="","",TransitCosts[[#This Row],[Auto VMT Reductions]]*'Energy, Fuel, &amp; Travel Prices'!J$29)</f>
        <v/>
      </c>
      <c r="I29" s="426" t="str">
        <f>IFERROR(IF(ProjectAreaType="RIPA",0,IF('Transit Inputs'!F15=260,(TransitCosts[[#This Row],[New Transit Trips]]/2)*'Energy, Fuel, &amp; Travel Prices'!J$35,(TransitCosts[[#This Row],[New Transit Trips]]/2)*(5/7)*'Energy, Fuel, &amp; Travel Prices'!J$35)),"")</f>
        <v/>
      </c>
      <c r="J29" s="426">
        <f>IFERROR(IF(OR(ProjectAreaType="RIPA",'Transit Inputs'!F15=260),0,(TransitCosts[[#This Row],[New Transit Trips]]/2)*(2/7)*'Energy, Fuel, &amp; Travel Prices'!$J$36),0)</f>
        <v>0</v>
      </c>
      <c r="K29" s="426">
        <f>IF('Transit Inputs'!P15="Yes",TransitCosts[[#This Row],[New Transit Trips]]/2*'Energy, Fuel, &amp; Travel Prices'!J39,0)</f>
        <v>0</v>
      </c>
      <c r="L29" s="470" t="str">
        <f>IFERROR((TransitCosts[[#This Row],[Avoided Auto Miles Cost ($)]]+TransitCosts[[#This Row],[Avoided Weekday Parking Cost ($)]]+TransitCosts[[#This Row],[Avoided Weekend Parking Cost ($)]]+TransitCosts[[#This Row],[Avoided Bridge Toll ($)]])-(TransitCosts[[#This Row],[Transit Cost ($)]]+TransitCosts[[#This Row],[Transit Facility Parking Cost ($)]]),"")</f>
        <v/>
      </c>
      <c r="M29" s="18"/>
      <c r="N29" s="18"/>
      <c r="O29" s="18"/>
    </row>
    <row r="30" spans="2:15" ht="15.75" x14ac:dyDescent="0.25">
      <c r="B30" s="18" t="str">
        <f>IF(ISBLANK('Transit Inputs'!B16),"",'Transit Inputs'!B16)</f>
        <v/>
      </c>
      <c r="C30" s="18" t="str">
        <f>IF(ISBLANK('Transit Inputs'!C16),"",'Transit Inputs'!C16)</f>
        <v/>
      </c>
      <c r="D30" s="69" t="str">
        <f>IF(ISBLANK('Transit Inputs'!T16),"",'Transit Inputs'!T16)</f>
        <v/>
      </c>
      <c r="E30" s="69" t="str">
        <f>IFERROR(AVERAGE('Transit Inputs'!G16,'Transit Inputs'!H16)*'Transit Inputs'!F16*('Transit Inputs'!E16-'Transit Inputs'!D16)*'Transit Inputs'!I16,"")</f>
        <v/>
      </c>
      <c r="F30" s="69" t="str">
        <f>IFERROR(TransitCosts[[#This Row],[New Transit Trips]]*Fare,"")</f>
        <v/>
      </c>
      <c r="G30" s="426">
        <f>IF('Transit Inputs'!Q16="Yes",(TransitCosts[[#This Row],[New Transit Trips]]/2)*'Energy, Fuel, &amp; Travel Prices'!$J$37,0)</f>
        <v>0</v>
      </c>
      <c r="H30" s="69" t="str">
        <f>IF(TransitCosts[[#This Row],[New Transit Service or Infrastructure Type]]="","",TransitCosts[[#This Row],[Auto VMT Reductions]]*'Energy, Fuel, &amp; Travel Prices'!J$29)</f>
        <v/>
      </c>
      <c r="I30" s="426" t="str">
        <f>IFERROR(IF(ProjectAreaType="RIPA",0,IF('Transit Inputs'!F16=260,(TransitCosts[[#This Row],[New Transit Trips]]/2)*'Energy, Fuel, &amp; Travel Prices'!J$35,(TransitCosts[[#This Row],[New Transit Trips]]/2)*(5/7)*'Energy, Fuel, &amp; Travel Prices'!J$35)),"")</f>
        <v/>
      </c>
      <c r="J30" s="426">
        <f>IFERROR(IF(OR(ProjectAreaType="RIPA",'Transit Inputs'!F16=260),0,(TransitCosts[[#This Row],[New Transit Trips]]/2)*(2/7)*'Energy, Fuel, &amp; Travel Prices'!$J$36),0)</f>
        <v>0</v>
      </c>
      <c r="K30" s="426">
        <f>IF('Transit Inputs'!P16="Yes",TransitCosts[[#This Row],[New Transit Trips]]/2*'Energy, Fuel, &amp; Travel Prices'!J40,0)</f>
        <v>0</v>
      </c>
      <c r="L30" s="470" t="str">
        <f>IFERROR((TransitCosts[[#This Row],[Avoided Auto Miles Cost ($)]]+TransitCosts[[#This Row],[Avoided Weekday Parking Cost ($)]]+TransitCosts[[#This Row],[Avoided Weekend Parking Cost ($)]]+TransitCosts[[#This Row],[Avoided Bridge Toll ($)]])-(TransitCosts[[#This Row],[Transit Cost ($)]]+TransitCosts[[#This Row],[Transit Facility Parking Cost ($)]]),"")</f>
        <v/>
      </c>
      <c r="M30" s="18"/>
      <c r="N30" s="18"/>
      <c r="O30" s="18"/>
    </row>
    <row r="31" spans="2:15" ht="15.75" x14ac:dyDescent="0.25">
      <c r="B31" s="18" t="str">
        <f>IF(ISBLANK('Transit Inputs'!B17),"",'Transit Inputs'!B17)</f>
        <v/>
      </c>
      <c r="C31" s="18" t="str">
        <f>IF(ISBLANK('Transit Inputs'!C17),"",'Transit Inputs'!C17)</f>
        <v/>
      </c>
      <c r="D31" s="69" t="str">
        <f>IF(ISBLANK('Transit Inputs'!T17),"",'Transit Inputs'!T17)</f>
        <v/>
      </c>
      <c r="E31" s="69" t="str">
        <f>IFERROR(AVERAGE('Transit Inputs'!G17,'Transit Inputs'!H17)*'Transit Inputs'!F17*('Transit Inputs'!E17-'Transit Inputs'!D17)*'Transit Inputs'!I17,"")</f>
        <v/>
      </c>
      <c r="F31" s="69" t="str">
        <f>IFERROR(TransitCosts[[#This Row],[New Transit Trips]]*Fare,"")</f>
        <v/>
      </c>
      <c r="G31" s="426">
        <f>IF('Transit Inputs'!Q17="Yes",(TransitCosts[[#This Row],[New Transit Trips]]/2)*'Energy, Fuel, &amp; Travel Prices'!$J$37,0)</f>
        <v>0</v>
      </c>
      <c r="H31" s="69" t="str">
        <f>IF(TransitCosts[[#This Row],[New Transit Service or Infrastructure Type]]="","",TransitCosts[[#This Row],[Auto VMT Reductions]]*'Energy, Fuel, &amp; Travel Prices'!J$29)</f>
        <v/>
      </c>
      <c r="I31" s="426" t="str">
        <f>IFERROR(IF(ProjectAreaType="RIPA",0,IF('Transit Inputs'!F17=260,(TransitCosts[[#This Row],[New Transit Trips]]/2)*'Energy, Fuel, &amp; Travel Prices'!J$35,(TransitCosts[[#This Row],[New Transit Trips]]/2)*(5/7)*'Energy, Fuel, &amp; Travel Prices'!J$35)),"")</f>
        <v/>
      </c>
      <c r="J31" s="426">
        <f>IFERROR(IF(OR(ProjectAreaType="RIPA",'Transit Inputs'!F17=260),0,(TransitCosts[[#This Row],[New Transit Trips]]/2)*(2/7)*'Energy, Fuel, &amp; Travel Prices'!$J$36),0)</f>
        <v>0</v>
      </c>
      <c r="K31" s="426">
        <f>IF('Transit Inputs'!P17="Yes",TransitCosts[[#This Row],[New Transit Trips]]/2*'Energy, Fuel, &amp; Travel Prices'!J41,0)</f>
        <v>0</v>
      </c>
      <c r="L31" s="470" t="str">
        <f>IFERROR((TransitCosts[[#This Row],[Avoided Auto Miles Cost ($)]]+TransitCosts[[#This Row],[Avoided Weekday Parking Cost ($)]]+TransitCosts[[#This Row],[Avoided Weekend Parking Cost ($)]]+TransitCosts[[#This Row],[Avoided Bridge Toll ($)]])-(TransitCosts[[#This Row],[Transit Cost ($)]]+TransitCosts[[#This Row],[Transit Facility Parking Cost ($)]]),"")</f>
        <v/>
      </c>
      <c r="M31" s="18"/>
      <c r="N31" s="18"/>
      <c r="O31" s="18"/>
    </row>
    <row r="32" spans="2:15" ht="15.75" x14ac:dyDescent="0.25">
      <c r="B32" s="18" t="str">
        <f>IF(ISBLANK('Transit Inputs'!B18),"",'Transit Inputs'!B18)</f>
        <v/>
      </c>
      <c r="C32" s="18" t="str">
        <f>IF(ISBLANK('Transit Inputs'!C18),"",'Transit Inputs'!C18)</f>
        <v/>
      </c>
      <c r="D32" s="69" t="str">
        <f>IF(ISBLANK('Transit Inputs'!T18),"",'Transit Inputs'!T18)</f>
        <v/>
      </c>
      <c r="E32" s="69" t="str">
        <f>IFERROR(AVERAGE('Transit Inputs'!G18,'Transit Inputs'!H18)*'Transit Inputs'!F18*('Transit Inputs'!E18-'Transit Inputs'!D18)*'Transit Inputs'!I18,"")</f>
        <v/>
      </c>
      <c r="F32" s="69" t="str">
        <f>IFERROR(TransitCosts[[#This Row],[New Transit Trips]]*Fare,"")</f>
        <v/>
      </c>
      <c r="G32" s="426">
        <f>IF('Transit Inputs'!Q18="Yes",(TransitCosts[[#This Row],[New Transit Trips]]/2)*'Energy, Fuel, &amp; Travel Prices'!$J$37,0)</f>
        <v>0</v>
      </c>
      <c r="H32" s="69" t="str">
        <f>IF(TransitCosts[[#This Row],[New Transit Service or Infrastructure Type]]="","",TransitCosts[[#This Row],[Auto VMT Reductions]]*'Energy, Fuel, &amp; Travel Prices'!J$29)</f>
        <v/>
      </c>
      <c r="I32" s="426" t="str">
        <f>IFERROR(IF(ProjectAreaType="RIPA",0,IF('Transit Inputs'!F18=260,(TransitCosts[[#This Row],[New Transit Trips]]/2)*'Energy, Fuel, &amp; Travel Prices'!J$35,(TransitCosts[[#This Row],[New Transit Trips]]/2)*(5/7)*'Energy, Fuel, &amp; Travel Prices'!J$35)),"")</f>
        <v/>
      </c>
      <c r="J32" s="426">
        <f>IFERROR(IF(OR(ProjectAreaType="RIPA",'Transit Inputs'!F18=260),0,(TransitCosts[[#This Row],[New Transit Trips]]/2)*(2/7)*'Energy, Fuel, &amp; Travel Prices'!$J$36),0)</f>
        <v>0</v>
      </c>
      <c r="K32" s="426">
        <f>IF('Transit Inputs'!P18="Yes",TransitCosts[[#This Row],[New Transit Trips]]/2*'Energy, Fuel, &amp; Travel Prices'!J42,0)</f>
        <v>0</v>
      </c>
      <c r="L32" s="470" t="str">
        <f>IFERROR((TransitCosts[[#This Row],[Avoided Auto Miles Cost ($)]]+TransitCosts[[#This Row],[Avoided Weekday Parking Cost ($)]]+TransitCosts[[#This Row],[Avoided Weekend Parking Cost ($)]]+TransitCosts[[#This Row],[Avoided Bridge Toll ($)]])-(TransitCosts[[#This Row],[Transit Cost ($)]]+TransitCosts[[#This Row],[Transit Facility Parking Cost ($)]]),"")</f>
        <v/>
      </c>
      <c r="M32" s="18"/>
      <c r="N32" s="18"/>
      <c r="O32" s="18"/>
    </row>
    <row r="33" spans="2:15" ht="15.75" x14ac:dyDescent="0.25">
      <c r="B33" s="18"/>
      <c r="C33" s="18"/>
      <c r="D33" s="18"/>
      <c r="E33" s="18"/>
      <c r="F33" s="18"/>
      <c r="G33" s="30"/>
      <c r="H33" s="30"/>
      <c r="I33" s="30"/>
      <c r="J33" s="30"/>
      <c r="K33" s="30"/>
      <c r="L33" s="30"/>
      <c r="M33" s="30"/>
      <c r="N33" s="18"/>
      <c r="O33" s="18"/>
    </row>
    <row r="34" spans="2:15" ht="15.75" x14ac:dyDescent="0.25">
      <c r="B34" s="422" t="s">
        <v>4828</v>
      </c>
      <c r="C34" s="30"/>
      <c r="G34" s="30"/>
      <c r="H34" s="30"/>
      <c r="I34" s="30"/>
      <c r="J34" s="30"/>
      <c r="K34" s="30"/>
      <c r="L34" s="30"/>
      <c r="M34" s="30"/>
    </row>
    <row r="35" spans="2:15" ht="47.25" x14ac:dyDescent="0.25">
      <c r="B35" s="424" t="s">
        <v>135</v>
      </c>
      <c r="C35" s="424" t="s">
        <v>142</v>
      </c>
      <c r="D35" s="424" t="s">
        <v>4739</v>
      </c>
      <c r="E35" s="424" t="s">
        <v>4789</v>
      </c>
      <c r="F35" s="424" t="s">
        <v>4790</v>
      </c>
      <c r="G35" s="424" t="s">
        <v>4783</v>
      </c>
      <c r="H35" s="30"/>
      <c r="I35" s="30"/>
      <c r="J35" s="30"/>
      <c r="K35" s="30"/>
      <c r="L35" s="30"/>
      <c r="M35" s="30"/>
    </row>
    <row r="36" spans="2:15" ht="15.75" x14ac:dyDescent="0.25">
      <c r="B36" s="18" t="str">
        <f>IF('Transit Inputs'!B14="","",'Transit Inputs'!B14)</f>
        <v/>
      </c>
      <c r="C36" s="18" t="str">
        <f>IF('Transit Inputs'!C14="","",'Transit Inputs'!C14)</f>
        <v/>
      </c>
      <c r="D36" s="18" t="str">
        <f>IF('Transit Inputs'!K14="","",'Transit Inputs'!K14)</f>
        <v/>
      </c>
      <c r="E36" s="69">
        <f>IF(OR(TransitFuelCosts[[#This Row],[Fuel Type]]="Electric",TransitFuelCosts[[#This Row],[Fuel Type]]="Hydrogen"),IF(TransitFuelCosts[[#This Row],[New Transit Service or Infrastructure Type]]="Ferry",'Transit Emissions'!T66,IF(TransitFuelCosts[[#This Row],[New Transit Service or Infrastructure Type]]="Light Rail",'Transit Emissions'!R34,IF(TransitFuelCosts[[#This Row],[New Transit Service or Infrastructure Type]]="Local Bus",'Transit Emissions'!T10,IF(TransitFuelCosts[[#This Row],[New Transit Service or Infrastructure Type]]="Long-distance Commuter Bus",'Transit Emissions'!T18,IF(TransitFuelCosts[[#This Row],[New Transit Service or Infrastructure Type]]="Shuttle",'Transit Emissions'!T58,IF(TransitFuelCosts[[#This Row],[New Transit Service or Infrastructure Type]]="Streetcar",'Transit Emissions'!R26,IF(TransitFuelCosts[[#This Row],[New Transit Service or Infrastructure Type]]="Train",'Transit Emissions'!U42,IF(TransitFuelCosts[[#This Row],[New Transit Service or Infrastructure Type]]="Vanpool",'Transit Emissions'!R50,0)))))))),'Transit Inputs'!AF14)</f>
        <v>0</v>
      </c>
      <c r="F36" s="69" t="str">
        <f>IFERROR(VLOOKUP(TransitFuelCosts[[#This Row],[Fuel Type]],FuelPrices[#All],2,FALSE)*TransitFuelCosts[[#This Row],[Fuel Consumption (GGE)]],"")</f>
        <v/>
      </c>
      <c r="G36" s="69" t="str">
        <f>IF(Costs!F28="","",Costs!F28)</f>
        <v/>
      </c>
      <c r="H36" s="30"/>
      <c r="I36" s="30"/>
      <c r="J36" s="30"/>
      <c r="K36" s="30"/>
      <c r="M36" s="30"/>
    </row>
    <row r="37" spans="2:15" ht="15.75" x14ac:dyDescent="0.25">
      <c r="B37" s="18" t="str">
        <f>IF('Transit Inputs'!B15="","",'Transit Inputs'!B15)</f>
        <v/>
      </c>
      <c r="C37" s="18" t="str">
        <f>IF('Transit Inputs'!C15="","",'Transit Inputs'!C15)</f>
        <v/>
      </c>
      <c r="D37" s="18" t="str">
        <f>IF('Transit Inputs'!K15="","",'Transit Inputs'!K15)</f>
        <v/>
      </c>
      <c r="E37" s="69">
        <f>IF(OR(TransitFuelCosts[[#This Row],[Fuel Type]]="Electric",TransitFuelCosts[[#This Row],[Fuel Type]]="Hydrogen"),IF(TransitFuelCosts[[#This Row],[New Transit Service or Infrastructure Type]]="Ferry",'Transit Emissions'!T67,IF(TransitFuelCosts[[#This Row],[New Transit Service or Infrastructure Type]]="Light Rail",'Transit Emissions'!R35,IF(TransitFuelCosts[[#This Row],[New Transit Service or Infrastructure Type]]="Local Bus",'Transit Emissions'!T11,IF(TransitFuelCosts[[#This Row],[New Transit Service or Infrastructure Type]]="Long-distance Commuter Bus",'Transit Emissions'!T19,IF(TransitFuelCosts[[#This Row],[New Transit Service or Infrastructure Type]]="Shuttle",'Transit Emissions'!T59,IF(TransitFuelCosts[[#This Row],[New Transit Service or Infrastructure Type]]="Streetcar",'Transit Emissions'!R27,IF(TransitFuelCosts[[#This Row],[New Transit Service or Infrastructure Type]]="Train",'Transit Emissions'!U43,IF(TransitFuelCosts[[#This Row],[New Transit Service or Infrastructure Type]]="Vanpool",'Transit Emissions'!R51,0)))))))),'Transit Inputs'!AF15)</f>
        <v>0</v>
      </c>
      <c r="F37" s="69" t="str">
        <f>IFERROR(VLOOKUP(TransitFuelCosts[[#This Row],[Fuel Type]],FuelPrices[#All],2,FALSE)*TransitFuelCosts[[#This Row],[Fuel Consumption (GGE)]],"")</f>
        <v/>
      </c>
      <c r="G37" s="69" t="str">
        <f>IF(Costs!F29="","",Costs!F29)</f>
        <v/>
      </c>
      <c r="H37" s="30"/>
      <c r="I37" s="30"/>
      <c r="J37" s="30"/>
      <c r="K37" s="30"/>
      <c r="M37" s="30"/>
    </row>
    <row r="38" spans="2:15" ht="15.75" x14ac:dyDescent="0.25">
      <c r="B38" s="18" t="str">
        <f>IF('Transit Inputs'!B16="","",'Transit Inputs'!B16)</f>
        <v/>
      </c>
      <c r="C38" s="18" t="str">
        <f>IF('Transit Inputs'!C16="","",'Transit Inputs'!C16)</f>
        <v/>
      </c>
      <c r="D38" s="18" t="str">
        <f>IF('Transit Inputs'!K16="","",'Transit Inputs'!K16)</f>
        <v/>
      </c>
      <c r="E38" s="69">
        <f>IF(OR(TransitFuelCosts[[#This Row],[Fuel Type]]="Electric",TransitFuelCosts[[#This Row],[Fuel Type]]="Hydrogen"),IF(TransitFuelCosts[[#This Row],[New Transit Service or Infrastructure Type]]="Ferry",'Transit Emissions'!T68,IF(TransitFuelCosts[[#This Row],[New Transit Service or Infrastructure Type]]="Light Rail",'Transit Emissions'!R36,IF(TransitFuelCosts[[#This Row],[New Transit Service or Infrastructure Type]]="Local Bus",'Transit Emissions'!T12,IF(TransitFuelCosts[[#This Row],[New Transit Service or Infrastructure Type]]="Long-distance Commuter Bus",'Transit Emissions'!T20,IF(TransitFuelCosts[[#This Row],[New Transit Service or Infrastructure Type]]="Shuttle",'Transit Emissions'!T60,IF(TransitFuelCosts[[#This Row],[New Transit Service or Infrastructure Type]]="Streetcar",'Transit Emissions'!R28,IF(TransitFuelCosts[[#This Row],[New Transit Service or Infrastructure Type]]="Train",'Transit Emissions'!U44,IF(TransitFuelCosts[[#This Row],[New Transit Service or Infrastructure Type]]="Vanpool",'Transit Emissions'!R52,0)))))))),'Transit Inputs'!AF16)</f>
        <v>0</v>
      </c>
      <c r="F38" s="69" t="str">
        <f>IFERROR(VLOOKUP(TransitFuelCosts[[#This Row],[Fuel Type]],FuelPrices[#All],2,FALSE)*TransitFuelCosts[[#This Row],[Fuel Consumption (GGE)]],"")</f>
        <v/>
      </c>
      <c r="G38" s="69" t="str">
        <f>IF(Costs!F30="","",Costs!F30)</f>
        <v/>
      </c>
      <c r="H38" s="30"/>
      <c r="I38" s="30"/>
      <c r="J38" s="30"/>
      <c r="K38" s="30"/>
      <c r="M38" s="30"/>
    </row>
    <row r="39" spans="2:15" ht="15.75" x14ac:dyDescent="0.25">
      <c r="B39" s="18" t="str">
        <f>IF('Transit Inputs'!B17="","",'Transit Inputs'!B17)</f>
        <v/>
      </c>
      <c r="C39" s="18" t="str">
        <f>IF('Transit Inputs'!C17="","",'Transit Inputs'!C17)</f>
        <v/>
      </c>
      <c r="D39" s="18" t="str">
        <f>IF('Transit Inputs'!K17="","",'Transit Inputs'!K17)</f>
        <v/>
      </c>
      <c r="E39" s="69">
        <f>IF(OR(TransitFuelCosts[[#This Row],[Fuel Type]]="Electric",TransitFuelCosts[[#This Row],[Fuel Type]]="Hydrogen"),IF(TransitFuelCosts[[#This Row],[New Transit Service or Infrastructure Type]]="Ferry",'Transit Emissions'!T69,IF(TransitFuelCosts[[#This Row],[New Transit Service or Infrastructure Type]]="Light Rail",'Transit Emissions'!R37,IF(TransitFuelCosts[[#This Row],[New Transit Service or Infrastructure Type]]="Local Bus",'Transit Emissions'!T13,IF(TransitFuelCosts[[#This Row],[New Transit Service or Infrastructure Type]]="Long-distance Commuter Bus",'Transit Emissions'!T21,IF(TransitFuelCosts[[#This Row],[New Transit Service or Infrastructure Type]]="Shuttle",'Transit Emissions'!T61,IF(TransitFuelCosts[[#This Row],[New Transit Service or Infrastructure Type]]="Streetcar",'Transit Emissions'!R29,IF(TransitFuelCosts[[#This Row],[New Transit Service or Infrastructure Type]]="Train",'Transit Emissions'!U45,IF(TransitFuelCosts[[#This Row],[New Transit Service or Infrastructure Type]]="Vanpool",'Transit Emissions'!R53,0)))))))),'Transit Inputs'!AF17)</f>
        <v>0</v>
      </c>
      <c r="F39" s="69" t="str">
        <f>IFERROR(VLOOKUP(TransitFuelCosts[[#This Row],[Fuel Type]],FuelPrices[#All],2,FALSE)*TransitFuelCosts[[#This Row],[Fuel Consumption (GGE)]],"")</f>
        <v/>
      </c>
      <c r="G39" s="69" t="str">
        <f>IF(Costs!F31="","",Costs!F31)</f>
        <v/>
      </c>
      <c r="H39" s="30"/>
      <c r="I39" s="30"/>
      <c r="J39" s="30"/>
      <c r="K39" s="30"/>
      <c r="M39" s="30"/>
    </row>
    <row r="40" spans="2:15" ht="15.75" x14ac:dyDescent="0.25">
      <c r="B40" s="18" t="str">
        <f>IF('Transit Inputs'!B18="","",'Transit Inputs'!B18)</f>
        <v/>
      </c>
      <c r="C40" s="18" t="str">
        <f>IF('Transit Inputs'!C18="","",'Transit Inputs'!C18)</f>
        <v/>
      </c>
      <c r="D40" s="18" t="str">
        <f>IF('Transit Inputs'!K18="","",'Transit Inputs'!K18)</f>
        <v/>
      </c>
      <c r="E40" s="69">
        <f>IF(OR(TransitFuelCosts[[#This Row],[Fuel Type]]="Electric",TransitFuelCosts[[#This Row],[Fuel Type]]="Hydrogen"),IF(TransitFuelCosts[[#This Row],[New Transit Service or Infrastructure Type]]="Ferry",'Transit Emissions'!T70,IF(TransitFuelCosts[[#This Row],[New Transit Service or Infrastructure Type]]="Light Rail",'Transit Emissions'!R38,IF(TransitFuelCosts[[#This Row],[New Transit Service or Infrastructure Type]]="Local Bus",'Transit Emissions'!T14,IF(TransitFuelCosts[[#This Row],[New Transit Service or Infrastructure Type]]="Long-distance Commuter Bus",'Transit Emissions'!T22,IF(TransitFuelCosts[[#This Row],[New Transit Service or Infrastructure Type]]="Shuttle",'Transit Emissions'!T62,IF(TransitFuelCosts[[#This Row],[New Transit Service or Infrastructure Type]]="Streetcar",'Transit Emissions'!R30,IF(TransitFuelCosts[[#This Row],[New Transit Service or Infrastructure Type]]="Train",'Transit Emissions'!U46,IF(TransitFuelCosts[[#This Row],[New Transit Service or Infrastructure Type]]="Vanpool",'Transit Emissions'!R54,0)))))))),'Transit Inputs'!AF18)</f>
        <v>0</v>
      </c>
      <c r="F40" s="69" t="str">
        <f>IFERROR(VLOOKUP(TransitFuelCosts[[#This Row],[Fuel Type]],FuelPrices[#All],2,FALSE)*TransitFuelCosts[[#This Row],[Fuel Consumption (GGE)]],"")</f>
        <v/>
      </c>
      <c r="G40" s="69" t="str">
        <f>IF(Costs!F32="","",Costs!F32)</f>
        <v/>
      </c>
      <c r="H40" s="30"/>
      <c r="I40" s="30"/>
      <c r="J40" s="30"/>
      <c r="K40" s="30"/>
      <c r="M40" s="30"/>
    </row>
    <row r="41" spans="2:15" ht="15.75" x14ac:dyDescent="0.25">
      <c r="D41" s="12"/>
      <c r="F41" s="97"/>
      <c r="G41" s="426"/>
      <c r="H41" s="30"/>
      <c r="I41" s="30"/>
      <c r="J41" s="30"/>
      <c r="K41" s="30"/>
      <c r="L41" s="30"/>
      <c r="M41" s="30"/>
    </row>
    <row r="42" spans="2:15" ht="15.75" x14ac:dyDescent="0.25">
      <c r="G42" s="30"/>
      <c r="H42" s="30"/>
      <c r="I42" s="30"/>
      <c r="J42" s="30"/>
      <c r="K42" s="30"/>
      <c r="L42" s="30"/>
      <c r="M42" s="30"/>
    </row>
    <row r="43" spans="2:15" ht="15.75" x14ac:dyDescent="0.25">
      <c r="G43" s="30"/>
      <c r="H43" s="30"/>
      <c r="I43" s="30"/>
      <c r="J43" s="30"/>
      <c r="K43" s="30"/>
      <c r="L43" s="30"/>
      <c r="M43" s="30"/>
    </row>
    <row r="44" spans="2:15" ht="15.75" x14ac:dyDescent="0.25">
      <c r="G44" s="30" t="s">
        <v>151</v>
      </c>
      <c r="H44" s="30"/>
      <c r="I44" s="30"/>
      <c r="J44" s="30"/>
      <c r="K44" s="30"/>
      <c r="L44" s="30"/>
      <c r="M44" s="30"/>
    </row>
    <row r="45" spans="2:15" ht="15.75" x14ac:dyDescent="0.25">
      <c r="F45" s="97"/>
      <c r="G45" s="30"/>
      <c r="H45" s="30"/>
      <c r="I45" s="30"/>
      <c r="J45" s="30"/>
      <c r="K45" s="30"/>
      <c r="L45" s="30"/>
      <c r="M45" s="30"/>
    </row>
    <row r="46" spans="2:15" ht="15.75" x14ac:dyDescent="0.25">
      <c r="G46" s="30"/>
      <c r="H46" s="30"/>
      <c r="I46" s="30"/>
      <c r="J46" s="30"/>
      <c r="K46" s="30"/>
      <c r="L46" s="30"/>
      <c r="M46" s="30"/>
    </row>
    <row r="47" spans="2:15" ht="15.75" x14ac:dyDescent="0.25">
      <c r="G47" s="30"/>
      <c r="H47" s="30"/>
      <c r="I47" s="30"/>
      <c r="J47" s="30"/>
      <c r="K47" s="30"/>
      <c r="L47" s="30"/>
      <c r="M47" s="30"/>
    </row>
    <row r="48" spans="2:15" ht="15.75" x14ac:dyDescent="0.25">
      <c r="G48" s="30"/>
      <c r="H48" s="30"/>
      <c r="I48" s="30"/>
      <c r="J48" s="30"/>
      <c r="K48" s="30"/>
      <c r="L48" s="30"/>
      <c r="M48" s="30"/>
    </row>
    <row r="49" spans="7:13" ht="15.75" x14ac:dyDescent="0.25">
      <c r="G49" s="30"/>
      <c r="H49" s="30"/>
      <c r="I49" s="30"/>
      <c r="J49" s="30"/>
      <c r="K49" s="30"/>
      <c r="L49" s="30"/>
      <c r="M49" s="30"/>
    </row>
    <row r="50" spans="7:13" ht="15.75" x14ac:dyDescent="0.25">
      <c r="G50" s="30"/>
      <c r="H50" s="30"/>
      <c r="I50" s="30"/>
      <c r="J50" s="30"/>
      <c r="K50" s="30"/>
      <c r="L50" s="30"/>
      <c r="M50" s="30"/>
    </row>
    <row r="51" spans="7:13" ht="15.75" x14ac:dyDescent="0.25">
      <c r="G51" s="30"/>
      <c r="H51" s="30"/>
      <c r="I51" s="30"/>
      <c r="J51" s="30"/>
      <c r="K51" s="30"/>
      <c r="L51" s="30"/>
      <c r="M51" s="30"/>
    </row>
    <row r="52" spans="7:13" ht="15.75" x14ac:dyDescent="0.25">
      <c r="G52" s="30"/>
      <c r="H52" s="30"/>
      <c r="I52" s="30"/>
      <c r="J52" s="30"/>
      <c r="K52" s="30"/>
      <c r="L52" s="30"/>
      <c r="M52" s="30"/>
    </row>
    <row r="53" spans="7:13" ht="15.75" x14ac:dyDescent="0.25">
      <c r="G53" s="30"/>
      <c r="H53" s="30"/>
      <c r="I53" s="30"/>
      <c r="J53" s="30"/>
      <c r="K53" s="30"/>
      <c r="L53" s="30"/>
      <c r="M53" s="30"/>
    </row>
    <row r="54" spans="7:13" ht="15.75" x14ac:dyDescent="0.25">
      <c r="G54" s="30"/>
      <c r="H54" s="30"/>
      <c r="I54" s="30"/>
      <c r="J54" s="30"/>
      <c r="K54" s="30"/>
      <c r="L54" s="30"/>
      <c r="M54" s="30"/>
    </row>
    <row r="55" spans="7:13" ht="15.75" x14ac:dyDescent="0.25">
      <c r="G55" s="30"/>
      <c r="H55" s="30"/>
      <c r="I55" s="30"/>
      <c r="J55" s="30"/>
      <c r="K55" s="30"/>
      <c r="L55" s="30"/>
      <c r="M55" s="30"/>
    </row>
    <row r="56" spans="7:13" ht="15.75" x14ac:dyDescent="0.25">
      <c r="G56" s="30"/>
      <c r="H56" s="30"/>
      <c r="I56" s="30"/>
      <c r="J56" s="30"/>
      <c r="K56" s="30"/>
      <c r="L56" s="30"/>
      <c r="M56" s="30"/>
    </row>
    <row r="57" spans="7:13" ht="15.75" x14ac:dyDescent="0.25">
      <c r="G57" s="30"/>
      <c r="H57" s="30"/>
      <c r="I57" s="30"/>
      <c r="J57" s="30"/>
      <c r="K57" s="30"/>
      <c r="L57" s="30"/>
      <c r="M57" s="30"/>
    </row>
    <row r="58" spans="7:13" ht="15.75" x14ac:dyDescent="0.25">
      <c r="G58" s="30"/>
      <c r="H58" s="30"/>
      <c r="I58" s="30"/>
      <c r="J58" s="30"/>
      <c r="K58" s="30"/>
      <c r="L58" s="30"/>
      <c r="M58" s="30"/>
    </row>
    <row r="59" spans="7:13" ht="15.75" x14ac:dyDescent="0.25">
      <c r="G59" s="30"/>
      <c r="H59" s="30"/>
      <c r="I59" s="30"/>
      <c r="J59" s="30"/>
      <c r="K59" s="30"/>
      <c r="L59" s="30"/>
      <c r="M59" s="30"/>
    </row>
    <row r="60" spans="7:13" ht="15.75" x14ac:dyDescent="0.25">
      <c r="G60" s="30"/>
      <c r="H60" s="30"/>
      <c r="I60" s="30"/>
      <c r="J60" s="30"/>
      <c r="K60" s="30"/>
      <c r="L60" s="30"/>
      <c r="M60" s="30"/>
    </row>
    <row r="61" spans="7:13" ht="15.75" x14ac:dyDescent="0.25">
      <c r="G61" s="30"/>
      <c r="H61" s="30"/>
      <c r="I61" s="30"/>
      <c r="J61" s="30"/>
      <c r="K61" s="30"/>
      <c r="L61" s="30"/>
      <c r="M61" s="30"/>
    </row>
    <row r="62" spans="7:13" ht="15.75" x14ac:dyDescent="0.25">
      <c r="G62" s="30"/>
      <c r="H62" s="30"/>
      <c r="I62" s="30"/>
      <c r="J62" s="30"/>
      <c r="K62" s="30"/>
      <c r="L62" s="30"/>
      <c r="M62" s="30"/>
    </row>
    <row r="63" spans="7:13" ht="15.75" x14ac:dyDescent="0.25">
      <c r="G63" s="30"/>
      <c r="H63" s="30"/>
      <c r="I63" s="30"/>
      <c r="J63" s="30"/>
      <c r="K63" s="30"/>
      <c r="L63" s="30"/>
      <c r="M63" s="30"/>
    </row>
    <row r="64" spans="7:13" ht="15.75" x14ac:dyDescent="0.25">
      <c r="G64" s="30"/>
      <c r="H64" s="30"/>
      <c r="I64" s="30"/>
      <c r="J64" s="30"/>
      <c r="K64" s="30"/>
      <c r="L64" s="30"/>
      <c r="M64" s="30"/>
    </row>
    <row r="65" spans="7:13" ht="15.75" x14ac:dyDescent="0.25">
      <c r="G65" s="30"/>
      <c r="H65" s="30"/>
      <c r="I65" s="30"/>
      <c r="J65" s="30"/>
      <c r="K65" s="30"/>
      <c r="L65" s="30"/>
      <c r="M65" s="30"/>
    </row>
    <row r="66" spans="7:13" ht="15.75" x14ac:dyDescent="0.25">
      <c r="G66" s="30"/>
      <c r="H66" s="30"/>
      <c r="I66" s="30"/>
      <c r="J66" s="30"/>
      <c r="K66" s="30"/>
      <c r="L66" s="30"/>
      <c r="M66" s="30"/>
    </row>
    <row r="67" spans="7:13" ht="15.75" x14ac:dyDescent="0.25">
      <c r="G67" s="30"/>
      <c r="H67" s="30"/>
      <c r="I67" s="30"/>
      <c r="J67" s="30"/>
      <c r="K67" s="30"/>
      <c r="L67" s="30"/>
      <c r="M67" s="30"/>
    </row>
    <row r="68" spans="7:13" ht="15.75" x14ac:dyDescent="0.25">
      <c r="G68" s="30"/>
      <c r="H68" s="30"/>
      <c r="I68" s="30"/>
      <c r="J68" s="30"/>
      <c r="K68" s="30"/>
      <c r="L68" s="30"/>
      <c r="M68" s="30"/>
    </row>
    <row r="69" spans="7:13" ht="15.75" x14ac:dyDescent="0.25">
      <c r="G69" s="30"/>
      <c r="H69" s="30"/>
      <c r="I69" s="30"/>
      <c r="J69" s="30"/>
      <c r="K69" s="30"/>
      <c r="L69" s="30"/>
      <c r="M69" s="30"/>
    </row>
    <row r="70" spans="7:13" ht="15.75" x14ac:dyDescent="0.25">
      <c r="G70" s="30"/>
      <c r="H70" s="30"/>
      <c r="I70" s="30"/>
      <c r="J70" s="30"/>
      <c r="K70" s="30"/>
      <c r="L70" s="30"/>
      <c r="M70" s="30"/>
    </row>
    <row r="71" spans="7:13" ht="15.75" x14ac:dyDescent="0.25">
      <c r="G71" s="30"/>
      <c r="H71" s="30"/>
      <c r="I71" s="30"/>
      <c r="J71" s="30"/>
      <c r="K71" s="30"/>
      <c r="L71" s="30"/>
      <c r="M71" s="30"/>
    </row>
    <row r="72" spans="7:13" ht="15.75" x14ac:dyDescent="0.25">
      <c r="G72" s="30"/>
      <c r="H72" s="30"/>
      <c r="I72" s="30"/>
      <c r="J72" s="30"/>
      <c r="K72" s="30"/>
      <c r="L72" s="30"/>
      <c r="M72" s="30"/>
    </row>
    <row r="73" spans="7:13" ht="15.75" x14ac:dyDescent="0.25">
      <c r="G73" s="30"/>
      <c r="H73" s="30"/>
      <c r="I73" s="30"/>
      <c r="J73" s="30"/>
      <c r="K73" s="30"/>
      <c r="L73" s="30"/>
      <c r="M73" s="30"/>
    </row>
    <row r="74" spans="7:13" ht="15.75" x14ac:dyDescent="0.25">
      <c r="G74" s="30"/>
      <c r="H74" s="30"/>
      <c r="I74" s="30"/>
      <c r="J74" s="30"/>
      <c r="K74" s="30"/>
      <c r="L74" s="30"/>
      <c r="M74" s="30"/>
    </row>
    <row r="75" spans="7:13" ht="15.75" x14ac:dyDescent="0.25">
      <c r="G75" s="30"/>
      <c r="H75" s="30"/>
      <c r="I75" s="30"/>
      <c r="J75" s="30"/>
      <c r="K75" s="30"/>
      <c r="L75" s="30"/>
      <c r="M75" s="30"/>
    </row>
    <row r="76" spans="7:13" ht="15.75" x14ac:dyDescent="0.25">
      <c r="G76" s="30"/>
      <c r="H76" s="30"/>
      <c r="I76" s="30"/>
      <c r="J76" s="30"/>
      <c r="K76" s="30"/>
      <c r="L76" s="30"/>
      <c r="M76" s="30"/>
    </row>
    <row r="77" spans="7:13" ht="15.75" x14ac:dyDescent="0.25">
      <c r="G77" s="30"/>
      <c r="H77" s="30"/>
      <c r="I77" s="30"/>
      <c r="J77" s="30"/>
      <c r="K77" s="30"/>
      <c r="L77" s="30"/>
      <c r="M77" s="30"/>
    </row>
    <row r="78" spans="7:13" ht="15.75" x14ac:dyDescent="0.25">
      <c r="G78" s="30"/>
      <c r="H78" s="30"/>
      <c r="I78" s="30"/>
      <c r="J78" s="30"/>
      <c r="K78" s="30"/>
      <c r="L78" s="30"/>
      <c r="M78" s="30"/>
    </row>
    <row r="79" spans="7:13" ht="15.75" x14ac:dyDescent="0.25">
      <c r="G79" s="30"/>
      <c r="H79" s="30"/>
      <c r="I79" s="30"/>
      <c r="J79" s="30"/>
      <c r="K79" s="30"/>
      <c r="L79" s="30"/>
      <c r="M79" s="30"/>
    </row>
    <row r="80" spans="7:13" ht="15.75" x14ac:dyDescent="0.25">
      <c r="G80" s="30"/>
      <c r="H80" s="30"/>
      <c r="I80" s="30"/>
      <c r="J80" s="30"/>
      <c r="K80" s="30"/>
      <c r="L80" s="30"/>
      <c r="M80" s="30"/>
    </row>
    <row r="81" spans="7:13" ht="15.75" x14ac:dyDescent="0.25">
      <c r="G81" s="30"/>
      <c r="H81" s="30"/>
      <c r="I81" s="30"/>
      <c r="J81" s="30"/>
      <c r="K81" s="30"/>
      <c r="L81" s="30"/>
      <c r="M81" s="30"/>
    </row>
    <row r="82" spans="7:13" ht="15.75" x14ac:dyDescent="0.25">
      <c r="G82" s="30"/>
      <c r="H82" s="30"/>
      <c r="I82" s="30"/>
      <c r="J82" s="30"/>
      <c r="K82" s="30"/>
      <c r="L82" s="30"/>
      <c r="M82" s="30"/>
    </row>
    <row r="83" spans="7:13" ht="15.75" x14ac:dyDescent="0.25">
      <c r="G83" s="30"/>
      <c r="H83" s="30"/>
      <c r="I83" s="30"/>
      <c r="J83" s="30"/>
      <c r="K83" s="30"/>
      <c r="L83" s="30"/>
      <c r="M83" s="30"/>
    </row>
    <row r="84" spans="7:13" ht="15.75" x14ac:dyDescent="0.25">
      <c r="G84" s="30"/>
      <c r="H84" s="30"/>
      <c r="I84" s="30"/>
      <c r="J84" s="30"/>
      <c r="K84" s="30"/>
      <c r="L84" s="30"/>
      <c r="M84" s="30"/>
    </row>
    <row r="85" spans="7:13" ht="15.75" x14ac:dyDescent="0.25">
      <c r="G85" s="30"/>
      <c r="H85" s="30"/>
      <c r="I85" s="30"/>
      <c r="J85" s="30"/>
      <c r="K85" s="30"/>
      <c r="L85" s="30"/>
      <c r="M85" s="30"/>
    </row>
    <row r="86" spans="7:13" ht="15.75" x14ac:dyDescent="0.25">
      <c r="G86" s="30"/>
      <c r="H86" s="30"/>
      <c r="I86" s="30"/>
      <c r="J86" s="30"/>
      <c r="K86" s="30"/>
      <c r="L86" s="30"/>
      <c r="M86" s="30"/>
    </row>
    <row r="87" spans="7:13" ht="15.75" x14ac:dyDescent="0.25">
      <c r="G87" s="30"/>
      <c r="H87" s="30"/>
      <c r="I87" s="30"/>
      <c r="J87" s="30"/>
      <c r="K87" s="30"/>
      <c r="L87" s="30"/>
      <c r="M87" s="30"/>
    </row>
    <row r="88" spans="7:13" ht="15.75" x14ac:dyDescent="0.25">
      <c r="G88" s="30"/>
      <c r="H88" s="30"/>
      <c r="I88" s="30"/>
      <c r="J88" s="30"/>
      <c r="K88" s="30"/>
      <c r="L88" s="30"/>
      <c r="M88" s="30"/>
    </row>
    <row r="89" spans="7:13" ht="15.75" x14ac:dyDescent="0.25">
      <c r="G89" s="30"/>
      <c r="H89" s="30"/>
      <c r="I89" s="30"/>
      <c r="J89" s="30"/>
      <c r="K89" s="30"/>
      <c r="L89" s="30"/>
      <c r="M89" s="30"/>
    </row>
    <row r="90" spans="7:13" ht="15.75" x14ac:dyDescent="0.25">
      <c r="G90" s="30"/>
      <c r="H90" s="30"/>
      <c r="I90" s="30"/>
      <c r="J90" s="30"/>
      <c r="K90" s="30"/>
      <c r="L90" s="30"/>
      <c r="M90" s="30"/>
    </row>
    <row r="91" spans="7:13" ht="15.75" x14ac:dyDescent="0.25">
      <c r="G91" s="30"/>
      <c r="H91" s="30"/>
      <c r="I91" s="30"/>
      <c r="J91" s="30"/>
      <c r="K91" s="30"/>
      <c r="L91" s="30"/>
      <c r="M91" s="30"/>
    </row>
    <row r="92" spans="7:13" ht="15.75" x14ac:dyDescent="0.25">
      <c r="G92" s="30"/>
      <c r="H92" s="30"/>
      <c r="I92" s="30"/>
      <c r="J92" s="30"/>
      <c r="K92" s="30"/>
      <c r="L92" s="30"/>
      <c r="M92" s="30"/>
    </row>
    <row r="93" spans="7:13" ht="15.75" x14ac:dyDescent="0.25">
      <c r="G93" s="30"/>
      <c r="H93" s="30"/>
      <c r="I93" s="30"/>
      <c r="J93" s="30"/>
      <c r="K93" s="30"/>
      <c r="L93" s="30"/>
      <c r="M93" s="30"/>
    </row>
    <row r="94" spans="7:13" ht="15.75" x14ac:dyDescent="0.25">
      <c r="G94" s="30"/>
      <c r="H94" s="30"/>
      <c r="I94" s="30"/>
      <c r="J94" s="30"/>
      <c r="K94" s="30"/>
      <c r="L94" s="30"/>
      <c r="M94" s="30"/>
    </row>
    <row r="95" spans="7:13" ht="15.75" x14ac:dyDescent="0.25">
      <c r="G95" s="30"/>
      <c r="H95" s="30"/>
      <c r="I95" s="30"/>
      <c r="J95" s="30"/>
      <c r="K95" s="30"/>
      <c r="L95" s="30"/>
      <c r="M95" s="30"/>
    </row>
    <row r="96" spans="7:13" ht="15.75" x14ac:dyDescent="0.25">
      <c r="G96" s="30"/>
      <c r="H96" s="30"/>
      <c r="I96" s="30"/>
      <c r="J96" s="30"/>
      <c r="K96" s="30"/>
      <c r="L96" s="30"/>
      <c r="M96" s="30"/>
    </row>
    <row r="97" spans="7:13" ht="15.75" x14ac:dyDescent="0.25">
      <c r="G97" s="30"/>
      <c r="H97" s="30"/>
      <c r="I97" s="30"/>
      <c r="J97" s="30"/>
      <c r="K97" s="30"/>
      <c r="L97" s="30"/>
      <c r="M97" s="30"/>
    </row>
    <row r="98" spans="7:13" ht="15.75" x14ac:dyDescent="0.25">
      <c r="G98" s="30"/>
      <c r="H98" s="30"/>
      <c r="I98" s="30"/>
      <c r="J98" s="30"/>
      <c r="K98" s="30"/>
      <c r="L98" s="30"/>
      <c r="M98" s="30"/>
    </row>
    <row r="99" spans="7:13" ht="15.75" x14ac:dyDescent="0.25">
      <c r="G99" s="30"/>
      <c r="H99" s="30"/>
      <c r="I99" s="30"/>
      <c r="J99" s="30"/>
      <c r="K99" s="30"/>
      <c r="L99" s="30"/>
      <c r="M99" s="30"/>
    </row>
    <row r="100" spans="7:13" ht="15.75" x14ac:dyDescent="0.25">
      <c r="G100" s="30"/>
      <c r="H100" s="30"/>
      <c r="I100" s="30"/>
      <c r="J100" s="30"/>
      <c r="K100" s="30"/>
      <c r="L100" s="30"/>
      <c r="M100" s="30"/>
    </row>
    <row r="101" spans="7:13" ht="15.75" x14ac:dyDescent="0.25">
      <c r="G101" s="30"/>
      <c r="H101" s="30"/>
      <c r="I101" s="30"/>
      <c r="J101" s="30"/>
      <c r="K101" s="30"/>
      <c r="L101" s="30"/>
      <c r="M101" s="30"/>
    </row>
    <row r="102" spans="7:13" ht="15.75" x14ac:dyDescent="0.25">
      <c r="G102" s="30"/>
      <c r="H102" s="30"/>
      <c r="I102" s="30"/>
      <c r="J102" s="30"/>
      <c r="K102" s="30"/>
      <c r="L102" s="30"/>
      <c r="M102" s="30"/>
    </row>
    <row r="103" spans="7:13" ht="15.75" x14ac:dyDescent="0.25">
      <c r="G103" s="30"/>
      <c r="H103" s="30"/>
      <c r="I103" s="30"/>
      <c r="J103" s="30"/>
      <c r="K103" s="30"/>
      <c r="L103" s="30"/>
      <c r="M103" s="30"/>
    </row>
    <row r="104" spans="7:13" ht="15.75" x14ac:dyDescent="0.25">
      <c r="G104" s="30"/>
      <c r="H104" s="30"/>
      <c r="I104" s="30"/>
      <c r="J104" s="30"/>
      <c r="K104" s="30"/>
      <c r="L104" s="30"/>
      <c r="M104" s="30"/>
    </row>
    <row r="105" spans="7:13" ht="15.75" x14ac:dyDescent="0.25">
      <c r="G105" s="30"/>
      <c r="H105" s="30"/>
      <c r="I105" s="30"/>
      <c r="J105" s="30"/>
      <c r="K105" s="30"/>
      <c r="L105" s="30"/>
      <c r="M105" s="30"/>
    </row>
    <row r="106" spans="7:13" ht="15.75" x14ac:dyDescent="0.25">
      <c r="G106" s="30"/>
      <c r="H106" s="30"/>
      <c r="I106" s="30"/>
      <c r="J106" s="30"/>
      <c r="K106" s="30"/>
      <c r="L106" s="30"/>
      <c r="M106" s="30"/>
    </row>
    <row r="107" spans="7:13" ht="15.75" x14ac:dyDescent="0.25">
      <c r="G107" s="30"/>
      <c r="H107" s="30"/>
      <c r="I107" s="30"/>
      <c r="J107" s="30"/>
      <c r="K107" s="30"/>
      <c r="L107" s="30"/>
      <c r="M107" s="30"/>
    </row>
    <row r="108" spans="7:13" ht="15.75" x14ac:dyDescent="0.25">
      <c r="G108" s="30"/>
      <c r="H108" s="30"/>
      <c r="I108" s="30"/>
      <c r="J108" s="30"/>
      <c r="K108" s="30"/>
      <c r="L108" s="30"/>
      <c r="M108" s="30"/>
    </row>
    <row r="109" spans="7:13" ht="15.75" x14ac:dyDescent="0.25">
      <c r="G109" s="30"/>
      <c r="H109" s="30"/>
      <c r="I109" s="30"/>
      <c r="J109" s="30"/>
      <c r="K109" s="30"/>
      <c r="L109" s="30"/>
      <c r="M109" s="30"/>
    </row>
    <row r="110" spans="7:13" ht="15.75" x14ac:dyDescent="0.25">
      <c r="G110" s="30"/>
      <c r="H110" s="30"/>
      <c r="I110" s="30"/>
      <c r="J110" s="30"/>
      <c r="K110" s="30"/>
      <c r="L110" s="30"/>
      <c r="M110" s="30"/>
    </row>
    <row r="111" spans="7:13" ht="15.75" x14ac:dyDescent="0.25">
      <c r="G111" s="30"/>
      <c r="H111" s="30"/>
      <c r="I111" s="30"/>
      <c r="J111" s="30"/>
      <c r="K111" s="30"/>
      <c r="L111" s="30"/>
      <c r="M111" s="30"/>
    </row>
    <row r="112" spans="7:13" ht="15.75" x14ac:dyDescent="0.25">
      <c r="G112" s="30"/>
      <c r="H112" s="30"/>
      <c r="I112" s="30"/>
      <c r="J112" s="30"/>
      <c r="K112" s="30"/>
      <c r="L112" s="30"/>
      <c r="M112" s="30"/>
    </row>
    <row r="113" spans="7:13" ht="15.75" x14ac:dyDescent="0.25">
      <c r="G113" s="30"/>
      <c r="H113" s="30"/>
      <c r="I113" s="30"/>
      <c r="J113" s="30"/>
      <c r="K113" s="30"/>
      <c r="L113" s="30"/>
      <c r="M113" s="30"/>
    </row>
    <row r="114" spans="7:13" ht="15.75" x14ac:dyDescent="0.25">
      <c r="G114" s="30"/>
      <c r="H114" s="30"/>
      <c r="I114" s="30"/>
      <c r="J114" s="30"/>
      <c r="K114" s="30"/>
      <c r="L114" s="30"/>
      <c r="M114" s="30"/>
    </row>
    <row r="115" spans="7:13" ht="15.75" x14ac:dyDescent="0.25">
      <c r="G115" s="30"/>
      <c r="H115" s="30"/>
      <c r="I115" s="30"/>
      <c r="J115" s="30"/>
      <c r="K115" s="30"/>
      <c r="L115" s="30"/>
      <c r="M115" s="30"/>
    </row>
    <row r="116" spans="7:13" ht="15.75" x14ac:dyDescent="0.25">
      <c r="G116" s="30"/>
      <c r="H116" s="30"/>
      <c r="I116" s="30"/>
      <c r="J116" s="30"/>
      <c r="K116" s="30"/>
      <c r="L116" s="30"/>
      <c r="M116" s="30"/>
    </row>
    <row r="117" spans="7:13" ht="15.75" x14ac:dyDescent="0.25">
      <c r="G117" s="30"/>
      <c r="H117" s="30"/>
      <c r="I117" s="30"/>
      <c r="J117" s="30"/>
      <c r="K117" s="30"/>
      <c r="L117" s="30"/>
      <c r="M117" s="30"/>
    </row>
    <row r="118" spans="7:13" ht="15.75" x14ac:dyDescent="0.25">
      <c r="G118" s="30"/>
      <c r="H118" s="30"/>
      <c r="I118" s="30"/>
      <c r="J118" s="30"/>
      <c r="K118" s="30"/>
      <c r="L118" s="30"/>
      <c r="M118" s="30"/>
    </row>
    <row r="119" spans="7:13" ht="15.75" x14ac:dyDescent="0.25">
      <c r="G119" s="30"/>
      <c r="H119" s="30"/>
      <c r="I119" s="30"/>
      <c r="J119" s="30"/>
      <c r="K119" s="30"/>
    </row>
  </sheetData>
  <pageMargins left="0.7" right="0.7" top="0.98479166666666662" bottom="0.75" header="0.3" footer="0.3"/>
  <pageSetup scale="65" fitToWidth="0" fitToHeight="0" orientation="landscape" r:id="rId1"/>
  <headerFooter>
    <oddFooter>&amp;L&amp;"Avenir LT Std 55 Roman,Regular"&amp;12&amp;K000000FINAL November 1, 2019&amp;C&amp;"Avenir LT Std 55 Roman,Regular"&amp;12Page &amp;P of &amp;N&amp;R&amp;"Avenir LT Std 55 Roman,Regular"&amp;12&amp;K000000&amp;A</oddFooter>
  </headerFooter>
  <drawing r:id="rId2"/>
  <legacyDrawingHF r:id="rId3"/>
  <tableParts count="3">
    <tablePart r:id="rId4"/>
    <tablePart r:id="rId5"/>
    <tablePart r:id="rId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sheetPr>
  <dimension ref="A1:T107"/>
  <sheetViews>
    <sheetView showGridLines="0" zoomScaleNormal="100" workbookViewId="0"/>
  </sheetViews>
  <sheetFormatPr defaultColWidth="9.140625" defaultRowHeight="15" x14ac:dyDescent="0.25"/>
  <cols>
    <col min="1" max="1" width="4.28515625" style="1" customWidth="1"/>
    <col min="2" max="2" width="46.5703125" style="1" customWidth="1"/>
    <col min="3" max="3" width="22" style="1" customWidth="1"/>
    <col min="4" max="4" width="8.85546875" style="1" customWidth="1"/>
    <col min="5" max="5" width="22.85546875" style="1" customWidth="1"/>
    <col min="6" max="7" width="17" style="1" customWidth="1"/>
    <col min="8" max="8" width="23.7109375" style="1" customWidth="1"/>
    <col min="9" max="9" width="21" style="1" customWidth="1"/>
    <col min="10" max="10" width="18.85546875" style="1" customWidth="1"/>
    <col min="11" max="11" width="21.140625" style="1" customWidth="1"/>
    <col min="12" max="12" width="18.140625" style="1" customWidth="1"/>
    <col min="13" max="13" width="22" style="1" customWidth="1"/>
    <col min="14" max="14" width="17.28515625" style="1" customWidth="1"/>
    <col min="15" max="15" width="23.5703125" style="1" customWidth="1"/>
    <col min="16" max="16" width="19.42578125" style="1" customWidth="1"/>
    <col min="17" max="17" width="21.42578125" style="1" customWidth="1"/>
    <col min="18" max="18" width="18.42578125" style="1" customWidth="1"/>
    <col min="19" max="19" width="16.140625" style="1" customWidth="1"/>
    <col min="20" max="20" width="18.85546875" style="1" customWidth="1"/>
    <col min="21" max="21" width="4.140625" style="1" customWidth="1"/>
    <col min="22" max="22" width="13.28515625" style="1" customWidth="1"/>
    <col min="23" max="24" width="14.140625" style="1" customWidth="1"/>
    <col min="25" max="16384" width="9.140625" style="1"/>
  </cols>
  <sheetData>
    <row r="1" spans="1:20" ht="18.75" customHeight="1" x14ac:dyDescent="0.25">
      <c r="A1" s="652"/>
      <c r="B1" s="652"/>
      <c r="C1" s="652"/>
      <c r="D1" s="652"/>
      <c r="E1" s="652"/>
    </row>
    <row r="2" spans="1:20" ht="15" customHeight="1" x14ac:dyDescent="0.25">
      <c r="A2" s="653"/>
      <c r="B2" s="653"/>
      <c r="C2" s="653"/>
      <c r="D2" s="653"/>
      <c r="E2" s="653"/>
    </row>
    <row r="3" spans="1:20" ht="18.75" customHeight="1" x14ac:dyDescent="0.25">
      <c r="A3" s="652"/>
      <c r="B3" s="652"/>
      <c r="C3" s="652"/>
      <c r="D3" s="652"/>
      <c r="E3" s="652"/>
    </row>
    <row r="4" spans="1:20" ht="18.75" customHeight="1" x14ac:dyDescent="0.25">
      <c r="A4" s="654"/>
      <c r="B4" s="654"/>
      <c r="C4" s="654"/>
      <c r="D4" s="654"/>
      <c r="E4" s="654"/>
      <c r="F4" s="574"/>
    </row>
    <row r="5" spans="1:20" ht="15" customHeight="1" x14ac:dyDescent="0.25">
      <c r="A5" s="653"/>
      <c r="B5" s="653"/>
      <c r="C5" s="653"/>
      <c r="D5" s="653"/>
      <c r="E5" s="653"/>
    </row>
    <row r="6" spans="1:20" ht="18.75" customHeight="1" x14ac:dyDescent="0.25">
      <c r="A6" s="652"/>
      <c r="B6" s="652"/>
      <c r="C6" s="652"/>
      <c r="D6" s="652"/>
      <c r="E6" s="652"/>
    </row>
    <row r="7" spans="1:20" ht="18.75" customHeight="1" x14ac:dyDescent="0.25">
      <c r="A7" s="620"/>
      <c r="B7" s="620"/>
      <c r="C7" s="620"/>
      <c r="D7" s="620"/>
      <c r="E7" s="620"/>
    </row>
    <row r="8" spans="1:20" ht="15" customHeight="1" x14ac:dyDescent="0.25">
      <c r="B8" s="446" t="s">
        <v>4725</v>
      </c>
      <c r="O8" s="699"/>
    </row>
    <row r="9" spans="1:20" ht="51.75" x14ac:dyDescent="0.35">
      <c r="B9" s="425" t="s">
        <v>135</v>
      </c>
      <c r="C9" s="425" t="s">
        <v>142</v>
      </c>
      <c r="D9" s="425" t="s">
        <v>4738</v>
      </c>
      <c r="E9" s="425" t="s">
        <v>4721</v>
      </c>
      <c r="F9" s="425" t="s">
        <v>4739</v>
      </c>
      <c r="G9" s="425" t="s">
        <v>4749</v>
      </c>
      <c r="H9" s="425" t="s">
        <v>4746</v>
      </c>
      <c r="I9" s="425" t="s">
        <v>4715</v>
      </c>
      <c r="J9" s="424" t="s">
        <v>4748</v>
      </c>
      <c r="K9" s="425" t="s">
        <v>4716</v>
      </c>
      <c r="L9" s="424" t="s">
        <v>4750</v>
      </c>
      <c r="M9" s="425" t="s">
        <v>4717</v>
      </c>
      <c r="N9" s="424" t="s">
        <v>4751</v>
      </c>
      <c r="O9" s="425" t="s">
        <v>4718</v>
      </c>
      <c r="P9" s="424" t="s">
        <v>4752</v>
      </c>
      <c r="Q9" s="425" t="s">
        <v>4719</v>
      </c>
      <c r="R9" s="424" t="s">
        <v>4753</v>
      </c>
      <c r="S9" s="425" t="s">
        <v>4788</v>
      </c>
      <c r="T9" s="602" t="s">
        <v>4784</v>
      </c>
    </row>
    <row r="10" spans="1:20" ht="15" customHeight="1" x14ac:dyDescent="0.25">
      <c r="B10" s="30" t="str">
        <f>IF('Transit Inputs'!B14="Local Bus",'Transit Inputs'!B14,"")</f>
        <v/>
      </c>
      <c r="C10" s="30" t="str">
        <f>IF(ISBLANK('Transit Inputs'!C14),"",'Transit Inputs'!C14)</f>
        <v/>
      </c>
      <c r="D10" s="18" t="str">
        <f>IF(OR(ISBLANK('Transit Inputs'!D14),ISBLANK('Transit Inputs'!E14)),"",'Transit Inputs'!E14-'Transit Inputs'!D14)</f>
        <v/>
      </c>
      <c r="E10" s="18" t="str">
        <f>IF(OR(ISBLANK('Transit Inputs'!D14),ISBLANK('Transit Inputs'!E14),ISBLANK('Transit Inputs'!M14)),"",CONCATENATE(ROUNDDOWN(('Transit Inputs'!E14+'Transit Inputs'!D14)/2,0),"_",'Transit Inputs'!M14))</f>
        <v/>
      </c>
      <c r="F10" s="18" t="str">
        <f>IF(ISBLANK('Transit Inputs'!K14),"",'Transit Inputs'!K14)</f>
        <v/>
      </c>
      <c r="G10" s="18" t="str">
        <f>IF(ISBLANK('Transit Inputs'!L14),"",'Transit Inputs'!L14)</f>
        <v/>
      </c>
      <c r="H10" s="69" t="str">
        <f>IF(ISBLANK('Transit Inputs'!N14),"",'Transit Inputs'!N14)</f>
        <v/>
      </c>
      <c r="I10" s="69" t="str">
        <f>IFERROR(IF(LocalBusEmissions[[#This Row],[Fuel Type]]="Gasoline",(VLOOKUP(LocalBusEmissions[[#This Row],[YearMid_ModelYear]],'Transit Bus Criteria &amp; Toxic'!$D$29:$F$573,3,FALSE)*'Modes of Transportation GHG'!$C$24),(VLOOKUP(LocalBusEmissions[[#This Row],[YearMid_ModelYear]],'Transit Bus Criteria &amp; Toxic'!$D$29:$F$573,2,FALSE)*VLOOKUP(LocalBusEmissions[[#This Row],[Fuel Type]],'Modes of Transportation GHG'!$B$10:$C$18,2,FALSE)))*IF(LocalBusEmissions[[#This Row],[Hybrid?]]="Yes",0.8,1),"")</f>
        <v/>
      </c>
      <c r="J10" s="69" t="str">
        <f>IFERROR(LocalBusEmissions[[#This Row],[Year Mid GHG Emission Factor (gCO2e/mile)]]*LocalBusEmissions[[#This Row],[Annual VMT]]*LocalBusEmissions[[#This Row],[Useful Life (years)]]/1000000,"")</f>
        <v/>
      </c>
      <c r="K10" s="591" t="str">
        <f>IFERROR(IF(LocalBusEmissions[[#This Row],[Fuel Type]]="Gasoline",VLOOKUP(LocalBusEmissions[[#This Row],[YearMid_ModelYear]],'Transit Bus Criteria &amp; Toxic'!$D$29:$Q$573,5,FALSE),IF(OR(LocalBusEmissions[[#This Row],[Fuel Type]]="Electric",LocalBusEmissions[[#This Row],[Fuel Type]]="Hydrogen"),0,VLOOKUP(LocalBusEmissions[[#This Row],[YearMid_ModelYear]],'Transit Bus Criteria &amp; Toxic'!$D$29:$Q$573,4,FALSE)))*IF(LocalBusEmissions[[#This Row],[Hybrid?]]="Yes",0.8,1),"")</f>
        <v/>
      </c>
      <c r="L10" s="69" t="str">
        <f>IFERROR(LocalBusEmissions[[#This Row],[Year Mid ROG Emission Factor (g/mile)]]*LocalBusEmissions[[#This Row],[Annual VMT]]*LocalBusEmissions[[#This Row],[Useful Life (years)]]/453.59,"")</f>
        <v/>
      </c>
      <c r="M10" s="52" t="str">
        <f>IFERROR(IF(LocalBusEmissions[[#This Row],[Fuel Type]]="Gasoline",VLOOKUP(LocalBusEmissions[[#This Row],[YearMid_ModelYear]],'Transit Bus Criteria &amp; Toxic'!$D$29:$Q$573,7,FALSE),IF(OR(LocalBusEmissions[[#This Row],[Fuel Type]]="Electric",LocalBusEmissions[[#This Row],[Fuel Type]]="Hydrogen"),0,VLOOKUP(LocalBusEmissions[[#This Row],[YearMid_ModelYear]],'Transit Bus Criteria &amp; Toxic'!$D$29:$Q$573,6,FALSE)))*IF(LocalBusEmissions[[#This Row],[Hybrid?]]="Yes",0.8,1),"")</f>
        <v/>
      </c>
      <c r="N10" s="69" t="str">
        <f>IFERROR(LocalBusEmissions[[#This Row],[Year Mid NOx Emission Factor (g/mile)]]*LocalBusEmissions[[#This Row],[Annual VMT]]*LocalBusEmissions[[#This Row],[Useful Life (years)]]/453.59,"")</f>
        <v/>
      </c>
      <c r="O10" s="52" t="str">
        <f>IFERROR(IF(LocalBusEmissions[[#This Row],[Fuel Type]]="Gasoline",VLOOKUP(LocalBusEmissions[[#This Row],[YearMid_ModelYear]],'Transit Bus Criteria &amp; Toxic'!$D$29:$Q$573,9,FALSE)*IF(LocalBusEmissions[[#This Row],[Hybrid?]]="Yes",0.8,1)+VLOOKUP(LocalBusEmissions[[#This Row],[YearMid_ModelYear]],'Transit Bus Criteria &amp; Toxic'!$D$29:$Q$573,11,FALSE)+VLOOKUP(LocalBusEmissions[[#This Row],[YearMid_ModelYear]],'Transit Bus Criteria &amp; Toxic'!$D$29:$Q$573,13,FALSE)*IF(LocalBusEmissions[[#This Row],[Hybrid?]]="Yes",0.5,1),IF(OR(LocalBusEmissions[[#This Row],[Fuel Type]]="Electric",LocalBusEmissions[[#This Row],[Fuel Type]]="Hydrogen"),VLOOKUP(LocalBusEmissions[[#This Row],[YearMid_ModelYear]],'Transit Bus Criteria &amp; Toxic'!$D$29:$Q$573,10,FALSE)+VLOOKUP(LocalBusEmissions[[#This Row],[YearMid_ModelYear]],'Transit Bus Criteria &amp; Toxic'!$D$29:$Q$573,12,FALSE)*0.5,VLOOKUP(LocalBusEmissions[[#This Row],[YearMid_ModelYear]],'Transit Bus Criteria &amp; Toxic'!$D$29:$Q$573,8,FALSE)*IF(LocalBusEmissions[[#This Row],[Hybrid?]]="Yes",0.8,1)+VLOOKUP(LocalBusEmissions[[#This Row],[YearMid_ModelYear]],'Transit Bus Criteria &amp; Toxic'!$D$29:$Q$573,10,FALSE)+VLOOKUP(LocalBusEmissions[[#This Row],[YearMid_ModelYear]],'Transit Bus Criteria &amp; Toxic'!$D$29:$Q$573,12,FALSE)*IF(LocalBusEmissions[[#This Row],[Hybrid?]]="Yes",0.5,1))),"")</f>
        <v/>
      </c>
      <c r="P10" s="69" t="str">
        <f>IFERROR(LocalBusEmissions[[#This Row],[Year Mid PM2.5 Emission Factor (g/mile)]]*LocalBusEmissions[[#This Row],[Annual VMT]]*LocalBusEmissions[[#This Row],[Useful Life (years)]]/453.59,"")</f>
        <v/>
      </c>
      <c r="Q10" s="52" t="str">
        <f>IFERROR(IF(OR(LocalBusEmissions[[#This Row],[Fuel Type]]="Diesel",LocalBusEmissions[[#This Row],[Fuel Type]]="Biodiesel",LocalBusEmissions[[#This Row],[Fuel Type]]="Renewable Diesel"),VLOOKUP(LocalBusEmissions[[#This Row],[YearMid_ModelYear]],'Transit Bus Criteria &amp; Toxic'!D29:Q573,14,FALSE),IF(LocalBusEmissions[[#This Row],[Fuel Type]]="","",0))*IF(LocalBusEmissions[[#This Row],[Hybrid?]]="Yes",0.8,1),"")</f>
        <v/>
      </c>
      <c r="R10" s="69" t="str">
        <f>IFERROR(LocalBusEmissions[[#This Row],[Year Mid Diesel PM10 Emission Factor (g/mile)]]*LocalBusEmissions[[#This Row],[Annual VMT]]*LocalBusEmissions[[#This Row],[Useful Life (years)]]/453.59,"")</f>
        <v/>
      </c>
      <c r="S10" s="69" t="str">
        <f>IFERROR(IF(OR(LocalBusEmissions[[#This Row],[Fuel Type]]="Electric", LocalBusEmissions[[#This Row],[Fuel Type]]="Hydrogen"),0,IF(LocalBusEmissions[[#This Row],[Fuel Type]]="Gasoline",LocalBusEmissions[[#This Row],[GHG Emissions (MTCO2e)]]*1000000/'Modes of Transportation GHG'!$C$24,LocalBusEmissions[[#This Row],[GHG Emissions (MTCO2e)]]*1000000/VLOOKUP(LocalBusEmissions[[#This Row],[Fuel Type]],'Modes of Transportation GHG'!$B$11:$C$16,2,FALSE)*1.14)),"")</f>
        <v/>
      </c>
      <c r="T10" s="599">
        <f>IFERROR(IF(OR(LocalBusEmissions[[#This Row],[Fuel Type]]="Electric",LocalBusEmissions[[#This Row],[Fuel Type]]="Hydrogen"),LocalBusEmissions[[#This Row],[GHG Emissions (MTCO2e)]]*1000000/VLOOKUP(LocalBusEmissions[[#This Row],[Fuel Type]],'Modes of Transportation GHG'!$B$17:$C$18,2,FALSE)*1.14,0),"")</f>
        <v>0</v>
      </c>
    </row>
    <row r="11" spans="1:20" ht="15" customHeight="1" x14ac:dyDescent="0.25">
      <c r="B11" s="30" t="str">
        <f>IF('Transit Inputs'!B15="Local Bus",'Transit Inputs'!B15,"")</f>
        <v/>
      </c>
      <c r="C11" s="30" t="str">
        <f>IF(ISBLANK('Transit Inputs'!C15),"",'Transit Inputs'!C15)</f>
        <v/>
      </c>
      <c r="D11" s="18" t="str">
        <f>IF(OR(ISBLANK('Transit Inputs'!D15),ISBLANK('Transit Inputs'!E15)),"",'Transit Inputs'!E15-'Transit Inputs'!D15)</f>
        <v/>
      </c>
      <c r="E11" s="18" t="str">
        <f>IF(OR(ISBLANK('Transit Inputs'!D15),ISBLANK('Transit Inputs'!E15),ISBLANK('Transit Inputs'!M15)),"",CONCATENATE(ROUNDDOWN(('Transit Inputs'!E15+'Transit Inputs'!D15)/2,0),"_",'Transit Inputs'!M15))</f>
        <v/>
      </c>
      <c r="F11" s="18" t="str">
        <f>IF(ISBLANK('Transit Inputs'!K15),"",'Transit Inputs'!K15)</f>
        <v/>
      </c>
      <c r="G11" s="18" t="str">
        <f>IF(ISBLANK('Transit Inputs'!L15),"",'Transit Inputs'!L15)</f>
        <v/>
      </c>
      <c r="H11" s="69" t="str">
        <f>IF(ISBLANK('Transit Inputs'!N15),"",'Transit Inputs'!N15)</f>
        <v/>
      </c>
      <c r="I11" s="69" t="str">
        <f>IFERROR(IF(LocalBusEmissions[[#This Row],[Fuel Type]]="Gasoline",(VLOOKUP(LocalBusEmissions[[#This Row],[YearMid_ModelYear]],'Transit Bus Criteria &amp; Toxic'!$D$29:$F$573,3,FALSE)*'Modes of Transportation GHG'!$C$24),(VLOOKUP(LocalBusEmissions[[#This Row],[YearMid_ModelYear]],'Transit Bus Criteria &amp; Toxic'!$D$29:$F$573,2,FALSE)*VLOOKUP(LocalBusEmissions[[#This Row],[Fuel Type]],'Modes of Transportation GHG'!$B$10:$C$18,2,FALSE)))*IF(LocalBusEmissions[[#This Row],[Hybrid?]]="Yes",0.8,1),"")</f>
        <v/>
      </c>
      <c r="J11" s="69" t="str">
        <f>IFERROR(LocalBusEmissions[[#This Row],[Year Mid GHG Emission Factor (gCO2e/mile)]]*LocalBusEmissions[[#This Row],[Annual VMT]]*LocalBusEmissions[[#This Row],[Useful Life (years)]]/1000000,"")</f>
        <v/>
      </c>
      <c r="K11" s="591" t="str">
        <f>IFERROR(IF(LocalBusEmissions[[#This Row],[Fuel Type]]="Gasoline",VLOOKUP(LocalBusEmissions[[#This Row],[YearMid_ModelYear]],'Transit Bus Criteria &amp; Toxic'!$D$29:$Q$573,5,FALSE),IF(OR(LocalBusEmissions[[#This Row],[Fuel Type]]="Electric",LocalBusEmissions[[#This Row],[Fuel Type]]="Hydrogen"),0,VLOOKUP(LocalBusEmissions[[#This Row],[YearMid_ModelYear]],'Transit Bus Criteria &amp; Toxic'!$D$29:$Q$573,4,FALSE)))*IF(LocalBusEmissions[[#This Row],[Hybrid?]]="Yes",0.8,1),"")</f>
        <v/>
      </c>
      <c r="L11" s="69" t="str">
        <f>IFERROR(LocalBusEmissions[[#This Row],[Year Mid ROG Emission Factor (g/mile)]]*LocalBusEmissions[[#This Row],[Annual VMT]]*LocalBusEmissions[[#This Row],[Useful Life (years)]]/453.59,"")</f>
        <v/>
      </c>
      <c r="M11" s="52" t="str">
        <f>IFERROR(IF(LocalBusEmissions[[#This Row],[Fuel Type]]="Gasoline",VLOOKUP(LocalBusEmissions[[#This Row],[YearMid_ModelYear]],'Transit Bus Criteria &amp; Toxic'!$D$29:$Q$573,7,FALSE),IF(OR(LocalBusEmissions[[#This Row],[Fuel Type]]="Electric",LocalBusEmissions[[#This Row],[Fuel Type]]="Hydrogen"),0,VLOOKUP(LocalBusEmissions[[#This Row],[YearMid_ModelYear]],'Transit Bus Criteria &amp; Toxic'!$D$29:$Q$573,6,FALSE)))*IF(LocalBusEmissions[[#This Row],[Hybrid?]]="Yes",0.8,1),"")</f>
        <v/>
      </c>
      <c r="N11" s="69" t="str">
        <f>IFERROR(LocalBusEmissions[[#This Row],[Year Mid NOx Emission Factor (g/mile)]]*LocalBusEmissions[[#This Row],[Annual VMT]]*LocalBusEmissions[[#This Row],[Useful Life (years)]]/453.59,"")</f>
        <v/>
      </c>
      <c r="O11" s="52" t="str">
        <f>IFERROR(IF(LocalBusEmissions[[#This Row],[Fuel Type]]="Gasoline",VLOOKUP(LocalBusEmissions[[#This Row],[YearMid_ModelYear]],'Transit Bus Criteria &amp; Toxic'!$D$29:$Q$573,9,FALSE)*IF(LocalBusEmissions[[#This Row],[Hybrid?]]="Yes",0.8,1)+VLOOKUP(LocalBusEmissions[[#This Row],[YearMid_ModelYear]],'Transit Bus Criteria &amp; Toxic'!$D$29:$Q$573,11,FALSE)+VLOOKUP(LocalBusEmissions[[#This Row],[YearMid_ModelYear]],'Transit Bus Criteria &amp; Toxic'!$D$29:$Q$573,13,FALSE)*IF(LocalBusEmissions[[#This Row],[Hybrid?]]="Yes",0.5,1),IF(OR(LocalBusEmissions[[#This Row],[Fuel Type]]="Electric",LocalBusEmissions[[#This Row],[Fuel Type]]="Hydrogen"),VLOOKUP(LocalBusEmissions[[#This Row],[YearMid_ModelYear]],'Transit Bus Criteria &amp; Toxic'!$D$29:$Q$573,10,FALSE)+VLOOKUP(LocalBusEmissions[[#This Row],[YearMid_ModelYear]],'Transit Bus Criteria &amp; Toxic'!$D$29:$Q$573,12,FALSE)*0.5,VLOOKUP(LocalBusEmissions[[#This Row],[YearMid_ModelYear]],'Transit Bus Criteria &amp; Toxic'!$D$29:$Q$573,8,FALSE)*IF(LocalBusEmissions[[#This Row],[Hybrid?]]="Yes",0.8,1)+VLOOKUP(LocalBusEmissions[[#This Row],[YearMid_ModelYear]],'Transit Bus Criteria &amp; Toxic'!$D$29:$Q$573,10,FALSE)+VLOOKUP(LocalBusEmissions[[#This Row],[YearMid_ModelYear]],'Transit Bus Criteria &amp; Toxic'!$D$29:$Q$573,12,FALSE)*IF(LocalBusEmissions[[#This Row],[Hybrid?]]="Yes",0.5,1))),"")</f>
        <v/>
      </c>
      <c r="P11" s="69" t="str">
        <f>IFERROR(LocalBusEmissions[[#This Row],[Year Mid PM2.5 Emission Factor (g/mile)]]*LocalBusEmissions[[#This Row],[Annual VMT]]*LocalBusEmissions[[#This Row],[Useful Life (years)]]/453.59,"")</f>
        <v/>
      </c>
      <c r="Q11" s="52" t="str">
        <f>IFERROR(IF(OR(LocalBusEmissions[[#This Row],[Fuel Type]]="Diesel",LocalBusEmissions[[#This Row],[Fuel Type]]="Biodiesel",LocalBusEmissions[[#This Row],[Fuel Type]]="Renewable Diesel"),VLOOKUP(LocalBusEmissions[[#This Row],[YearMid_ModelYear]],'Transit Bus Criteria &amp; Toxic'!D30:Q574,14,FALSE),IF(LocalBusEmissions[[#This Row],[Fuel Type]]="","",0))*IF(LocalBusEmissions[[#This Row],[Hybrid?]]="Yes",0.8,1),"")</f>
        <v/>
      </c>
      <c r="R11" s="69" t="str">
        <f>IFERROR(LocalBusEmissions[[#This Row],[Year Mid Diesel PM10 Emission Factor (g/mile)]]*LocalBusEmissions[[#This Row],[Annual VMT]]*LocalBusEmissions[[#This Row],[Useful Life (years)]]/453.59,"")</f>
        <v/>
      </c>
      <c r="S11" s="69" t="str">
        <f>IFERROR(IF(OR(LocalBusEmissions[[#This Row],[Fuel Type]]="Electric", LocalBusEmissions[[#This Row],[Fuel Type]]="Hydrogen"),0,IF(LocalBusEmissions[[#This Row],[Fuel Type]]="Gasoline",LocalBusEmissions[[#This Row],[GHG Emissions (MTCO2e)]]*1000000/'Modes of Transportation GHG'!$C$24,LocalBusEmissions[[#This Row],[GHG Emissions (MTCO2e)]]*1000000/VLOOKUP(LocalBusEmissions[[#This Row],[Fuel Type]],'Modes of Transportation GHG'!$B$11:$C$16,2,FALSE)*1.14)),"")</f>
        <v/>
      </c>
      <c r="T11" s="599">
        <f>IFERROR(IF(OR(LocalBusEmissions[[#This Row],[Fuel Type]]="Electric",LocalBusEmissions[[#This Row],[Fuel Type]]="Hydrogen"),LocalBusEmissions[[#This Row],[GHG Emissions (MTCO2e)]]*1000000/VLOOKUP(LocalBusEmissions[[#This Row],[Fuel Type]],'Modes of Transportation GHG'!$B$17:$C$18,2,FALSE)*1.14,0),"")</f>
        <v>0</v>
      </c>
    </row>
    <row r="12" spans="1:20" ht="15" customHeight="1" x14ac:dyDescent="0.25">
      <c r="B12" s="30" t="str">
        <f>IF('Transit Inputs'!B16="Local Bus",'Transit Inputs'!B16,"")</f>
        <v/>
      </c>
      <c r="C12" s="30" t="str">
        <f>IF(ISBLANK('Transit Inputs'!C16),"",'Transit Inputs'!C16)</f>
        <v/>
      </c>
      <c r="D12" s="18" t="str">
        <f>IF(OR(ISBLANK('Transit Inputs'!D16),ISBLANK('Transit Inputs'!E16)),"",'Transit Inputs'!E16-'Transit Inputs'!D16)</f>
        <v/>
      </c>
      <c r="E12" s="18" t="str">
        <f>IF(OR(ISBLANK('Transit Inputs'!D16),ISBLANK('Transit Inputs'!E16),ISBLANK('Transit Inputs'!M16)),"",CONCATENATE(ROUNDDOWN(('Transit Inputs'!E16+'Transit Inputs'!D16)/2,0),"_",'Transit Inputs'!M16))</f>
        <v/>
      </c>
      <c r="F12" s="18" t="str">
        <f>IF(ISBLANK('Transit Inputs'!K16),"",'Transit Inputs'!K16)</f>
        <v/>
      </c>
      <c r="G12" s="18" t="str">
        <f>IF(ISBLANK('Transit Inputs'!L16),"",'Transit Inputs'!L16)</f>
        <v/>
      </c>
      <c r="H12" s="69" t="str">
        <f>IF(ISBLANK('Transit Inputs'!N16),"",'Transit Inputs'!N16)</f>
        <v/>
      </c>
      <c r="I12" s="69" t="str">
        <f>IFERROR(IF(LocalBusEmissions[[#This Row],[Fuel Type]]="Gasoline",(VLOOKUP(LocalBusEmissions[[#This Row],[YearMid_ModelYear]],'Transit Bus Criteria &amp; Toxic'!$D$29:$F$573,3,FALSE)*'Modes of Transportation GHG'!$C$24),(VLOOKUP(LocalBusEmissions[[#This Row],[YearMid_ModelYear]],'Transit Bus Criteria &amp; Toxic'!$D$29:$F$573,2,FALSE)*VLOOKUP(LocalBusEmissions[[#This Row],[Fuel Type]],'Modes of Transportation GHG'!$B$10:$C$18,2,FALSE)))*IF(LocalBusEmissions[[#This Row],[Hybrid?]]="Yes",0.8,1),"")</f>
        <v/>
      </c>
      <c r="J12" s="69" t="str">
        <f>IFERROR(LocalBusEmissions[[#This Row],[Year Mid GHG Emission Factor (gCO2e/mile)]]*LocalBusEmissions[[#This Row],[Annual VMT]]*LocalBusEmissions[[#This Row],[Useful Life (years)]]/1000000,"")</f>
        <v/>
      </c>
      <c r="K12" s="591" t="str">
        <f>IFERROR(IF(LocalBusEmissions[[#This Row],[Fuel Type]]="Gasoline",VLOOKUP(LocalBusEmissions[[#This Row],[YearMid_ModelYear]],'Transit Bus Criteria &amp; Toxic'!$D$29:$Q$573,5,FALSE),IF(OR(LocalBusEmissions[[#This Row],[Fuel Type]]="Electric",LocalBusEmissions[[#This Row],[Fuel Type]]="Hydrogen"),0,VLOOKUP(LocalBusEmissions[[#This Row],[YearMid_ModelYear]],'Transit Bus Criteria &amp; Toxic'!$D$29:$Q$573,4,FALSE)))*IF(LocalBusEmissions[[#This Row],[Hybrid?]]="Yes",0.8,1),"")</f>
        <v/>
      </c>
      <c r="L12" s="69" t="str">
        <f>IFERROR(LocalBusEmissions[[#This Row],[Year Mid ROG Emission Factor (g/mile)]]*LocalBusEmissions[[#This Row],[Annual VMT]]*LocalBusEmissions[[#This Row],[Useful Life (years)]]/453.59,"")</f>
        <v/>
      </c>
      <c r="M12" s="52" t="str">
        <f>IFERROR(IF(LocalBusEmissions[[#This Row],[Fuel Type]]="Gasoline",VLOOKUP(LocalBusEmissions[[#This Row],[YearMid_ModelYear]],'Transit Bus Criteria &amp; Toxic'!$D$29:$Q$573,7,FALSE),IF(OR(LocalBusEmissions[[#This Row],[Fuel Type]]="Electric",LocalBusEmissions[[#This Row],[Fuel Type]]="Hydrogen"),0,VLOOKUP(LocalBusEmissions[[#This Row],[YearMid_ModelYear]],'Transit Bus Criteria &amp; Toxic'!$D$29:$Q$573,6,FALSE)))*IF(LocalBusEmissions[[#This Row],[Hybrid?]]="Yes",0.8,1),"")</f>
        <v/>
      </c>
      <c r="N12" s="69" t="str">
        <f>IFERROR(LocalBusEmissions[[#This Row],[Year Mid NOx Emission Factor (g/mile)]]*LocalBusEmissions[[#This Row],[Annual VMT]]*LocalBusEmissions[[#This Row],[Useful Life (years)]]/453.59,"")</f>
        <v/>
      </c>
      <c r="O12" s="52" t="str">
        <f>IFERROR(IF(LocalBusEmissions[[#This Row],[Fuel Type]]="Gasoline",VLOOKUP(LocalBusEmissions[[#This Row],[YearMid_ModelYear]],'Transit Bus Criteria &amp; Toxic'!$D$29:$Q$573,9,FALSE)*IF(LocalBusEmissions[[#This Row],[Hybrid?]]="Yes",0.8,1)+VLOOKUP(LocalBusEmissions[[#This Row],[YearMid_ModelYear]],'Transit Bus Criteria &amp; Toxic'!$D$29:$Q$573,11,FALSE)+VLOOKUP(LocalBusEmissions[[#This Row],[YearMid_ModelYear]],'Transit Bus Criteria &amp; Toxic'!$D$29:$Q$573,13,FALSE)*IF(LocalBusEmissions[[#This Row],[Hybrid?]]="Yes",0.5,1),IF(OR(LocalBusEmissions[[#This Row],[Fuel Type]]="Electric",LocalBusEmissions[[#This Row],[Fuel Type]]="Hydrogen"),VLOOKUP(LocalBusEmissions[[#This Row],[YearMid_ModelYear]],'Transit Bus Criteria &amp; Toxic'!$D$29:$Q$573,10,FALSE)+VLOOKUP(LocalBusEmissions[[#This Row],[YearMid_ModelYear]],'Transit Bus Criteria &amp; Toxic'!$D$29:$Q$573,12,FALSE)*0.5,VLOOKUP(LocalBusEmissions[[#This Row],[YearMid_ModelYear]],'Transit Bus Criteria &amp; Toxic'!$D$29:$Q$573,8,FALSE)*IF(LocalBusEmissions[[#This Row],[Hybrid?]]="Yes",0.8,1)+VLOOKUP(LocalBusEmissions[[#This Row],[YearMid_ModelYear]],'Transit Bus Criteria &amp; Toxic'!$D$29:$Q$573,10,FALSE)+VLOOKUP(LocalBusEmissions[[#This Row],[YearMid_ModelYear]],'Transit Bus Criteria &amp; Toxic'!$D$29:$Q$573,12,FALSE)*IF(LocalBusEmissions[[#This Row],[Hybrid?]]="Yes",0.5,1))),"")</f>
        <v/>
      </c>
      <c r="P12" s="69" t="str">
        <f>IFERROR(LocalBusEmissions[[#This Row],[Year Mid PM2.5 Emission Factor (g/mile)]]*LocalBusEmissions[[#This Row],[Annual VMT]]*LocalBusEmissions[[#This Row],[Useful Life (years)]]/453.59,"")</f>
        <v/>
      </c>
      <c r="Q12" s="52" t="str">
        <f>IFERROR(IF(OR(LocalBusEmissions[[#This Row],[Fuel Type]]="Diesel",LocalBusEmissions[[#This Row],[Fuel Type]]="Biodiesel",LocalBusEmissions[[#This Row],[Fuel Type]]="Renewable Diesel"),VLOOKUP(LocalBusEmissions[[#This Row],[YearMid_ModelYear]],'Transit Bus Criteria &amp; Toxic'!D31:Q575,14,FALSE),IF(LocalBusEmissions[[#This Row],[Fuel Type]]="","",0))*IF(LocalBusEmissions[[#This Row],[Hybrid?]]="Yes",0.8,1),"")</f>
        <v/>
      </c>
      <c r="R12" s="69" t="str">
        <f>IFERROR(LocalBusEmissions[[#This Row],[Year Mid Diesel PM10 Emission Factor (g/mile)]]*LocalBusEmissions[[#This Row],[Annual VMT]]*LocalBusEmissions[[#This Row],[Useful Life (years)]]/453.59,"")</f>
        <v/>
      </c>
      <c r="S12" s="69" t="str">
        <f>IFERROR(IF(OR(LocalBusEmissions[[#This Row],[Fuel Type]]="Electric", LocalBusEmissions[[#This Row],[Fuel Type]]="Hydrogen"),0,IF(LocalBusEmissions[[#This Row],[Fuel Type]]="Gasoline",LocalBusEmissions[[#This Row],[GHG Emissions (MTCO2e)]]*1000000/'Modes of Transportation GHG'!$C$24,LocalBusEmissions[[#This Row],[GHG Emissions (MTCO2e)]]*1000000/VLOOKUP(LocalBusEmissions[[#This Row],[Fuel Type]],'Modes of Transportation GHG'!$B$11:$C$16,2,FALSE)*1.14)),"")</f>
        <v/>
      </c>
      <c r="T12" s="599">
        <f>IFERROR(IF(OR(LocalBusEmissions[[#This Row],[Fuel Type]]="Electric",LocalBusEmissions[[#This Row],[Fuel Type]]="Hydrogen"),LocalBusEmissions[[#This Row],[GHG Emissions (MTCO2e)]]*1000000/VLOOKUP(LocalBusEmissions[[#This Row],[Fuel Type]],'Modes of Transportation GHG'!$B$17:$C$18,2,FALSE)*1.14,0),"")</f>
        <v>0</v>
      </c>
    </row>
    <row r="13" spans="1:20" ht="15" customHeight="1" x14ac:dyDescent="0.25">
      <c r="B13" s="30" t="str">
        <f>IF('Transit Inputs'!B17="Local Bus",'Transit Inputs'!B17,"")</f>
        <v/>
      </c>
      <c r="C13" s="30" t="str">
        <f>IF(ISBLANK('Transit Inputs'!C17),"",'Transit Inputs'!C17)</f>
        <v/>
      </c>
      <c r="D13" s="18" t="str">
        <f>IF(OR(ISBLANK('Transit Inputs'!D17),ISBLANK('Transit Inputs'!E17)),"",'Transit Inputs'!E17-'Transit Inputs'!D17)</f>
        <v/>
      </c>
      <c r="E13" s="18" t="str">
        <f>IF(OR(ISBLANK('Transit Inputs'!D17),ISBLANK('Transit Inputs'!E17),ISBLANK('Transit Inputs'!M17)),"",CONCATENATE(ROUNDDOWN(('Transit Inputs'!E17+'Transit Inputs'!D17)/2,0),"_",'Transit Inputs'!M17))</f>
        <v/>
      </c>
      <c r="F13" s="18" t="str">
        <f>IF(ISBLANK('Transit Inputs'!K17),"",'Transit Inputs'!K17)</f>
        <v/>
      </c>
      <c r="G13" s="18" t="str">
        <f>IF(ISBLANK('Transit Inputs'!L17),"",'Transit Inputs'!L17)</f>
        <v/>
      </c>
      <c r="H13" s="69" t="str">
        <f>IF(ISBLANK('Transit Inputs'!N17),"",'Transit Inputs'!N17)</f>
        <v/>
      </c>
      <c r="I13" s="69" t="str">
        <f>IFERROR(IF(LocalBusEmissions[[#This Row],[Fuel Type]]="Gasoline",(VLOOKUP(LocalBusEmissions[[#This Row],[YearMid_ModelYear]],'Transit Bus Criteria &amp; Toxic'!$D$29:$F$573,3,FALSE)*'Modes of Transportation GHG'!$C$24),(VLOOKUP(LocalBusEmissions[[#This Row],[YearMid_ModelYear]],'Transit Bus Criteria &amp; Toxic'!$D$29:$F$573,2,FALSE)*VLOOKUP(LocalBusEmissions[[#This Row],[Fuel Type]],'Modes of Transportation GHG'!$B$10:$C$18,2,FALSE)))*IF(LocalBusEmissions[[#This Row],[Hybrid?]]="Yes",0.8,1),"")</f>
        <v/>
      </c>
      <c r="J13" s="69" t="str">
        <f>IFERROR(LocalBusEmissions[[#This Row],[Year Mid GHG Emission Factor (gCO2e/mile)]]*LocalBusEmissions[[#This Row],[Annual VMT]]*LocalBusEmissions[[#This Row],[Useful Life (years)]]/1000000,"")</f>
        <v/>
      </c>
      <c r="K13" s="591" t="str">
        <f>IFERROR(IF(LocalBusEmissions[[#This Row],[Fuel Type]]="Gasoline",VLOOKUP(LocalBusEmissions[[#This Row],[YearMid_ModelYear]],'Transit Bus Criteria &amp; Toxic'!$D$29:$Q$573,5,FALSE),IF(OR(LocalBusEmissions[[#This Row],[Fuel Type]]="Electric",LocalBusEmissions[[#This Row],[Fuel Type]]="Hydrogen"),0,VLOOKUP(LocalBusEmissions[[#This Row],[YearMid_ModelYear]],'Transit Bus Criteria &amp; Toxic'!$D$29:$Q$573,4,FALSE)))*IF(LocalBusEmissions[[#This Row],[Hybrid?]]="Yes",0.8,1),"")</f>
        <v/>
      </c>
      <c r="L13" s="69" t="str">
        <f>IFERROR(LocalBusEmissions[[#This Row],[Year Mid ROG Emission Factor (g/mile)]]*LocalBusEmissions[[#This Row],[Annual VMT]]*LocalBusEmissions[[#This Row],[Useful Life (years)]]/453.59,"")</f>
        <v/>
      </c>
      <c r="M13" s="52" t="str">
        <f>IFERROR(IF(LocalBusEmissions[[#This Row],[Fuel Type]]="Gasoline",VLOOKUP(LocalBusEmissions[[#This Row],[YearMid_ModelYear]],'Transit Bus Criteria &amp; Toxic'!$D$29:$Q$573,7,FALSE),IF(OR(LocalBusEmissions[[#This Row],[Fuel Type]]="Electric",LocalBusEmissions[[#This Row],[Fuel Type]]="Hydrogen"),0,VLOOKUP(LocalBusEmissions[[#This Row],[YearMid_ModelYear]],'Transit Bus Criteria &amp; Toxic'!$D$29:$Q$573,6,FALSE)))*IF(LocalBusEmissions[[#This Row],[Hybrid?]]="Yes",0.8,1),"")</f>
        <v/>
      </c>
      <c r="N13" s="69" t="str">
        <f>IFERROR(LocalBusEmissions[[#This Row],[Year Mid NOx Emission Factor (g/mile)]]*LocalBusEmissions[[#This Row],[Annual VMT]]*LocalBusEmissions[[#This Row],[Useful Life (years)]]/453.59,"")</f>
        <v/>
      </c>
      <c r="O13" s="52" t="str">
        <f>IFERROR(IF(LocalBusEmissions[[#This Row],[Fuel Type]]="Gasoline",VLOOKUP(LocalBusEmissions[[#This Row],[YearMid_ModelYear]],'Transit Bus Criteria &amp; Toxic'!$D$29:$Q$573,9,FALSE)*IF(LocalBusEmissions[[#This Row],[Hybrid?]]="Yes",0.8,1)+VLOOKUP(LocalBusEmissions[[#This Row],[YearMid_ModelYear]],'Transit Bus Criteria &amp; Toxic'!$D$29:$Q$573,11,FALSE)+VLOOKUP(LocalBusEmissions[[#This Row],[YearMid_ModelYear]],'Transit Bus Criteria &amp; Toxic'!$D$29:$Q$573,13,FALSE)*IF(LocalBusEmissions[[#This Row],[Hybrid?]]="Yes",0.5,1),IF(OR(LocalBusEmissions[[#This Row],[Fuel Type]]="Electric",LocalBusEmissions[[#This Row],[Fuel Type]]="Hydrogen"),VLOOKUP(LocalBusEmissions[[#This Row],[YearMid_ModelYear]],'Transit Bus Criteria &amp; Toxic'!$D$29:$Q$573,10,FALSE)+VLOOKUP(LocalBusEmissions[[#This Row],[YearMid_ModelYear]],'Transit Bus Criteria &amp; Toxic'!$D$29:$Q$573,12,FALSE)*0.5,VLOOKUP(LocalBusEmissions[[#This Row],[YearMid_ModelYear]],'Transit Bus Criteria &amp; Toxic'!$D$29:$Q$573,8,FALSE)*IF(LocalBusEmissions[[#This Row],[Hybrid?]]="Yes",0.8,1)+VLOOKUP(LocalBusEmissions[[#This Row],[YearMid_ModelYear]],'Transit Bus Criteria &amp; Toxic'!$D$29:$Q$573,10,FALSE)+VLOOKUP(LocalBusEmissions[[#This Row],[YearMid_ModelYear]],'Transit Bus Criteria &amp; Toxic'!$D$29:$Q$573,12,FALSE)*IF(LocalBusEmissions[[#This Row],[Hybrid?]]="Yes",0.5,1))),"")</f>
        <v/>
      </c>
      <c r="P13" s="69" t="str">
        <f>IFERROR(LocalBusEmissions[[#This Row],[Year Mid PM2.5 Emission Factor (g/mile)]]*LocalBusEmissions[[#This Row],[Annual VMT]]*LocalBusEmissions[[#This Row],[Useful Life (years)]]/453.59,"")</f>
        <v/>
      </c>
      <c r="Q13" s="52" t="str">
        <f>IFERROR(IF(OR(LocalBusEmissions[[#This Row],[Fuel Type]]="Diesel",LocalBusEmissions[[#This Row],[Fuel Type]]="Biodiesel",LocalBusEmissions[[#This Row],[Fuel Type]]="Renewable Diesel"),VLOOKUP(LocalBusEmissions[[#This Row],[YearMid_ModelYear]],'Transit Bus Criteria &amp; Toxic'!D32:Q576,14,FALSE),IF(LocalBusEmissions[[#This Row],[Fuel Type]]="","",0))*IF(LocalBusEmissions[[#This Row],[Hybrid?]]="Yes",0.8,1),"")</f>
        <v/>
      </c>
      <c r="R13" s="69" t="str">
        <f>IFERROR(LocalBusEmissions[[#This Row],[Year Mid Diesel PM10 Emission Factor (g/mile)]]*LocalBusEmissions[[#This Row],[Annual VMT]]*LocalBusEmissions[[#This Row],[Useful Life (years)]]/453.59,"")</f>
        <v/>
      </c>
      <c r="S13" s="69" t="str">
        <f>IFERROR(IF(OR(LocalBusEmissions[[#This Row],[Fuel Type]]="Electric", LocalBusEmissions[[#This Row],[Fuel Type]]="Hydrogen"),0,IF(LocalBusEmissions[[#This Row],[Fuel Type]]="Gasoline",LocalBusEmissions[[#This Row],[GHG Emissions (MTCO2e)]]*1000000/'Modes of Transportation GHG'!$C$24,LocalBusEmissions[[#This Row],[GHG Emissions (MTCO2e)]]*1000000/VLOOKUP(LocalBusEmissions[[#This Row],[Fuel Type]],'Modes of Transportation GHG'!$B$11:$C$16,2,FALSE)*1.14)),"")</f>
        <v/>
      </c>
      <c r="T13" s="599">
        <f>IFERROR(IF(OR(LocalBusEmissions[[#This Row],[Fuel Type]]="Electric",LocalBusEmissions[[#This Row],[Fuel Type]]="Hydrogen"),LocalBusEmissions[[#This Row],[GHG Emissions (MTCO2e)]]*1000000/VLOOKUP(LocalBusEmissions[[#This Row],[Fuel Type]],'Modes of Transportation GHG'!$B$17:$C$18,2,FALSE)*1.14,0),"")</f>
        <v>0</v>
      </c>
    </row>
    <row r="14" spans="1:20" ht="15" customHeight="1" x14ac:dyDescent="0.25">
      <c r="B14" s="30" t="str">
        <f>IF('Transit Inputs'!B18="Local Bus",'Transit Inputs'!B18,"")</f>
        <v/>
      </c>
      <c r="C14" s="30" t="str">
        <f>IF(ISBLANK('Transit Inputs'!C18),"",'Transit Inputs'!C18)</f>
        <v/>
      </c>
      <c r="D14" s="18" t="str">
        <f>IF(OR(ISBLANK('Transit Inputs'!D18),ISBLANK('Transit Inputs'!E18)),"",'Transit Inputs'!E18-'Transit Inputs'!D18)</f>
        <v/>
      </c>
      <c r="E14" s="18" t="str">
        <f>IF(OR(ISBLANK('Transit Inputs'!D18),ISBLANK('Transit Inputs'!E18),ISBLANK('Transit Inputs'!M18)),"",CONCATENATE(ROUNDDOWN(('Transit Inputs'!E18+'Transit Inputs'!D18)/2,0),"_",'Transit Inputs'!M18))</f>
        <v/>
      </c>
      <c r="F14" s="18" t="str">
        <f>IF(ISBLANK('Transit Inputs'!K18),"",'Transit Inputs'!K18)</f>
        <v/>
      </c>
      <c r="G14" s="18" t="str">
        <f>IF(ISBLANK('Transit Inputs'!L18),"",'Transit Inputs'!L18)</f>
        <v/>
      </c>
      <c r="H14" s="69" t="str">
        <f>IF(ISBLANK('Transit Inputs'!N18),"",'Transit Inputs'!N18)</f>
        <v/>
      </c>
      <c r="I14" s="69" t="str">
        <f>IFERROR(IF(LocalBusEmissions[[#This Row],[Fuel Type]]="Gasoline",(VLOOKUP(LocalBusEmissions[[#This Row],[YearMid_ModelYear]],'Transit Bus Criteria &amp; Toxic'!$D$29:$F$573,3,FALSE)*'Modes of Transportation GHG'!$C$24),(VLOOKUP(LocalBusEmissions[[#This Row],[YearMid_ModelYear]],'Transit Bus Criteria &amp; Toxic'!$D$29:$F$573,2,FALSE)*VLOOKUP(LocalBusEmissions[[#This Row],[Fuel Type]],'Modes of Transportation GHG'!$B$10:$C$18,2,FALSE)))*IF(LocalBusEmissions[[#This Row],[Hybrid?]]="Yes",0.8,1),"")</f>
        <v/>
      </c>
      <c r="J14" s="69" t="str">
        <f>IFERROR(LocalBusEmissions[[#This Row],[Year Mid GHG Emission Factor (gCO2e/mile)]]*LocalBusEmissions[[#This Row],[Annual VMT]]*LocalBusEmissions[[#This Row],[Useful Life (years)]]/1000000,"")</f>
        <v/>
      </c>
      <c r="K14" s="591" t="str">
        <f>IFERROR(IF(LocalBusEmissions[[#This Row],[Fuel Type]]="Gasoline",VLOOKUP(LocalBusEmissions[[#This Row],[YearMid_ModelYear]],'Transit Bus Criteria &amp; Toxic'!$D$29:$Q$573,5,FALSE),IF(OR(LocalBusEmissions[[#This Row],[Fuel Type]]="Electric",LocalBusEmissions[[#This Row],[Fuel Type]]="Hydrogen"),0,VLOOKUP(LocalBusEmissions[[#This Row],[YearMid_ModelYear]],'Transit Bus Criteria &amp; Toxic'!$D$29:$Q$573,4,FALSE)))*IF(LocalBusEmissions[[#This Row],[Hybrid?]]="Yes",0.8,1),"")</f>
        <v/>
      </c>
      <c r="L14" s="69" t="str">
        <f>IFERROR(LocalBusEmissions[[#This Row],[Year Mid ROG Emission Factor (g/mile)]]*LocalBusEmissions[[#This Row],[Annual VMT]]*LocalBusEmissions[[#This Row],[Useful Life (years)]]/453.59,"")</f>
        <v/>
      </c>
      <c r="M14" s="52" t="str">
        <f>IFERROR(IF(LocalBusEmissions[[#This Row],[Fuel Type]]="Gasoline",VLOOKUP(LocalBusEmissions[[#This Row],[YearMid_ModelYear]],'Transit Bus Criteria &amp; Toxic'!$D$29:$Q$573,7,FALSE),IF(OR(LocalBusEmissions[[#This Row],[Fuel Type]]="Electric",LocalBusEmissions[[#This Row],[Fuel Type]]="Hydrogen"),0,VLOOKUP(LocalBusEmissions[[#This Row],[YearMid_ModelYear]],'Transit Bus Criteria &amp; Toxic'!$D$29:$Q$573,6,FALSE)))*IF(LocalBusEmissions[[#This Row],[Hybrid?]]="Yes",0.8,1),"")</f>
        <v/>
      </c>
      <c r="N14" s="69" t="str">
        <f>IFERROR(LocalBusEmissions[[#This Row],[Year Mid NOx Emission Factor (g/mile)]]*LocalBusEmissions[[#This Row],[Annual VMT]]*LocalBusEmissions[[#This Row],[Useful Life (years)]]/453.59,"")</f>
        <v/>
      </c>
      <c r="O14" s="52" t="str">
        <f>IFERROR(IF(LocalBusEmissions[[#This Row],[Fuel Type]]="Gasoline",VLOOKUP(LocalBusEmissions[[#This Row],[YearMid_ModelYear]],'Transit Bus Criteria &amp; Toxic'!$D$29:$Q$573,9,FALSE)*IF(LocalBusEmissions[[#This Row],[Hybrid?]]="Yes",0.8,1)+VLOOKUP(LocalBusEmissions[[#This Row],[YearMid_ModelYear]],'Transit Bus Criteria &amp; Toxic'!$D$29:$Q$573,11,FALSE)+VLOOKUP(LocalBusEmissions[[#This Row],[YearMid_ModelYear]],'Transit Bus Criteria &amp; Toxic'!$D$29:$Q$573,13,FALSE)*IF(LocalBusEmissions[[#This Row],[Hybrid?]]="Yes",0.5,1),IF(OR(LocalBusEmissions[[#This Row],[Fuel Type]]="Electric",LocalBusEmissions[[#This Row],[Fuel Type]]="Hydrogen"),VLOOKUP(LocalBusEmissions[[#This Row],[YearMid_ModelYear]],'Transit Bus Criteria &amp; Toxic'!$D$29:$Q$573,10,FALSE)+VLOOKUP(LocalBusEmissions[[#This Row],[YearMid_ModelYear]],'Transit Bus Criteria &amp; Toxic'!$D$29:$Q$573,12,FALSE)*0.5,VLOOKUP(LocalBusEmissions[[#This Row],[YearMid_ModelYear]],'Transit Bus Criteria &amp; Toxic'!$D$29:$Q$573,8,FALSE)*IF(LocalBusEmissions[[#This Row],[Hybrid?]]="Yes",0.8,1)+VLOOKUP(LocalBusEmissions[[#This Row],[YearMid_ModelYear]],'Transit Bus Criteria &amp; Toxic'!$D$29:$Q$573,10,FALSE)+VLOOKUP(LocalBusEmissions[[#This Row],[YearMid_ModelYear]],'Transit Bus Criteria &amp; Toxic'!$D$29:$Q$573,12,FALSE)*IF(LocalBusEmissions[[#This Row],[Hybrid?]]="Yes",0.5,1))),"")</f>
        <v/>
      </c>
      <c r="P14" s="69" t="str">
        <f>IFERROR(LocalBusEmissions[[#This Row],[Year Mid PM2.5 Emission Factor (g/mile)]]*LocalBusEmissions[[#This Row],[Annual VMT]]*LocalBusEmissions[[#This Row],[Useful Life (years)]]/453.59,"")</f>
        <v/>
      </c>
      <c r="Q14" s="52" t="str">
        <f>IFERROR(IF(OR(LocalBusEmissions[[#This Row],[Fuel Type]]="Diesel",LocalBusEmissions[[#This Row],[Fuel Type]]="Biodiesel",LocalBusEmissions[[#This Row],[Fuel Type]]="Renewable Diesel"),VLOOKUP(LocalBusEmissions[[#This Row],[YearMid_ModelYear]],'Transit Bus Criteria &amp; Toxic'!D33:Q577,14,FALSE),IF(LocalBusEmissions[[#This Row],[Fuel Type]]="","",0))*IF(LocalBusEmissions[[#This Row],[Hybrid?]]="Yes",0.8,1),"")</f>
        <v/>
      </c>
      <c r="R14" s="69" t="str">
        <f>IFERROR(LocalBusEmissions[[#This Row],[Year Mid Diesel PM10 Emission Factor (g/mile)]]*LocalBusEmissions[[#This Row],[Annual VMT]]*LocalBusEmissions[[#This Row],[Useful Life (years)]]/453.59,"")</f>
        <v/>
      </c>
      <c r="S14" s="69" t="str">
        <f>IFERROR(IF(OR(LocalBusEmissions[[#This Row],[Fuel Type]]="Electric", LocalBusEmissions[[#This Row],[Fuel Type]]="Hydrogen"),0,IF(LocalBusEmissions[[#This Row],[Fuel Type]]="Gasoline",LocalBusEmissions[[#This Row],[GHG Emissions (MTCO2e)]]*1000000/'Modes of Transportation GHG'!$C$24,LocalBusEmissions[[#This Row],[GHG Emissions (MTCO2e)]]*1000000/VLOOKUP(LocalBusEmissions[[#This Row],[Fuel Type]],'Modes of Transportation GHG'!$B$11:$C$16,2,FALSE)*1.14)),"")</f>
        <v/>
      </c>
      <c r="T14" s="599">
        <f>IFERROR(IF(OR(LocalBusEmissions[[#This Row],[Fuel Type]]="Electric",LocalBusEmissions[[#This Row],[Fuel Type]]="Hydrogen"),LocalBusEmissions[[#This Row],[GHG Emissions (MTCO2e)]]*1000000/VLOOKUP(LocalBusEmissions[[#This Row],[Fuel Type]],'Modes of Transportation GHG'!$B$17:$C$18,2,FALSE)*1.14,0),"")</f>
        <v>0</v>
      </c>
    </row>
    <row r="15" spans="1:20" ht="15" customHeight="1" x14ac:dyDescent="0.25">
      <c r="F15" s="2"/>
      <c r="G15" s="2"/>
      <c r="H15" s="2"/>
      <c r="J15" s="69"/>
    </row>
    <row r="16" spans="1:20" ht="15.75" x14ac:dyDescent="0.25">
      <c r="B16" s="446" t="s">
        <v>4741</v>
      </c>
      <c r="F16" s="2"/>
      <c r="G16" s="2"/>
      <c r="H16" s="2"/>
    </row>
    <row r="17" spans="2:20" ht="51.75" x14ac:dyDescent="0.35">
      <c r="B17" s="425" t="s">
        <v>135</v>
      </c>
      <c r="C17" s="425" t="s">
        <v>142</v>
      </c>
      <c r="D17" s="425" t="s">
        <v>4738</v>
      </c>
      <c r="E17" s="425" t="s">
        <v>4721</v>
      </c>
      <c r="F17" s="425" t="s">
        <v>4739</v>
      </c>
      <c r="G17" s="425" t="s">
        <v>4749</v>
      </c>
      <c r="H17" s="425" t="s">
        <v>4746</v>
      </c>
      <c r="I17" s="425" t="s">
        <v>4715</v>
      </c>
      <c r="J17" s="424" t="s">
        <v>4748</v>
      </c>
      <c r="K17" s="425" t="s">
        <v>4716</v>
      </c>
      <c r="L17" s="424" t="s">
        <v>4750</v>
      </c>
      <c r="M17" s="425" t="s">
        <v>4717</v>
      </c>
      <c r="N17" s="424" t="s">
        <v>4751</v>
      </c>
      <c r="O17" s="425" t="s">
        <v>4718</v>
      </c>
      <c r="P17" s="424" t="s">
        <v>4752</v>
      </c>
      <c r="Q17" s="425" t="s">
        <v>4719</v>
      </c>
      <c r="R17" s="424" t="s">
        <v>4753</v>
      </c>
      <c r="S17" s="425" t="s">
        <v>4788</v>
      </c>
      <c r="T17" s="602" t="s">
        <v>4784</v>
      </c>
    </row>
    <row r="18" spans="2:20" ht="15.75" x14ac:dyDescent="0.25">
      <c r="B18" s="30" t="str">
        <f>IF('Transit Inputs'!B14="Long-distance Commuter Bus",'Transit Inputs'!B14,"")</f>
        <v/>
      </c>
      <c r="C18" s="30" t="str">
        <f>IF(ISBLANK('Transit Inputs'!C14),"",'Transit Inputs'!C14)</f>
        <v/>
      </c>
      <c r="D18" s="18" t="str">
        <f>IF(OR(ISBLANK('Transit Inputs'!D14),ISBLANK('Transit Inputs'!E14)),"",'Transit Inputs'!E14-'Transit Inputs'!D14)</f>
        <v/>
      </c>
      <c r="E18" s="18" t="str">
        <f>IF(OR(ISBLANK('Transit Inputs'!D14),ISBLANK('Transit Inputs'!E14),ISBLANK('Transit Inputs'!M14)),"",CONCATENATE(ROUNDDOWN(('Transit Inputs'!E14+'Transit Inputs'!D14)/2,0),"_",'Transit Inputs'!M14))</f>
        <v/>
      </c>
      <c r="F18" s="18" t="str">
        <f>IF(ISBLANK('Transit Inputs'!K14),"",'Transit Inputs'!K14)</f>
        <v/>
      </c>
      <c r="G18" s="18" t="str">
        <f>IF(ISBLANK('Transit Inputs'!L14),"",'Transit Inputs'!L14)</f>
        <v/>
      </c>
      <c r="H18" s="69" t="str">
        <f>IF(ISBLANK('Transit Inputs'!N14),"",'Transit Inputs'!N14)</f>
        <v/>
      </c>
      <c r="I18" s="69" t="str">
        <f>IFERROR(IF(CommuterBusEmissions[[#This Row],[Fuel Type]]="Gasoline",(VLOOKUP(CommuterBusEmissions[[#This Row],[YearMid_ModelYear]],'Coach Criteria &amp; Toxic'!$D$27:$E$950,2,FALSE)*'Modes of Transportation GHG'!$C$24*'Energy, Fuel, &amp; Travel Prices'!C27),(VLOOKUP(CommuterBusEmissions[[#This Row],[YearMid_ModelYear]],'Coach Criteria &amp; Toxic'!$D$27:$E$950,2,FALSE)*VLOOKUP(CommuterBusEmissions[[#This Row],[Fuel Type]],'Modes of Transportation GHG'!$B$10:$C$18,2,FALSE)))*IF(CommuterBusEmissions[[#This Row],[Hybrid?]]="Yes",0.8,1),"")</f>
        <v/>
      </c>
      <c r="J18" s="69" t="str">
        <f>IFERROR(CommuterBusEmissions[[#This Row],[Year Mid GHG Emission Factor (gCO2e/mile)]]*CommuterBusEmissions[[#This Row],[Annual VMT]]*CommuterBusEmissions[[#This Row],[Useful Life (years)]]/1000000,"")</f>
        <v/>
      </c>
      <c r="K18" s="591" t="str">
        <f>IFERROR(IF(OR(CommuterBusEmissions[[#This Row],[Fuel Type]]="Electric",CommuterBusEmissions[[#This Row],[Fuel Type]]="Hydrogen"),0,(VLOOKUP(CommuterBusEmissions[[#This Row],[YearMid_ModelYear]],'Coach Criteria &amp; Toxic'!$D$27:$M$950,3,FALSE)+VLOOKUP(CommuterBusEmissions[[#This Row],[YearMid_ModelYear]],'Coach Criteria &amp; Toxic'!$D$27:$M$950,4,FALSE))*IF(CommuterBusEmissions[[#This Row],[Hybrid?]]="Yes",0.8,1)),"")</f>
        <v/>
      </c>
      <c r="L18" s="69" t="str">
        <f>IFERROR(CommuterBusEmissions[[#This Row],[Year Mid ROG Emission Factor (g/mile)]]*CommuterBusEmissions[[#This Row],[Annual VMT]]*CommuterBusEmissions[[#This Row],[Useful Life (years)]]/453.59,"")</f>
        <v/>
      </c>
      <c r="M18" s="591" t="str">
        <f>IFERROR(IF(OR(CommuterBusEmissions[[#This Row],[Fuel Type]]="Electric",CommuterBusEmissions[[#This Row],[Fuel Type]]="Hydrogen"),0,(VLOOKUP(CommuterBusEmissions[[#This Row],[YearMid_ModelYear]],'Coach Criteria &amp; Toxic'!$D$27:$M$950,5,FALSE)+VLOOKUP(CommuterBusEmissions[[#This Row],[YearMid_ModelYear]],'Coach Criteria &amp; Toxic'!$D$27:$M$950,6,FALSE))*IF(CommuterBusEmissions[[#This Row],[Hybrid?]]="Yes",0.8,1)),"")</f>
        <v/>
      </c>
      <c r="N18" s="69" t="str">
        <f>IFERROR(CommuterBusEmissions[[#This Row],[Year Mid NOx Emission Factor (g/mile)]]*CommuterBusEmissions[[#This Row],[Annual VMT]]*CommuterBusEmissions[[#This Row],[Useful Life (years)]]/453.59,"")</f>
        <v/>
      </c>
      <c r="O18" s="591" t="str">
        <f>IFERROR(IF(OR(CommuterBusEmissions[[#This Row],[Fuel Type]]="Electric",CommuterBusEmissions[[#This Row],[Fuel Type]]="Hydrogen"),('Coach Criteria &amp; Toxic'!$O$28+0.5*'Coach Criteria &amp; Toxic'!$P$28),(VLOOKUP(CommuterBusEmissions[[#This Row],[YearMid_ModelYear]],'Coach Criteria &amp; Toxic'!$D$27:$M$950,7,FALSE)+VLOOKUP(CommuterBusEmissions[[#This Row],[YearMid_ModelYear]],'Coach Criteria &amp; Toxic'!$D$27:$M$950,8,FALSE))*IF(CommuterBusEmissions[[#This Row],[Hybrid?]]="Yes",0.8,1)+'Coach Criteria &amp; Toxic'!$O$28+'Coach Criteria &amp; Toxic'!$P$28*IF(CommuterBusEmissions[[#This Row],[Hybrid?]]="Yes",0.5,1)),"")</f>
        <v/>
      </c>
      <c r="P18" s="69" t="str">
        <f>IFERROR(CommuterBusEmissions[[#This Row],[Year Mid PM2.5 Emission Factor (g/mile)]]*CommuterBusEmissions[[#This Row],[Annual VMT]]*CommuterBusEmissions[[#This Row],[Useful Life (years)]]/453.59,"")</f>
        <v/>
      </c>
      <c r="Q18" s="69" t="str">
        <f>IFERROR(IF(OR(CommuterBusEmissions[[#This Row],[Fuel Type]]="Diesel",CommuterBusEmissions[[#This Row],[Fuel Type]]="Biodiesel",CommuterBusEmissions[[#This Row],[Fuel Type]]="Renewable Diesel"),VLOOKUP(CommuterBusEmissions[[#This Row],[YearMid_ModelYear]],'Coach Criteria &amp; Toxic'!$D$27:$M$950,9,FALSE)+VLOOKUP(CommuterBusEmissions[[#This Row],[YearMid_ModelYear]],'Coach Criteria &amp; Toxic'!$D$27:$M$950,10,FALSE),IF(CommuterBusEmissions[[#This Row],[Fuel Type]]="","",0))*IF(CommuterBusEmissions[[#This Row],[Hybrid?]]="Yes",0.8,1),"")</f>
        <v/>
      </c>
      <c r="R18" s="69" t="str">
        <f>IFERROR(CommuterBusEmissions[[#This Row],[Year Mid Diesel PM10 Emission Factor (g/mile)]]*CommuterBusEmissions[[#This Row],[Annual VMT]]*CommuterBusEmissions[[#This Row],[Useful Life (years)]]/453.59,"")</f>
        <v/>
      </c>
      <c r="S18" s="69" t="str">
        <f>IFERROR(IF(OR(CommuterBusEmissions[[#This Row],[Fuel Type]]="Electric", CommuterBusEmissions[[#This Row],[Fuel Type]]="Hydrogen"),0,IF(CommuterBusEmissions[[#This Row],[Fuel Type]]="Gasoline",CommuterBusEmissions[[#This Row],[GHG Emissions (MTCO2e)]]*1000000/'Modes of Transportation GHG'!$C$24,CommuterBusEmissions[[#This Row],[GHG Emissions (MTCO2e)]]*1000000/VLOOKUP(CommuterBusEmissions[[#This Row],[Fuel Type]],'Modes of Transportation GHG'!$B$11:$C$16,2,FALSE)*1.14)),"")</f>
        <v/>
      </c>
      <c r="T18" s="599">
        <f>IFERROR(IF(OR(CommuterBusEmissions[[#This Row],[Fuel Type]]="Electric",CommuterBusEmissions[[#This Row],[Fuel Type]]="Hydrogen"),CommuterBusEmissions[[#This Row],[GHG Emissions (MTCO2e)]]*1000000/VLOOKUP(CommuterBusEmissions[[#This Row],[Fuel Type]],'Modes of Transportation GHG'!$B$17:$C$18,2,FALSE)*1.14,0),"")</f>
        <v>0</v>
      </c>
    </row>
    <row r="19" spans="2:20" ht="15.75" x14ac:dyDescent="0.25">
      <c r="B19" s="30" t="str">
        <f>IF('Transit Inputs'!B15="Long-distance Commuter Bus",'Transit Inputs'!B15,"")</f>
        <v/>
      </c>
      <c r="C19" s="30" t="str">
        <f>IF(ISBLANK('Transit Inputs'!C15),"",'Transit Inputs'!C15)</f>
        <v/>
      </c>
      <c r="D19" s="18" t="str">
        <f>IF(OR(ISBLANK('Transit Inputs'!D15),ISBLANK('Transit Inputs'!E15)),"",'Transit Inputs'!E15-'Transit Inputs'!D15)</f>
        <v/>
      </c>
      <c r="E19" s="18" t="str">
        <f>IF(OR(ISBLANK('Transit Inputs'!D15),ISBLANK('Transit Inputs'!E15),ISBLANK('Transit Inputs'!M15)),"",CONCATENATE(ROUNDDOWN(('Transit Inputs'!E15+'Transit Inputs'!D15)/2,0),"_",'Transit Inputs'!M15))</f>
        <v/>
      </c>
      <c r="F19" s="18" t="str">
        <f>IF(ISBLANK('Transit Inputs'!K15),"",'Transit Inputs'!K15)</f>
        <v/>
      </c>
      <c r="G19" s="18" t="str">
        <f>IF(ISBLANK('Transit Inputs'!L15),"",'Transit Inputs'!L15)</f>
        <v/>
      </c>
      <c r="H19" s="69" t="str">
        <f>IF(ISBLANK('Transit Inputs'!N15),"",'Transit Inputs'!N15)</f>
        <v/>
      </c>
      <c r="I19" s="69" t="str">
        <f>IFERROR(IF(CommuterBusEmissions[[#This Row],[Fuel Type]]="Gasoline",(VLOOKUP(CommuterBusEmissions[[#This Row],[YearMid_ModelYear]],'Coach Criteria &amp; Toxic'!$D$27:$E$950,2,FALSE)*'Modes of Transportation GHG'!$C$24*'Energy, Fuel, &amp; Travel Prices'!C28),(VLOOKUP(CommuterBusEmissions[[#This Row],[YearMid_ModelYear]],'Coach Criteria &amp; Toxic'!$D$27:$E$950,2,FALSE)*VLOOKUP(CommuterBusEmissions[[#This Row],[Fuel Type]],'Modes of Transportation GHG'!$B$10:$C$18,2,FALSE)))*IF(CommuterBusEmissions[[#This Row],[Hybrid?]]="Yes",0.8,1),"")</f>
        <v/>
      </c>
      <c r="J19" s="69" t="str">
        <f>IFERROR(CommuterBusEmissions[[#This Row],[Year Mid GHG Emission Factor (gCO2e/mile)]]*CommuterBusEmissions[[#This Row],[Annual VMT]]*CommuterBusEmissions[[#This Row],[Useful Life (years)]]/1000000,"")</f>
        <v/>
      </c>
      <c r="K19" s="591" t="str">
        <f>IFERROR(IF(OR(CommuterBusEmissions[[#This Row],[Fuel Type]]="Electric",CommuterBusEmissions[[#This Row],[Fuel Type]]="Hydrogen"),0,(VLOOKUP(CommuterBusEmissions[[#This Row],[YearMid_ModelYear]],'Coach Criteria &amp; Toxic'!$D$27:$M$950,3,FALSE)+VLOOKUP(CommuterBusEmissions[[#This Row],[YearMid_ModelYear]],'Coach Criteria &amp; Toxic'!$D$27:$M$950,4,FALSE))*IF(CommuterBusEmissions[[#This Row],[Hybrid?]]="Yes",0.8,1)),"")</f>
        <v/>
      </c>
      <c r="L19" s="69" t="str">
        <f>IFERROR(CommuterBusEmissions[[#This Row],[Year Mid ROG Emission Factor (g/mile)]]*CommuterBusEmissions[[#This Row],[Annual VMT]]*CommuterBusEmissions[[#This Row],[Useful Life (years)]]/453.59,"")</f>
        <v/>
      </c>
      <c r="M19" s="591" t="str">
        <f>IFERROR(IF(OR(CommuterBusEmissions[[#This Row],[Fuel Type]]="Electric",CommuterBusEmissions[[#This Row],[Fuel Type]]="Hydrogen"),0,(VLOOKUP(CommuterBusEmissions[[#This Row],[YearMid_ModelYear]],'Coach Criteria &amp; Toxic'!$D$27:$M$950,5,FALSE)+VLOOKUP(CommuterBusEmissions[[#This Row],[YearMid_ModelYear]],'Coach Criteria &amp; Toxic'!$D$27:$M$950,6,FALSE))*IF(CommuterBusEmissions[[#This Row],[Hybrid?]]="Yes",0.8,1)),"")</f>
        <v/>
      </c>
      <c r="N19" s="69" t="str">
        <f>IFERROR(CommuterBusEmissions[[#This Row],[Year Mid NOx Emission Factor (g/mile)]]*CommuterBusEmissions[[#This Row],[Annual VMT]]*CommuterBusEmissions[[#This Row],[Useful Life (years)]]/453.59,"")</f>
        <v/>
      </c>
      <c r="O19" s="591" t="str">
        <f>IFERROR(IF(OR(CommuterBusEmissions[[#This Row],[Fuel Type]]="Electric",CommuterBusEmissions[[#This Row],[Fuel Type]]="Hydrogen"),('Coach Criteria &amp; Toxic'!$O$28+0.5*'Coach Criteria &amp; Toxic'!$P$28),(VLOOKUP(CommuterBusEmissions[[#This Row],[YearMid_ModelYear]],'Coach Criteria &amp; Toxic'!$D$27:$M$950,7,FALSE)+VLOOKUP(CommuterBusEmissions[[#This Row],[YearMid_ModelYear]],'Coach Criteria &amp; Toxic'!$D$27:$M$950,8,FALSE))*IF(CommuterBusEmissions[[#This Row],[Hybrid?]]="Yes",0.8,1)+'Coach Criteria &amp; Toxic'!$O$28+'Coach Criteria &amp; Toxic'!$P$28*IF(CommuterBusEmissions[[#This Row],[Hybrid?]]="Yes",0.5,1)),"")</f>
        <v/>
      </c>
      <c r="P19" s="69" t="str">
        <f>IFERROR(CommuterBusEmissions[[#This Row],[Year Mid PM2.5 Emission Factor (g/mile)]]*CommuterBusEmissions[[#This Row],[Annual VMT]]*CommuterBusEmissions[[#This Row],[Useful Life (years)]]/453.59,"")</f>
        <v/>
      </c>
      <c r="Q19" s="69" t="str">
        <f>IFERROR(IF(OR(CommuterBusEmissions[[#This Row],[Fuel Type]]="Diesel",CommuterBusEmissions[[#This Row],[Fuel Type]]="Biodiesel",CommuterBusEmissions[[#This Row],[Fuel Type]]="Renewable Diesel"),VLOOKUP(CommuterBusEmissions[[#This Row],[YearMid_ModelYear]],'Coach Criteria &amp; Toxic'!$D$27:$M$950,9,FALSE)+VLOOKUP(CommuterBusEmissions[[#This Row],[YearMid_ModelYear]],'Coach Criteria &amp; Toxic'!$D$27:$M$950,10,FALSE),IF(CommuterBusEmissions[[#This Row],[Fuel Type]]="","",0))*IF(CommuterBusEmissions[[#This Row],[Hybrid?]]="Yes",0.8,1),"")</f>
        <v/>
      </c>
      <c r="R19" s="69" t="str">
        <f>IFERROR(CommuterBusEmissions[[#This Row],[Year Mid Diesel PM10 Emission Factor (g/mile)]]*CommuterBusEmissions[[#This Row],[Annual VMT]]*CommuterBusEmissions[[#This Row],[Useful Life (years)]]/453.59,"")</f>
        <v/>
      </c>
      <c r="S19" s="69" t="str">
        <f>IFERROR(IF(OR(CommuterBusEmissions[[#This Row],[Fuel Type]]="Electric", CommuterBusEmissions[[#This Row],[Fuel Type]]="Hydrogen"),0,IF(CommuterBusEmissions[[#This Row],[Fuel Type]]="Gasoline",CommuterBusEmissions[[#This Row],[GHG Emissions (MTCO2e)]]*1000000/'Modes of Transportation GHG'!$C$24,CommuterBusEmissions[[#This Row],[GHG Emissions (MTCO2e)]]*1000000/VLOOKUP(CommuterBusEmissions[[#This Row],[Fuel Type]],'Modes of Transportation GHG'!$B$11:$C$16,2,FALSE)*1.14)),"")</f>
        <v/>
      </c>
      <c r="T19" s="599">
        <f>IFERROR(IF(OR(CommuterBusEmissions[[#This Row],[Fuel Type]]="Electric",CommuterBusEmissions[[#This Row],[Fuel Type]]="Hydrogen"),CommuterBusEmissions[[#This Row],[GHG Emissions (MTCO2e)]]*1000000/VLOOKUP(CommuterBusEmissions[[#This Row],[Fuel Type]],'Modes of Transportation GHG'!$B$17:$C$18,2,FALSE)*1.14,0),"")</f>
        <v>0</v>
      </c>
    </row>
    <row r="20" spans="2:20" ht="15.75" x14ac:dyDescent="0.25">
      <c r="B20" s="30" t="str">
        <f>IF('Transit Inputs'!B16="Long-distance Commuter Bus",'Transit Inputs'!B16,"")</f>
        <v/>
      </c>
      <c r="C20" s="30" t="str">
        <f>IF(ISBLANK('Transit Inputs'!C16),"",'Transit Inputs'!C16)</f>
        <v/>
      </c>
      <c r="D20" s="18" t="str">
        <f>IF(OR(ISBLANK('Transit Inputs'!D16),ISBLANK('Transit Inputs'!E16)),"",'Transit Inputs'!E16-'Transit Inputs'!D16)</f>
        <v/>
      </c>
      <c r="E20" s="18" t="str">
        <f>IF(OR(ISBLANK('Transit Inputs'!D16),ISBLANK('Transit Inputs'!E16),ISBLANK('Transit Inputs'!M16)),"",CONCATENATE(ROUNDDOWN(('Transit Inputs'!E16+'Transit Inputs'!D16)/2,0),"_",'Transit Inputs'!M16))</f>
        <v/>
      </c>
      <c r="F20" s="18" t="str">
        <f>IF(ISBLANK('Transit Inputs'!K16),"",'Transit Inputs'!K16)</f>
        <v/>
      </c>
      <c r="G20" s="18" t="str">
        <f>IF(ISBLANK('Transit Inputs'!L16),"",'Transit Inputs'!L16)</f>
        <v/>
      </c>
      <c r="H20" s="69" t="str">
        <f>IF(ISBLANK('Transit Inputs'!N16),"",'Transit Inputs'!N16)</f>
        <v/>
      </c>
      <c r="I20" s="69" t="str">
        <f>IFERROR(IF(CommuterBusEmissions[[#This Row],[Fuel Type]]="Gasoline",(VLOOKUP(CommuterBusEmissions[[#This Row],[YearMid_ModelYear]],'Coach Criteria &amp; Toxic'!$D$27:$E$950,2,FALSE)*'Modes of Transportation GHG'!$C$24*'Energy, Fuel, &amp; Travel Prices'!C29),(VLOOKUP(CommuterBusEmissions[[#This Row],[YearMid_ModelYear]],'Coach Criteria &amp; Toxic'!$D$27:$E$950,2,FALSE)*VLOOKUP(CommuterBusEmissions[[#This Row],[Fuel Type]],'Modes of Transportation GHG'!$B$10:$C$18,2,FALSE)))*IF(CommuterBusEmissions[[#This Row],[Hybrid?]]="Yes",0.8,1),"")</f>
        <v/>
      </c>
      <c r="J20" s="69" t="str">
        <f>IFERROR(CommuterBusEmissions[[#This Row],[Year Mid GHG Emission Factor (gCO2e/mile)]]*CommuterBusEmissions[[#This Row],[Annual VMT]]*CommuterBusEmissions[[#This Row],[Useful Life (years)]]/1000000,"")</f>
        <v/>
      </c>
      <c r="K20" s="591" t="str">
        <f>IFERROR(IF(OR(CommuterBusEmissions[[#This Row],[Fuel Type]]="Electric",CommuterBusEmissions[[#This Row],[Fuel Type]]="Hydrogen"),0,(VLOOKUP(CommuterBusEmissions[[#This Row],[YearMid_ModelYear]],'Coach Criteria &amp; Toxic'!$D$27:$M$950,3,FALSE)+VLOOKUP(CommuterBusEmissions[[#This Row],[YearMid_ModelYear]],'Coach Criteria &amp; Toxic'!$D$27:$M$950,4,FALSE))*IF(CommuterBusEmissions[[#This Row],[Hybrid?]]="Yes",0.8,1)),"")</f>
        <v/>
      </c>
      <c r="L20" s="69" t="str">
        <f>IFERROR(CommuterBusEmissions[[#This Row],[Year Mid ROG Emission Factor (g/mile)]]*CommuterBusEmissions[[#This Row],[Annual VMT]]*CommuterBusEmissions[[#This Row],[Useful Life (years)]]/453.59,"")</f>
        <v/>
      </c>
      <c r="M20" s="591" t="str">
        <f>IFERROR(IF(OR(CommuterBusEmissions[[#This Row],[Fuel Type]]="Electric",CommuterBusEmissions[[#This Row],[Fuel Type]]="Hydrogen"),0,(VLOOKUP(CommuterBusEmissions[[#This Row],[YearMid_ModelYear]],'Coach Criteria &amp; Toxic'!$D$27:$M$950,5,FALSE)+VLOOKUP(CommuterBusEmissions[[#This Row],[YearMid_ModelYear]],'Coach Criteria &amp; Toxic'!$D$27:$M$950,6,FALSE))*IF(CommuterBusEmissions[[#This Row],[Hybrid?]]="Yes",0.8,1)),"")</f>
        <v/>
      </c>
      <c r="N20" s="69" t="str">
        <f>IFERROR(CommuterBusEmissions[[#This Row],[Year Mid NOx Emission Factor (g/mile)]]*CommuterBusEmissions[[#This Row],[Annual VMT]]*CommuterBusEmissions[[#This Row],[Useful Life (years)]]/453.59,"")</f>
        <v/>
      </c>
      <c r="O20" s="591" t="str">
        <f>IFERROR(IF(OR(CommuterBusEmissions[[#This Row],[Fuel Type]]="Electric",CommuterBusEmissions[[#This Row],[Fuel Type]]="Hydrogen"),('Coach Criteria &amp; Toxic'!$O$28+0.5*'Coach Criteria &amp; Toxic'!$P$28),(VLOOKUP(CommuterBusEmissions[[#This Row],[YearMid_ModelYear]],'Coach Criteria &amp; Toxic'!$D$27:$M$950,7,FALSE)+VLOOKUP(CommuterBusEmissions[[#This Row],[YearMid_ModelYear]],'Coach Criteria &amp; Toxic'!$D$27:$M$950,8,FALSE))*IF(CommuterBusEmissions[[#This Row],[Hybrid?]]="Yes",0.8,1)+'Coach Criteria &amp; Toxic'!$O$28+'Coach Criteria &amp; Toxic'!$P$28*IF(CommuterBusEmissions[[#This Row],[Hybrid?]]="Yes",0.5,1)),"")</f>
        <v/>
      </c>
      <c r="P20" s="69" t="str">
        <f>IFERROR(CommuterBusEmissions[[#This Row],[Year Mid PM2.5 Emission Factor (g/mile)]]*CommuterBusEmissions[[#This Row],[Annual VMT]]*CommuterBusEmissions[[#This Row],[Useful Life (years)]]/453.59,"")</f>
        <v/>
      </c>
      <c r="Q20" s="69" t="str">
        <f>IFERROR(IF(OR(CommuterBusEmissions[[#This Row],[Fuel Type]]="Diesel",CommuterBusEmissions[[#This Row],[Fuel Type]]="Biodiesel",CommuterBusEmissions[[#This Row],[Fuel Type]]="Renewable Diesel"),VLOOKUP(CommuterBusEmissions[[#This Row],[YearMid_ModelYear]],'Coach Criteria &amp; Toxic'!$D$27:$M$950,9,FALSE)+VLOOKUP(CommuterBusEmissions[[#This Row],[YearMid_ModelYear]],'Coach Criteria &amp; Toxic'!$D$27:$M$950,10,FALSE),IF(CommuterBusEmissions[[#This Row],[Fuel Type]]="","",0))*IF(CommuterBusEmissions[[#This Row],[Hybrid?]]="Yes",0.8,1),"")</f>
        <v/>
      </c>
      <c r="R20" s="69" t="str">
        <f>IFERROR(CommuterBusEmissions[[#This Row],[Year Mid Diesel PM10 Emission Factor (g/mile)]]*CommuterBusEmissions[[#This Row],[Annual VMT]]*CommuterBusEmissions[[#This Row],[Useful Life (years)]]/453.59,"")</f>
        <v/>
      </c>
      <c r="S20" s="69" t="str">
        <f>IFERROR(IF(OR(CommuterBusEmissions[[#This Row],[Fuel Type]]="Electric", CommuterBusEmissions[[#This Row],[Fuel Type]]="Hydrogen"),0,IF(CommuterBusEmissions[[#This Row],[Fuel Type]]="Gasoline",CommuterBusEmissions[[#This Row],[GHG Emissions (MTCO2e)]]*1000000/'Modes of Transportation GHG'!$C$24,CommuterBusEmissions[[#This Row],[GHG Emissions (MTCO2e)]]*1000000/VLOOKUP(CommuterBusEmissions[[#This Row],[Fuel Type]],'Modes of Transportation GHG'!$B$11:$C$16,2,FALSE)*1.14)),"")</f>
        <v/>
      </c>
      <c r="T20" s="599">
        <f>IFERROR(IF(OR(CommuterBusEmissions[[#This Row],[Fuel Type]]="Electric",CommuterBusEmissions[[#This Row],[Fuel Type]]="Hydrogen"),CommuterBusEmissions[[#This Row],[GHG Emissions (MTCO2e)]]*1000000/VLOOKUP(CommuterBusEmissions[[#This Row],[Fuel Type]],'Modes of Transportation GHG'!$B$17:$C$18,2,FALSE)*1.14,0),"")</f>
        <v>0</v>
      </c>
    </row>
    <row r="21" spans="2:20" ht="15.75" x14ac:dyDescent="0.25">
      <c r="B21" s="30" t="str">
        <f>IF('Transit Inputs'!B17="Long-distance Commuter Bus",'Transit Inputs'!B17,"")</f>
        <v/>
      </c>
      <c r="C21" s="30" t="str">
        <f>IF(ISBLANK('Transit Inputs'!C17),"",'Transit Inputs'!C17)</f>
        <v/>
      </c>
      <c r="D21" s="18" t="str">
        <f>IF(OR(ISBLANK('Transit Inputs'!D17),ISBLANK('Transit Inputs'!E17)),"",'Transit Inputs'!E17-'Transit Inputs'!D17)</f>
        <v/>
      </c>
      <c r="E21" s="18" t="str">
        <f>IF(OR(ISBLANK('Transit Inputs'!D17),ISBLANK('Transit Inputs'!E17),ISBLANK('Transit Inputs'!M17)),"",CONCATENATE(ROUNDDOWN(('Transit Inputs'!E17+'Transit Inputs'!D17)/2,0),"_",'Transit Inputs'!M17))</f>
        <v/>
      </c>
      <c r="F21" s="18" t="str">
        <f>IF(ISBLANK('Transit Inputs'!K17),"",'Transit Inputs'!K17)</f>
        <v/>
      </c>
      <c r="G21" s="18" t="str">
        <f>IF(ISBLANK('Transit Inputs'!L17),"",'Transit Inputs'!L17)</f>
        <v/>
      </c>
      <c r="H21" s="69" t="str">
        <f>IF(ISBLANK('Transit Inputs'!N17),"",'Transit Inputs'!N17)</f>
        <v/>
      </c>
      <c r="I21" s="69" t="str">
        <f>IFERROR(IF(CommuterBusEmissions[[#This Row],[Fuel Type]]="Gasoline",(VLOOKUP(CommuterBusEmissions[[#This Row],[YearMid_ModelYear]],'Coach Criteria &amp; Toxic'!$D$27:$E$950,2,FALSE)*'Modes of Transportation GHG'!$C$24*'Energy, Fuel, &amp; Travel Prices'!C30),(VLOOKUP(CommuterBusEmissions[[#This Row],[YearMid_ModelYear]],'Coach Criteria &amp; Toxic'!$D$27:$E$950,2,FALSE)*VLOOKUP(CommuterBusEmissions[[#This Row],[Fuel Type]],'Modes of Transportation GHG'!$B$10:$C$18,2,FALSE)))*IF(CommuterBusEmissions[[#This Row],[Hybrid?]]="Yes",0.8,1),"")</f>
        <v/>
      </c>
      <c r="J21" s="69" t="str">
        <f>IFERROR(CommuterBusEmissions[[#This Row],[Year Mid GHG Emission Factor (gCO2e/mile)]]*CommuterBusEmissions[[#This Row],[Annual VMT]]*CommuterBusEmissions[[#This Row],[Useful Life (years)]]/1000000,"")</f>
        <v/>
      </c>
      <c r="K21" s="591" t="str">
        <f>IFERROR(IF(OR(CommuterBusEmissions[[#This Row],[Fuel Type]]="Electric",CommuterBusEmissions[[#This Row],[Fuel Type]]="Hydrogen"),0,(VLOOKUP(CommuterBusEmissions[[#This Row],[YearMid_ModelYear]],'Coach Criteria &amp; Toxic'!$D$27:$M$950,3,FALSE)+VLOOKUP(CommuterBusEmissions[[#This Row],[YearMid_ModelYear]],'Coach Criteria &amp; Toxic'!$D$27:$M$950,4,FALSE))*IF(CommuterBusEmissions[[#This Row],[Hybrid?]]="Yes",0.8,1)),"")</f>
        <v/>
      </c>
      <c r="L21" s="69" t="str">
        <f>IFERROR(CommuterBusEmissions[[#This Row],[Year Mid ROG Emission Factor (g/mile)]]*CommuterBusEmissions[[#This Row],[Annual VMT]]*CommuterBusEmissions[[#This Row],[Useful Life (years)]]/453.59,"")</f>
        <v/>
      </c>
      <c r="M21" s="591" t="str">
        <f>IFERROR(IF(OR(CommuterBusEmissions[[#This Row],[Fuel Type]]="Electric",CommuterBusEmissions[[#This Row],[Fuel Type]]="Hydrogen"),0,(VLOOKUP(CommuterBusEmissions[[#This Row],[YearMid_ModelYear]],'Coach Criteria &amp; Toxic'!$D$27:$M$950,5,FALSE)+VLOOKUP(CommuterBusEmissions[[#This Row],[YearMid_ModelYear]],'Coach Criteria &amp; Toxic'!$D$27:$M$950,6,FALSE))*IF(CommuterBusEmissions[[#This Row],[Hybrid?]]="Yes",0.8,1)),"")</f>
        <v/>
      </c>
      <c r="N21" s="69" t="str">
        <f>IFERROR(CommuterBusEmissions[[#This Row],[Year Mid NOx Emission Factor (g/mile)]]*CommuterBusEmissions[[#This Row],[Annual VMT]]*CommuterBusEmissions[[#This Row],[Useful Life (years)]]/453.59,"")</f>
        <v/>
      </c>
      <c r="O21" s="591" t="str">
        <f>IFERROR(IF(OR(CommuterBusEmissions[[#This Row],[Fuel Type]]="Electric",CommuterBusEmissions[[#This Row],[Fuel Type]]="Hydrogen"),('Coach Criteria &amp; Toxic'!$O$28+0.5*'Coach Criteria &amp; Toxic'!$P$28),(VLOOKUP(CommuterBusEmissions[[#This Row],[YearMid_ModelYear]],'Coach Criteria &amp; Toxic'!$D$27:$M$950,7,FALSE)+VLOOKUP(CommuterBusEmissions[[#This Row],[YearMid_ModelYear]],'Coach Criteria &amp; Toxic'!$D$27:$M$950,8,FALSE))*IF(CommuterBusEmissions[[#This Row],[Hybrid?]]="Yes",0.8,1)+'Coach Criteria &amp; Toxic'!$O$28+'Coach Criteria &amp; Toxic'!$P$28*IF(CommuterBusEmissions[[#This Row],[Hybrid?]]="Yes",0.5,1)),"")</f>
        <v/>
      </c>
      <c r="P21" s="69" t="str">
        <f>IFERROR(CommuterBusEmissions[[#This Row],[Year Mid PM2.5 Emission Factor (g/mile)]]*CommuterBusEmissions[[#This Row],[Annual VMT]]*CommuterBusEmissions[[#This Row],[Useful Life (years)]]/453.59,"")</f>
        <v/>
      </c>
      <c r="Q21" s="69" t="str">
        <f>IFERROR(IF(OR(CommuterBusEmissions[[#This Row],[Fuel Type]]="Diesel",CommuterBusEmissions[[#This Row],[Fuel Type]]="Biodiesel",CommuterBusEmissions[[#This Row],[Fuel Type]]="Renewable Diesel"),VLOOKUP(CommuterBusEmissions[[#This Row],[YearMid_ModelYear]],'Coach Criteria &amp; Toxic'!$D$27:$M$950,9,FALSE)+VLOOKUP(CommuterBusEmissions[[#This Row],[YearMid_ModelYear]],'Coach Criteria &amp; Toxic'!$D$27:$M$950,10,FALSE),IF(CommuterBusEmissions[[#This Row],[Fuel Type]]="","",0))*IF(CommuterBusEmissions[[#This Row],[Hybrid?]]="Yes",0.8,1),"")</f>
        <v/>
      </c>
      <c r="R21" s="69" t="str">
        <f>IFERROR(CommuterBusEmissions[[#This Row],[Year Mid Diesel PM10 Emission Factor (g/mile)]]*CommuterBusEmissions[[#This Row],[Annual VMT]]*CommuterBusEmissions[[#This Row],[Useful Life (years)]]/453.59,"")</f>
        <v/>
      </c>
      <c r="S21" s="69" t="str">
        <f>IFERROR(IF(OR(CommuterBusEmissions[[#This Row],[Fuel Type]]="Electric", CommuterBusEmissions[[#This Row],[Fuel Type]]="Hydrogen"),0,IF(CommuterBusEmissions[[#This Row],[Fuel Type]]="Gasoline",CommuterBusEmissions[[#This Row],[GHG Emissions (MTCO2e)]]*1000000/'Modes of Transportation GHG'!$C$24,CommuterBusEmissions[[#This Row],[GHG Emissions (MTCO2e)]]*1000000/VLOOKUP(CommuterBusEmissions[[#This Row],[Fuel Type]],'Modes of Transportation GHG'!$B$11:$C$16,2,FALSE)*1.14)),"")</f>
        <v/>
      </c>
      <c r="T21" s="599">
        <f>IFERROR(IF(OR(CommuterBusEmissions[[#This Row],[Fuel Type]]="Electric",CommuterBusEmissions[[#This Row],[Fuel Type]]="Hydrogen"),CommuterBusEmissions[[#This Row],[GHG Emissions (MTCO2e)]]*1000000/VLOOKUP(CommuterBusEmissions[[#This Row],[Fuel Type]],'Modes of Transportation GHG'!$B$17:$C$18,2,FALSE)*1.14,0),"")</f>
        <v>0</v>
      </c>
    </row>
    <row r="22" spans="2:20" ht="15.75" x14ac:dyDescent="0.25">
      <c r="B22" s="30" t="str">
        <f>IF('Transit Inputs'!B18="Long-distance Commuter Bus",'Transit Inputs'!B18,"")</f>
        <v/>
      </c>
      <c r="C22" s="30" t="str">
        <f>IF(ISBLANK('Transit Inputs'!C18),"",'Transit Inputs'!C18)</f>
        <v/>
      </c>
      <c r="D22" s="18" t="str">
        <f>IF(OR(ISBLANK('Transit Inputs'!D18),ISBLANK('Transit Inputs'!E18)),"",'Transit Inputs'!E18-'Transit Inputs'!D18)</f>
        <v/>
      </c>
      <c r="E22" s="18" t="str">
        <f>IF(OR(ISBLANK('Transit Inputs'!D18),ISBLANK('Transit Inputs'!E18),ISBLANK('Transit Inputs'!M18)),"",CONCATENATE(ROUNDDOWN(('Transit Inputs'!E18+'Transit Inputs'!D18)/2,0),"_",'Transit Inputs'!M18))</f>
        <v/>
      </c>
      <c r="F22" s="18" t="str">
        <f>IF(ISBLANK('Transit Inputs'!K18),"",'Transit Inputs'!K18)</f>
        <v/>
      </c>
      <c r="G22" s="18" t="str">
        <f>IF(ISBLANK('Transit Inputs'!L18),"",'Transit Inputs'!L18)</f>
        <v/>
      </c>
      <c r="H22" s="69" t="str">
        <f>IF(ISBLANK('Transit Inputs'!N18),"",'Transit Inputs'!N18)</f>
        <v/>
      </c>
      <c r="I22" s="69" t="str">
        <f>IFERROR(IF(CommuterBusEmissions[[#This Row],[Fuel Type]]="Gasoline",(VLOOKUP(CommuterBusEmissions[[#This Row],[YearMid_ModelYear]],'Coach Criteria &amp; Toxic'!$D$27:$E$950,2,FALSE)*'Modes of Transportation GHG'!$C$24*'Energy, Fuel, &amp; Travel Prices'!C31),(VLOOKUP(CommuterBusEmissions[[#This Row],[YearMid_ModelYear]],'Coach Criteria &amp; Toxic'!$D$27:$E$950,2,FALSE)*VLOOKUP(CommuterBusEmissions[[#This Row],[Fuel Type]],'Modes of Transportation GHG'!$B$10:$C$18,2,FALSE)))*IF(CommuterBusEmissions[[#This Row],[Hybrid?]]="Yes",0.8,1),"")</f>
        <v/>
      </c>
      <c r="J22" s="69" t="str">
        <f>IFERROR(CommuterBusEmissions[[#This Row],[Year Mid GHG Emission Factor (gCO2e/mile)]]*CommuterBusEmissions[[#This Row],[Annual VMT]]*CommuterBusEmissions[[#This Row],[Useful Life (years)]]/1000000,"")</f>
        <v/>
      </c>
      <c r="K22" s="591" t="str">
        <f>IFERROR(IF(OR(CommuterBusEmissions[[#This Row],[Fuel Type]]="Electric",CommuterBusEmissions[[#This Row],[Fuel Type]]="Hydrogen"),0,(VLOOKUP(CommuterBusEmissions[[#This Row],[YearMid_ModelYear]],'Coach Criteria &amp; Toxic'!$D$27:$M$950,3,FALSE)+VLOOKUP(CommuterBusEmissions[[#This Row],[YearMid_ModelYear]],'Coach Criteria &amp; Toxic'!$D$27:$M$950,4,FALSE))*IF(CommuterBusEmissions[[#This Row],[Hybrid?]]="Yes",0.8,1)),"")</f>
        <v/>
      </c>
      <c r="L22" s="69" t="str">
        <f>IFERROR(CommuterBusEmissions[[#This Row],[Year Mid ROG Emission Factor (g/mile)]]*CommuterBusEmissions[[#This Row],[Annual VMT]]*CommuterBusEmissions[[#This Row],[Useful Life (years)]]/453.59,"")</f>
        <v/>
      </c>
      <c r="M22" s="591" t="str">
        <f>IFERROR(IF(OR(CommuterBusEmissions[[#This Row],[Fuel Type]]="Electric",CommuterBusEmissions[[#This Row],[Fuel Type]]="Hydrogen"),0,(VLOOKUP(CommuterBusEmissions[[#This Row],[YearMid_ModelYear]],'Coach Criteria &amp; Toxic'!$D$27:$M$950,5,FALSE)+VLOOKUP(CommuterBusEmissions[[#This Row],[YearMid_ModelYear]],'Coach Criteria &amp; Toxic'!$D$27:$M$950,6,FALSE))*IF(CommuterBusEmissions[[#This Row],[Hybrid?]]="Yes",0.8,1)),"")</f>
        <v/>
      </c>
      <c r="N22" s="69" t="str">
        <f>IFERROR(CommuterBusEmissions[[#This Row],[Year Mid NOx Emission Factor (g/mile)]]*CommuterBusEmissions[[#This Row],[Annual VMT]]*CommuterBusEmissions[[#This Row],[Useful Life (years)]]/453.59,"")</f>
        <v/>
      </c>
      <c r="O22" s="591" t="str">
        <f>IFERROR(IF(OR(CommuterBusEmissions[[#This Row],[Fuel Type]]="Electric",CommuterBusEmissions[[#This Row],[Fuel Type]]="Hydrogen"),('Coach Criteria &amp; Toxic'!$O$28+0.5*'Coach Criteria &amp; Toxic'!$P$28),(VLOOKUP(CommuterBusEmissions[[#This Row],[YearMid_ModelYear]],'Coach Criteria &amp; Toxic'!$D$27:$M$950,7,FALSE)+VLOOKUP(CommuterBusEmissions[[#This Row],[YearMid_ModelYear]],'Coach Criteria &amp; Toxic'!$D$27:$M$950,8,FALSE))*IF(CommuterBusEmissions[[#This Row],[Hybrid?]]="Yes",0.8,1)+'Coach Criteria &amp; Toxic'!$O$28+'Coach Criteria &amp; Toxic'!$P$28*IF(CommuterBusEmissions[[#This Row],[Hybrid?]]="Yes",0.5,1)),"")</f>
        <v/>
      </c>
      <c r="P22" s="69" t="str">
        <f>IFERROR(CommuterBusEmissions[[#This Row],[Year Mid PM2.5 Emission Factor (g/mile)]]*CommuterBusEmissions[[#This Row],[Annual VMT]]*CommuterBusEmissions[[#This Row],[Useful Life (years)]]/453.59,"")</f>
        <v/>
      </c>
      <c r="Q22" s="69" t="str">
        <f>IFERROR(IF(OR(CommuterBusEmissions[[#This Row],[Fuel Type]]="Diesel",CommuterBusEmissions[[#This Row],[Fuel Type]]="Biodiesel",CommuterBusEmissions[[#This Row],[Fuel Type]]="Renewable Diesel"),VLOOKUP(CommuterBusEmissions[[#This Row],[YearMid_ModelYear]],'Coach Criteria &amp; Toxic'!$D$27:$M$950,9,FALSE)+VLOOKUP(CommuterBusEmissions[[#This Row],[YearMid_ModelYear]],'Coach Criteria &amp; Toxic'!$D$27:$M$950,10,FALSE),IF(CommuterBusEmissions[[#This Row],[Fuel Type]]="","",0))*IF(CommuterBusEmissions[[#This Row],[Hybrid?]]="Yes",0.8,1),"")</f>
        <v/>
      </c>
      <c r="R22" s="69" t="str">
        <f>IFERROR(CommuterBusEmissions[[#This Row],[Year Mid Diesel PM10 Emission Factor (g/mile)]]*CommuterBusEmissions[[#This Row],[Annual VMT]]*CommuterBusEmissions[[#This Row],[Useful Life (years)]]/453.59,"")</f>
        <v/>
      </c>
      <c r="S22" s="69" t="str">
        <f>IFERROR(IF(OR(CommuterBusEmissions[[#This Row],[Fuel Type]]="Electric", CommuterBusEmissions[[#This Row],[Fuel Type]]="Hydrogen"),0,IF(CommuterBusEmissions[[#This Row],[Fuel Type]]="Gasoline",CommuterBusEmissions[[#This Row],[GHG Emissions (MTCO2e)]]*1000000/'Modes of Transportation GHG'!$C$24,CommuterBusEmissions[[#This Row],[GHG Emissions (MTCO2e)]]*1000000/VLOOKUP(CommuterBusEmissions[[#This Row],[Fuel Type]],'Modes of Transportation GHG'!$B$11:$C$16,2,FALSE)*1.14)),"")</f>
        <v/>
      </c>
      <c r="T22" s="599">
        <f>IFERROR(IF(OR(CommuterBusEmissions[[#This Row],[Fuel Type]]="Electric",CommuterBusEmissions[[#This Row],[Fuel Type]]="Hydrogen"),CommuterBusEmissions[[#This Row],[GHG Emissions (MTCO2e)]]*1000000/VLOOKUP(CommuterBusEmissions[[#This Row],[Fuel Type]],'Modes of Transportation GHG'!$B$17:$C$18,2,FALSE)*1.14,0),"")</f>
        <v>0</v>
      </c>
    </row>
    <row r="23" spans="2:20" ht="15.75" x14ac:dyDescent="0.25">
      <c r="F23" s="2"/>
      <c r="G23" s="2"/>
      <c r="H23" s="2"/>
    </row>
    <row r="24" spans="2:20" ht="15.75" x14ac:dyDescent="0.25">
      <c r="B24" s="446" t="s">
        <v>5037</v>
      </c>
      <c r="F24" s="2"/>
      <c r="G24" s="2"/>
      <c r="H24" s="2"/>
    </row>
    <row r="25" spans="2:20" ht="50.25" x14ac:dyDescent="0.35">
      <c r="B25" s="425" t="s">
        <v>135</v>
      </c>
      <c r="C25" s="425" t="s">
        <v>142</v>
      </c>
      <c r="D25" s="425" t="s">
        <v>4738</v>
      </c>
      <c r="E25" s="425" t="s">
        <v>4739</v>
      </c>
      <c r="F25" s="425" t="s">
        <v>4746</v>
      </c>
      <c r="G25" s="425" t="s">
        <v>4763</v>
      </c>
      <c r="H25" s="424" t="s">
        <v>4748</v>
      </c>
      <c r="I25" s="425" t="s">
        <v>4764</v>
      </c>
      <c r="J25" s="424" t="s">
        <v>4750</v>
      </c>
      <c r="K25" s="425" t="s">
        <v>4765</v>
      </c>
      <c r="L25" s="424" t="s">
        <v>4751</v>
      </c>
      <c r="M25" s="425" t="s">
        <v>4766</v>
      </c>
      <c r="N25" s="424" t="s">
        <v>4752</v>
      </c>
      <c r="O25" s="425" t="s">
        <v>4767</v>
      </c>
      <c r="P25" s="424" t="s">
        <v>4753</v>
      </c>
      <c r="Q25" s="425" t="s">
        <v>4788</v>
      </c>
      <c r="R25" s="602" t="s">
        <v>4784</v>
      </c>
    </row>
    <row r="26" spans="2:20" ht="15.75" x14ac:dyDescent="0.25">
      <c r="B26" s="30" t="str">
        <f>IF('Transit Inputs'!B14="Streetcar, Cable Car, or Trolley Bus",'Transit Inputs'!B14,"")</f>
        <v/>
      </c>
      <c r="C26" s="30" t="str">
        <f>IF(ISBLANK('Transit Inputs'!C14),"",'Transit Inputs'!C14)</f>
        <v/>
      </c>
      <c r="D26" s="18" t="str">
        <f>IF(OR(ISBLANK('Transit Inputs'!D14),ISBLANK('Transit Inputs'!E14)),"",'Transit Inputs'!E14-'Transit Inputs'!D14)</f>
        <v/>
      </c>
      <c r="E26" s="18" t="str">
        <f>IF(ISBLANK('Transit Inputs'!K14),"",'Transit Inputs'!K14)</f>
        <v/>
      </c>
      <c r="F26" s="69" t="str">
        <f>IF(ISBLANK('Transit Inputs'!N14),"",'Transit Inputs'!N14)</f>
        <v/>
      </c>
      <c r="G26" s="69" t="str">
        <f>IF(AND(StreetcarEmissions[[#This Row],[New Transit Service or Infrastructure Type]]="Streetcar, Cable Car, or Trolley Bus",StreetcarEmissions[[#This Row],[Fuel Type]]="Electric"),'Locomotive Criteria &amp; Toxic'!$J$21*'Modes of Transportation GHG'!$E$21,"")</f>
        <v/>
      </c>
      <c r="H26" s="69" t="str">
        <f>IFERROR(StreetcarEmissions[[#This Row],[GHG Emission Factor (gCO2e/mile)]]*StreetcarEmissions[[#This Row],[Annual VMT]]*StreetcarEmissions[[#This Row],[Useful Life (years)]]/1000000,"")</f>
        <v/>
      </c>
      <c r="I26" s="590" t="str">
        <f>IF(StreetcarEmissions[[#This Row],[Fuel Type]]="Electric",0,"")</f>
        <v/>
      </c>
      <c r="J26" s="590" t="str">
        <f>IF(StreetcarEmissions[[#This Row],[Fuel Type]]="Electric",0,"")</f>
        <v/>
      </c>
      <c r="K26" s="590" t="str">
        <f>IF(StreetcarEmissions[[#This Row],[Fuel Type]]="Electric",0,"")</f>
        <v/>
      </c>
      <c r="L26" s="590" t="str">
        <f>IF(StreetcarEmissions[[#This Row],[Fuel Type]]="Electric",0,"")</f>
        <v/>
      </c>
      <c r="M26" s="590" t="str">
        <f>IF(StreetcarEmissions[[#This Row],[Fuel Type]]="Electric",0,"")</f>
        <v/>
      </c>
      <c r="N26" s="590" t="str">
        <f>IF(StreetcarEmissions[[#This Row],[Fuel Type]]="Electric",0,"")</f>
        <v/>
      </c>
      <c r="O26" s="590" t="str">
        <f>IF(StreetcarEmissions[[#This Row],[Fuel Type]]="Electric",0,"")</f>
        <v/>
      </c>
      <c r="P26" s="590" t="str">
        <f>IF(StreetcarEmissions[[#This Row],[Fuel Type]]="Electric",0,"")</f>
        <v/>
      </c>
      <c r="Q26" s="590" t="str">
        <f>IF(StreetcarEmissions[[#This Row],[Fuel Type]]="Electric",0,"")</f>
        <v/>
      </c>
      <c r="R26" s="599">
        <f>IFERROR(StreetcarEmissions[[#This Row],[GHG Emissions (MTCO2e)]]*1000000/'Modes of Transportation GHG'!$E$21*1.14,0)</f>
        <v>0</v>
      </c>
    </row>
    <row r="27" spans="2:20" ht="15.75" x14ac:dyDescent="0.25">
      <c r="B27" s="30" t="str">
        <f>IF('Transit Inputs'!B15="Streetcar, Cable Car, or Trolley Bus",'Transit Inputs'!B15,"")</f>
        <v/>
      </c>
      <c r="C27" s="30" t="str">
        <f>IF(ISBLANK('Transit Inputs'!C15),"",'Transit Inputs'!C15)</f>
        <v/>
      </c>
      <c r="D27" s="18" t="str">
        <f>IF(OR(ISBLANK('Transit Inputs'!D15),ISBLANK('Transit Inputs'!E15)),"",'Transit Inputs'!E15-'Transit Inputs'!D15)</f>
        <v/>
      </c>
      <c r="E27" s="18" t="str">
        <f>IF(ISBLANK('Transit Inputs'!K15),"",'Transit Inputs'!K15)</f>
        <v/>
      </c>
      <c r="F27" s="69" t="str">
        <f>IF(ISBLANK('Transit Inputs'!N15),"",'Transit Inputs'!N15)</f>
        <v/>
      </c>
      <c r="G27" s="69" t="str">
        <f>IF(AND(StreetcarEmissions[[#This Row],[New Transit Service or Infrastructure Type]]="Streetcar, Cable Car, or Trolley Bus",StreetcarEmissions[[#This Row],[Fuel Type]]="Electric"),'Locomotive Criteria &amp; Toxic'!$J$21*'Modes of Transportation GHG'!$E$21,"")</f>
        <v/>
      </c>
      <c r="H27" s="69" t="str">
        <f>IFERROR(StreetcarEmissions[[#This Row],[GHG Emission Factor (gCO2e/mile)]]*StreetcarEmissions[[#This Row],[Annual VMT]]*StreetcarEmissions[[#This Row],[Useful Life (years)]]/1000000,"")</f>
        <v/>
      </c>
      <c r="I27" s="590" t="str">
        <f>IF(StreetcarEmissions[[#This Row],[Fuel Type]]="Electric",0,"")</f>
        <v/>
      </c>
      <c r="J27" s="590" t="str">
        <f>IF(StreetcarEmissions[[#This Row],[Fuel Type]]="Electric",0,"")</f>
        <v/>
      </c>
      <c r="K27" s="590" t="str">
        <f>IF(StreetcarEmissions[[#This Row],[Fuel Type]]="Electric",0,"")</f>
        <v/>
      </c>
      <c r="L27" s="590" t="str">
        <f>IF(StreetcarEmissions[[#This Row],[Fuel Type]]="Electric",0,"")</f>
        <v/>
      </c>
      <c r="M27" s="590" t="str">
        <f>IF(StreetcarEmissions[[#This Row],[Fuel Type]]="Electric",0,"")</f>
        <v/>
      </c>
      <c r="N27" s="590" t="str">
        <f>IF(StreetcarEmissions[[#This Row],[Fuel Type]]="Electric",0,"")</f>
        <v/>
      </c>
      <c r="O27" s="590" t="str">
        <f>IF(StreetcarEmissions[[#This Row],[Fuel Type]]="Electric",0,"")</f>
        <v/>
      </c>
      <c r="P27" s="590" t="str">
        <f>IF(StreetcarEmissions[[#This Row],[Fuel Type]]="Electric",0,"")</f>
        <v/>
      </c>
      <c r="Q27" s="590" t="str">
        <f>IF(StreetcarEmissions[[#This Row],[Fuel Type]]="Electric",0,"")</f>
        <v/>
      </c>
      <c r="R27" s="599">
        <f>IFERROR(StreetcarEmissions[[#This Row],[GHG Emissions (MTCO2e)]]*1000000/'Modes of Transportation GHG'!$E$21*1.14,0)</f>
        <v>0</v>
      </c>
    </row>
    <row r="28" spans="2:20" ht="15.75" x14ac:dyDescent="0.25">
      <c r="B28" s="30" t="str">
        <f>IF('Transit Inputs'!B16="Streetcar, Cable Car, or Trolley Bus",'Transit Inputs'!B16,"")</f>
        <v/>
      </c>
      <c r="C28" s="30" t="str">
        <f>IF(ISBLANK('Transit Inputs'!C16),"",'Transit Inputs'!C16)</f>
        <v/>
      </c>
      <c r="D28" s="18" t="str">
        <f>IF(OR(ISBLANK('Transit Inputs'!D16),ISBLANK('Transit Inputs'!E16)),"",'Transit Inputs'!E16-'Transit Inputs'!D16)</f>
        <v/>
      </c>
      <c r="E28" s="18" t="str">
        <f>IF(ISBLANK('Transit Inputs'!K16),"",'Transit Inputs'!K16)</f>
        <v/>
      </c>
      <c r="F28" s="69" t="str">
        <f>IF(ISBLANK('Transit Inputs'!N16),"",'Transit Inputs'!N16)</f>
        <v/>
      </c>
      <c r="G28" s="69" t="str">
        <f>IF(AND(StreetcarEmissions[[#This Row],[New Transit Service or Infrastructure Type]]="Streetcar, Cable Car, or Trolley Bus",StreetcarEmissions[[#This Row],[Fuel Type]]="Electric"),'Locomotive Criteria &amp; Toxic'!$J$21*'Modes of Transportation GHG'!$E$21,"")</f>
        <v/>
      </c>
      <c r="H28" s="69" t="str">
        <f>IFERROR(StreetcarEmissions[[#This Row],[GHG Emission Factor (gCO2e/mile)]]*StreetcarEmissions[[#This Row],[Annual VMT]]*StreetcarEmissions[[#This Row],[Useful Life (years)]]/1000000,"")</f>
        <v/>
      </c>
      <c r="I28" s="590" t="str">
        <f>IF(StreetcarEmissions[[#This Row],[Fuel Type]]="Electric",0,"")</f>
        <v/>
      </c>
      <c r="J28" s="590" t="str">
        <f>IF(StreetcarEmissions[[#This Row],[Fuel Type]]="Electric",0,"")</f>
        <v/>
      </c>
      <c r="K28" s="590" t="str">
        <f>IF(StreetcarEmissions[[#This Row],[Fuel Type]]="Electric",0,"")</f>
        <v/>
      </c>
      <c r="L28" s="590" t="str">
        <f>IF(StreetcarEmissions[[#This Row],[Fuel Type]]="Electric",0,"")</f>
        <v/>
      </c>
      <c r="M28" s="590" t="str">
        <f>IF(StreetcarEmissions[[#This Row],[Fuel Type]]="Electric",0,"")</f>
        <v/>
      </c>
      <c r="N28" s="590" t="str">
        <f>IF(StreetcarEmissions[[#This Row],[Fuel Type]]="Electric",0,"")</f>
        <v/>
      </c>
      <c r="O28" s="590" t="str">
        <f>IF(StreetcarEmissions[[#This Row],[Fuel Type]]="Electric",0,"")</f>
        <v/>
      </c>
      <c r="P28" s="590" t="str">
        <f>IF(StreetcarEmissions[[#This Row],[Fuel Type]]="Electric",0,"")</f>
        <v/>
      </c>
      <c r="Q28" s="590" t="str">
        <f>IF(StreetcarEmissions[[#This Row],[Fuel Type]]="Electric",0,"")</f>
        <v/>
      </c>
      <c r="R28" s="599">
        <f>IFERROR(StreetcarEmissions[[#This Row],[GHG Emissions (MTCO2e)]]*1000000/'Modes of Transportation GHG'!$E$21*1.14,0)</f>
        <v>0</v>
      </c>
    </row>
    <row r="29" spans="2:20" ht="15.75" x14ac:dyDescent="0.25">
      <c r="B29" s="30" t="str">
        <f>IF('Transit Inputs'!B17="Streetcar, Cable Car, or Trolley Bus",'Transit Inputs'!B17,"")</f>
        <v/>
      </c>
      <c r="C29" s="30" t="str">
        <f>IF(ISBLANK('Transit Inputs'!C17),"",'Transit Inputs'!C17)</f>
        <v/>
      </c>
      <c r="D29" s="18" t="str">
        <f>IF(OR(ISBLANK('Transit Inputs'!D17),ISBLANK('Transit Inputs'!E17)),"",'Transit Inputs'!E17-'Transit Inputs'!D17)</f>
        <v/>
      </c>
      <c r="E29" s="18" t="str">
        <f>IF(ISBLANK('Transit Inputs'!K17),"",'Transit Inputs'!K17)</f>
        <v/>
      </c>
      <c r="F29" s="69" t="str">
        <f>IF(ISBLANK('Transit Inputs'!N17),"",'Transit Inputs'!N17)</f>
        <v/>
      </c>
      <c r="G29" s="69" t="str">
        <f>IF(AND(StreetcarEmissions[[#This Row],[New Transit Service or Infrastructure Type]]="Streetcar, Cable Car, or Trolley Bus",StreetcarEmissions[[#This Row],[Fuel Type]]="Electric"),'Locomotive Criteria &amp; Toxic'!$J$21*'Modes of Transportation GHG'!$E$21,"")</f>
        <v/>
      </c>
      <c r="H29" s="69" t="str">
        <f>IFERROR(StreetcarEmissions[[#This Row],[GHG Emission Factor (gCO2e/mile)]]*StreetcarEmissions[[#This Row],[Annual VMT]]*StreetcarEmissions[[#This Row],[Useful Life (years)]]/1000000,"")</f>
        <v/>
      </c>
      <c r="I29" s="590" t="str">
        <f>IF(StreetcarEmissions[[#This Row],[Fuel Type]]="Electric",0,"")</f>
        <v/>
      </c>
      <c r="J29" s="590" t="str">
        <f>IF(StreetcarEmissions[[#This Row],[Fuel Type]]="Electric",0,"")</f>
        <v/>
      </c>
      <c r="K29" s="590" t="str">
        <f>IF(StreetcarEmissions[[#This Row],[Fuel Type]]="Electric",0,"")</f>
        <v/>
      </c>
      <c r="L29" s="590" t="str">
        <f>IF(StreetcarEmissions[[#This Row],[Fuel Type]]="Electric",0,"")</f>
        <v/>
      </c>
      <c r="M29" s="590" t="str">
        <f>IF(StreetcarEmissions[[#This Row],[Fuel Type]]="Electric",0,"")</f>
        <v/>
      </c>
      <c r="N29" s="590" t="str">
        <f>IF(StreetcarEmissions[[#This Row],[Fuel Type]]="Electric",0,"")</f>
        <v/>
      </c>
      <c r="O29" s="590" t="str">
        <f>IF(StreetcarEmissions[[#This Row],[Fuel Type]]="Electric",0,"")</f>
        <v/>
      </c>
      <c r="P29" s="590" t="str">
        <f>IF(StreetcarEmissions[[#This Row],[Fuel Type]]="Electric",0,"")</f>
        <v/>
      </c>
      <c r="Q29" s="590" t="str">
        <f>IF(StreetcarEmissions[[#This Row],[Fuel Type]]="Electric",0,"")</f>
        <v/>
      </c>
      <c r="R29" s="599">
        <f>IFERROR(StreetcarEmissions[[#This Row],[GHG Emissions (MTCO2e)]]*1000000/'Modes of Transportation GHG'!$E$21*1.14,0)</f>
        <v>0</v>
      </c>
    </row>
    <row r="30" spans="2:20" ht="15.75" x14ac:dyDescent="0.25">
      <c r="B30" s="30" t="str">
        <f>IF('Transit Inputs'!B18="Streetcar, Cable Car, or Trolley Bus",'Transit Inputs'!B18,"")</f>
        <v/>
      </c>
      <c r="C30" s="30" t="str">
        <f>IF(ISBLANK('Transit Inputs'!C18),"",'Transit Inputs'!C18)</f>
        <v/>
      </c>
      <c r="D30" s="18" t="str">
        <f>IF(OR(ISBLANK('Transit Inputs'!D18),ISBLANK('Transit Inputs'!E18)),"",'Transit Inputs'!E18-'Transit Inputs'!D18)</f>
        <v/>
      </c>
      <c r="E30" s="18" t="str">
        <f>IF(ISBLANK('Transit Inputs'!K18),"",'Transit Inputs'!K18)</f>
        <v/>
      </c>
      <c r="F30" s="69" t="str">
        <f>IF(ISBLANK('Transit Inputs'!N18),"",'Transit Inputs'!N18)</f>
        <v/>
      </c>
      <c r="G30" s="69" t="str">
        <f>IF(AND(StreetcarEmissions[[#This Row],[New Transit Service or Infrastructure Type]]="Streetcar, Cable Car, or Trolley Bus",StreetcarEmissions[[#This Row],[Fuel Type]]="Electric"),'Locomotive Criteria &amp; Toxic'!$J$21*'Modes of Transportation GHG'!$E$21,"")</f>
        <v/>
      </c>
      <c r="H30" s="69" t="str">
        <f>IFERROR(StreetcarEmissions[[#This Row],[GHG Emission Factor (gCO2e/mile)]]*StreetcarEmissions[[#This Row],[Annual VMT]]*StreetcarEmissions[[#This Row],[Useful Life (years)]]/1000000,"")</f>
        <v/>
      </c>
      <c r="I30" s="590" t="str">
        <f>IF(StreetcarEmissions[[#This Row],[Fuel Type]]="Electric",0,"")</f>
        <v/>
      </c>
      <c r="J30" s="590" t="str">
        <f>IF(StreetcarEmissions[[#This Row],[Fuel Type]]="Electric",0,"")</f>
        <v/>
      </c>
      <c r="K30" s="590" t="str">
        <f>IF(StreetcarEmissions[[#This Row],[Fuel Type]]="Electric",0,"")</f>
        <v/>
      </c>
      <c r="L30" s="590" t="str">
        <f>IF(StreetcarEmissions[[#This Row],[Fuel Type]]="Electric",0,"")</f>
        <v/>
      </c>
      <c r="M30" s="590" t="str">
        <f>IF(StreetcarEmissions[[#This Row],[Fuel Type]]="Electric",0,"")</f>
        <v/>
      </c>
      <c r="N30" s="590" t="str">
        <f>IF(StreetcarEmissions[[#This Row],[Fuel Type]]="Electric",0,"")</f>
        <v/>
      </c>
      <c r="O30" s="590" t="str">
        <f>IF(StreetcarEmissions[[#This Row],[Fuel Type]]="Electric",0,"")</f>
        <v/>
      </c>
      <c r="P30" s="590" t="str">
        <f>IF(StreetcarEmissions[[#This Row],[Fuel Type]]="Electric",0,"")</f>
        <v/>
      </c>
      <c r="Q30" s="590" t="str">
        <f>IF(StreetcarEmissions[[#This Row],[Fuel Type]]="Electric",0,"")</f>
        <v/>
      </c>
      <c r="R30" s="599">
        <f>IFERROR(StreetcarEmissions[[#This Row],[GHG Emissions (MTCO2e)]]*1000000/'Modes of Transportation GHG'!$E$21*1.14,0)</f>
        <v>0</v>
      </c>
    </row>
    <row r="31" spans="2:20" ht="15.75" x14ac:dyDescent="0.25">
      <c r="F31" s="2"/>
      <c r="G31" s="2"/>
      <c r="H31" s="2"/>
    </row>
    <row r="32" spans="2:20" ht="15.75" x14ac:dyDescent="0.25">
      <c r="B32" s="446" t="s">
        <v>4742</v>
      </c>
      <c r="F32" s="2"/>
      <c r="G32" s="2"/>
      <c r="H32" s="2"/>
    </row>
    <row r="33" spans="2:19" ht="50.25" x14ac:dyDescent="0.35">
      <c r="B33" s="425" t="s">
        <v>135</v>
      </c>
      <c r="C33" s="425" t="s">
        <v>142</v>
      </c>
      <c r="D33" s="425" t="s">
        <v>4738</v>
      </c>
      <c r="E33" s="425" t="s">
        <v>4739</v>
      </c>
      <c r="F33" s="425" t="s">
        <v>4746</v>
      </c>
      <c r="G33" s="425" t="s">
        <v>4763</v>
      </c>
      <c r="H33" s="424" t="s">
        <v>4748</v>
      </c>
      <c r="I33" s="425" t="s">
        <v>4764</v>
      </c>
      <c r="J33" s="424" t="s">
        <v>4750</v>
      </c>
      <c r="K33" s="425" t="s">
        <v>4765</v>
      </c>
      <c r="L33" s="424" t="s">
        <v>4751</v>
      </c>
      <c r="M33" s="425" t="s">
        <v>4766</v>
      </c>
      <c r="N33" s="424" t="s">
        <v>4752</v>
      </c>
      <c r="O33" s="425" t="s">
        <v>4767</v>
      </c>
      <c r="P33" s="424" t="s">
        <v>4753</v>
      </c>
      <c r="Q33" s="425" t="s">
        <v>4788</v>
      </c>
      <c r="R33" s="602" t="s">
        <v>4784</v>
      </c>
    </row>
    <row r="34" spans="2:19" ht="15.75" x14ac:dyDescent="0.25">
      <c r="B34" s="30" t="str">
        <f>IF('Transit Inputs'!B14="Light Rail",'Transit Inputs'!B14,"")</f>
        <v/>
      </c>
      <c r="C34" s="30" t="str">
        <f>IF(ISBLANK('Transit Inputs'!C14),"",'Transit Inputs'!C14)</f>
        <v/>
      </c>
      <c r="D34" s="18" t="str">
        <f>IF(OR(ISBLANK('Transit Inputs'!D14),ISBLANK('Transit Inputs'!E14)),"",'Transit Inputs'!E14-'Transit Inputs'!D14)</f>
        <v/>
      </c>
      <c r="E34" s="18" t="str">
        <f>IF(ISBLANK('Transit Inputs'!K14),"",'Transit Inputs'!K14)</f>
        <v/>
      </c>
      <c r="F34" s="69" t="str">
        <f>IF(ISBLANK('Transit Inputs'!N14),"",'Transit Inputs'!N14)</f>
        <v/>
      </c>
      <c r="G34" s="69" t="str">
        <f>IF(AND(LightRailEmissions[[#This Row],[New Transit Service or Infrastructure Type]]="Light Rail",LightRailEmissions[[#This Row],[Fuel Type]]="Electric"),'Locomotive Criteria &amp; Toxic'!$J$21*'Modes of Transportation GHG'!$E$20,"")</f>
        <v/>
      </c>
      <c r="H34" s="69" t="str">
        <f>IFERROR(LightRailEmissions[[#This Row],[GHG Emission Factor (gCO2e/mile)]]*LightRailEmissions[[#This Row],[Annual VMT]]*LightRailEmissions[[#This Row],[Useful Life (years)]]/1000000,"")</f>
        <v/>
      </c>
      <c r="I34" s="590" t="str">
        <f>IF(LightRailEmissions[[#This Row],[Fuel Type]]="Electric",0,"")</f>
        <v/>
      </c>
      <c r="J34" s="590" t="str">
        <f>IF(LightRailEmissions[[#This Row],[Fuel Type]]="Electric",0,"")</f>
        <v/>
      </c>
      <c r="K34" s="590" t="str">
        <f>IF(LightRailEmissions[[#This Row],[Fuel Type]]="Electric",0,"")</f>
        <v/>
      </c>
      <c r="L34" s="590" t="str">
        <f>IF(LightRailEmissions[[#This Row],[Fuel Type]]="Electric",0,"")</f>
        <v/>
      </c>
      <c r="M34" s="590" t="str">
        <f>IF(LightRailEmissions[[#This Row],[Fuel Type]]="Electric",0,"")</f>
        <v/>
      </c>
      <c r="N34" s="590" t="str">
        <f>IF(LightRailEmissions[[#This Row],[Fuel Type]]="Electric",0,"")</f>
        <v/>
      </c>
      <c r="O34" s="590" t="str">
        <f>IF(LightRailEmissions[[#This Row],[Fuel Type]]="Electric",0,"")</f>
        <v/>
      </c>
      <c r="P34" s="590" t="str">
        <f>IF(LightRailEmissions[[#This Row],[Fuel Type]]="Electric",0,"")</f>
        <v/>
      </c>
      <c r="Q34" s="590" t="str">
        <f>IF(LightRailEmissions[[#This Row],[Fuel Type]]="Electric",0,"")</f>
        <v/>
      </c>
      <c r="R34" s="599">
        <f>IFERROR(LightRailEmissions[[#This Row],[GHG Emissions (MTCO2e)]]*1000000/'Modes of Transportation GHG'!$E$20*1.14,0)</f>
        <v>0</v>
      </c>
    </row>
    <row r="35" spans="2:19" ht="15.75" x14ac:dyDescent="0.25">
      <c r="B35" s="30" t="str">
        <f>IF('Transit Inputs'!B15="Light Rail",'Transit Inputs'!B15,"")</f>
        <v/>
      </c>
      <c r="C35" s="30" t="str">
        <f>IF(ISBLANK('Transit Inputs'!C15),"",'Transit Inputs'!C15)</f>
        <v/>
      </c>
      <c r="D35" s="18" t="str">
        <f>IF(OR(ISBLANK('Transit Inputs'!D15),ISBLANK('Transit Inputs'!E15)),"",'Transit Inputs'!E15-'Transit Inputs'!D15)</f>
        <v/>
      </c>
      <c r="E35" s="18" t="str">
        <f>IF(ISBLANK('Transit Inputs'!K15),"",'Transit Inputs'!K15)</f>
        <v/>
      </c>
      <c r="F35" s="69" t="str">
        <f>IF(ISBLANK('Transit Inputs'!N15),"",'Transit Inputs'!N15)</f>
        <v/>
      </c>
      <c r="G35" s="69" t="str">
        <f>IF(AND(LightRailEmissions[[#This Row],[New Transit Service or Infrastructure Type]]="Light Rail",LightRailEmissions[[#This Row],[Fuel Type]]="Electric"),'Locomotive Criteria &amp; Toxic'!$J$21*'Modes of Transportation GHG'!$E$20,"")</f>
        <v/>
      </c>
      <c r="H35" s="69" t="str">
        <f>IFERROR(LightRailEmissions[[#This Row],[GHG Emission Factor (gCO2e/mile)]]*LightRailEmissions[[#This Row],[Annual VMT]]*LightRailEmissions[[#This Row],[Useful Life (years)]]/1000000,"")</f>
        <v/>
      </c>
      <c r="I35" s="590" t="str">
        <f>IF(LightRailEmissions[[#This Row],[Fuel Type]]="Electric",0,"")</f>
        <v/>
      </c>
      <c r="J35" s="590" t="str">
        <f>IF(LightRailEmissions[[#This Row],[Fuel Type]]="Electric",0,"")</f>
        <v/>
      </c>
      <c r="K35" s="590" t="str">
        <f>IF(LightRailEmissions[[#This Row],[Fuel Type]]="Electric",0,"")</f>
        <v/>
      </c>
      <c r="L35" s="590" t="str">
        <f>IF(LightRailEmissions[[#This Row],[Fuel Type]]="Electric",0,"")</f>
        <v/>
      </c>
      <c r="M35" s="590" t="str">
        <f>IF(LightRailEmissions[[#This Row],[Fuel Type]]="Electric",0,"")</f>
        <v/>
      </c>
      <c r="N35" s="590" t="str">
        <f>IF(LightRailEmissions[[#This Row],[Fuel Type]]="Electric",0,"")</f>
        <v/>
      </c>
      <c r="O35" s="590" t="str">
        <f>IF(LightRailEmissions[[#This Row],[Fuel Type]]="Electric",0,"")</f>
        <v/>
      </c>
      <c r="P35" s="590" t="str">
        <f>IF(LightRailEmissions[[#This Row],[Fuel Type]]="Electric",0,"")</f>
        <v/>
      </c>
      <c r="Q35" s="590" t="str">
        <f>IF(LightRailEmissions[[#This Row],[Fuel Type]]="Electric",0,"")</f>
        <v/>
      </c>
      <c r="R35" s="599">
        <f>IFERROR(LightRailEmissions[[#This Row],[GHG Emissions (MTCO2e)]]*1000000/'Modes of Transportation GHG'!$E$20*1.14,0)</f>
        <v>0</v>
      </c>
    </row>
    <row r="36" spans="2:19" ht="15.75" x14ac:dyDescent="0.25">
      <c r="B36" s="30" t="str">
        <f>IF('Transit Inputs'!B16="Light Rail",'Transit Inputs'!B16,"")</f>
        <v/>
      </c>
      <c r="C36" s="30" t="str">
        <f>IF(ISBLANK('Transit Inputs'!C16),"",'Transit Inputs'!C16)</f>
        <v/>
      </c>
      <c r="D36" s="18" t="str">
        <f>IF(OR(ISBLANK('Transit Inputs'!D16),ISBLANK('Transit Inputs'!E16)),"",'Transit Inputs'!E16-'Transit Inputs'!D16)</f>
        <v/>
      </c>
      <c r="E36" s="18" t="str">
        <f>IF(ISBLANK('Transit Inputs'!K16),"",'Transit Inputs'!K16)</f>
        <v/>
      </c>
      <c r="F36" s="69" t="str">
        <f>IF(ISBLANK('Transit Inputs'!N16),"",'Transit Inputs'!N16)</f>
        <v/>
      </c>
      <c r="G36" s="69" t="str">
        <f>IF(AND(LightRailEmissions[[#This Row],[New Transit Service or Infrastructure Type]]="Light Rail",LightRailEmissions[[#This Row],[Fuel Type]]="Electric"),'Locomotive Criteria &amp; Toxic'!$J$21*'Modes of Transportation GHG'!$E$20,"")</f>
        <v/>
      </c>
      <c r="H36" s="69" t="str">
        <f>IFERROR(LightRailEmissions[[#This Row],[GHG Emission Factor (gCO2e/mile)]]*LightRailEmissions[[#This Row],[Annual VMT]]*LightRailEmissions[[#This Row],[Useful Life (years)]]/1000000,"")</f>
        <v/>
      </c>
      <c r="I36" s="590" t="str">
        <f>IF(LightRailEmissions[[#This Row],[Fuel Type]]="Electric",0,"")</f>
        <v/>
      </c>
      <c r="J36" s="590" t="str">
        <f>IF(LightRailEmissions[[#This Row],[Fuel Type]]="Electric",0,"")</f>
        <v/>
      </c>
      <c r="K36" s="590" t="str">
        <f>IF(LightRailEmissions[[#This Row],[Fuel Type]]="Electric",0,"")</f>
        <v/>
      </c>
      <c r="L36" s="590" t="str">
        <f>IF(LightRailEmissions[[#This Row],[Fuel Type]]="Electric",0,"")</f>
        <v/>
      </c>
      <c r="M36" s="590" t="str">
        <f>IF(LightRailEmissions[[#This Row],[Fuel Type]]="Electric",0,"")</f>
        <v/>
      </c>
      <c r="N36" s="590" t="str">
        <f>IF(LightRailEmissions[[#This Row],[Fuel Type]]="Electric",0,"")</f>
        <v/>
      </c>
      <c r="O36" s="590" t="str">
        <f>IF(LightRailEmissions[[#This Row],[Fuel Type]]="Electric",0,"")</f>
        <v/>
      </c>
      <c r="P36" s="590" t="str">
        <f>IF(LightRailEmissions[[#This Row],[Fuel Type]]="Electric",0,"")</f>
        <v/>
      </c>
      <c r="Q36" s="590" t="str">
        <f>IF(LightRailEmissions[[#This Row],[Fuel Type]]="Electric",0,"")</f>
        <v/>
      </c>
      <c r="R36" s="599">
        <f>IFERROR(LightRailEmissions[[#This Row],[GHG Emissions (MTCO2e)]]*1000000/'Modes of Transportation GHG'!$E$20*1.14,0)</f>
        <v>0</v>
      </c>
    </row>
    <row r="37" spans="2:19" ht="15.75" x14ac:dyDescent="0.25">
      <c r="B37" s="30" t="str">
        <f>IF('Transit Inputs'!B17="Light Rail",'Transit Inputs'!B17,"")</f>
        <v/>
      </c>
      <c r="C37" s="30" t="str">
        <f>IF(ISBLANK('Transit Inputs'!C17),"",'Transit Inputs'!C17)</f>
        <v/>
      </c>
      <c r="D37" s="18" t="str">
        <f>IF(OR(ISBLANK('Transit Inputs'!D17),ISBLANK('Transit Inputs'!E17)),"",'Transit Inputs'!E17-'Transit Inputs'!D17)</f>
        <v/>
      </c>
      <c r="E37" s="18" t="str">
        <f>IF(ISBLANK('Transit Inputs'!K17),"",'Transit Inputs'!K17)</f>
        <v/>
      </c>
      <c r="F37" s="69" t="str">
        <f>IF(ISBLANK('Transit Inputs'!N17),"",'Transit Inputs'!N17)</f>
        <v/>
      </c>
      <c r="G37" s="69" t="str">
        <f>IF(AND(LightRailEmissions[[#This Row],[New Transit Service or Infrastructure Type]]="Light Rail",LightRailEmissions[[#This Row],[Fuel Type]]="Electric"),'Locomotive Criteria &amp; Toxic'!$J$21*'Modes of Transportation GHG'!$E$20,"")</f>
        <v/>
      </c>
      <c r="H37" s="69" t="str">
        <f>IFERROR(LightRailEmissions[[#This Row],[GHG Emission Factor (gCO2e/mile)]]*LightRailEmissions[[#This Row],[Annual VMT]]*LightRailEmissions[[#This Row],[Useful Life (years)]]/1000000,"")</f>
        <v/>
      </c>
      <c r="I37" s="590" t="str">
        <f>IF(LightRailEmissions[[#This Row],[Fuel Type]]="Electric",0,"")</f>
        <v/>
      </c>
      <c r="J37" s="590" t="str">
        <f>IF(LightRailEmissions[[#This Row],[Fuel Type]]="Electric",0,"")</f>
        <v/>
      </c>
      <c r="K37" s="590" t="str">
        <f>IF(LightRailEmissions[[#This Row],[Fuel Type]]="Electric",0,"")</f>
        <v/>
      </c>
      <c r="L37" s="590" t="str">
        <f>IF(LightRailEmissions[[#This Row],[Fuel Type]]="Electric",0,"")</f>
        <v/>
      </c>
      <c r="M37" s="590" t="str">
        <f>IF(LightRailEmissions[[#This Row],[Fuel Type]]="Electric",0,"")</f>
        <v/>
      </c>
      <c r="N37" s="590" t="str">
        <f>IF(LightRailEmissions[[#This Row],[Fuel Type]]="Electric",0,"")</f>
        <v/>
      </c>
      <c r="O37" s="590" t="str">
        <f>IF(LightRailEmissions[[#This Row],[Fuel Type]]="Electric",0,"")</f>
        <v/>
      </c>
      <c r="P37" s="590" t="str">
        <f>IF(LightRailEmissions[[#This Row],[Fuel Type]]="Electric",0,"")</f>
        <v/>
      </c>
      <c r="Q37" s="590" t="str">
        <f>IF(LightRailEmissions[[#This Row],[Fuel Type]]="Electric",0,"")</f>
        <v/>
      </c>
      <c r="R37" s="599">
        <f>IFERROR(LightRailEmissions[[#This Row],[GHG Emissions (MTCO2e)]]*1000000/'Modes of Transportation GHG'!$E$20*1.14,0)</f>
        <v>0</v>
      </c>
    </row>
    <row r="38" spans="2:19" ht="15.75" x14ac:dyDescent="0.25">
      <c r="B38" s="30" t="str">
        <f>IF('Transit Inputs'!B18="Light Rail",'Transit Inputs'!B18,"")</f>
        <v/>
      </c>
      <c r="C38" s="30" t="str">
        <f>IF(ISBLANK('Transit Inputs'!C18),"",'Transit Inputs'!C18)</f>
        <v/>
      </c>
      <c r="D38" s="18" t="str">
        <f>IF(OR(ISBLANK('Transit Inputs'!D18),ISBLANK('Transit Inputs'!E18)),"",'Transit Inputs'!E18-'Transit Inputs'!D18)</f>
        <v/>
      </c>
      <c r="E38" s="18" t="str">
        <f>IF(ISBLANK('Transit Inputs'!K18),"",'Transit Inputs'!K18)</f>
        <v/>
      </c>
      <c r="F38" s="69" t="str">
        <f>IF(ISBLANK('Transit Inputs'!N18),"",'Transit Inputs'!N18)</f>
        <v/>
      </c>
      <c r="G38" s="69" t="str">
        <f>IF(AND(LightRailEmissions[[#This Row],[New Transit Service or Infrastructure Type]]="Light Rail",LightRailEmissions[[#This Row],[Fuel Type]]="Electric"),'Locomotive Criteria &amp; Toxic'!$J$21*'Modes of Transportation GHG'!$E$20,"")</f>
        <v/>
      </c>
      <c r="H38" s="69" t="str">
        <f>IFERROR(LightRailEmissions[[#This Row],[GHG Emission Factor (gCO2e/mile)]]*LightRailEmissions[[#This Row],[Annual VMT]]*LightRailEmissions[[#This Row],[Useful Life (years)]]/1000000,"")</f>
        <v/>
      </c>
      <c r="I38" s="590" t="str">
        <f>IF(LightRailEmissions[[#This Row],[Fuel Type]]="Electric",0,"")</f>
        <v/>
      </c>
      <c r="J38" s="590" t="str">
        <f>IF(LightRailEmissions[[#This Row],[Fuel Type]]="Electric",0,"")</f>
        <v/>
      </c>
      <c r="K38" s="590" t="str">
        <f>IF(LightRailEmissions[[#This Row],[Fuel Type]]="Electric",0,"")</f>
        <v/>
      </c>
      <c r="L38" s="590" t="str">
        <f>IF(LightRailEmissions[[#This Row],[Fuel Type]]="Electric",0,"")</f>
        <v/>
      </c>
      <c r="M38" s="590" t="str">
        <f>IF(LightRailEmissions[[#This Row],[Fuel Type]]="Electric",0,"")</f>
        <v/>
      </c>
      <c r="N38" s="590" t="str">
        <f>IF(LightRailEmissions[[#This Row],[Fuel Type]]="Electric",0,"")</f>
        <v/>
      </c>
      <c r="O38" s="590" t="str">
        <f>IF(LightRailEmissions[[#This Row],[Fuel Type]]="Electric",0,"")</f>
        <v/>
      </c>
      <c r="P38" s="590" t="str">
        <f>IF(LightRailEmissions[[#This Row],[Fuel Type]]="Electric",0,"")</f>
        <v/>
      </c>
      <c r="Q38" s="590" t="str">
        <f>IF(LightRailEmissions[[#This Row],[Fuel Type]]="Electric",0,"")</f>
        <v/>
      </c>
      <c r="R38" s="599">
        <f>IFERROR(LightRailEmissions[[#This Row],[GHG Emissions (MTCO2e)]]*1000000/'Modes of Transportation GHG'!$E$20*1.14,0)</f>
        <v>0</v>
      </c>
    </row>
    <row r="39" spans="2:19" ht="15.75" x14ac:dyDescent="0.25">
      <c r="F39" s="2"/>
      <c r="G39" s="2"/>
      <c r="H39" s="2"/>
    </row>
    <row r="40" spans="2:19" ht="15.75" x14ac:dyDescent="0.25">
      <c r="B40" s="446" t="s">
        <v>5040</v>
      </c>
      <c r="F40" s="2"/>
      <c r="G40" s="2"/>
      <c r="H40" s="2"/>
    </row>
    <row r="41" spans="2:19" ht="51.75" x14ac:dyDescent="0.35">
      <c r="B41" s="425" t="s">
        <v>135</v>
      </c>
      <c r="C41" s="425" t="s">
        <v>142</v>
      </c>
      <c r="D41" s="425" t="s">
        <v>4738</v>
      </c>
      <c r="E41" s="425" t="s">
        <v>4739</v>
      </c>
      <c r="F41" s="425" t="s">
        <v>4749</v>
      </c>
      <c r="G41" s="425" t="s">
        <v>4746</v>
      </c>
      <c r="H41" s="425" t="s">
        <v>4763</v>
      </c>
      <c r="I41" s="424" t="s">
        <v>4748</v>
      </c>
      <c r="J41" s="425" t="s">
        <v>4764</v>
      </c>
      <c r="K41" s="424" t="s">
        <v>4750</v>
      </c>
      <c r="L41" s="425" t="s">
        <v>4765</v>
      </c>
      <c r="M41" s="424" t="s">
        <v>4751</v>
      </c>
      <c r="N41" s="425" t="s">
        <v>4766</v>
      </c>
      <c r="O41" s="424" t="s">
        <v>4752</v>
      </c>
      <c r="P41" s="425" t="s">
        <v>4767</v>
      </c>
      <c r="Q41" s="424" t="s">
        <v>4753</v>
      </c>
      <c r="R41" s="425" t="s">
        <v>4788</v>
      </c>
      <c r="S41" s="602" t="s">
        <v>4784</v>
      </c>
    </row>
    <row r="42" spans="2:19" ht="15.75" x14ac:dyDescent="0.25">
      <c r="B42" s="30" t="str">
        <f>IF('Transit Inputs'!B14="Heavy Rail",'Transit Inputs'!B14,"")</f>
        <v/>
      </c>
      <c r="C42" s="30" t="str">
        <f>IF(ISBLANK('Transit Inputs'!C14),"",'Transit Inputs'!C14)</f>
        <v/>
      </c>
      <c r="D42" s="18" t="str">
        <f>IF(OR(ISBLANK('Transit Inputs'!D14),ISBLANK('Transit Inputs'!E14)),"",'Transit Inputs'!E14-'Transit Inputs'!D14)</f>
        <v/>
      </c>
      <c r="E42" s="18" t="str">
        <f>IF(ISBLANK('Transit Inputs'!K14),"",'Transit Inputs'!K14)</f>
        <v/>
      </c>
      <c r="F42" s="18" t="str">
        <f>IF(ISBLANK('Transit Inputs'!L14),"",'Transit Inputs'!L14)</f>
        <v/>
      </c>
      <c r="G42" s="69" t="str">
        <f>IF(ISBLANK('Transit Inputs'!N14),"",'Transit Inputs'!N14)</f>
        <v/>
      </c>
      <c r="H42" s="69" t="str">
        <f>IFERROR('Locomotive Criteria &amp; Toxic'!$J$21*(IF(TrainEmissions[[#This Row],[Fuel Type]]="Electric",'Modes of Transportation GHG'!$E$19,VLOOKUP(TrainEmissions[[#This Row],[Fuel Type]],'Modes of Transportation GHG'!$B$11:$E$17,4,FALSE)))*IF(TrainEmissions[[#This Row],[Hybrid?]]="Yes",0.8,1),"")</f>
        <v/>
      </c>
      <c r="I42" s="69" t="str">
        <f>IFERROR(TrainEmissions[[#This Row],[GHG Emission Factor (gCO2e/mile)]]*TrainEmissions[[#This Row],[Annual VMT]]*TrainEmissions[[#This Row],[Useful Life (years)]]/1000000,"")</f>
        <v/>
      </c>
      <c r="J42" s="591" t="str">
        <f>IF(TrainEmissions[[#This Row],[New Transit Service or Infrastructure Type]]="Heavy Rail",IF(OR(TrainEmissions[[#This Row],[Fuel Type]]="Electric",TrainEmissions[[#This Row],[Fuel Type]]="Hydrogen"),0,('Locomotive Criteria &amp; Toxic'!$D$27*'Locomotive Criteria &amp; Toxic'!$J$25*'Locomotive Criteria &amp; Toxic'!$J$21))*IF(TrainEmissions[[#This Row],[Hybrid?]]="Yes",0.8,1),"")</f>
        <v/>
      </c>
      <c r="K42" s="69" t="str">
        <f>IFERROR(TrainEmissions[[#This Row],[ROG Emission Factor (g/mile)]]*TrainEmissions[[#This Row],[Annual VMT]]*TrainEmissions[[#This Row],[Useful Life (years)]]/453.59,"")</f>
        <v/>
      </c>
      <c r="L42" s="591" t="str">
        <f>IF(TrainEmissions[[#This Row],[New Transit Service or Infrastructure Type]]="Heavy Rail",IF(OR(TrainEmissions[[#This Row],[Fuel Type]]="Electric",TrainEmissions[[#This Row],[Fuel Type]]="Hydrogen"),0,('Locomotive Criteria &amp; Toxic'!$E$27*'Locomotive Criteria &amp; Toxic'!$J$25*'Locomotive Criteria &amp; Toxic'!$J$21))*IF(TrainEmissions[[#This Row],[Hybrid?]]="Yes",0.8,1),"")</f>
        <v/>
      </c>
      <c r="M42" s="69" t="str">
        <f>IFERROR(TrainEmissions[[#This Row],[NOx Emission Factor (g/mile)]]*TrainEmissions[[#This Row],[Annual VMT]]*TrainEmissions[[#This Row],[Useful Life (years)]]/453.59,"")</f>
        <v/>
      </c>
      <c r="N42" s="591" t="str">
        <f>IF(TrainEmissions[[#This Row],[New Transit Service or Infrastructure Type]]="Heavy Rail",IF(OR(TrainEmissions[[#This Row],[Fuel Type]]="Electric",TrainEmissions[[#This Row],[Fuel Type]]="Hydrogen"),0,('Locomotive Criteria &amp; Toxic'!$F$27*'Locomotive Criteria &amp; Toxic'!$J$25*'Locomotive Criteria &amp; Toxic'!$J$21))*IF(TrainEmissions[[#This Row],[Hybrid?]]="Yes",0.8,1),"")</f>
        <v/>
      </c>
      <c r="O42" s="69" t="str">
        <f>IFERROR(TrainEmissions[[#This Row],[PM2.5 Emission Factor (g/mile)]]*TrainEmissions[[#This Row],[Annual VMT]]*TrainEmissions[[#This Row],[Useful Life (years)]]/453.59,"")</f>
        <v/>
      </c>
      <c r="P42" s="591" t="str">
        <f>IF(TrainEmissions[[#This Row],[New Transit Service or Infrastructure Type]]="Heavy Rail",IF(OR(TrainEmissions[[#This Row],[Fuel Type]]="Electric",TrainEmissions[[#This Row],[Fuel Type]]="Hydrogen"),0,('Locomotive Criteria &amp; Toxic'!$G$27*'Locomotive Criteria &amp; Toxic'!$J$25*'Locomotive Criteria &amp; Toxic'!$J$21))*IF(TrainEmissions[[#This Row],[Hybrid?]]="Yes",0.8,1),"")</f>
        <v/>
      </c>
      <c r="Q42" s="69" t="str">
        <f>IFERROR(TrainEmissions[[#This Row],[Diesel PM10 Emission Factor (g/mile)]]*TrainEmissions[[#This Row],[Annual VMT]]*TrainEmissions[[#This Row],[Useful Life (years)]]/453.59,"")</f>
        <v/>
      </c>
      <c r="R42" s="69" t="str">
        <f>IFERROR(IF(OR(TrainEmissions[[#This Row],[Fuel Type]]="Electric", TrainEmissions[[#This Row],[Fuel Type]]="Hydrogen"),0,TrainEmissions[[#This Row],[GHG Emissions (MTCO2e)]]*1000000/VLOOKUP(TrainEmissions[[#This Row],[Fuel Type]],'Modes of Transportation GHG'!$B$11:$E$17,4,FALSE)*1.14),"")</f>
        <v/>
      </c>
      <c r="S42" s="599">
        <f>IFERROR(IF(TrainEmissions[[#This Row],[Fuel Type]]="Electric",TrainEmissions[[#This Row],[GHG Emissions (MTCO2e)]]*1000000/'Modes of Transportation GHG'!$E$19*1.14,IF(TrainEmissions[[#This Row],[Fuel Type]]="Hydrogen",TrainEmissions[[#This Row],[GHG Emissions (MTCO2e)]]*1000000/'Modes of Transportation GHG'!$E$17*1.14,0)),"")</f>
        <v>0</v>
      </c>
    </row>
    <row r="43" spans="2:19" ht="15.75" x14ac:dyDescent="0.25">
      <c r="B43" s="30" t="str">
        <f>IF('Transit Inputs'!B15="Heavy Rail",'Transit Inputs'!B15,"")</f>
        <v/>
      </c>
      <c r="C43" s="30" t="str">
        <f>IF(ISBLANK('Transit Inputs'!C15),"",'Transit Inputs'!C15)</f>
        <v/>
      </c>
      <c r="D43" s="18" t="str">
        <f>IF(OR(ISBLANK('Transit Inputs'!D15),ISBLANK('Transit Inputs'!E15)),"",'Transit Inputs'!E15-'Transit Inputs'!D15)</f>
        <v/>
      </c>
      <c r="E43" s="18" t="str">
        <f>IF(ISBLANK('Transit Inputs'!K15),"",'Transit Inputs'!K15)</f>
        <v/>
      </c>
      <c r="F43" s="18" t="str">
        <f>IF(ISBLANK('Transit Inputs'!L15),"",'Transit Inputs'!L15)</f>
        <v/>
      </c>
      <c r="G43" s="69" t="str">
        <f>IF(ISBLANK('Transit Inputs'!N15),"",'Transit Inputs'!N15)</f>
        <v/>
      </c>
      <c r="H43" s="69" t="str">
        <f>IFERROR('Locomotive Criteria &amp; Toxic'!$J$21*(IF(TrainEmissions[[#This Row],[Fuel Type]]="Electric",'Modes of Transportation GHG'!$E$19,VLOOKUP(TrainEmissions[[#This Row],[Fuel Type]],'Modes of Transportation GHG'!$B$11:$E$17,4,FALSE)))*IF(TrainEmissions[[#This Row],[Hybrid?]]="Yes",0.8,1),"")</f>
        <v/>
      </c>
      <c r="I43" s="69" t="str">
        <f>IFERROR(TrainEmissions[[#This Row],[GHG Emission Factor (gCO2e/mile)]]*TrainEmissions[[#This Row],[Annual VMT]]*TrainEmissions[[#This Row],[Useful Life (years)]]/1000000,"")</f>
        <v/>
      </c>
      <c r="J43" s="591" t="str">
        <f>IF(TrainEmissions[[#This Row],[New Transit Service or Infrastructure Type]]="Heavy Rail",IF(OR(TrainEmissions[[#This Row],[Fuel Type]]="Electric",TrainEmissions[[#This Row],[Fuel Type]]="Hydrogen"),0,('Locomotive Criteria &amp; Toxic'!$D$27*'Locomotive Criteria &amp; Toxic'!$J$25*'Locomotive Criteria &amp; Toxic'!$J$21))*IF(TrainEmissions[[#This Row],[Hybrid?]]="Yes",0.8,1),"")</f>
        <v/>
      </c>
      <c r="K43" s="69" t="str">
        <f>IFERROR(TrainEmissions[[#This Row],[ROG Emission Factor (g/mile)]]*TrainEmissions[[#This Row],[Annual VMT]]*TrainEmissions[[#This Row],[Useful Life (years)]]/453.59,"")</f>
        <v/>
      </c>
      <c r="L43" s="591" t="str">
        <f>IF(TrainEmissions[[#This Row],[New Transit Service or Infrastructure Type]]="Heavy Rail",IF(OR(TrainEmissions[[#This Row],[Fuel Type]]="Electric",TrainEmissions[[#This Row],[Fuel Type]]="Hydrogen"),0,('Locomotive Criteria &amp; Toxic'!$E$27*'Locomotive Criteria &amp; Toxic'!$J$25*'Locomotive Criteria &amp; Toxic'!$J$21))*IF(TrainEmissions[[#This Row],[Hybrid?]]="Yes",0.8,1),"")</f>
        <v/>
      </c>
      <c r="M43" s="69" t="str">
        <f>IFERROR(TrainEmissions[[#This Row],[NOx Emission Factor (g/mile)]]*TrainEmissions[[#This Row],[Annual VMT]]*TrainEmissions[[#This Row],[Useful Life (years)]]/453.59,"")</f>
        <v/>
      </c>
      <c r="N43" s="591" t="str">
        <f>IF(TrainEmissions[[#This Row],[New Transit Service or Infrastructure Type]]="Heavy Rail",IF(OR(TrainEmissions[[#This Row],[Fuel Type]]="Electric",TrainEmissions[[#This Row],[Fuel Type]]="Hydrogen"),0,('Locomotive Criteria &amp; Toxic'!$F$27*'Locomotive Criteria &amp; Toxic'!$J$25*'Locomotive Criteria &amp; Toxic'!$J$21))*IF(TrainEmissions[[#This Row],[Hybrid?]]="Yes",0.8,1),"")</f>
        <v/>
      </c>
      <c r="O43" s="69" t="str">
        <f>IFERROR(TrainEmissions[[#This Row],[PM2.5 Emission Factor (g/mile)]]*TrainEmissions[[#This Row],[Annual VMT]]*TrainEmissions[[#This Row],[Useful Life (years)]]/453.59,"")</f>
        <v/>
      </c>
      <c r="P43" s="591" t="str">
        <f>IF(TrainEmissions[[#This Row],[New Transit Service or Infrastructure Type]]="Heavy Rail",IF(OR(TrainEmissions[[#This Row],[Fuel Type]]="Electric",TrainEmissions[[#This Row],[Fuel Type]]="Hydrogen"),0,('Locomotive Criteria &amp; Toxic'!$G$27*'Locomotive Criteria &amp; Toxic'!$J$25*'Locomotive Criteria &amp; Toxic'!$J$21))*IF(TrainEmissions[[#This Row],[Hybrid?]]="Yes",0.8,1),"")</f>
        <v/>
      </c>
      <c r="Q43" s="69" t="str">
        <f>IFERROR(TrainEmissions[[#This Row],[Diesel PM10 Emission Factor (g/mile)]]*TrainEmissions[[#This Row],[Annual VMT]]*TrainEmissions[[#This Row],[Useful Life (years)]]/453.59,"")</f>
        <v/>
      </c>
      <c r="R43" s="69" t="str">
        <f>IFERROR(IF(OR(TrainEmissions[[#This Row],[Fuel Type]]="Electric", TrainEmissions[[#This Row],[Fuel Type]]="Hydrogen"),0,TrainEmissions[[#This Row],[GHG Emissions (MTCO2e)]]*1000000/VLOOKUP(TrainEmissions[[#This Row],[Fuel Type]],'Modes of Transportation GHG'!$B$11:$E$17,4,FALSE)*1.14),"")</f>
        <v/>
      </c>
      <c r="S43" s="599">
        <f>IFERROR(IF(TrainEmissions[[#This Row],[Fuel Type]]="Electric",TrainEmissions[[#This Row],[GHG Emissions (MTCO2e)]]*1000000/'Modes of Transportation GHG'!$E$19*1.14,IF(TrainEmissions[[#This Row],[Fuel Type]]="Hydrogen",TrainEmissions[[#This Row],[GHG Emissions (MTCO2e)]]*1000000/'Modes of Transportation GHG'!$E$17*1.14,0)),"")</f>
        <v>0</v>
      </c>
    </row>
    <row r="44" spans="2:19" ht="15.75" x14ac:dyDescent="0.25">
      <c r="B44" s="30" t="str">
        <f>IF('Transit Inputs'!B16="Heavy Rail",'Transit Inputs'!B16,"")</f>
        <v/>
      </c>
      <c r="C44" s="30" t="str">
        <f>IF(ISBLANK('Transit Inputs'!C16),"",'Transit Inputs'!C16)</f>
        <v/>
      </c>
      <c r="D44" s="18" t="str">
        <f>IF(OR(ISBLANK('Transit Inputs'!D16),ISBLANK('Transit Inputs'!E16)),"",'Transit Inputs'!E16-'Transit Inputs'!D16)</f>
        <v/>
      </c>
      <c r="E44" s="18" t="str">
        <f>IF(ISBLANK('Transit Inputs'!K16),"",'Transit Inputs'!K16)</f>
        <v/>
      </c>
      <c r="F44" s="18" t="str">
        <f>IF(ISBLANK('Transit Inputs'!L16),"",'Transit Inputs'!L16)</f>
        <v/>
      </c>
      <c r="G44" s="69" t="str">
        <f>IF(ISBLANK('Transit Inputs'!N16),"",'Transit Inputs'!N16)</f>
        <v/>
      </c>
      <c r="H44" s="69" t="str">
        <f>IFERROR('Locomotive Criteria &amp; Toxic'!$J$21*(IF(TrainEmissions[[#This Row],[Fuel Type]]="Electric",'Modes of Transportation GHG'!$E$19,VLOOKUP(TrainEmissions[[#This Row],[Fuel Type]],'Modes of Transportation GHG'!$B$11:$E$17,4,FALSE)))*IF(TrainEmissions[[#This Row],[Hybrid?]]="Yes",0.8,1),"")</f>
        <v/>
      </c>
      <c r="I44" s="69" t="str">
        <f>IFERROR(TrainEmissions[[#This Row],[GHG Emission Factor (gCO2e/mile)]]*TrainEmissions[[#This Row],[Annual VMT]]*TrainEmissions[[#This Row],[Useful Life (years)]]/1000000,"")</f>
        <v/>
      </c>
      <c r="J44" s="591" t="str">
        <f>IF(TrainEmissions[[#This Row],[New Transit Service or Infrastructure Type]]="Heavy Rail",IF(OR(TrainEmissions[[#This Row],[Fuel Type]]="Electric",TrainEmissions[[#This Row],[Fuel Type]]="Hydrogen"),0,('Locomotive Criteria &amp; Toxic'!$D$27*'Locomotive Criteria &amp; Toxic'!$J$25*'Locomotive Criteria &amp; Toxic'!$J$21))*IF(TrainEmissions[[#This Row],[Hybrid?]]="Yes",0.8,1),"")</f>
        <v/>
      </c>
      <c r="K44" s="69" t="str">
        <f>IFERROR(TrainEmissions[[#This Row],[ROG Emission Factor (g/mile)]]*TrainEmissions[[#This Row],[Annual VMT]]*TrainEmissions[[#This Row],[Useful Life (years)]]/453.59,"")</f>
        <v/>
      </c>
      <c r="L44" s="591" t="str">
        <f>IF(TrainEmissions[[#This Row],[New Transit Service or Infrastructure Type]]="Heavy Rail",IF(OR(TrainEmissions[[#This Row],[Fuel Type]]="Electric",TrainEmissions[[#This Row],[Fuel Type]]="Hydrogen"),0,('Locomotive Criteria &amp; Toxic'!$E$27*'Locomotive Criteria &amp; Toxic'!$J$25*'Locomotive Criteria &amp; Toxic'!$J$21))*IF(TrainEmissions[[#This Row],[Hybrid?]]="Yes",0.8,1),"")</f>
        <v/>
      </c>
      <c r="M44" s="69" t="str">
        <f>IFERROR(TrainEmissions[[#This Row],[NOx Emission Factor (g/mile)]]*TrainEmissions[[#This Row],[Annual VMT]]*TrainEmissions[[#This Row],[Useful Life (years)]]/453.59,"")</f>
        <v/>
      </c>
      <c r="N44" s="591" t="str">
        <f>IF(TrainEmissions[[#This Row],[New Transit Service or Infrastructure Type]]="Heavy Rail",IF(OR(TrainEmissions[[#This Row],[Fuel Type]]="Electric",TrainEmissions[[#This Row],[Fuel Type]]="Hydrogen"),0,('Locomotive Criteria &amp; Toxic'!$F$27*'Locomotive Criteria &amp; Toxic'!$J$25*'Locomotive Criteria &amp; Toxic'!$J$21))*IF(TrainEmissions[[#This Row],[Hybrid?]]="Yes",0.8,1),"")</f>
        <v/>
      </c>
      <c r="O44" s="69" t="str">
        <f>IFERROR(TrainEmissions[[#This Row],[PM2.5 Emission Factor (g/mile)]]*TrainEmissions[[#This Row],[Annual VMT]]*TrainEmissions[[#This Row],[Useful Life (years)]]/453.59,"")</f>
        <v/>
      </c>
      <c r="P44" s="591" t="str">
        <f>IF(TrainEmissions[[#This Row],[New Transit Service or Infrastructure Type]]="Heavy Rail",IF(OR(TrainEmissions[[#This Row],[Fuel Type]]="Electric",TrainEmissions[[#This Row],[Fuel Type]]="Hydrogen"),0,('Locomotive Criteria &amp; Toxic'!$G$27*'Locomotive Criteria &amp; Toxic'!$J$25*'Locomotive Criteria &amp; Toxic'!$J$21))*IF(TrainEmissions[[#This Row],[Hybrid?]]="Yes",0.8,1),"")</f>
        <v/>
      </c>
      <c r="Q44" s="69" t="str">
        <f>IFERROR(TrainEmissions[[#This Row],[Diesel PM10 Emission Factor (g/mile)]]*TrainEmissions[[#This Row],[Annual VMT]]*TrainEmissions[[#This Row],[Useful Life (years)]]/453.59,"")</f>
        <v/>
      </c>
      <c r="R44" s="69" t="str">
        <f>IFERROR(IF(OR(TrainEmissions[[#This Row],[Fuel Type]]="Electric", TrainEmissions[[#This Row],[Fuel Type]]="Hydrogen"),0,TrainEmissions[[#This Row],[GHG Emissions (MTCO2e)]]*1000000/VLOOKUP(TrainEmissions[[#This Row],[Fuel Type]],'Modes of Transportation GHG'!$B$11:$E$17,4,FALSE)*1.14),"")</f>
        <v/>
      </c>
      <c r="S44" s="599">
        <f>IFERROR(IF(TrainEmissions[[#This Row],[Fuel Type]]="Electric",TrainEmissions[[#This Row],[GHG Emissions (MTCO2e)]]*1000000/'Modes of Transportation GHG'!$E$19*1.14,IF(TrainEmissions[[#This Row],[Fuel Type]]="Hydrogen",TrainEmissions[[#This Row],[GHG Emissions (MTCO2e)]]*1000000/'Modes of Transportation GHG'!$E$17*1.14,0)),"")</f>
        <v>0</v>
      </c>
    </row>
    <row r="45" spans="2:19" ht="15.75" x14ac:dyDescent="0.25">
      <c r="B45" s="30" t="str">
        <f>IF('Transit Inputs'!B17="Heavy Rail",'Transit Inputs'!B17,"")</f>
        <v/>
      </c>
      <c r="C45" s="30" t="str">
        <f>IF(ISBLANK('Transit Inputs'!C17),"",'Transit Inputs'!C17)</f>
        <v/>
      </c>
      <c r="D45" s="18" t="str">
        <f>IF(OR(ISBLANK('Transit Inputs'!D17),ISBLANK('Transit Inputs'!E17)),"",'Transit Inputs'!E17-'Transit Inputs'!D17)</f>
        <v/>
      </c>
      <c r="E45" s="18" t="str">
        <f>IF(ISBLANK('Transit Inputs'!K17),"",'Transit Inputs'!K17)</f>
        <v/>
      </c>
      <c r="F45" s="18" t="str">
        <f>IF(ISBLANK('Transit Inputs'!L17),"",'Transit Inputs'!L17)</f>
        <v/>
      </c>
      <c r="G45" s="69" t="str">
        <f>IF(ISBLANK('Transit Inputs'!N17),"",'Transit Inputs'!N17)</f>
        <v/>
      </c>
      <c r="H45" s="69" t="str">
        <f>IFERROR('Locomotive Criteria &amp; Toxic'!$J$21*(IF(TrainEmissions[[#This Row],[Fuel Type]]="Electric",'Modes of Transportation GHG'!$E$19,VLOOKUP(TrainEmissions[[#This Row],[Fuel Type]],'Modes of Transportation GHG'!$B$11:$E$17,4,FALSE)))*IF(TrainEmissions[[#This Row],[Hybrid?]]="Yes",0.8,1),"")</f>
        <v/>
      </c>
      <c r="I45" s="69" t="str">
        <f>IFERROR(TrainEmissions[[#This Row],[GHG Emission Factor (gCO2e/mile)]]*TrainEmissions[[#This Row],[Annual VMT]]*TrainEmissions[[#This Row],[Useful Life (years)]]/1000000,"")</f>
        <v/>
      </c>
      <c r="J45" s="591" t="str">
        <f>IF(TrainEmissions[[#This Row],[New Transit Service or Infrastructure Type]]="Heavy Rail",IF(OR(TrainEmissions[[#This Row],[Fuel Type]]="Electric",TrainEmissions[[#This Row],[Fuel Type]]="Hydrogen"),0,('Locomotive Criteria &amp; Toxic'!$D$27*'Locomotive Criteria &amp; Toxic'!$J$25*'Locomotive Criteria &amp; Toxic'!$J$21))*IF(TrainEmissions[[#This Row],[Hybrid?]]="Yes",0.8,1),"")</f>
        <v/>
      </c>
      <c r="K45" s="69" t="str">
        <f>IFERROR(TrainEmissions[[#This Row],[ROG Emission Factor (g/mile)]]*TrainEmissions[[#This Row],[Annual VMT]]*TrainEmissions[[#This Row],[Useful Life (years)]]/453.59,"")</f>
        <v/>
      </c>
      <c r="L45" s="591" t="str">
        <f>IF(TrainEmissions[[#This Row],[New Transit Service or Infrastructure Type]]="Heavy Rail",IF(OR(TrainEmissions[[#This Row],[Fuel Type]]="Electric",TrainEmissions[[#This Row],[Fuel Type]]="Hydrogen"),0,('Locomotive Criteria &amp; Toxic'!$E$27*'Locomotive Criteria &amp; Toxic'!$J$25*'Locomotive Criteria &amp; Toxic'!$J$21))*IF(TrainEmissions[[#This Row],[Hybrid?]]="Yes",0.8,1),"")</f>
        <v/>
      </c>
      <c r="M45" s="69" t="str">
        <f>IFERROR(TrainEmissions[[#This Row],[NOx Emission Factor (g/mile)]]*TrainEmissions[[#This Row],[Annual VMT]]*TrainEmissions[[#This Row],[Useful Life (years)]]/453.59,"")</f>
        <v/>
      </c>
      <c r="N45" s="591" t="str">
        <f>IF(TrainEmissions[[#This Row],[New Transit Service or Infrastructure Type]]="Heavy Rail",IF(OR(TrainEmissions[[#This Row],[Fuel Type]]="Electric",TrainEmissions[[#This Row],[Fuel Type]]="Hydrogen"),0,('Locomotive Criteria &amp; Toxic'!$F$27*'Locomotive Criteria &amp; Toxic'!$J$25*'Locomotive Criteria &amp; Toxic'!$J$21))*IF(TrainEmissions[[#This Row],[Hybrid?]]="Yes",0.8,1),"")</f>
        <v/>
      </c>
      <c r="O45" s="69" t="str">
        <f>IFERROR(TrainEmissions[[#This Row],[PM2.5 Emission Factor (g/mile)]]*TrainEmissions[[#This Row],[Annual VMT]]*TrainEmissions[[#This Row],[Useful Life (years)]]/453.59,"")</f>
        <v/>
      </c>
      <c r="P45" s="591" t="str">
        <f>IF(TrainEmissions[[#This Row],[New Transit Service or Infrastructure Type]]="Heavy Rail",IF(OR(TrainEmissions[[#This Row],[Fuel Type]]="Electric",TrainEmissions[[#This Row],[Fuel Type]]="Hydrogen"),0,('Locomotive Criteria &amp; Toxic'!$G$27*'Locomotive Criteria &amp; Toxic'!$J$25*'Locomotive Criteria &amp; Toxic'!$J$21))*IF(TrainEmissions[[#This Row],[Hybrid?]]="Yes",0.8,1),"")</f>
        <v/>
      </c>
      <c r="Q45" s="69" t="str">
        <f>IFERROR(TrainEmissions[[#This Row],[Diesel PM10 Emission Factor (g/mile)]]*TrainEmissions[[#This Row],[Annual VMT]]*TrainEmissions[[#This Row],[Useful Life (years)]]/453.59,"")</f>
        <v/>
      </c>
      <c r="R45" s="69" t="str">
        <f>IFERROR(IF(OR(TrainEmissions[[#This Row],[Fuel Type]]="Electric", TrainEmissions[[#This Row],[Fuel Type]]="Hydrogen"),0,TrainEmissions[[#This Row],[GHG Emissions (MTCO2e)]]*1000000/VLOOKUP(TrainEmissions[[#This Row],[Fuel Type]],'Modes of Transportation GHG'!$B$11:$E$17,4,FALSE)*1.14),"")</f>
        <v/>
      </c>
      <c r="S45" s="599">
        <f>IFERROR(IF(TrainEmissions[[#This Row],[Fuel Type]]="Electric",TrainEmissions[[#This Row],[GHG Emissions (MTCO2e)]]*1000000/'Modes of Transportation GHG'!$E$19*1.14,IF(TrainEmissions[[#This Row],[Fuel Type]]="Hydrogen",TrainEmissions[[#This Row],[GHG Emissions (MTCO2e)]]*1000000/'Modes of Transportation GHG'!$E$17*1.14,0)),"")</f>
        <v>0</v>
      </c>
    </row>
    <row r="46" spans="2:19" ht="15.75" x14ac:dyDescent="0.25">
      <c r="B46" s="30" t="str">
        <f>IF('Transit Inputs'!B18="Heavy Rail",'Transit Inputs'!B18,"")</f>
        <v/>
      </c>
      <c r="C46" s="30" t="str">
        <f>IF(ISBLANK('Transit Inputs'!C18),"",'Transit Inputs'!C18)</f>
        <v/>
      </c>
      <c r="D46" s="18" t="str">
        <f>IF(OR(ISBLANK('Transit Inputs'!D18),ISBLANK('Transit Inputs'!E18)),"",'Transit Inputs'!E18-'Transit Inputs'!D18)</f>
        <v/>
      </c>
      <c r="E46" s="18" t="str">
        <f>IF(ISBLANK('Transit Inputs'!K18),"",'Transit Inputs'!K18)</f>
        <v/>
      </c>
      <c r="F46" s="18" t="str">
        <f>IF(ISBLANK('Transit Inputs'!L18),"",'Transit Inputs'!L18)</f>
        <v/>
      </c>
      <c r="G46" s="69" t="str">
        <f>IF(ISBLANK('Transit Inputs'!N18),"",'Transit Inputs'!N18)</f>
        <v/>
      </c>
      <c r="H46" s="69" t="str">
        <f>IFERROR('Locomotive Criteria &amp; Toxic'!$J$21*(IF(TrainEmissions[[#This Row],[Fuel Type]]="Electric",'Modes of Transportation GHG'!$E$19,VLOOKUP(TrainEmissions[[#This Row],[Fuel Type]],'Modes of Transportation GHG'!$B$11:$E$17,4,FALSE)))*IF(TrainEmissions[[#This Row],[Hybrid?]]="Yes",0.8,1),"")</f>
        <v/>
      </c>
      <c r="I46" s="69" t="str">
        <f>IFERROR(TrainEmissions[[#This Row],[GHG Emission Factor (gCO2e/mile)]]*TrainEmissions[[#This Row],[Annual VMT]]*TrainEmissions[[#This Row],[Useful Life (years)]]/1000000,"")</f>
        <v/>
      </c>
      <c r="J46" s="591" t="str">
        <f>IF(TrainEmissions[[#This Row],[New Transit Service or Infrastructure Type]]="Heavy Rail",IF(OR(TrainEmissions[[#This Row],[Fuel Type]]="Electric",TrainEmissions[[#This Row],[Fuel Type]]="Hydrogen"),0,('Locomotive Criteria &amp; Toxic'!$D$27*'Locomotive Criteria &amp; Toxic'!$J$25*'Locomotive Criteria &amp; Toxic'!$J$21))*IF(TrainEmissions[[#This Row],[Hybrid?]]="Yes",0.8,1),"")</f>
        <v/>
      </c>
      <c r="K46" s="69" t="str">
        <f>IFERROR(TrainEmissions[[#This Row],[ROG Emission Factor (g/mile)]]*TrainEmissions[[#This Row],[Annual VMT]]*TrainEmissions[[#This Row],[Useful Life (years)]]/453.59,"")</f>
        <v/>
      </c>
      <c r="L46" s="591" t="str">
        <f>IF(TrainEmissions[[#This Row],[New Transit Service or Infrastructure Type]]="Heavy Rail",IF(OR(TrainEmissions[[#This Row],[Fuel Type]]="Electric",TrainEmissions[[#This Row],[Fuel Type]]="Hydrogen"),0,('Locomotive Criteria &amp; Toxic'!$E$27*'Locomotive Criteria &amp; Toxic'!$J$25*'Locomotive Criteria &amp; Toxic'!$J$21))*IF(TrainEmissions[[#This Row],[Hybrid?]]="Yes",0.8,1),"")</f>
        <v/>
      </c>
      <c r="M46" s="69" t="str">
        <f>IFERROR(TrainEmissions[[#This Row],[NOx Emission Factor (g/mile)]]*TrainEmissions[[#This Row],[Annual VMT]]*TrainEmissions[[#This Row],[Useful Life (years)]]/453.59,"")</f>
        <v/>
      </c>
      <c r="N46" s="591" t="str">
        <f>IF(TrainEmissions[[#This Row],[New Transit Service or Infrastructure Type]]="Heavy Rail",IF(OR(TrainEmissions[[#This Row],[Fuel Type]]="Electric",TrainEmissions[[#This Row],[Fuel Type]]="Hydrogen"),0,('Locomotive Criteria &amp; Toxic'!$F$27*'Locomotive Criteria &amp; Toxic'!$J$25*'Locomotive Criteria &amp; Toxic'!$J$21))*IF(TrainEmissions[[#This Row],[Hybrid?]]="Yes",0.8,1),"")</f>
        <v/>
      </c>
      <c r="O46" s="69" t="str">
        <f>IFERROR(TrainEmissions[[#This Row],[PM2.5 Emission Factor (g/mile)]]*TrainEmissions[[#This Row],[Annual VMT]]*TrainEmissions[[#This Row],[Useful Life (years)]]/453.59,"")</f>
        <v/>
      </c>
      <c r="P46" s="591" t="str">
        <f>IF(TrainEmissions[[#This Row],[New Transit Service or Infrastructure Type]]="Heavy Rail",IF(OR(TrainEmissions[[#This Row],[Fuel Type]]="Electric",TrainEmissions[[#This Row],[Fuel Type]]="Hydrogen"),0,('Locomotive Criteria &amp; Toxic'!$G$27*'Locomotive Criteria &amp; Toxic'!$J$25*'Locomotive Criteria &amp; Toxic'!$J$21))*IF(TrainEmissions[[#This Row],[Hybrid?]]="Yes",0.8,1),"")</f>
        <v/>
      </c>
      <c r="Q46" s="69" t="str">
        <f>IFERROR(TrainEmissions[[#This Row],[Diesel PM10 Emission Factor (g/mile)]]*TrainEmissions[[#This Row],[Annual VMT]]*TrainEmissions[[#This Row],[Useful Life (years)]]/453.59,"")</f>
        <v/>
      </c>
      <c r="R46" s="69" t="str">
        <f>IFERROR(IF(OR(TrainEmissions[[#This Row],[Fuel Type]]="Electric", TrainEmissions[[#This Row],[Fuel Type]]="Hydrogen"),0,TrainEmissions[[#This Row],[GHG Emissions (MTCO2e)]]*1000000/VLOOKUP(TrainEmissions[[#This Row],[Fuel Type]],'Modes of Transportation GHG'!$B$11:$E$17,4,FALSE)*1.14),"")</f>
        <v/>
      </c>
      <c r="S46" s="599">
        <f>IFERROR(IF(TrainEmissions[[#This Row],[Fuel Type]]="Electric",TrainEmissions[[#This Row],[GHG Emissions (MTCO2e)]]*1000000/'Modes of Transportation GHG'!$E$19*1.14,IF(TrainEmissions[[#This Row],[Fuel Type]]="Hydrogen",TrainEmissions[[#This Row],[GHG Emissions (MTCO2e)]]*1000000/'Modes of Transportation GHG'!$E$17*1.14,0)),"")</f>
        <v>0</v>
      </c>
    </row>
    <row r="47" spans="2:19" ht="15.75" x14ac:dyDescent="0.25">
      <c r="F47" s="2"/>
      <c r="G47" s="2"/>
      <c r="H47" s="2"/>
    </row>
    <row r="48" spans="2:19" ht="15.75" x14ac:dyDescent="0.25">
      <c r="B48" s="446" t="s">
        <v>4743</v>
      </c>
      <c r="F48" s="2"/>
      <c r="G48" s="2"/>
      <c r="H48" s="2"/>
    </row>
    <row r="49" spans="2:20" ht="51.75" x14ac:dyDescent="0.35">
      <c r="B49" s="425" t="s">
        <v>135</v>
      </c>
      <c r="C49" s="425" t="s">
        <v>142</v>
      </c>
      <c r="D49" s="425" t="s">
        <v>4738</v>
      </c>
      <c r="E49" s="425" t="s">
        <v>4721</v>
      </c>
      <c r="F49" s="425" t="s">
        <v>4739</v>
      </c>
      <c r="G49" s="425" t="s">
        <v>4749</v>
      </c>
      <c r="H49" s="425" t="s">
        <v>4746</v>
      </c>
      <c r="I49" s="425" t="s">
        <v>4715</v>
      </c>
      <c r="J49" s="424" t="s">
        <v>4748</v>
      </c>
      <c r="K49" s="425" t="s">
        <v>4716</v>
      </c>
      <c r="L49" s="424" t="s">
        <v>4750</v>
      </c>
      <c r="M49" s="425" t="s">
        <v>4717</v>
      </c>
      <c r="N49" s="424" t="s">
        <v>4751</v>
      </c>
      <c r="O49" s="425" t="s">
        <v>4718</v>
      </c>
      <c r="P49" s="424" t="s">
        <v>4752</v>
      </c>
      <c r="Q49" s="425" t="s">
        <v>4719</v>
      </c>
      <c r="R49" s="424" t="s">
        <v>4753</v>
      </c>
      <c r="S49" s="425" t="s">
        <v>4788</v>
      </c>
      <c r="T49" s="425" t="s">
        <v>4784</v>
      </c>
    </row>
    <row r="50" spans="2:20" ht="15.75" x14ac:dyDescent="0.25">
      <c r="B50" s="30" t="str">
        <f>IF('Transit Inputs'!B14="Vanpool",'Transit Inputs'!B14,"")</f>
        <v/>
      </c>
      <c r="C50" s="30" t="str">
        <f>IF(ISBLANK('Transit Inputs'!C14),"",'Transit Inputs'!C14)</f>
        <v/>
      </c>
      <c r="D50" s="18" t="str">
        <f>IF(OR(ISBLANK('Transit Inputs'!D14),ISBLANK('Transit Inputs'!E14)),"",'Transit Inputs'!E14-'Transit Inputs'!D14)</f>
        <v/>
      </c>
      <c r="E50" s="18" t="str">
        <f>IF(OR(ISBLANK('Transit Inputs'!D14),ISBLANK('Transit Inputs'!E14),ISBLANK('Transit Inputs'!M14)),"",CONCATENATE(ROUNDDOWN(('Transit Inputs'!E14+'Transit Inputs'!D14)/2,0),"_",'Transit Inputs'!M14))</f>
        <v/>
      </c>
      <c r="F50" s="18" t="str">
        <f>IF(ISBLANK('Transit Inputs'!K14),"",'Transit Inputs'!K14)</f>
        <v/>
      </c>
      <c r="G50" s="18" t="str">
        <f>IF(ISBLANK('Transit Inputs'!L14),"",'Transit Inputs'!L14)</f>
        <v/>
      </c>
      <c r="H50" s="69" t="str">
        <f>IF(ISBLANK('Transit Inputs'!N14),"",'Transit Inputs'!N14)</f>
        <v/>
      </c>
      <c r="I50" s="591" t="str">
        <f>IFERROR(IF(VanEmissions[[#This Row],[Fuel Type]]="Gasoline",VLOOKUP(VanEmissions[[#This Row],[YearMid_ModelYear]],'Van Criteria &amp; Toxic'!$D$29:$Q$1646,3,FALSE)*11518.14,VLOOKUP(VanEmissions[[#This Row],[YearMid_ModelYear]],'Van Criteria &amp; Toxic'!$D$29:$Q$1646,2,FALSE)*VLOOKUP(VanEmissions[[#This Row],[Fuel Type]],GallonEquivalents[[Fuel Type]:[Units per DGE]],2,FALSE)*IF(VanEmissions[[#This Row],[Fuel Type]]="Biodiesel",3894.89,IF(VanEmissions[[#This Row],[Fuel Type]]="Compressed Natural Gas",77.63,IF(VanEmissions[[#This Row],[Fuel Type]]="Diesel",13507.51,IF(VanEmissions[[#This Row],[Fuel Type]]="Electric",293.36,IF(VanEmissions[[#This Row],[Fuel Type]]="Hydrogen",13393.2,IF(VanEmissions[[#This Row],[Fuel Type]]="Liquefied Natural Gas",8489.99,IF(VanEmissions[[#This Row],[Fuel Type]]="Renewable Diesel",4178.62,""))))))))*IF(VanEmissions[[#This Row],[Hybrid?]]="Yes",0.8,1),"")</f>
        <v/>
      </c>
      <c r="J50" s="69" t="str">
        <f>IFERROR(VanEmissions[[#This Row],[Year Mid GHG Emission Factor (gCO2e/mile)]]*VanEmissions[[#This Row],[Annual VMT]]*VanEmissions[[#This Row],[Useful Life (years)]]/1000000,"")</f>
        <v/>
      </c>
      <c r="K50" s="591" t="str">
        <f>IFERROR(IF(OR(VanEmissions[[#This Row],[Fuel Type]]="Electric",VanEmissions[[#This Row],[Fuel Type]]="Hydrogen"),0,IF(VanEmissions[[#This Row],[Fuel Type]]="Gasoline",VLOOKUP(VanEmissions[[#This Row],[YearMid_ModelYear]],'Van Criteria &amp; Toxic'!$D$30:$Q$1646,5,FALSE),VLOOKUP(VanEmissions[[#This Row],[YearMid_ModelYear]],'Van Criteria &amp; Toxic'!$D$30:$Q$1646,4,FALSE)))*IF(VanEmissions[[#This Row],[Hybrid?]]="Yes",0.8,1),"")</f>
        <v/>
      </c>
      <c r="L50" s="69" t="str">
        <f>IFERROR(VanEmissions[[#This Row],[Year Mid ROG Emission Factor (g/mile)]]*VanEmissions[[#This Row],[Annual VMT]]*VanEmissions[[#This Row],[Useful Life (years)]]/453.59,"")</f>
        <v/>
      </c>
      <c r="M50" s="591" t="str">
        <f>IFERROR(IF(OR(VanEmissions[[#This Row],[Fuel Type]]="Electric",VanEmissions[[#This Row],[Fuel Type]]="Hydrogen"),0,IF(VanEmissions[[#This Row],[Fuel Type]]="Gasoline",VLOOKUP(VanEmissions[[#This Row],[YearMid_ModelYear]],'Van Criteria &amp; Toxic'!$D$30:$Q$1646,7,FALSE),VLOOKUP(VanEmissions[[#This Row],[YearMid_ModelYear]],'Van Criteria &amp; Toxic'!$D$30:$Q$1646,6,FALSE)))*IF(VanEmissions[[#This Row],[Hybrid?]]="Yes",0.8,1),"")</f>
        <v/>
      </c>
      <c r="N50" s="69" t="str">
        <f>IFERROR(VanEmissions[[#This Row],[Year Mid NOx Emission Factor (g/mile)]]*VanEmissions[[#This Row],[Annual VMT]]*VanEmissions[[#This Row],[Useful Life (years)]]/453.59,"")</f>
        <v/>
      </c>
      <c r="O50" s="591" t="str">
        <f>IFERROR(IF(OR(VanEmissions[[#This Row],[Fuel Type]]="Electric",VanEmissions[[#This Row],[Fuel Type]]="Hydrogen"),VLOOKUP(VanEmissions[[#This Row],[YearMid_ModelYear]],'Van Criteria &amp; Toxic'!$D$30:$Q$1646,10,FALSE)+VLOOKUP(VanEmissions[[#This Row],[YearMid_ModelYear]],'Van Criteria &amp; Toxic'!$D$30:$Q$1646,12,FALSE)*0.5,IF(VanEmissions[[#This Row],[Fuel Type]]="Gasoline",VLOOKUP(VanEmissions[[#This Row],[YearMid_ModelYear]],'Van Criteria &amp; Toxic'!$D$30:$Q$1646,9,FALSE)*IF(VanEmissions[[#This Row],[Hybrid?]]="Yes",0.8,1)+VLOOKUP(VanEmissions[[#This Row],[YearMid_ModelYear]],'Van Criteria &amp; Toxic'!$D$30:$Q$1646,11,FALSE)+VLOOKUP(VanEmissions[[#This Row],[YearMid_ModelYear]],'Van Criteria &amp; Toxic'!$D$30:$Q$1646,13,FALSE)*IF(VanEmissions[[#This Row],[Hybrid?]]="Yes",0.5,1),VLOOKUP(VanEmissions[[#This Row],[YearMid_ModelYear]],'Van Criteria &amp; Toxic'!$D$30:$Q$1646,8,FALSE)*IF(VanEmissions[[#This Row],[Hybrid?]]="Yes",0.8,1)+VLOOKUP(VanEmissions[[#This Row],[YearMid_ModelYear]],'Van Criteria &amp; Toxic'!$D$30:$Q$1646,10,FALSE)+VLOOKUP(VanEmissions[[#This Row],[YearMid_ModelYear]],'Van Criteria &amp; Toxic'!$D$30:$Q$1646,12,FALSE)*IF(VanEmissions[[#This Row],[Hybrid?]]="Yes",0.5,1))),"")</f>
        <v/>
      </c>
      <c r="P50" s="69" t="str">
        <f>IFERROR(VanEmissions[[#This Row],[Year Mid PM2.5 Emission Factor (g/mile)]]*VanEmissions[[#This Row],[Annual VMT]]*VanEmissions[[#This Row],[Useful Life (years)]]/453.59,"")</f>
        <v/>
      </c>
      <c r="Q50" s="591" t="str">
        <f>IFERROR(IF(VanEmissions[[#This Row],[New Transit Service or Infrastructure Type]]="","",IF(OR(VanEmissions[[#This Row],[Fuel Type]]="Diesel",VanEmissions[[#This Row],[Fuel Type]]="Biodiesel",VanEmissions[[#This Row],[Fuel Type]]="Renewable Diesel"),VLOOKUP(VanEmissions[[#This Row],[YearMid_ModelYear]],'Van Criteria &amp; Toxic'!$D$30:$Q$1646,14,FALSE)*IF(VanEmissions[[#This Row],[Hybrid?]]="Yes",0.8,1),0)),"")</f>
        <v/>
      </c>
      <c r="R50" s="69" t="str">
        <f>IFERROR(VanEmissions[[#This Row],[Year Mid Diesel PM10 Emission Factor (g/mile)]]*VanEmissions[[#This Row],[Annual VMT]]*VanEmissions[[#This Row],[Useful Life (years)]]/453.59,"")</f>
        <v/>
      </c>
      <c r="S50" s="69" t="str">
        <f>IFERROR(IF(OR(VanEmissions[[#This Row],[Fuel Type]]="Electric",VanEmissions[[#This Row],[Fuel Type]]="Hydrogen"),0,1000000*VanEmissions[[#This Row],[GHG Emissions (MTCO2e)]]*IF(VanEmissions[[#This Row],[Fuel Type]]="Gasoline",VLOOKUP(VanEmissions[[#This Row],[YearMid_ModelYear]],'Van Criteria &amp; Toxic'!$D$29:$Q$1646,3,FALSE),VLOOKUP(VanEmissions[[#This Row],[YearMid_ModelYear]],'Van Criteria &amp; Toxic'!$D$29:$Q$1646,2,FALSE)/0.78)/VanEmissions[[#This Row],[Year Mid GHG Emission Factor (gCO2e/mile)]]),"")</f>
        <v/>
      </c>
      <c r="T50" s="69">
        <f>IFERROR(IF(OR(VanEmissions[[#This Row],[Fuel Type]]="Electric",VanEmissions[[#This Row],[Fuel Type]]="Hydrogen"),1000000*VanEmissions[[#This Row],[GHG Emissions (MTCO2e)]]*VLOOKUP(VanEmissions[[#This Row],[YearMid_ModelYear]],'Van Criteria &amp; Toxic'!$D$29:$Q$1646,2,FALSE)/(0.78*VanEmissions[[#This Row],[Year Mid GHG Emission Factor (gCO2e/mile)]]),0),"")</f>
        <v>0</v>
      </c>
    </row>
    <row r="51" spans="2:20" ht="15.75" x14ac:dyDescent="0.25">
      <c r="B51" s="30" t="str">
        <f>IF('Transit Inputs'!B15="Vanpool",'Transit Inputs'!B15,"")</f>
        <v/>
      </c>
      <c r="C51" s="30" t="str">
        <f>IF(ISBLANK('Transit Inputs'!C15),"",'Transit Inputs'!C15)</f>
        <v/>
      </c>
      <c r="D51" s="18" t="str">
        <f>IF(OR(ISBLANK('Transit Inputs'!D15),ISBLANK('Transit Inputs'!E15)),"",'Transit Inputs'!E15-'Transit Inputs'!D15)</f>
        <v/>
      </c>
      <c r="E51" s="18" t="str">
        <f>IF(OR(ISBLANK('Transit Inputs'!D15),ISBLANK('Transit Inputs'!E15),ISBLANK('Transit Inputs'!M15)),"",CONCATENATE(ROUNDDOWN(('Transit Inputs'!E15+'Transit Inputs'!D15)/2,0),"_",'Transit Inputs'!M15))</f>
        <v/>
      </c>
      <c r="F51" s="18" t="str">
        <f>IF(ISBLANK('Transit Inputs'!K15),"",'Transit Inputs'!K15)</f>
        <v/>
      </c>
      <c r="G51" s="18" t="str">
        <f>IF(ISBLANK('Transit Inputs'!L15),"",'Transit Inputs'!L15)</f>
        <v/>
      </c>
      <c r="H51" s="69" t="str">
        <f>IF(ISBLANK('Transit Inputs'!N15),"",'Transit Inputs'!N15)</f>
        <v/>
      </c>
      <c r="I51" s="591" t="str">
        <f>IFERROR(IF(VanEmissions[[#This Row],[Fuel Type]]="Gasoline",VLOOKUP(VanEmissions[[#This Row],[YearMid_ModelYear]],'Van Criteria &amp; Toxic'!$D$29:$Q$1646,3,FALSE)*11518.14,VLOOKUP(VanEmissions[[#This Row],[YearMid_ModelYear]],'Van Criteria &amp; Toxic'!$D$29:$Q$1646,2,FALSE)*VLOOKUP(VanEmissions[[#This Row],[Fuel Type]],GallonEquivalents[[Fuel Type]:[Units per DGE]],2,FALSE)*IF(VanEmissions[[#This Row],[Fuel Type]]="Biodiesel",3894.89,IF(VanEmissions[[#This Row],[Fuel Type]]="Compressed Natural Gas",77.63,IF(VanEmissions[[#This Row],[Fuel Type]]="Diesel",13507.51,IF(VanEmissions[[#This Row],[Fuel Type]]="Electric",293.36,IF(VanEmissions[[#This Row],[Fuel Type]]="Hydrogen",13393.2,IF(VanEmissions[[#This Row],[Fuel Type]]="Liquefied Natural Gas",8489.99,IF(VanEmissions[[#This Row],[Fuel Type]]="Renewable Diesel",4178.62,""))))))))*IF(VanEmissions[[#This Row],[Hybrid?]]="Yes",0.8,1),"")</f>
        <v/>
      </c>
      <c r="J51" s="69" t="str">
        <f>IFERROR(VanEmissions[[#This Row],[Year Mid GHG Emission Factor (gCO2e/mile)]]*VanEmissions[[#This Row],[Annual VMT]]*VanEmissions[[#This Row],[Useful Life (years)]]/1000000,"")</f>
        <v/>
      </c>
      <c r="K51" s="591" t="str">
        <f>IFERROR(IF(OR(VanEmissions[[#This Row],[Fuel Type]]="Electric",VanEmissions[[#This Row],[Fuel Type]]="Hydrogen"),0,IF(VanEmissions[[#This Row],[Fuel Type]]="Gasoline",VLOOKUP(VanEmissions[[#This Row],[YearMid_ModelYear]],'Van Criteria &amp; Toxic'!$D$30:$Q$1646,5,FALSE),VLOOKUP(VanEmissions[[#This Row],[YearMid_ModelYear]],'Van Criteria &amp; Toxic'!$D$30:$Q$1646,4,FALSE)))*IF(VanEmissions[[#This Row],[Hybrid?]]="Yes",0.8,1),"")</f>
        <v/>
      </c>
      <c r="L51" s="69" t="str">
        <f>IFERROR(VanEmissions[[#This Row],[Year Mid ROG Emission Factor (g/mile)]]*VanEmissions[[#This Row],[Annual VMT]]*VanEmissions[[#This Row],[Useful Life (years)]]/453.59,"")</f>
        <v/>
      </c>
      <c r="M51" s="591" t="str">
        <f>IFERROR(IF(OR(VanEmissions[[#This Row],[Fuel Type]]="Electric",VanEmissions[[#This Row],[Fuel Type]]="Hydrogen"),0,IF(VanEmissions[[#This Row],[Fuel Type]]="Gasoline",VLOOKUP(VanEmissions[[#This Row],[YearMid_ModelYear]],'Van Criteria &amp; Toxic'!$D$30:$Q$1646,7,FALSE),VLOOKUP(VanEmissions[[#This Row],[YearMid_ModelYear]],'Van Criteria &amp; Toxic'!$D$30:$Q$1646,6,FALSE)))*IF(VanEmissions[[#This Row],[Hybrid?]]="Yes",0.8,1),"")</f>
        <v/>
      </c>
      <c r="N51" s="69" t="str">
        <f>IFERROR(VanEmissions[[#This Row],[Year Mid NOx Emission Factor (g/mile)]]*VanEmissions[[#This Row],[Annual VMT]]*VanEmissions[[#This Row],[Useful Life (years)]]/453.59,"")</f>
        <v/>
      </c>
      <c r="O51" s="591" t="str">
        <f>IFERROR(IF(OR(VanEmissions[[#This Row],[Fuel Type]]="Electric",VanEmissions[[#This Row],[Fuel Type]]="Hydrogen"),VLOOKUP(VanEmissions[[#This Row],[YearMid_ModelYear]],'Van Criteria &amp; Toxic'!$D$30:$Q$1646,10,FALSE)+VLOOKUP(VanEmissions[[#This Row],[YearMid_ModelYear]],'Van Criteria &amp; Toxic'!$D$30:$Q$1646,12,FALSE)*0.5,IF(VanEmissions[[#This Row],[Fuel Type]]="Gasoline",VLOOKUP(VanEmissions[[#This Row],[YearMid_ModelYear]],'Van Criteria &amp; Toxic'!$D$30:$Q$1646,9,FALSE)*IF(VanEmissions[[#This Row],[Hybrid?]]="Yes",0.8,1)+VLOOKUP(VanEmissions[[#This Row],[YearMid_ModelYear]],'Van Criteria &amp; Toxic'!$D$30:$Q$1646,11,FALSE)+VLOOKUP(VanEmissions[[#This Row],[YearMid_ModelYear]],'Van Criteria &amp; Toxic'!$D$30:$Q$1646,13,FALSE)*IF(VanEmissions[[#This Row],[Hybrid?]]="Yes",0.5,1),VLOOKUP(VanEmissions[[#This Row],[YearMid_ModelYear]],'Van Criteria &amp; Toxic'!$D$30:$Q$1646,8,FALSE)*IF(VanEmissions[[#This Row],[Hybrid?]]="Yes",0.8,1)+VLOOKUP(VanEmissions[[#This Row],[YearMid_ModelYear]],'Van Criteria &amp; Toxic'!$D$30:$Q$1646,10,FALSE)+VLOOKUP(VanEmissions[[#This Row],[YearMid_ModelYear]],'Van Criteria &amp; Toxic'!$D$30:$Q$1646,12,FALSE)*IF(VanEmissions[[#This Row],[Hybrid?]]="Yes",0.5,1))),"")</f>
        <v/>
      </c>
      <c r="P51" s="69" t="str">
        <f>IFERROR(VanEmissions[[#This Row],[Year Mid PM2.5 Emission Factor (g/mile)]]*VanEmissions[[#This Row],[Annual VMT]]*VanEmissions[[#This Row],[Useful Life (years)]]/453.59,"")</f>
        <v/>
      </c>
      <c r="Q51" s="591" t="str">
        <f>IFERROR(IF(VanEmissions[[#This Row],[New Transit Service or Infrastructure Type]]="","",IF(OR(VanEmissions[[#This Row],[Fuel Type]]="Diesel",VanEmissions[[#This Row],[Fuel Type]]="Biodiesel",VanEmissions[[#This Row],[Fuel Type]]="Renewable Diesel"),VLOOKUP(VanEmissions[[#This Row],[YearMid_ModelYear]],'Van Criteria &amp; Toxic'!$D$30:$Q$1646,14,FALSE)*IF(VanEmissions[[#This Row],[Hybrid?]]="Yes",0.8,1),0)),"")</f>
        <v/>
      </c>
      <c r="R51" s="69" t="str">
        <f>IFERROR(VanEmissions[[#This Row],[Year Mid Diesel PM10 Emission Factor (g/mile)]]*VanEmissions[[#This Row],[Annual VMT]]*VanEmissions[[#This Row],[Useful Life (years)]]/453.59,"")</f>
        <v/>
      </c>
      <c r="S51" s="69" t="str">
        <f>IFERROR(IF(OR(VanEmissions[[#This Row],[Fuel Type]]="Electric",VanEmissions[[#This Row],[Fuel Type]]="Hydrogen"),0,1000000*VanEmissions[[#This Row],[GHG Emissions (MTCO2e)]]*IF(VanEmissions[[#This Row],[Fuel Type]]="Gasoline",VLOOKUP(VanEmissions[[#This Row],[YearMid_ModelYear]],'Van Criteria &amp; Toxic'!$D$29:$Q$1646,3,FALSE),VLOOKUP(VanEmissions[[#This Row],[YearMid_ModelYear]],'Van Criteria &amp; Toxic'!$D$29:$Q$1646,2,FALSE)/0.78)/VanEmissions[[#This Row],[Year Mid GHG Emission Factor (gCO2e/mile)]]),"")</f>
        <v/>
      </c>
      <c r="T51" s="69">
        <f>IFERROR(IF(OR(VanEmissions[[#This Row],[Fuel Type]]="Electric",VanEmissions[[#This Row],[Fuel Type]]="Hydrogen"),1000000*VanEmissions[[#This Row],[GHG Emissions (MTCO2e)]]*VLOOKUP(VanEmissions[[#This Row],[YearMid_ModelYear]],'Van Criteria &amp; Toxic'!$D$29:$Q$1646,2,FALSE)/(0.78*VanEmissions[[#This Row],[Year Mid GHG Emission Factor (gCO2e/mile)]]),0),"")</f>
        <v>0</v>
      </c>
    </row>
    <row r="52" spans="2:20" ht="15.75" x14ac:dyDescent="0.25">
      <c r="B52" s="30" t="str">
        <f>IF('Transit Inputs'!B16="Vanpool",'Transit Inputs'!B16,"")</f>
        <v/>
      </c>
      <c r="C52" s="30" t="str">
        <f>IF(ISBLANK('Transit Inputs'!C16),"",'Transit Inputs'!C16)</f>
        <v/>
      </c>
      <c r="D52" s="18" t="str">
        <f>IF(OR(ISBLANK('Transit Inputs'!D16),ISBLANK('Transit Inputs'!E16)),"",'Transit Inputs'!E16-'Transit Inputs'!D16)</f>
        <v/>
      </c>
      <c r="E52" s="18" t="str">
        <f>IF(OR(ISBLANK('Transit Inputs'!D16),ISBLANK('Transit Inputs'!E16),ISBLANK('Transit Inputs'!M16)),"",CONCATENATE(ROUNDDOWN(('Transit Inputs'!E16+'Transit Inputs'!D16)/2,0),"_",'Transit Inputs'!M16))</f>
        <v/>
      </c>
      <c r="F52" s="18" t="str">
        <f>IF(ISBLANK('Transit Inputs'!K16),"",'Transit Inputs'!K16)</f>
        <v/>
      </c>
      <c r="G52" s="18" t="str">
        <f>IF(ISBLANK('Transit Inputs'!L16),"",'Transit Inputs'!L16)</f>
        <v/>
      </c>
      <c r="H52" s="69" t="str">
        <f>IF(ISBLANK('Transit Inputs'!N16),"",'Transit Inputs'!N16)</f>
        <v/>
      </c>
      <c r="I52" s="591" t="str">
        <f>IFERROR(IF(VanEmissions[[#This Row],[Fuel Type]]="Gasoline",VLOOKUP(VanEmissions[[#This Row],[YearMid_ModelYear]],'Van Criteria &amp; Toxic'!$D$29:$Q$1646,3,FALSE)*11518.14,VLOOKUP(VanEmissions[[#This Row],[YearMid_ModelYear]],'Van Criteria &amp; Toxic'!$D$29:$Q$1646,2,FALSE)*VLOOKUP(VanEmissions[[#This Row],[Fuel Type]],GallonEquivalents[[Fuel Type]:[Units per DGE]],2,FALSE)*IF(VanEmissions[[#This Row],[Fuel Type]]="Biodiesel",3894.89,IF(VanEmissions[[#This Row],[Fuel Type]]="Compressed Natural Gas",77.63,IF(VanEmissions[[#This Row],[Fuel Type]]="Diesel",13507.51,IF(VanEmissions[[#This Row],[Fuel Type]]="Electric",293.36,IF(VanEmissions[[#This Row],[Fuel Type]]="Hydrogen",13393.2,IF(VanEmissions[[#This Row],[Fuel Type]]="Liquefied Natural Gas",8489.99,IF(VanEmissions[[#This Row],[Fuel Type]]="Renewable Diesel",4178.62,""))))))))*IF(VanEmissions[[#This Row],[Hybrid?]]="Yes",0.8,1),"")</f>
        <v/>
      </c>
      <c r="J52" s="69" t="str">
        <f>IFERROR(VanEmissions[[#This Row],[Year Mid GHG Emission Factor (gCO2e/mile)]]*VanEmissions[[#This Row],[Annual VMT]]*VanEmissions[[#This Row],[Useful Life (years)]]/1000000,"")</f>
        <v/>
      </c>
      <c r="K52" s="591" t="str">
        <f>IFERROR(IF(OR(VanEmissions[[#This Row],[Fuel Type]]="Electric",VanEmissions[[#This Row],[Fuel Type]]="Hydrogen"),0,IF(VanEmissions[[#This Row],[Fuel Type]]="Gasoline",VLOOKUP(VanEmissions[[#This Row],[YearMid_ModelYear]],'Van Criteria &amp; Toxic'!$D$30:$Q$1646,5,FALSE),VLOOKUP(VanEmissions[[#This Row],[YearMid_ModelYear]],'Van Criteria &amp; Toxic'!$D$30:$Q$1646,4,FALSE)))*IF(VanEmissions[[#This Row],[Hybrid?]]="Yes",0.8,1),"")</f>
        <v/>
      </c>
      <c r="L52" s="69" t="str">
        <f>IFERROR(VanEmissions[[#This Row],[Year Mid ROG Emission Factor (g/mile)]]*VanEmissions[[#This Row],[Annual VMT]]*VanEmissions[[#This Row],[Useful Life (years)]]/453.59,"")</f>
        <v/>
      </c>
      <c r="M52" s="591" t="str">
        <f>IFERROR(IF(OR(VanEmissions[[#This Row],[Fuel Type]]="Electric",VanEmissions[[#This Row],[Fuel Type]]="Hydrogen"),0,IF(VanEmissions[[#This Row],[Fuel Type]]="Gasoline",VLOOKUP(VanEmissions[[#This Row],[YearMid_ModelYear]],'Van Criteria &amp; Toxic'!$D$30:$Q$1646,7,FALSE),VLOOKUP(VanEmissions[[#This Row],[YearMid_ModelYear]],'Van Criteria &amp; Toxic'!$D$30:$Q$1646,6,FALSE)))*IF(VanEmissions[[#This Row],[Hybrid?]]="Yes",0.8,1),"")</f>
        <v/>
      </c>
      <c r="N52" s="69" t="str">
        <f>IFERROR(VanEmissions[[#This Row],[Year Mid NOx Emission Factor (g/mile)]]*VanEmissions[[#This Row],[Annual VMT]]*VanEmissions[[#This Row],[Useful Life (years)]]/453.59,"")</f>
        <v/>
      </c>
      <c r="O52" s="591" t="str">
        <f>IFERROR(IF(OR(VanEmissions[[#This Row],[Fuel Type]]="Electric",VanEmissions[[#This Row],[Fuel Type]]="Hydrogen"),VLOOKUP(VanEmissions[[#This Row],[YearMid_ModelYear]],'Van Criteria &amp; Toxic'!$D$30:$Q$1646,10,FALSE)+VLOOKUP(VanEmissions[[#This Row],[YearMid_ModelYear]],'Van Criteria &amp; Toxic'!$D$30:$Q$1646,12,FALSE)*0.5,IF(VanEmissions[[#This Row],[Fuel Type]]="Gasoline",VLOOKUP(VanEmissions[[#This Row],[YearMid_ModelYear]],'Van Criteria &amp; Toxic'!$D$30:$Q$1646,9,FALSE)*IF(VanEmissions[[#This Row],[Hybrid?]]="Yes",0.8,1)+VLOOKUP(VanEmissions[[#This Row],[YearMid_ModelYear]],'Van Criteria &amp; Toxic'!$D$30:$Q$1646,11,FALSE)+VLOOKUP(VanEmissions[[#This Row],[YearMid_ModelYear]],'Van Criteria &amp; Toxic'!$D$30:$Q$1646,13,FALSE)*IF(VanEmissions[[#This Row],[Hybrid?]]="Yes",0.5,1),VLOOKUP(VanEmissions[[#This Row],[YearMid_ModelYear]],'Van Criteria &amp; Toxic'!$D$30:$Q$1646,8,FALSE)*IF(VanEmissions[[#This Row],[Hybrid?]]="Yes",0.8,1)+VLOOKUP(VanEmissions[[#This Row],[YearMid_ModelYear]],'Van Criteria &amp; Toxic'!$D$30:$Q$1646,10,FALSE)+VLOOKUP(VanEmissions[[#This Row],[YearMid_ModelYear]],'Van Criteria &amp; Toxic'!$D$30:$Q$1646,12,FALSE)*IF(VanEmissions[[#This Row],[Hybrid?]]="Yes",0.5,1))),"")</f>
        <v/>
      </c>
      <c r="P52" s="69" t="str">
        <f>IFERROR(VanEmissions[[#This Row],[Year Mid PM2.5 Emission Factor (g/mile)]]*VanEmissions[[#This Row],[Annual VMT]]*VanEmissions[[#This Row],[Useful Life (years)]]/453.59,"")</f>
        <v/>
      </c>
      <c r="Q52" s="591" t="str">
        <f>IFERROR(IF(VanEmissions[[#This Row],[New Transit Service or Infrastructure Type]]="","",IF(OR(VanEmissions[[#This Row],[Fuel Type]]="Diesel",VanEmissions[[#This Row],[Fuel Type]]="Biodiesel",VanEmissions[[#This Row],[Fuel Type]]="Renewable Diesel"),VLOOKUP(VanEmissions[[#This Row],[YearMid_ModelYear]],'Van Criteria &amp; Toxic'!$D$30:$Q$1646,14,FALSE)*IF(VanEmissions[[#This Row],[Hybrid?]]="Yes",0.8,1),0)),"")</f>
        <v/>
      </c>
      <c r="R52" s="69" t="str">
        <f>IFERROR(VanEmissions[[#This Row],[Year Mid Diesel PM10 Emission Factor (g/mile)]]*VanEmissions[[#This Row],[Annual VMT]]*VanEmissions[[#This Row],[Useful Life (years)]]/453.59,"")</f>
        <v/>
      </c>
      <c r="S52" s="69" t="str">
        <f>IFERROR(IF(OR(VanEmissions[[#This Row],[Fuel Type]]="Electric",VanEmissions[[#This Row],[Fuel Type]]="Hydrogen"),0,1000000*VanEmissions[[#This Row],[GHG Emissions (MTCO2e)]]*IF(VanEmissions[[#This Row],[Fuel Type]]="Gasoline",VLOOKUP(VanEmissions[[#This Row],[YearMid_ModelYear]],'Van Criteria &amp; Toxic'!$D$29:$Q$1646,3,FALSE),VLOOKUP(VanEmissions[[#This Row],[YearMid_ModelYear]],'Van Criteria &amp; Toxic'!$D$29:$Q$1646,2,FALSE)/0.78)/VanEmissions[[#This Row],[Year Mid GHG Emission Factor (gCO2e/mile)]]),"")</f>
        <v/>
      </c>
      <c r="T52" s="69">
        <f>IFERROR(IF(OR(VanEmissions[[#This Row],[Fuel Type]]="Electric",VanEmissions[[#This Row],[Fuel Type]]="Hydrogen"),1000000*VanEmissions[[#This Row],[GHG Emissions (MTCO2e)]]*VLOOKUP(VanEmissions[[#This Row],[YearMid_ModelYear]],'Van Criteria &amp; Toxic'!$D$29:$Q$1646,2,FALSE)/(0.78*VanEmissions[[#This Row],[Year Mid GHG Emission Factor (gCO2e/mile)]]),0),"")</f>
        <v>0</v>
      </c>
    </row>
    <row r="53" spans="2:20" ht="15.75" x14ac:dyDescent="0.25">
      <c r="B53" s="30" t="str">
        <f>IF('Transit Inputs'!B17="Vanpool",'Transit Inputs'!B17,"")</f>
        <v/>
      </c>
      <c r="C53" s="30" t="str">
        <f>IF(ISBLANK('Transit Inputs'!C17),"",'Transit Inputs'!C17)</f>
        <v/>
      </c>
      <c r="D53" s="18" t="str">
        <f>IF(OR(ISBLANK('Transit Inputs'!D17),ISBLANK('Transit Inputs'!E17)),"",'Transit Inputs'!E17-'Transit Inputs'!D17)</f>
        <v/>
      </c>
      <c r="E53" s="18" t="str">
        <f>IF(OR(ISBLANK('Transit Inputs'!D17),ISBLANK('Transit Inputs'!E17),ISBLANK('Transit Inputs'!M17)),"",CONCATENATE(ROUNDDOWN(('Transit Inputs'!E17+'Transit Inputs'!D17)/2,0),"_",'Transit Inputs'!M17))</f>
        <v/>
      </c>
      <c r="F53" s="18" t="str">
        <f>IF(ISBLANK('Transit Inputs'!K17),"",'Transit Inputs'!K17)</f>
        <v/>
      </c>
      <c r="G53" s="18" t="str">
        <f>IF(ISBLANK('Transit Inputs'!L17),"",'Transit Inputs'!L17)</f>
        <v/>
      </c>
      <c r="H53" s="69" t="str">
        <f>IF(ISBLANK('Transit Inputs'!N17),"",'Transit Inputs'!N17)</f>
        <v/>
      </c>
      <c r="I53" s="591" t="str">
        <f>IFERROR(IF(VanEmissions[[#This Row],[Fuel Type]]="Gasoline",VLOOKUP(VanEmissions[[#This Row],[YearMid_ModelYear]],'Van Criteria &amp; Toxic'!$D$29:$Q$1646,3,FALSE)*11518.14,VLOOKUP(VanEmissions[[#This Row],[YearMid_ModelYear]],'Van Criteria &amp; Toxic'!$D$29:$Q$1646,2,FALSE)*VLOOKUP(VanEmissions[[#This Row],[Fuel Type]],GallonEquivalents[[Fuel Type]:[Units per DGE]],2,FALSE)*IF(VanEmissions[[#This Row],[Fuel Type]]="Biodiesel",3894.89,IF(VanEmissions[[#This Row],[Fuel Type]]="Compressed Natural Gas",77.63,IF(VanEmissions[[#This Row],[Fuel Type]]="Diesel",13507.51,IF(VanEmissions[[#This Row],[Fuel Type]]="Electric",293.36,IF(VanEmissions[[#This Row],[Fuel Type]]="Hydrogen",13393.2,IF(VanEmissions[[#This Row],[Fuel Type]]="Liquefied Natural Gas",8489.99,IF(VanEmissions[[#This Row],[Fuel Type]]="Renewable Diesel",4178.62,""))))))))*IF(VanEmissions[[#This Row],[Hybrid?]]="Yes",0.8,1),"")</f>
        <v/>
      </c>
      <c r="J53" s="69" t="str">
        <f>IFERROR(VanEmissions[[#This Row],[Year Mid GHG Emission Factor (gCO2e/mile)]]*VanEmissions[[#This Row],[Annual VMT]]*VanEmissions[[#This Row],[Useful Life (years)]]/1000000,"")</f>
        <v/>
      </c>
      <c r="K53" s="591" t="str">
        <f>IFERROR(IF(OR(VanEmissions[[#This Row],[Fuel Type]]="Electric",VanEmissions[[#This Row],[Fuel Type]]="Hydrogen"),0,IF(VanEmissions[[#This Row],[Fuel Type]]="Gasoline",VLOOKUP(VanEmissions[[#This Row],[YearMid_ModelYear]],'Van Criteria &amp; Toxic'!$D$30:$Q$1646,5,FALSE),VLOOKUP(VanEmissions[[#This Row],[YearMid_ModelYear]],'Van Criteria &amp; Toxic'!$D$30:$Q$1646,4,FALSE)))*IF(VanEmissions[[#This Row],[Hybrid?]]="Yes",0.8,1),"")</f>
        <v/>
      </c>
      <c r="L53" s="69" t="str">
        <f>IFERROR(VanEmissions[[#This Row],[Year Mid ROG Emission Factor (g/mile)]]*VanEmissions[[#This Row],[Annual VMT]]*VanEmissions[[#This Row],[Useful Life (years)]]/453.59,"")</f>
        <v/>
      </c>
      <c r="M53" s="591" t="str">
        <f>IFERROR(IF(OR(VanEmissions[[#This Row],[Fuel Type]]="Electric",VanEmissions[[#This Row],[Fuel Type]]="Hydrogen"),0,IF(VanEmissions[[#This Row],[Fuel Type]]="Gasoline",VLOOKUP(VanEmissions[[#This Row],[YearMid_ModelYear]],'Van Criteria &amp; Toxic'!$D$30:$Q$1646,7,FALSE),VLOOKUP(VanEmissions[[#This Row],[YearMid_ModelYear]],'Van Criteria &amp; Toxic'!$D$30:$Q$1646,6,FALSE)))*IF(VanEmissions[[#This Row],[Hybrid?]]="Yes",0.8,1),"")</f>
        <v/>
      </c>
      <c r="N53" s="69" t="str">
        <f>IFERROR(VanEmissions[[#This Row],[Year Mid NOx Emission Factor (g/mile)]]*VanEmissions[[#This Row],[Annual VMT]]*VanEmissions[[#This Row],[Useful Life (years)]]/453.59,"")</f>
        <v/>
      </c>
      <c r="O53" s="591" t="str">
        <f>IFERROR(IF(OR(VanEmissions[[#This Row],[Fuel Type]]="Electric",VanEmissions[[#This Row],[Fuel Type]]="Hydrogen"),VLOOKUP(VanEmissions[[#This Row],[YearMid_ModelYear]],'Van Criteria &amp; Toxic'!$D$30:$Q$1646,10,FALSE)+VLOOKUP(VanEmissions[[#This Row],[YearMid_ModelYear]],'Van Criteria &amp; Toxic'!$D$30:$Q$1646,12,FALSE)*0.5,IF(VanEmissions[[#This Row],[Fuel Type]]="Gasoline",VLOOKUP(VanEmissions[[#This Row],[YearMid_ModelYear]],'Van Criteria &amp; Toxic'!$D$30:$Q$1646,9,FALSE)*IF(VanEmissions[[#This Row],[Hybrid?]]="Yes",0.8,1)+VLOOKUP(VanEmissions[[#This Row],[YearMid_ModelYear]],'Van Criteria &amp; Toxic'!$D$30:$Q$1646,11,FALSE)+VLOOKUP(VanEmissions[[#This Row],[YearMid_ModelYear]],'Van Criteria &amp; Toxic'!$D$30:$Q$1646,13,FALSE)*IF(VanEmissions[[#This Row],[Hybrid?]]="Yes",0.5,1),VLOOKUP(VanEmissions[[#This Row],[YearMid_ModelYear]],'Van Criteria &amp; Toxic'!$D$30:$Q$1646,8,FALSE)*IF(VanEmissions[[#This Row],[Hybrid?]]="Yes",0.8,1)+VLOOKUP(VanEmissions[[#This Row],[YearMid_ModelYear]],'Van Criteria &amp; Toxic'!$D$30:$Q$1646,10,FALSE)+VLOOKUP(VanEmissions[[#This Row],[YearMid_ModelYear]],'Van Criteria &amp; Toxic'!$D$30:$Q$1646,12,FALSE)*IF(VanEmissions[[#This Row],[Hybrid?]]="Yes",0.5,1))),"")</f>
        <v/>
      </c>
      <c r="P53" s="69" t="str">
        <f>IFERROR(VanEmissions[[#This Row],[Year Mid PM2.5 Emission Factor (g/mile)]]*VanEmissions[[#This Row],[Annual VMT]]*VanEmissions[[#This Row],[Useful Life (years)]]/453.59,"")</f>
        <v/>
      </c>
      <c r="Q53" s="591" t="str">
        <f>IFERROR(IF(VanEmissions[[#This Row],[New Transit Service or Infrastructure Type]]="","",IF(OR(VanEmissions[[#This Row],[Fuel Type]]="Diesel",VanEmissions[[#This Row],[Fuel Type]]="Biodiesel",VanEmissions[[#This Row],[Fuel Type]]="Renewable Diesel"),VLOOKUP(VanEmissions[[#This Row],[YearMid_ModelYear]],'Van Criteria &amp; Toxic'!$D$30:$Q$1646,14,FALSE)*IF(VanEmissions[[#This Row],[Hybrid?]]="Yes",0.8,1),0)),"")</f>
        <v/>
      </c>
      <c r="R53" s="69" t="str">
        <f>IFERROR(VanEmissions[[#This Row],[Year Mid Diesel PM10 Emission Factor (g/mile)]]*VanEmissions[[#This Row],[Annual VMT]]*VanEmissions[[#This Row],[Useful Life (years)]]/453.59,"")</f>
        <v/>
      </c>
      <c r="S53" s="69" t="str">
        <f>IFERROR(IF(OR(VanEmissions[[#This Row],[Fuel Type]]="Electric",VanEmissions[[#This Row],[Fuel Type]]="Hydrogen"),0,1000000*VanEmissions[[#This Row],[GHG Emissions (MTCO2e)]]*IF(VanEmissions[[#This Row],[Fuel Type]]="Gasoline",VLOOKUP(VanEmissions[[#This Row],[YearMid_ModelYear]],'Van Criteria &amp; Toxic'!$D$29:$Q$1646,3,FALSE),VLOOKUP(VanEmissions[[#This Row],[YearMid_ModelYear]],'Van Criteria &amp; Toxic'!$D$29:$Q$1646,2,FALSE)/0.78)/VanEmissions[[#This Row],[Year Mid GHG Emission Factor (gCO2e/mile)]]),"")</f>
        <v/>
      </c>
      <c r="T53" s="69">
        <f>IFERROR(IF(OR(VanEmissions[[#This Row],[Fuel Type]]="Electric",VanEmissions[[#This Row],[Fuel Type]]="Hydrogen"),1000000*VanEmissions[[#This Row],[GHG Emissions (MTCO2e)]]*VLOOKUP(VanEmissions[[#This Row],[YearMid_ModelYear]],'Van Criteria &amp; Toxic'!$D$29:$Q$1646,2,FALSE)/(0.78*VanEmissions[[#This Row],[Year Mid GHG Emission Factor (gCO2e/mile)]]),0),"")</f>
        <v>0</v>
      </c>
    </row>
    <row r="54" spans="2:20" ht="15.75" x14ac:dyDescent="0.25">
      <c r="B54" s="30" t="str">
        <f>IF('Transit Inputs'!B18="Vanpool",'Transit Inputs'!B18,"")</f>
        <v/>
      </c>
      <c r="C54" s="30" t="str">
        <f>IF(ISBLANK('Transit Inputs'!C18),"",'Transit Inputs'!C18)</f>
        <v/>
      </c>
      <c r="D54" s="18" t="str">
        <f>IF(OR(ISBLANK('Transit Inputs'!D18),ISBLANK('Transit Inputs'!E18)),"",'Transit Inputs'!E18-'Transit Inputs'!D18)</f>
        <v/>
      </c>
      <c r="E54" s="18" t="str">
        <f>IF(OR(ISBLANK('Transit Inputs'!D18),ISBLANK('Transit Inputs'!E18),ISBLANK('Transit Inputs'!M18)),"",CONCATENATE(ROUNDDOWN(('Transit Inputs'!E18+'Transit Inputs'!D18)/2,0),"_",'Transit Inputs'!M18))</f>
        <v/>
      </c>
      <c r="F54" s="18" t="str">
        <f>IF(ISBLANK('Transit Inputs'!K18),"",'Transit Inputs'!K18)</f>
        <v/>
      </c>
      <c r="G54" s="18" t="str">
        <f>IF(ISBLANK('Transit Inputs'!L18),"",'Transit Inputs'!L18)</f>
        <v/>
      </c>
      <c r="H54" s="69" t="str">
        <f>IF(ISBLANK('Transit Inputs'!N18),"",'Transit Inputs'!N18)</f>
        <v/>
      </c>
      <c r="I54" s="591" t="str">
        <f>IFERROR(IF(VanEmissions[[#This Row],[Fuel Type]]="Gasoline",VLOOKUP(VanEmissions[[#This Row],[YearMid_ModelYear]],'Van Criteria &amp; Toxic'!$D$29:$Q$1646,3,FALSE)*11518.14,VLOOKUP(VanEmissions[[#This Row],[YearMid_ModelYear]],'Van Criteria &amp; Toxic'!$D$29:$Q$1646,2,FALSE)*VLOOKUP(VanEmissions[[#This Row],[Fuel Type]],GallonEquivalents[[Fuel Type]:[Units per DGE]],2,FALSE)*IF(VanEmissions[[#This Row],[Fuel Type]]="Biodiesel",3894.89,IF(VanEmissions[[#This Row],[Fuel Type]]="Compressed Natural Gas",77.63,IF(VanEmissions[[#This Row],[Fuel Type]]="Diesel",13507.51,IF(VanEmissions[[#This Row],[Fuel Type]]="Electric",293.36,IF(VanEmissions[[#This Row],[Fuel Type]]="Hydrogen",13393.2,IF(VanEmissions[[#This Row],[Fuel Type]]="Liquefied Natural Gas",8489.99,IF(VanEmissions[[#This Row],[Fuel Type]]="Renewable Diesel",4178.62,""))))))))*IF(VanEmissions[[#This Row],[Hybrid?]]="Yes",0.8,1),"")</f>
        <v/>
      </c>
      <c r="J54" s="69" t="str">
        <f>IFERROR(VanEmissions[[#This Row],[Year Mid GHG Emission Factor (gCO2e/mile)]]*VanEmissions[[#This Row],[Annual VMT]]*VanEmissions[[#This Row],[Useful Life (years)]]/1000000,"")</f>
        <v/>
      </c>
      <c r="K54" s="591" t="str">
        <f>IFERROR(IF(OR(VanEmissions[[#This Row],[Fuel Type]]="Electric",VanEmissions[[#This Row],[Fuel Type]]="Hydrogen"),0,IF(VanEmissions[[#This Row],[Fuel Type]]="Gasoline",VLOOKUP(VanEmissions[[#This Row],[YearMid_ModelYear]],'Van Criteria &amp; Toxic'!$D$30:$Q$1646,5,FALSE),VLOOKUP(VanEmissions[[#This Row],[YearMid_ModelYear]],'Van Criteria &amp; Toxic'!$D$30:$Q$1646,4,FALSE)))*IF(VanEmissions[[#This Row],[Hybrid?]]="Yes",0.8,1),"")</f>
        <v/>
      </c>
      <c r="L54" s="69" t="str">
        <f>IFERROR(VanEmissions[[#This Row],[Year Mid ROG Emission Factor (g/mile)]]*VanEmissions[[#This Row],[Annual VMT]]*VanEmissions[[#This Row],[Useful Life (years)]]/453.59,"")</f>
        <v/>
      </c>
      <c r="M54" s="591" t="str">
        <f>IFERROR(IF(OR(VanEmissions[[#This Row],[Fuel Type]]="Electric",VanEmissions[[#This Row],[Fuel Type]]="Hydrogen"),0,IF(VanEmissions[[#This Row],[Fuel Type]]="Gasoline",VLOOKUP(VanEmissions[[#This Row],[YearMid_ModelYear]],'Van Criteria &amp; Toxic'!$D$30:$Q$1646,7,FALSE),VLOOKUP(VanEmissions[[#This Row],[YearMid_ModelYear]],'Van Criteria &amp; Toxic'!$D$30:$Q$1646,6,FALSE)))*IF(VanEmissions[[#This Row],[Hybrid?]]="Yes",0.8,1),"")</f>
        <v/>
      </c>
      <c r="N54" s="69" t="str">
        <f>IFERROR(VanEmissions[[#This Row],[Year Mid NOx Emission Factor (g/mile)]]*VanEmissions[[#This Row],[Annual VMT]]*VanEmissions[[#This Row],[Useful Life (years)]]/453.59,"")</f>
        <v/>
      </c>
      <c r="O54" s="591" t="str">
        <f>IFERROR(IF(OR(VanEmissions[[#This Row],[Fuel Type]]="Electric",VanEmissions[[#This Row],[Fuel Type]]="Hydrogen"),VLOOKUP(VanEmissions[[#This Row],[YearMid_ModelYear]],'Van Criteria &amp; Toxic'!$D$30:$Q$1646,10,FALSE)+VLOOKUP(VanEmissions[[#This Row],[YearMid_ModelYear]],'Van Criteria &amp; Toxic'!$D$30:$Q$1646,12,FALSE)*0.5,IF(VanEmissions[[#This Row],[Fuel Type]]="Gasoline",VLOOKUP(VanEmissions[[#This Row],[YearMid_ModelYear]],'Van Criteria &amp; Toxic'!$D$30:$Q$1646,9,FALSE)*IF(VanEmissions[[#This Row],[Hybrid?]]="Yes",0.8,1)+VLOOKUP(VanEmissions[[#This Row],[YearMid_ModelYear]],'Van Criteria &amp; Toxic'!$D$30:$Q$1646,11,FALSE)+VLOOKUP(VanEmissions[[#This Row],[YearMid_ModelYear]],'Van Criteria &amp; Toxic'!$D$30:$Q$1646,13,FALSE)*IF(VanEmissions[[#This Row],[Hybrid?]]="Yes",0.5,1),VLOOKUP(VanEmissions[[#This Row],[YearMid_ModelYear]],'Van Criteria &amp; Toxic'!$D$30:$Q$1646,8,FALSE)*IF(VanEmissions[[#This Row],[Hybrid?]]="Yes",0.8,1)+VLOOKUP(VanEmissions[[#This Row],[YearMid_ModelYear]],'Van Criteria &amp; Toxic'!$D$30:$Q$1646,10,FALSE)+VLOOKUP(VanEmissions[[#This Row],[YearMid_ModelYear]],'Van Criteria &amp; Toxic'!$D$30:$Q$1646,12,FALSE)*IF(VanEmissions[[#This Row],[Hybrid?]]="Yes",0.5,1))),"")</f>
        <v/>
      </c>
      <c r="P54" s="69" t="str">
        <f>IFERROR(VanEmissions[[#This Row],[Year Mid PM2.5 Emission Factor (g/mile)]]*VanEmissions[[#This Row],[Annual VMT]]*VanEmissions[[#This Row],[Useful Life (years)]]/453.59,"")</f>
        <v/>
      </c>
      <c r="Q54" s="591" t="str">
        <f>IFERROR(IF(VanEmissions[[#This Row],[New Transit Service or Infrastructure Type]]="","",IF(OR(VanEmissions[[#This Row],[Fuel Type]]="Diesel",VanEmissions[[#This Row],[Fuel Type]]="Biodiesel",VanEmissions[[#This Row],[Fuel Type]]="Renewable Diesel"),VLOOKUP(VanEmissions[[#This Row],[YearMid_ModelYear]],'Van Criteria &amp; Toxic'!$D$30:$Q$1646,14,FALSE)*IF(VanEmissions[[#This Row],[Hybrid?]]="Yes",0.8,1),0)),"")</f>
        <v/>
      </c>
      <c r="R54" s="69" t="str">
        <f>IFERROR(VanEmissions[[#This Row],[Year Mid Diesel PM10 Emission Factor (g/mile)]]*VanEmissions[[#This Row],[Annual VMT]]*VanEmissions[[#This Row],[Useful Life (years)]]/453.59,"")</f>
        <v/>
      </c>
      <c r="S54" s="69" t="str">
        <f>IFERROR(IF(OR(VanEmissions[[#This Row],[Fuel Type]]="Electric",VanEmissions[[#This Row],[Fuel Type]]="Hydrogen"),0,1000000*VanEmissions[[#This Row],[GHG Emissions (MTCO2e)]]*IF(VanEmissions[[#This Row],[Fuel Type]]="Gasoline",VLOOKUP(VanEmissions[[#This Row],[YearMid_ModelYear]],'Van Criteria &amp; Toxic'!$D$29:$Q$1646,3,FALSE),VLOOKUP(VanEmissions[[#This Row],[YearMid_ModelYear]],'Van Criteria &amp; Toxic'!$D$29:$Q$1646,2,FALSE)/0.78)/VanEmissions[[#This Row],[Year Mid GHG Emission Factor (gCO2e/mile)]]),"")</f>
        <v/>
      </c>
      <c r="T54" s="69">
        <f>IFERROR(IF(OR(VanEmissions[[#This Row],[Fuel Type]]="Electric",VanEmissions[[#This Row],[Fuel Type]]="Hydrogen"),1000000*VanEmissions[[#This Row],[GHG Emissions (MTCO2e)]]*VLOOKUP(VanEmissions[[#This Row],[YearMid_ModelYear]],'Van Criteria &amp; Toxic'!$D$29:$Q$1646,2,FALSE)/(0.78*VanEmissions[[#This Row],[Year Mid GHG Emission Factor (gCO2e/mile)]]),0),"")</f>
        <v>0</v>
      </c>
    </row>
    <row r="55" spans="2:20" ht="15.75" x14ac:dyDescent="0.25">
      <c r="F55" s="2"/>
      <c r="G55" s="2"/>
      <c r="H55" s="2"/>
      <c r="Q55" s="573"/>
    </row>
    <row r="56" spans="2:20" ht="15.75" x14ac:dyDescent="0.25">
      <c r="B56" s="446" t="s">
        <v>4744</v>
      </c>
      <c r="F56" s="2"/>
      <c r="G56" s="2"/>
      <c r="H56" s="2"/>
    </row>
    <row r="57" spans="2:20" ht="51.75" x14ac:dyDescent="0.35">
      <c r="B57" s="425" t="s">
        <v>135</v>
      </c>
      <c r="C57" s="425" t="s">
        <v>142</v>
      </c>
      <c r="D57" s="425" t="s">
        <v>4738</v>
      </c>
      <c r="E57" s="425" t="s">
        <v>4721</v>
      </c>
      <c r="F57" s="425" t="s">
        <v>4739</v>
      </c>
      <c r="G57" s="425" t="s">
        <v>4749</v>
      </c>
      <c r="H57" s="425" t="s">
        <v>4746</v>
      </c>
      <c r="I57" s="425" t="s">
        <v>4715</v>
      </c>
      <c r="J57" s="424" t="s">
        <v>4748</v>
      </c>
      <c r="K57" s="425" t="s">
        <v>4716</v>
      </c>
      <c r="L57" s="424" t="s">
        <v>4750</v>
      </c>
      <c r="M57" s="425" t="s">
        <v>4717</v>
      </c>
      <c r="N57" s="424" t="s">
        <v>4751</v>
      </c>
      <c r="O57" s="425" t="s">
        <v>4718</v>
      </c>
      <c r="P57" s="424" t="s">
        <v>4752</v>
      </c>
      <c r="Q57" s="425" t="s">
        <v>4719</v>
      </c>
      <c r="R57" s="424" t="s">
        <v>4753</v>
      </c>
      <c r="S57" s="425" t="s">
        <v>4788</v>
      </c>
      <c r="T57" s="425" t="s">
        <v>4784</v>
      </c>
    </row>
    <row r="58" spans="2:20" ht="15.75" x14ac:dyDescent="0.25">
      <c r="B58" s="30" t="str">
        <f>IF('Transit Inputs'!B14="Shuttle",'Transit Inputs'!B14,"")</f>
        <v/>
      </c>
      <c r="C58" s="30" t="str">
        <f>IF(ISBLANK('Transit Inputs'!C14),"",'Transit Inputs'!C14)</f>
        <v/>
      </c>
      <c r="D58" s="18" t="str">
        <f>IF(OR(ISBLANK('Transit Inputs'!D14),ISBLANK('Transit Inputs'!E14)),"",'Transit Inputs'!E14-'Transit Inputs'!D14)</f>
        <v/>
      </c>
      <c r="E58" s="18" t="str">
        <f>IF(OR(ISBLANK('Transit Inputs'!D14),ISBLANK('Transit Inputs'!E14),ISBLANK('Transit Inputs'!M14)),"",CONCATENATE(ROUNDDOWN(('Transit Inputs'!E14+'Transit Inputs'!D14)/2,0),"_",'Transit Inputs'!M14))</f>
        <v/>
      </c>
      <c r="F58" s="18" t="str">
        <f>IF(ISBLANK('Transit Inputs'!K14),"",'Transit Inputs'!K14)</f>
        <v/>
      </c>
      <c r="G58" s="18" t="str">
        <f>IF(ISBLANK('Transit Inputs'!L14),"",'Transit Inputs'!L14)</f>
        <v/>
      </c>
      <c r="H58" s="69" t="str">
        <f>IF(ISBLANK('Transit Inputs'!N14),"",'Transit Inputs'!N14)</f>
        <v/>
      </c>
      <c r="I58" s="591" t="str">
        <f>IFERROR(IF(ShuttleEmissions[[#This Row],[Fuel Type]]="Diesel",VLOOKUP(ShuttleEmissions[[#This Row],[YearMid_ModelYear]],'Cut-a-way Criteria &amp; Toxic'!$D$30:$F$1594,2,FALSE)*'Modes of Transportation GHG'!$D$25,VLOOKUP(ShuttleEmissions[[#This Row],[YearMid_ModelYear]],'Cut-a-way Criteria &amp; Toxic'!$D$30:$F$1594,3,FALSE)*VLOOKUP(ShuttleEmissions[[#This Row],[Fuel Type]],'Modes of Transportation GHG'!$B$12:$D$22,3,FALSE)*1.14)*IF(ShuttleEmissions[[#This Row],[Hybrid?]]="Yes",0.8,1),"")</f>
        <v/>
      </c>
      <c r="J58" s="69" t="str">
        <f>IFERROR(ShuttleEmissions[[#This Row],[Year Mid GHG Emission Factor (gCO2e/mile)]]*ShuttleEmissions[[#This Row],[Annual VMT]]*ShuttleEmissions[[#This Row],[Useful Life (years)]]/1000000,"")</f>
        <v/>
      </c>
      <c r="K58" s="591" t="str">
        <f>IFERROR(IF(OR(ShuttleEmissions[[#This Row],[Fuel Type]]="Electric",ShuttleEmissions[[#This Row],[Fuel Type]]="Hydrogen"),0,IF(ShuttleEmissions[[#This Row],[Fuel Type]]="Gasoline",VLOOKUP(ShuttleEmissions[[#This Row],[YearMid_ModelYear]],'Cut-a-way Criteria &amp; Toxic'!$D$29:$M$1594,5,FALSE),VLOOKUP(ShuttleEmissions[[#This Row],[YearMid_ModelYear]],'Cut-a-way Criteria &amp; Toxic'!$D$29:$M$1594,4,FALSE)))*IF(ShuttleEmissions[[#This Row],[Hybrid?]]="Yes",0.8,1),"")</f>
        <v/>
      </c>
      <c r="L58" s="69" t="str">
        <f>IFERROR(ShuttleEmissions[[#This Row],[Year Mid ROG Emission Factor (g/mile)]]*ShuttleEmissions[[#This Row],[Annual VMT]]*ShuttleEmissions[[#This Row],[Useful Life (years)]]/453.59,"")</f>
        <v/>
      </c>
      <c r="M58" s="591" t="str">
        <f>IFERROR(IF(OR(ShuttleEmissions[[#This Row],[Fuel Type]]="Electric",ShuttleEmissions[[#This Row],[Fuel Type]]="Hydrogen"),0,IF(ShuttleEmissions[[#This Row],[Fuel Type]]="Gasoline",VLOOKUP(ShuttleEmissions[[#This Row],[YearMid_ModelYear]],'Cut-a-way Criteria &amp; Toxic'!$D$29:$M$1594,7,FALSE),VLOOKUP(ShuttleEmissions[[#This Row],[YearMid_ModelYear]],'Cut-a-way Criteria &amp; Toxic'!$D$29:$M$1594,6,FALSE)))*IF(ShuttleEmissions[[#This Row],[Hybrid?]]="Yes",0.8,1),"")</f>
        <v/>
      </c>
      <c r="N58" s="69" t="str">
        <f>IFERROR(ShuttleEmissions[[#This Row],[Year Mid NOx Emission Factor (g/mile)]]*ShuttleEmissions[[#This Row],[Annual VMT]]*ShuttleEmissions[[#This Row],[Useful Life (years)]]/453.59,"")</f>
        <v/>
      </c>
      <c r="O58" s="591" t="str">
        <f>IFERROR(IF(OR(ShuttleEmissions[[#This Row],[Fuel Type]]="Electric",ShuttleEmissions[[#This Row],[Fuel Type]]="Hydrogen"),('Cut-a-way Criteria &amp; Toxic'!$P$30+0.5*'Cut-a-way Criteria &amp; Toxic'!$R$30),IF(ShuttleEmissions[[#This Row],[Fuel Type]]="Gasoline",VLOOKUP(ShuttleEmissions[[#This Row],[YearMid_ModelYear]],'Cut-a-way Criteria &amp; Toxic'!$D$29:$M$1594,9,FALSE)*IF(ShuttleEmissions[[#This Row],[Hybrid?]]="Yes",0.8,1)+'Cut-a-way Criteria &amp; Toxic'!$P$30+'Cut-a-way Criteria &amp; Toxic'!$R$30*IF(ShuttleEmissions[[#This Row],[Hybrid?]]="Yes",0.5,1),VLOOKUP(ShuttleEmissions[[#This Row],[YearMid_ModelYear]],'Cut-a-way Criteria &amp; Toxic'!$D$29:$M$1594,8,FALSE)*IF(ShuttleEmissions[[#This Row],[Hybrid?]]="Yes",0.8,1)+'Cut-a-way Criteria &amp; Toxic'!$O$30+'Cut-a-way Criteria &amp; Toxic'!$Q$30*IF(ShuttleEmissions[[#This Row],[Hybrid?]]="Yes",0.5,1))),"")</f>
        <v/>
      </c>
      <c r="P58" s="69" t="str">
        <f>IFERROR(ShuttleEmissions[[#This Row],[Year Mid ROG Emission Factor (g/mile)]]*ShuttleEmissions[[#This Row],[Annual VMT]]*ShuttleEmissions[[#This Row],[Useful Life (years)]]/453.59,"")</f>
        <v/>
      </c>
      <c r="Q58" s="591" t="str">
        <f>IF(ShuttleEmissions[[#This Row],[New Transit Service or Infrastructure Type]]="","",IF(OR(ShuttleEmissions[[#This Row],[Fuel Type]]="Diesel",ShuttleEmissions[[#This Row],[Fuel Type]]="Biodiesel",ShuttleEmissions[[#This Row],[Fuel Type]]="Renewable Diesel"),VLOOKUP(ShuttleEmissions[[#This Row],[YearMid_ModelYear]],'Cut-a-way Criteria &amp; Toxic'!$D$29:$M$1594,10,FALSE)*IF(ShuttleEmissions[[#This Row],[Hybrid?]]="Yes",0.8,1),0))</f>
        <v/>
      </c>
      <c r="R58" s="69" t="str">
        <f>IFERROR(ShuttleEmissions[[#This Row],[Year Mid Diesel PM10 Emission Factor (g/mile)]]*ShuttleEmissions[[#This Row],[Annual VMT]]*ShuttleEmissions[[#This Row],[Useful Life (years)]]/453.59,"")</f>
        <v/>
      </c>
      <c r="S58" s="69" t="str">
        <f>IFERROR(IF(OR(ShuttleEmissions[[#This Row],[Fuel Type]]="Electric", ShuttleEmissions[[#This Row],[Fuel Type]]="Hydrogen"),0,IF(ShuttleEmissions[[#This Row],[Fuel Type]]="Diesel",ShuttleEmissions[[#This Row],[GHG Emissions (MTCO2e)]]*1000000/'Modes of Transportation GHG'!$D$25*1.14,ShuttleEmissions[[#This Row],[GHG Emissions (MTCO2e)]]*1000000/VLOOKUP(ShuttleEmissions[[#This Row],[Fuel Type]],'Modes of Transportation GHG'!$B$12:$D$22,3,FALSE))),"")</f>
        <v/>
      </c>
      <c r="T58" s="69">
        <f>IFERROR(IF(OR(ShuttleEmissions[[#This Row],[Fuel Type]]="Electric", ShuttleEmissions[[#This Row],[Fuel Type]]="Hydrogen"),ShuttleEmissions[[#This Row],[GHG Emissions (MTCO2e)]]*1000000/VLOOKUP(ShuttleEmissions[[#This Row],[Fuel Type]],'Modes of Transportation GHG'!$B$17:$D$28,3,FALSE),0),"")</f>
        <v>0</v>
      </c>
    </row>
    <row r="59" spans="2:20" ht="15.75" x14ac:dyDescent="0.25">
      <c r="B59" s="30" t="str">
        <f>IF('Transit Inputs'!B15="Shuttle",'Transit Inputs'!B15,"")</f>
        <v/>
      </c>
      <c r="C59" s="30" t="str">
        <f>IF(ISBLANK('Transit Inputs'!C15),"",'Transit Inputs'!C15)</f>
        <v/>
      </c>
      <c r="D59" s="18" t="str">
        <f>IF(OR(ISBLANK('Transit Inputs'!D15),ISBLANK('Transit Inputs'!E15)),"",'Transit Inputs'!E15-'Transit Inputs'!D15)</f>
        <v/>
      </c>
      <c r="E59" s="18" t="str">
        <f>IF(OR(ISBLANK('Transit Inputs'!D15),ISBLANK('Transit Inputs'!E15),ISBLANK('Transit Inputs'!M15)),"",CONCATENATE(ROUNDDOWN(('Transit Inputs'!E15+'Transit Inputs'!D15)/2,0),"_",'Transit Inputs'!M15))</f>
        <v/>
      </c>
      <c r="F59" s="18" t="str">
        <f>IF(ISBLANK('Transit Inputs'!K15),"",'Transit Inputs'!K15)</f>
        <v/>
      </c>
      <c r="G59" s="18" t="str">
        <f>IF(ISBLANK('Transit Inputs'!L15),"",'Transit Inputs'!L15)</f>
        <v/>
      </c>
      <c r="H59" s="69" t="str">
        <f>IF(ISBLANK('Transit Inputs'!N15),"",'Transit Inputs'!N15)</f>
        <v/>
      </c>
      <c r="I59" s="591" t="str">
        <f>IFERROR(IF(ShuttleEmissions[[#This Row],[Fuel Type]]="Diesel",VLOOKUP(ShuttleEmissions[[#This Row],[YearMid_ModelYear]],'Cut-a-way Criteria &amp; Toxic'!$D$30:$F$1594,2,FALSE)*'Modes of Transportation GHG'!$D$25,VLOOKUP(ShuttleEmissions[[#This Row],[YearMid_ModelYear]],'Cut-a-way Criteria &amp; Toxic'!$D$30:$F$1594,3,FALSE)*VLOOKUP(ShuttleEmissions[[#This Row],[Fuel Type]],'Modes of Transportation GHG'!$B$12:$D$22,3,FALSE)*1.14)*IF(ShuttleEmissions[[#This Row],[Hybrid?]]="Yes",0.8,1),"")</f>
        <v/>
      </c>
      <c r="J59" s="69" t="str">
        <f>IFERROR(ShuttleEmissions[[#This Row],[Year Mid GHG Emission Factor (gCO2e/mile)]]*ShuttleEmissions[[#This Row],[Annual VMT]]*ShuttleEmissions[[#This Row],[Useful Life (years)]]/1000000,"")</f>
        <v/>
      </c>
      <c r="K59" s="591" t="str">
        <f>IFERROR(IF(OR(ShuttleEmissions[[#This Row],[Fuel Type]]="Electric",ShuttleEmissions[[#This Row],[Fuel Type]]="Hydrogen"),0,IF(ShuttleEmissions[[#This Row],[Fuel Type]]="Gasoline",VLOOKUP(ShuttleEmissions[[#This Row],[YearMid_ModelYear]],'Cut-a-way Criteria &amp; Toxic'!$D$29:$M$1594,5,FALSE),VLOOKUP(ShuttleEmissions[[#This Row],[YearMid_ModelYear]],'Cut-a-way Criteria &amp; Toxic'!$D$29:$M$1594,4,FALSE)))*IF(ShuttleEmissions[[#This Row],[Hybrid?]]="Yes",0.8,1),"")</f>
        <v/>
      </c>
      <c r="L59" s="69" t="str">
        <f>IFERROR(ShuttleEmissions[[#This Row],[Year Mid ROG Emission Factor (g/mile)]]*ShuttleEmissions[[#This Row],[Annual VMT]]*ShuttleEmissions[[#This Row],[Useful Life (years)]]/453.59,"")</f>
        <v/>
      </c>
      <c r="M59" s="591" t="str">
        <f>IFERROR(IF(OR(ShuttleEmissions[[#This Row],[Fuel Type]]="Electric",ShuttleEmissions[[#This Row],[Fuel Type]]="Hydrogen"),0,IF(ShuttleEmissions[[#This Row],[Fuel Type]]="Gasoline",VLOOKUP(ShuttleEmissions[[#This Row],[YearMid_ModelYear]],'Cut-a-way Criteria &amp; Toxic'!$D$29:$M$1594,7,FALSE),VLOOKUP(ShuttleEmissions[[#This Row],[YearMid_ModelYear]],'Cut-a-way Criteria &amp; Toxic'!$D$29:$M$1594,6,FALSE)))*IF(ShuttleEmissions[[#This Row],[Hybrid?]]="Yes",0.8,1),"")</f>
        <v/>
      </c>
      <c r="N59" s="69" t="str">
        <f>IFERROR(ShuttleEmissions[[#This Row],[Year Mid NOx Emission Factor (g/mile)]]*ShuttleEmissions[[#This Row],[Annual VMT]]*ShuttleEmissions[[#This Row],[Useful Life (years)]]/453.59,"")</f>
        <v/>
      </c>
      <c r="O59" s="591" t="str">
        <f>IFERROR(IF(OR(ShuttleEmissions[[#This Row],[Fuel Type]]="Electric",ShuttleEmissions[[#This Row],[Fuel Type]]="Hydrogen"),('Cut-a-way Criteria &amp; Toxic'!$P$30+0.5*'Cut-a-way Criteria &amp; Toxic'!$R$30),IF(ShuttleEmissions[[#This Row],[Fuel Type]]="Gasoline",VLOOKUP(ShuttleEmissions[[#This Row],[YearMid_ModelYear]],'Cut-a-way Criteria &amp; Toxic'!$D$29:$M$1594,9,FALSE)*IF(ShuttleEmissions[[#This Row],[Hybrid?]]="Yes",0.8,1)+'Cut-a-way Criteria &amp; Toxic'!$P$30+'Cut-a-way Criteria &amp; Toxic'!$R$30*IF(ShuttleEmissions[[#This Row],[Hybrid?]]="Yes",0.5,1),VLOOKUP(ShuttleEmissions[[#This Row],[YearMid_ModelYear]],'Cut-a-way Criteria &amp; Toxic'!$D$29:$M$1594,8,FALSE)*IF(ShuttleEmissions[[#This Row],[Hybrid?]]="Yes",0.8,1)+'Cut-a-way Criteria &amp; Toxic'!$O$30+'Cut-a-way Criteria &amp; Toxic'!$Q$30*IF(ShuttleEmissions[[#This Row],[Hybrid?]]="Yes",0.5,1))),"")</f>
        <v/>
      </c>
      <c r="P59" s="69" t="str">
        <f>IFERROR(ShuttleEmissions[[#This Row],[Year Mid ROG Emission Factor (g/mile)]]*ShuttleEmissions[[#This Row],[Annual VMT]]*ShuttleEmissions[[#This Row],[Useful Life (years)]]/453.59,"")</f>
        <v/>
      </c>
      <c r="Q59" s="591" t="str">
        <f>IF(ShuttleEmissions[[#This Row],[New Transit Service or Infrastructure Type]]="","",IF(OR(ShuttleEmissions[[#This Row],[Fuel Type]]="Diesel",ShuttleEmissions[[#This Row],[Fuel Type]]="Biodiesel",ShuttleEmissions[[#This Row],[Fuel Type]]="Renewable Diesel"),VLOOKUP(ShuttleEmissions[[#This Row],[YearMid_ModelYear]],'Cut-a-way Criteria &amp; Toxic'!$D$29:$M$1594,10,FALSE)*IF(ShuttleEmissions[[#This Row],[Hybrid?]]="Yes",0.8,1),0))</f>
        <v/>
      </c>
      <c r="R59" s="69" t="str">
        <f>IFERROR(ShuttleEmissions[[#This Row],[Year Mid Diesel PM10 Emission Factor (g/mile)]]*ShuttleEmissions[[#This Row],[Annual VMT]]*ShuttleEmissions[[#This Row],[Useful Life (years)]]/453.59,"")</f>
        <v/>
      </c>
      <c r="S59" s="69" t="str">
        <f>IFERROR(IF(OR(ShuttleEmissions[[#This Row],[Fuel Type]]="Electric", ShuttleEmissions[[#This Row],[Fuel Type]]="Hydrogen"),0,IF(ShuttleEmissions[[#This Row],[Fuel Type]]="Diesel",ShuttleEmissions[[#This Row],[GHG Emissions (MTCO2e)]]*1000000/'Modes of Transportation GHG'!$D$25*1.14,ShuttleEmissions[[#This Row],[GHG Emissions (MTCO2e)]]*1000000/VLOOKUP(ShuttleEmissions[[#This Row],[Fuel Type]],'Modes of Transportation GHG'!$B$12:$D$22,3,FALSE))),"")</f>
        <v/>
      </c>
      <c r="T59" s="69">
        <f>IFERROR(IF(OR(ShuttleEmissions[[#This Row],[Fuel Type]]="Electric", ShuttleEmissions[[#This Row],[Fuel Type]]="Hydrogen"),ShuttleEmissions[[#This Row],[GHG Emissions (MTCO2e)]]*1000000/VLOOKUP(ShuttleEmissions[[#This Row],[Fuel Type]],'Modes of Transportation GHG'!$B$17:$D$28,3,FALSE),0),"")</f>
        <v>0</v>
      </c>
    </row>
    <row r="60" spans="2:20" ht="15.75" x14ac:dyDescent="0.25">
      <c r="B60" s="30" t="str">
        <f>IF('Transit Inputs'!B16="Shuttle",'Transit Inputs'!B16,"")</f>
        <v/>
      </c>
      <c r="C60" s="30" t="str">
        <f>IF(ISBLANK('Transit Inputs'!C16),"",'Transit Inputs'!C16)</f>
        <v/>
      </c>
      <c r="D60" s="18" t="str">
        <f>IF(OR(ISBLANK('Transit Inputs'!D16),ISBLANK('Transit Inputs'!E16)),"",'Transit Inputs'!E16-'Transit Inputs'!D16)</f>
        <v/>
      </c>
      <c r="E60" s="18" t="str">
        <f>IF(OR(ISBLANK('Transit Inputs'!D16),ISBLANK('Transit Inputs'!E16),ISBLANK('Transit Inputs'!M16)),"",CONCATENATE(ROUNDDOWN(('Transit Inputs'!E16+'Transit Inputs'!D16)/2,0),"_",'Transit Inputs'!M16))</f>
        <v/>
      </c>
      <c r="F60" s="18" t="str">
        <f>IF(ISBLANK('Transit Inputs'!K16),"",'Transit Inputs'!K16)</f>
        <v/>
      </c>
      <c r="G60" s="18" t="str">
        <f>IF(ISBLANK('Transit Inputs'!L16),"",'Transit Inputs'!L16)</f>
        <v/>
      </c>
      <c r="H60" s="69" t="str">
        <f>IF(ISBLANK('Transit Inputs'!N16),"",'Transit Inputs'!N16)</f>
        <v/>
      </c>
      <c r="I60" s="591" t="str">
        <f>IFERROR(IF(ShuttleEmissions[[#This Row],[Fuel Type]]="Diesel",VLOOKUP(ShuttleEmissions[[#This Row],[YearMid_ModelYear]],'Cut-a-way Criteria &amp; Toxic'!$D$30:$F$1594,2,FALSE)*'Modes of Transportation GHG'!$D$25,VLOOKUP(ShuttleEmissions[[#This Row],[YearMid_ModelYear]],'Cut-a-way Criteria &amp; Toxic'!$D$30:$F$1594,3,FALSE)*VLOOKUP(ShuttleEmissions[[#This Row],[Fuel Type]],'Modes of Transportation GHG'!$B$12:$D$22,3,FALSE)*1.14)*IF(ShuttleEmissions[[#This Row],[Hybrid?]]="Yes",0.8,1),"")</f>
        <v/>
      </c>
      <c r="J60" s="69" t="str">
        <f>IFERROR(ShuttleEmissions[[#This Row],[Year Mid GHG Emission Factor (gCO2e/mile)]]*ShuttleEmissions[[#This Row],[Annual VMT]]*ShuttleEmissions[[#This Row],[Useful Life (years)]]/1000000,"")</f>
        <v/>
      </c>
      <c r="K60" s="591" t="str">
        <f>IFERROR(IF(OR(ShuttleEmissions[[#This Row],[Fuel Type]]="Electric",ShuttleEmissions[[#This Row],[Fuel Type]]="Hydrogen"),0,IF(ShuttleEmissions[[#This Row],[Fuel Type]]="Gasoline",VLOOKUP(ShuttleEmissions[[#This Row],[YearMid_ModelYear]],'Cut-a-way Criteria &amp; Toxic'!$D$29:$M$1594,5,FALSE),VLOOKUP(ShuttleEmissions[[#This Row],[YearMid_ModelYear]],'Cut-a-way Criteria &amp; Toxic'!$D$29:$M$1594,4,FALSE)))*IF(ShuttleEmissions[[#This Row],[Hybrid?]]="Yes",0.8,1),"")</f>
        <v/>
      </c>
      <c r="L60" s="69" t="str">
        <f>IFERROR(ShuttleEmissions[[#This Row],[Year Mid ROG Emission Factor (g/mile)]]*ShuttleEmissions[[#This Row],[Annual VMT]]*ShuttleEmissions[[#This Row],[Useful Life (years)]]/453.59,"")</f>
        <v/>
      </c>
      <c r="M60" s="591" t="str">
        <f>IFERROR(IF(OR(ShuttleEmissions[[#This Row],[Fuel Type]]="Electric",ShuttleEmissions[[#This Row],[Fuel Type]]="Hydrogen"),0,IF(ShuttleEmissions[[#This Row],[Fuel Type]]="Gasoline",VLOOKUP(ShuttleEmissions[[#This Row],[YearMid_ModelYear]],'Cut-a-way Criteria &amp; Toxic'!$D$29:$M$1594,7,FALSE),VLOOKUP(ShuttleEmissions[[#This Row],[YearMid_ModelYear]],'Cut-a-way Criteria &amp; Toxic'!$D$29:$M$1594,6,FALSE)))*IF(ShuttleEmissions[[#This Row],[Hybrid?]]="Yes",0.8,1),"")</f>
        <v/>
      </c>
      <c r="N60" s="69" t="str">
        <f>IFERROR(ShuttleEmissions[[#This Row],[Year Mid NOx Emission Factor (g/mile)]]*ShuttleEmissions[[#This Row],[Annual VMT]]*ShuttleEmissions[[#This Row],[Useful Life (years)]]/453.59,"")</f>
        <v/>
      </c>
      <c r="O60" s="591" t="str">
        <f>IFERROR(IF(OR(ShuttleEmissions[[#This Row],[Fuel Type]]="Electric",ShuttleEmissions[[#This Row],[Fuel Type]]="Hydrogen"),('Cut-a-way Criteria &amp; Toxic'!$P$30+0.5*'Cut-a-way Criteria &amp; Toxic'!$R$30),IF(ShuttleEmissions[[#This Row],[Fuel Type]]="Gasoline",VLOOKUP(ShuttleEmissions[[#This Row],[YearMid_ModelYear]],'Cut-a-way Criteria &amp; Toxic'!$D$29:$M$1594,9,FALSE)*IF(ShuttleEmissions[[#This Row],[Hybrid?]]="Yes",0.8,1)+'Cut-a-way Criteria &amp; Toxic'!$P$30+'Cut-a-way Criteria &amp; Toxic'!$R$30*IF(ShuttleEmissions[[#This Row],[Hybrid?]]="Yes",0.5,1),VLOOKUP(ShuttleEmissions[[#This Row],[YearMid_ModelYear]],'Cut-a-way Criteria &amp; Toxic'!$D$29:$M$1594,8,FALSE)*IF(ShuttleEmissions[[#This Row],[Hybrid?]]="Yes",0.8,1)+'Cut-a-way Criteria &amp; Toxic'!$O$30+'Cut-a-way Criteria &amp; Toxic'!$Q$30*IF(ShuttleEmissions[[#This Row],[Hybrid?]]="Yes",0.5,1))),"")</f>
        <v/>
      </c>
      <c r="P60" s="69" t="str">
        <f>IFERROR(ShuttleEmissions[[#This Row],[Year Mid ROG Emission Factor (g/mile)]]*ShuttleEmissions[[#This Row],[Annual VMT]]*ShuttleEmissions[[#This Row],[Useful Life (years)]]/453.59,"")</f>
        <v/>
      </c>
      <c r="Q60" s="591" t="str">
        <f>IF(ShuttleEmissions[[#This Row],[New Transit Service or Infrastructure Type]]="","",IF(OR(ShuttleEmissions[[#This Row],[Fuel Type]]="Diesel",ShuttleEmissions[[#This Row],[Fuel Type]]="Biodiesel",ShuttleEmissions[[#This Row],[Fuel Type]]="Renewable Diesel"),VLOOKUP(ShuttleEmissions[[#This Row],[YearMid_ModelYear]],'Cut-a-way Criteria &amp; Toxic'!$D$29:$M$1594,10,FALSE)*IF(ShuttleEmissions[[#This Row],[Hybrid?]]="Yes",0.8,1),0))</f>
        <v/>
      </c>
      <c r="R60" s="69" t="str">
        <f>IFERROR(ShuttleEmissions[[#This Row],[Year Mid Diesel PM10 Emission Factor (g/mile)]]*ShuttleEmissions[[#This Row],[Annual VMT]]*ShuttleEmissions[[#This Row],[Useful Life (years)]]/453.59,"")</f>
        <v/>
      </c>
      <c r="S60" s="69" t="str">
        <f>IFERROR(IF(OR(ShuttleEmissions[[#This Row],[Fuel Type]]="Electric", ShuttleEmissions[[#This Row],[Fuel Type]]="Hydrogen"),0,IF(ShuttleEmissions[[#This Row],[Fuel Type]]="Diesel",ShuttleEmissions[[#This Row],[GHG Emissions (MTCO2e)]]*1000000/'Modes of Transportation GHG'!$D$25*1.14,ShuttleEmissions[[#This Row],[GHG Emissions (MTCO2e)]]*1000000/VLOOKUP(ShuttleEmissions[[#This Row],[Fuel Type]],'Modes of Transportation GHG'!$B$12:$D$22,3,FALSE))),"")</f>
        <v/>
      </c>
      <c r="T60" s="69">
        <f>IFERROR(IF(OR(ShuttleEmissions[[#This Row],[Fuel Type]]="Electric", ShuttleEmissions[[#This Row],[Fuel Type]]="Hydrogen"),ShuttleEmissions[[#This Row],[GHG Emissions (MTCO2e)]]*1000000/VLOOKUP(ShuttleEmissions[[#This Row],[Fuel Type]],'Modes of Transportation GHG'!$B$17:$D$28,3,FALSE),0),"")</f>
        <v>0</v>
      </c>
    </row>
    <row r="61" spans="2:20" ht="15.75" x14ac:dyDescent="0.25">
      <c r="B61" s="30" t="str">
        <f>IF('Transit Inputs'!B17="Shuttle",'Transit Inputs'!B17,"")</f>
        <v/>
      </c>
      <c r="C61" s="30" t="str">
        <f>IF(ISBLANK('Transit Inputs'!C17),"",'Transit Inputs'!C17)</f>
        <v/>
      </c>
      <c r="D61" s="18" t="str">
        <f>IF(OR(ISBLANK('Transit Inputs'!D17),ISBLANK('Transit Inputs'!E17)),"",'Transit Inputs'!E17-'Transit Inputs'!D17)</f>
        <v/>
      </c>
      <c r="E61" s="18" t="str">
        <f>IF(OR(ISBLANK('Transit Inputs'!D17),ISBLANK('Transit Inputs'!E17),ISBLANK('Transit Inputs'!M17)),"",CONCATENATE(ROUNDDOWN(('Transit Inputs'!E17+'Transit Inputs'!D17)/2,0),"_",'Transit Inputs'!M17))</f>
        <v/>
      </c>
      <c r="F61" s="18" t="str">
        <f>IF(ISBLANK('Transit Inputs'!K17),"",'Transit Inputs'!K17)</f>
        <v/>
      </c>
      <c r="G61" s="18" t="str">
        <f>IF(ISBLANK('Transit Inputs'!L17),"",'Transit Inputs'!L17)</f>
        <v/>
      </c>
      <c r="H61" s="69" t="str">
        <f>IF(ISBLANK('Transit Inputs'!N17),"",'Transit Inputs'!N17)</f>
        <v/>
      </c>
      <c r="I61" s="591" t="str">
        <f>IFERROR(IF(ShuttleEmissions[[#This Row],[Fuel Type]]="Diesel",VLOOKUP(ShuttleEmissions[[#This Row],[YearMid_ModelYear]],'Cut-a-way Criteria &amp; Toxic'!$D$30:$F$1594,2,FALSE)*'Modes of Transportation GHG'!$D$25,VLOOKUP(ShuttleEmissions[[#This Row],[YearMid_ModelYear]],'Cut-a-way Criteria &amp; Toxic'!$D$30:$F$1594,3,FALSE)*VLOOKUP(ShuttleEmissions[[#This Row],[Fuel Type]],'Modes of Transportation GHG'!$B$12:$D$22,3,FALSE)*1.14)*IF(ShuttleEmissions[[#This Row],[Hybrid?]]="Yes",0.8,1),"")</f>
        <v/>
      </c>
      <c r="J61" s="69" t="str">
        <f>IFERROR(ShuttleEmissions[[#This Row],[Year Mid GHG Emission Factor (gCO2e/mile)]]*ShuttleEmissions[[#This Row],[Annual VMT]]*ShuttleEmissions[[#This Row],[Useful Life (years)]]/1000000,"")</f>
        <v/>
      </c>
      <c r="K61" s="591" t="str">
        <f>IFERROR(IF(OR(ShuttleEmissions[[#This Row],[Fuel Type]]="Electric",ShuttleEmissions[[#This Row],[Fuel Type]]="Hydrogen"),0,IF(ShuttleEmissions[[#This Row],[Fuel Type]]="Gasoline",VLOOKUP(ShuttleEmissions[[#This Row],[YearMid_ModelYear]],'Cut-a-way Criteria &amp; Toxic'!$D$29:$M$1594,5,FALSE),VLOOKUP(ShuttleEmissions[[#This Row],[YearMid_ModelYear]],'Cut-a-way Criteria &amp; Toxic'!$D$29:$M$1594,4,FALSE)))*IF(ShuttleEmissions[[#This Row],[Hybrid?]]="Yes",0.8,1),"")</f>
        <v/>
      </c>
      <c r="L61" s="69" t="str">
        <f>IFERROR(ShuttleEmissions[[#This Row],[Year Mid ROG Emission Factor (g/mile)]]*ShuttleEmissions[[#This Row],[Annual VMT]]*ShuttleEmissions[[#This Row],[Useful Life (years)]]/453.59,"")</f>
        <v/>
      </c>
      <c r="M61" s="591" t="str">
        <f>IFERROR(IF(OR(ShuttleEmissions[[#This Row],[Fuel Type]]="Electric",ShuttleEmissions[[#This Row],[Fuel Type]]="Hydrogen"),0,IF(ShuttleEmissions[[#This Row],[Fuel Type]]="Gasoline",VLOOKUP(ShuttleEmissions[[#This Row],[YearMid_ModelYear]],'Cut-a-way Criteria &amp; Toxic'!$D$29:$M$1594,7,FALSE),VLOOKUP(ShuttleEmissions[[#This Row],[YearMid_ModelYear]],'Cut-a-way Criteria &amp; Toxic'!$D$29:$M$1594,6,FALSE)))*IF(ShuttleEmissions[[#This Row],[Hybrid?]]="Yes",0.8,1),"")</f>
        <v/>
      </c>
      <c r="N61" s="69" t="str">
        <f>IFERROR(ShuttleEmissions[[#This Row],[Year Mid NOx Emission Factor (g/mile)]]*ShuttleEmissions[[#This Row],[Annual VMT]]*ShuttleEmissions[[#This Row],[Useful Life (years)]]/453.59,"")</f>
        <v/>
      </c>
      <c r="O61" s="591" t="str">
        <f>IFERROR(IF(OR(ShuttleEmissions[[#This Row],[Fuel Type]]="Electric",ShuttleEmissions[[#This Row],[Fuel Type]]="Hydrogen"),('Cut-a-way Criteria &amp; Toxic'!$P$30+0.5*'Cut-a-way Criteria &amp; Toxic'!$R$30),IF(ShuttleEmissions[[#This Row],[Fuel Type]]="Gasoline",VLOOKUP(ShuttleEmissions[[#This Row],[YearMid_ModelYear]],'Cut-a-way Criteria &amp; Toxic'!$D$29:$M$1594,9,FALSE)*IF(ShuttleEmissions[[#This Row],[Hybrid?]]="Yes",0.8,1)+'Cut-a-way Criteria &amp; Toxic'!$P$30+'Cut-a-way Criteria &amp; Toxic'!$R$30*IF(ShuttleEmissions[[#This Row],[Hybrid?]]="Yes",0.5,1),VLOOKUP(ShuttleEmissions[[#This Row],[YearMid_ModelYear]],'Cut-a-way Criteria &amp; Toxic'!$D$29:$M$1594,8,FALSE)*IF(ShuttleEmissions[[#This Row],[Hybrid?]]="Yes",0.8,1)+'Cut-a-way Criteria &amp; Toxic'!$O$30+'Cut-a-way Criteria &amp; Toxic'!$Q$30*IF(ShuttleEmissions[[#This Row],[Hybrid?]]="Yes",0.5,1))),"")</f>
        <v/>
      </c>
      <c r="P61" s="69" t="str">
        <f>IFERROR(ShuttleEmissions[[#This Row],[Year Mid ROG Emission Factor (g/mile)]]*ShuttleEmissions[[#This Row],[Annual VMT]]*ShuttleEmissions[[#This Row],[Useful Life (years)]]/453.59,"")</f>
        <v/>
      </c>
      <c r="Q61" s="591" t="str">
        <f>IF(ShuttleEmissions[[#This Row],[New Transit Service or Infrastructure Type]]="","",IF(OR(ShuttleEmissions[[#This Row],[Fuel Type]]="Diesel",ShuttleEmissions[[#This Row],[Fuel Type]]="Biodiesel",ShuttleEmissions[[#This Row],[Fuel Type]]="Renewable Diesel"),VLOOKUP(ShuttleEmissions[[#This Row],[YearMid_ModelYear]],'Cut-a-way Criteria &amp; Toxic'!$D$29:$M$1594,10,FALSE)*IF(ShuttleEmissions[[#This Row],[Hybrid?]]="Yes",0.8,1),0))</f>
        <v/>
      </c>
      <c r="R61" s="69" t="str">
        <f>IFERROR(ShuttleEmissions[[#This Row],[Year Mid Diesel PM10 Emission Factor (g/mile)]]*ShuttleEmissions[[#This Row],[Annual VMT]]*ShuttleEmissions[[#This Row],[Useful Life (years)]]/453.59,"")</f>
        <v/>
      </c>
      <c r="S61" s="69" t="str">
        <f>IFERROR(IF(OR(ShuttleEmissions[[#This Row],[Fuel Type]]="Electric", ShuttleEmissions[[#This Row],[Fuel Type]]="Hydrogen"),0,IF(ShuttleEmissions[[#This Row],[Fuel Type]]="Diesel",ShuttleEmissions[[#This Row],[GHG Emissions (MTCO2e)]]*1000000/'Modes of Transportation GHG'!$D$25*1.14,ShuttleEmissions[[#This Row],[GHG Emissions (MTCO2e)]]*1000000/VLOOKUP(ShuttleEmissions[[#This Row],[Fuel Type]],'Modes of Transportation GHG'!$B$12:$D$22,3,FALSE))),"")</f>
        <v/>
      </c>
      <c r="T61" s="69">
        <f>IFERROR(IF(OR(ShuttleEmissions[[#This Row],[Fuel Type]]="Electric", ShuttleEmissions[[#This Row],[Fuel Type]]="Hydrogen"),ShuttleEmissions[[#This Row],[GHG Emissions (MTCO2e)]]*1000000/VLOOKUP(ShuttleEmissions[[#This Row],[Fuel Type]],'Modes of Transportation GHG'!$B$17:$D$28,3,FALSE),0),"")</f>
        <v>0</v>
      </c>
    </row>
    <row r="62" spans="2:20" ht="15.75" x14ac:dyDescent="0.25">
      <c r="B62" s="30" t="str">
        <f>IF('Transit Inputs'!B18="Shuttle",'Transit Inputs'!B18,"")</f>
        <v/>
      </c>
      <c r="C62" s="30" t="str">
        <f>IF(ISBLANK('Transit Inputs'!C18),"",'Transit Inputs'!C18)</f>
        <v/>
      </c>
      <c r="D62" s="18" t="str">
        <f>IF(OR(ISBLANK('Transit Inputs'!D18),ISBLANK('Transit Inputs'!E18)),"",'Transit Inputs'!E18-'Transit Inputs'!D18)</f>
        <v/>
      </c>
      <c r="E62" s="18" t="str">
        <f>IF(OR(ISBLANK('Transit Inputs'!D18),ISBLANK('Transit Inputs'!E18),ISBLANK('Transit Inputs'!M18)),"",CONCATENATE(ROUNDDOWN(('Transit Inputs'!E18+'Transit Inputs'!D18)/2,0),"_",'Transit Inputs'!M18))</f>
        <v/>
      </c>
      <c r="F62" s="18" t="str">
        <f>IF(ISBLANK('Transit Inputs'!K18),"",'Transit Inputs'!K18)</f>
        <v/>
      </c>
      <c r="G62" s="18" t="str">
        <f>IF(ISBLANK('Transit Inputs'!L18),"",'Transit Inputs'!L18)</f>
        <v/>
      </c>
      <c r="H62" s="69" t="str">
        <f>IF(ISBLANK('Transit Inputs'!N18),"",'Transit Inputs'!N18)</f>
        <v/>
      </c>
      <c r="I62" s="591" t="str">
        <f>IFERROR(IF(ShuttleEmissions[[#This Row],[Fuel Type]]="Diesel",VLOOKUP(ShuttleEmissions[[#This Row],[YearMid_ModelYear]],'Cut-a-way Criteria &amp; Toxic'!$D$30:$F$1594,2,FALSE)*'Modes of Transportation GHG'!$D$25,VLOOKUP(ShuttleEmissions[[#This Row],[YearMid_ModelYear]],'Cut-a-way Criteria &amp; Toxic'!$D$30:$F$1594,3,FALSE)*VLOOKUP(ShuttleEmissions[[#This Row],[Fuel Type]],'Modes of Transportation GHG'!$B$12:$D$22,3,FALSE)*1.14)*IF(ShuttleEmissions[[#This Row],[Hybrid?]]="Yes",0.8,1),"")</f>
        <v/>
      </c>
      <c r="J62" s="69" t="str">
        <f>IFERROR(ShuttleEmissions[[#This Row],[Year Mid GHG Emission Factor (gCO2e/mile)]]*ShuttleEmissions[[#This Row],[Annual VMT]]*ShuttleEmissions[[#This Row],[Useful Life (years)]]/1000000,"")</f>
        <v/>
      </c>
      <c r="K62" s="591" t="str">
        <f>IFERROR(IF(OR(ShuttleEmissions[[#This Row],[Fuel Type]]="Electric",ShuttleEmissions[[#This Row],[Fuel Type]]="Hydrogen"),0,IF(ShuttleEmissions[[#This Row],[Fuel Type]]="Gasoline",VLOOKUP(ShuttleEmissions[[#This Row],[YearMid_ModelYear]],'Cut-a-way Criteria &amp; Toxic'!$D$29:$M$1594,5,FALSE),VLOOKUP(ShuttleEmissions[[#This Row],[YearMid_ModelYear]],'Cut-a-way Criteria &amp; Toxic'!$D$29:$M$1594,4,FALSE)))*IF(ShuttleEmissions[[#This Row],[Hybrid?]]="Yes",0.8,1),"")</f>
        <v/>
      </c>
      <c r="L62" s="69" t="str">
        <f>IFERROR(ShuttleEmissions[[#This Row],[Year Mid ROG Emission Factor (g/mile)]]*ShuttleEmissions[[#This Row],[Annual VMT]]*ShuttleEmissions[[#This Row],[Useful Life (years)]]/453.59,"")</f>
        <v/>
      </c>
      <c r="M62" s="591" t="str">
        <f>IFERROR(IF(OR(ShuttleEmissions[[#This Row],[Fuel Type]]="Electric",ShuttleEmissions[[#This Row],[Fuel Type]]="Hydrogen"),0,IF(ShuttleEmissions[[#This Row],[Fuel Type]]="Gasoline",VLOOKUP(ShuttleEmissions[[#This Row],[YearMid_ModelYear]],'Cut-a-way Criteria &amp; Toxic'!$D$29:$M$1594,7,FALSE),VLOOKUP(ShuttleEmissions[[#This Row],[YearMid_ModelYear]],'Cut-a-way Criteria &amp; Toxic'!$D$29:$M$1594,6,FALSE)))*IF(ShuttleEmissions[[#This Row],[Hybrid?]]="Yes",0.8,1),"")</f>
        <v/>
      </c>
      <c r="N62" s="69" t="str">
        <f>IFERROR(ShuttleEmissions[[#This Row],[Year Mid NOx Emission Factor (g/mile)]]*ShuttleEmissions[[#This Row],[Annual VMT]]*ShuttleEmissions[[#This Row],[Useful Life (years)]]/453.59,"")</f>
        <v/>
      </c>
      <c r="O62" s="591" t="str">
        <f>IFERROR(IF(OR(ShuttleEmissions[[#This Row],[Fuel Type]]="Electric",ShuttleEmissions[[#This Row],[Fuel Type]]="Hydrogen"),('Cut-a-way Criteria &amp; Toxic'!$P$30+0.5*'Cut-a-way Criteria &amp; Toxic'!$R$30),IF(ShuttleEmissions[[#This Row],[Fuel Type]]="Gasoline",VLOOKUP(ShuttleEmissions[[#This Row],[YearMid_ModelYear]],'Cut-a-way Criteria &amp; Toxic'!$D$29:$M$1594,9,FALSE)*IF(ShuttleEmissions[[#This Row],[Hybrid?]]="Yes",0.8,1)+'Cut-a-way Criteria &amp; Toxic'!$P$30+'Cut-a-way Criteria &amp; Toxic'!$R$30*IF(ShuttleEmissions[[#This Row],[Hybrid?]]="Yes",0.5,1),VLOOKUP(ShuttleEmissions[[#This Row],[YearMid_ModelYear]],'Cut-a-way Criteria &amp; Toxic'!$D$29:$M$1594,8,FALSE)*IF(ShuttleEmissions[[#This Row],[Hybrid?]]="Yes",0.8,1)+'Cut-a-way Criteria &amp; Toxic'!$O$30+'Cut-a-way Criteria &amp; Toxic'!$Q$30*IF(ShuttleEmissions[[#This Row],[Hybrid?]]="Yes",0.5,1))),"")</f>
        <v/>
      </c>
      <c r="P62" s="69" t="str">
        <f>IFERROR(ShuttleEmissions[[#This Row],[Year Mid ROG Emission Factor (g/mile)]]*ShuttleEmissions[[#This Row],[Annual VMT]]*ShuttleEmissions[[#This Row],[Useful Life (years)]]/453.59,"")</f>
        <v/>
      </c>
      <c r="Q62" s="591" t="str">
        <f>IF(ShuttleEmissions[[#This Row],[New Transit Service or Infrastructure Type]]="","",IF(OR(ShuttleEmissions[[#This Row],[Fuel Type]]="Diesel",ShuttleEmissions[[#This Row],[Fuel Type]]="Biodiesel",ShuttleEmissions[[#This Row],[Fuel Type]]="Renewable Diesel"),VLOOKUP(ShuttleEmissions[[#This Row],[YearMid_ModelYear]],'Cut-a-way Criteria &amp; Toxic'!$D$29:$M$1594,10,FALSE)*IF(ShuttleEmissions[[#This Row],[Hybrid?]]="Yes",0.8,1),0))</f>
        <v/>
      </c>
      <c r="R62" s="69" t="str">
        <f>IFERROR(ShuttleEmissions[[#This Row],[Year Mid Diesel PM10 Emission Factor (g/mile)]]*ShuttleEmissions[[#This Row],[Annual VMT]]*ShuttleEmissions[[#This Row],[Useful Life (years)]]/453.59,"")</f>
        <v/>
      </c>
      <c r="S62" s="69" t="str">
        <f>IFERROR(IF(OR(ShuttleEmissions[[#This Row],[Fuel Type]]="Electric", ShuttleEmissions[[#This Row],[Fuel Type]]="Hydrogen"),0,IF(ShuttleEmissions[[#This Row],[Fuel Type]]="Diesel",ShuttleEmissions[[#This Row],[GHG Emissions (MTCO2e)]]*1000000/'Modes of Transportation GHG'!$D$25*1.14,ShuttleEmissions[[#This Row],[GHG Emissions (MTCO2e)]]*1000000/VLOOKUP(ShuttleEmissions[[#This Row],[Fuel Type]],'Modes of Transportation GHG'!$B$12:$D$22,3,FALSE))),"")</f>
        <v/>
      </c>
      <c r="T62" s="69">
        <f>IFERROR(IF(OR(ShuttleEmissions[[#This Row],[Fuel Type]]="Electric", ShuttleEmissions[[#This Row],[Fuel Type]]="Hydrogen"),ShuttleEmissions[[#This Row],[GHG Emissions (MTCO2e)]]*1000000/VLOOKUP(ShuttleEmissions[[#This Row],[Fuel Type]],'Modes of Transportation GHG'!$B$17:$D$28,3,FALSE),0),"")</f>
        <v>0</v>
      </c>
    </row>
    <row r="63" spans="2:20" ht="15.75" x14ac:dyDescent="0.25">
      <c r="F63" s="2"/>
      <c r="G63" s="2"/>
      <c r="H63" s="2"/>
    </row>
    <row r="64" spans="2:20" ht="15.75" x14ac:dyDescent="0.25">
      <c r="B64" s="446" t="s">
        <v>4745</v>
      </c>
      <c r="F64" s="2"/>
      <c r="G64" s="2"/>
      <c r="H64" s="2"/>
    </row>
    <row r="65" spans="2:20" ht="51.75" x14ac:dyDescent="0.35">
      <c r="B65" s="425" t="s">
        <v>135</v>
      </c>
      <c r="C65" s="425" t="s">
        <v>142</v>
      </c>
      <c r="D65" s="425" t="s">
        <v>4738</v>
      </c>
      <c r="E65" s="425" t="s">
        <v>400</v>
      </c>
      <c r="F65" s="425" t="s">
        <v>4739</v>
      </c>
      <c r="G65" s="425" t="s">
        <v>4749</v>
      </c>
      <c r="H65" s="425" t="s">
        <v>4761</v>
      </c>
      <c r="I65" s="425" t="s">
        <v>4768</v>
      </c>
      <c r="J65" s="424" t="s">
        <v>4748</v>
      </c>
      <c r="K65" s="425" t="s">
        <v>4769</v>
      </c>
      <c r="L65" s="424" t="s">
        <v>4750</v>
      </c>
      <c r="M65" s="425" t="s">
        <v>4770</v>
      </c>
      <c r="N65" s="424" t="s">
        <v>4751</v>
      </c>
      <c r="O65" s="425" t="s">
        <v>4771</v>
      </c>
      <c r="P65" s="424" t="s">
        <v>4752</v>
      </c>
      <c r="Q65" s="425" t="s">
        <v>4772</v>
      </c>
      <c r="R65" s="424" t="s">
        <v>4753</v>
      </c>
      <c r="S65" s="425" t="s">
        <v>4788</v>
      </c>
      <c r="T65" s="425" t="s">
        <v>4784</v>
      </c>
    </row>
    <row r="66" spans="2:20" ht="15.75" x14ac:dyDescent="0.25">
      <c r="B66" s="30" t="str">
        <f>IF('Transit Inputs'!B14="Ferry",'Transit Inputs'!B14,"")</f>
        <v/>
      </c>
      <c r="C66" s="30" t="str">
        <f>IF(ISBLANK('Transit Inputs'!C14),"",'Transit Inputs'!C14)</f>
        <v/>
      </c>
      <c r="D66" s="18" t="str">
        <f>IF(OR(ISBLANK('Transit Inputs'!D14),ISBLANK('Transit Inputs'!E14)),"",'Transit Inputs'!E14-'Transit Inputs'!D14)</f>
        <v/>
      </c>
      <c r="E66" s="18" t="str">
        <f>IF(ISBLANK('Transit Inputs'!M14),"",'Transit Inputs'!M14)</f>
        <v/>
      </c>
      <c r="F66" s="18" t="str">
        <f>IF(ISBLANK('Transit Inputs'!K14),"",'Transit Inputs'!K14)</f>
        <v/>
      </c>
      <c r="G66" s="18" t="str">
        <f>IF(ISBLANK('Transit Inputs'!L14),"",'Transit Inputs'!L14)</f>
        <v/>
      </c>
      <c r="H66" s="69" t="str">
        <f>IF(ISBLANK('Transit Inputs'!O14),"",'Transit Inputs'!O14)</f>
        <v/>
      </c>
      <c r="I66" s="591" t="str">
        <f>IFERROR(VLOOKUP(FerryEmissions[[#This Row],[Fuel Type]],'Modes of Transportation GHG'!$B$11:$G$22,6,FALSE)*IF(FerryEmissions[[#This Row],[Hybrid?]]="Yes",0.8,1),"")</f>
        <v/>
      </c>
      <c r="J66" s="69" t="str">
        <f>IFERROR(FerryEmissions[[#This Row],[GHG Emission Factor (gCO2e/unit fuel)]]*FerryEmissions[[#This Row],[Annual Fuel Consumption]]*FerryEmissions[[#This Row],[Useful Life (years)]]/1000000,"")</f>
        <v/>
      </c>
      <c r="K66" s="591" t="str">
        <f>IF(FerryEmissions[[#This Row],[Model Year]]="","",IF(OR(FerryEmissions[[#This Row],[Fuel Type]]="Electric",FerryEmissions[[#This Row],[Fuel Type]]="Hydrogen"),0,IF(FerryEmissions[[#This Row],[Model Year]]&gt;=2014,'Ferry Criteria &amp; Toxic'!$C$13*IF(FerryEmissions[[#This Row],[Hybrid?]]="Yes",0.8,1),"")))</f>
        <v/>
      </c>
      <c r="L66" s="69" t="str">
        <f>IFERROR(FerryEmissions[[#This Row],[ROG Emission Factor (g/unit of fuel)]]*FerryEmissions[[#This Row],[Annual Fuel Consumption]]*FerryEmissions[[#This Row],[Useful Life (years)]]/453.59,"")</f>
        <v/>
      </c>
      <c r="M66" s="591" t="str">
        <f>IF(FerryEmissions[[#This Row],[Model Year]]="","",IF(OR(FerryEmissions[[#This Row],[Fuel Type]]="Electric",FerryEmissions[[#This Row],[Fuel Type]]="Hydrogen"),0,IF(FerryEmissions[[#This Row],[Model Year]]&gt;=2014,'Ferry Criteria &amp; Toxic'!$D$13*IF(FerryEmissions[[#This Row],[Hybrid?]]="Yes",0.8,1),"")))</f>
        <v/>
      </c>
      <c r="N66" s="69" t="str">
        <f>IFERROR(FerryEmissions[[#This Row],[NOx Emission Factor (g/unit of fuel)]]*FerryEmissions[[#This Row],[Annual Fuel Consumption]]*FerryEmissions[[#This Row],[Useful Life (years)]]/453.59,"")</f>
        <v/>
      </c>
      <c r="O66" s="591" t="str">
        <f>IF(FerryEmissions[[#This Row],[Model Year]]="","",IF(OR(FerryEmissions[[#This Row],[Fuel Type]]="Electric",FerryEmissions[[#This Row],[Fuel Type]]="Hydrogen"),0,IF(FerryEmissions[[#This Row],[Model Year]]&gt;=2014,'Ferry Criteria &amp; Toxic'!$E$13*IF(FerryEmissions[[#This Row],[Hybrid?]]="Yes",0.8,1),"")))</f>
        <v/>
      </c>
      <c r="P66" s="69" t="str">
        <f>IFERROR(FerryEmissions[[#This Row],[PM2.5 Emission Factor (g/unit of fuel)]]*FerryEmissions[[#This Row],[Annual Fuel Consumption]]*FerryEmissions[[#This Row],[Useful Life (years)]]/453.59,"")</f>
        <v/>
      </c>
      <c r="Q66" s="591" t="str">
        <f>IF(FerryEmissions[[#This Row],[Model Year]]="","",IF(OR(FerryEmissions[[#This Row],[Fuel Type]]="Electric",FerryEmissions[[#This Row],[Fuel Type]]="Hydrogen"),0,IF(FerryEmissions[[#This Row],[Model Year]]&gt;=2014,'Ferry Criteria &amp; Toxic'!$F$13*IF(FerryEmissions[[#This Row],[Hybrid?]]="Yes",0.8,1),"")))</f>
        <v/>
      </c>
      <c r="R66" s="69" t="str">
        <f>IFERROR(FerryEmissions[[#This Row],[Diesel PM10 Emission Factor (g/unit of fuel)]]*FerryEmissions[[#This Row],[Annual Fuel Consumption]]*FerryEmissions[[#This Row],[Useful Life (years)]]/453.59,"")</f>
        <v/>
      </c>
      <c r="S66" s="69" t="str">
        <f>IFERROR(IF(OR(FerryEmissions[[#This Row],[Fuel Type]]="Electric",FerryEmissions[[#This Row],[Fuel Type]]="Hydrogen"),0,FerryEmissions[[#This Row],[Annual Fuel Consumption]]*FerryEmissions[[#This Row],[Useful Life (years)]]/VLOOKUP(FerryEmissions[[#This Row],[Fuel Type]],GallonEquivalents[],3,FALSE)),"")</f>
        <v/>
      </c>
      <c r="T66" s="69">
        <f>IFERROR(IF(OR(FerryEmissions[[#This Row],[Fuel Type]]="Electric",FerryEmissions[[#This Row],[Fuel Type]]="Hydrogen"),FerryEmissions[[#This Row],[Annual Fuel Consumption]]*FerryEmissions[[#This Row],[Useful Life (years)]]/VLOOKUP(FerryEmissions[[#This Row],[Fuel Type]],GallonEquivalents[],3,FALSE),0),"")</f>
        <v>0</v>
      </c>
    </row>
    <row r="67" spans="2:20" ht="15.75" x14ac:dyDescent="0.25">
      <c r="B67" s="30" t="str">
        <f>IF('Transit Inputs'!B15="Ferry",'Transit Inputs'!B15,"")</f>
        <v/>
      </c>
      <c r="C67" s="30" t="str">
        <f>IF(ISBLANK('Transit Inputs'!C15),"",'Transit Inputs'!C15)</f>
        <v/>
      </c>
      <c r="D67" s="18" t="str">
        <f>IF(OR(ISBLANK('Transit Inputs'!D15),ISBLANK('Transit Inputs'!E15)),"",'Transit Inputs'!E15-'Transit Inputs'!D15)</f>
        <v/>
      </c>
      <c r="E67" s="18" t="str">
        <f>IF(ISBLANK('Transit Inputs'!M15),"",'Transit Inputs'!M15)</f>
        <v/>
      </c>
      <c r="F67" s="18" t="str">
        <f>IF(ISBLANK('Transit Inputs'!K15),"",'Transit Inputs'!K15)</f>
        <v/>
      </c>
      <c r="G67" s="18" t="str">
        <f>IF(ISBLANK('Transit Inputs'!L15),"",'Transit Inputs'!L15)</f>
        <v/>
      </c>
      <c r="H67" s="69" t="str">
        <f>IF(ISBLANK('Transit Inputs'!O15),"",'Transit Inputs'!O15)</f>
        <v/>
      </c>
      <c r="I67" s="591" t="str">
        <f>IFERROR(VLOOKUP(FerryEmissions[[#This Row],[Fuel Type]],'Modes of Transportation GHG'!$B$11:$G$22,6,FALSE)*IF(FerryEmissions[[#This Row],[Hybrid?]]="Yes",0.8,1),"")</f>
        <v/>
      </c>
      <c r="J67" s="69" t="str">
        <f>IFERROR(FerryEmissions[[#This Row],[GHG Emission Factor (gCO2e/unit fuel)]]*FerryEmissions[[#This Row],[Annual Fuel Consumption]]*FerryEmissions[[#This Row],[Useful Life (years)]]/1000000,"")</f>
        <v/>
      </c>
      <c r="K67" s="591" t="str">
        <f>IF(FerryEmissions[[#This Row],[Model Year]]="","",IF(OR(FerryEmissions[[#This Row],[Fuel Type]]="Electric",FerryEmissions[[#This Row],[Fuel Type]]="Hydrogen"),0,IF(FerryEmissions[[#This Row],[Model Year]]&gt;=2014,'Ferry Criteria &amp; Toxic'!$C$13*IF(FerryEmissions[[#This Row],[Hybrid?]]="Yes",0.8,1),"")))</f>
        <v/>
      </c>
      <c r="L67" s="69" t="str">
        <f>IFERROR(FerryEmissions[[#This Row],[ROG Emission Factor (g/unit of fuel)]]*FerryEmissions[[#This Row],[Annual Fuel Consumption]]*FerryEmissions[[#This Row],[Useful Life (years)]]/453.59,"")</f>
        <v/>
      </c>
      <c r="M67" s="591" t="str">
        <f>IF(FerryEmissions[[#This Row],[Model Year]]="","",IF(OR(FerryEmissions[[#This Row],[Fuel Type]]="Electric",FerryEmissions[[#This Row],[Fuel Type]]="Hydrogen"),0,IF(FerryEmissions[[#This Row],[Model Year]]&gt;=2014,'Ferry Criteria &amp; Toxic'!$D$13*IF(FerryEmissions[[#This Row],[Hybrid?]]="Yes",0.8,1),"")))</f>
        <v/>
      </c>
      <c r="N67" s="69" t="str">
        <f>IFERROR(FerryEmissions[[#This Row],[NOx Emission Factor (g/unit of fuel)]]*FerryEmissions[[#This Row],[Annual Fuel Consumption]]*FerryEmissions[[#This Row],[Useful Life (years)]]/453.59,"")</f>
        <v/>
      </c>
      <c r="O67" s="591" t="str">
        <f>IF(FerryEmissions[[#This Row],[Model Year]]="","",IF(OR(FerryEmissions[[#This Row],[Fuel Type]]="Electric",FerryEmissions[[#This Row],[Fuel Type]]="Hydrogen"),0,IF(FerryEmissions[[#This Row],[Model Year]]&gt;=2014,'Ferry Criteria &amp; Toxic'!$E$13*IF(FerryEmissions[[#This Row],[Hybrid?]]="Yes",0.8,1),"")))</f>
        <v/>
      </c>
      <c r="P67" s="69" t="str">
        <f>IFERROR(FerryEmissions[[#This Row],[PM2.5 Emission Factor (g/unit of fuel)]]*FerryEmissions[[#This Row],[Annual Fuel Consumption]]*FerryEmissions[[#This Row],[Useful Life (years)]]/453.59,"")</f>
        <v/>
      </c>
      <c r="Q67" s="591" t="str">
        <f>IF(FerryEmissions[[#This Row],[Model Year]]="","",IF(OR(FerryEmissions[[#This Row],[Fuel Type]]="Electric",FerryEmissions[[#This Row],[Fuel Type]]="Hydrogen"),0,IF(FerryEmissions[[#This Row],[Model Year]]&gt;=2014,'Ferry Criteria &amp; Toxic'!$F$13*IF(FerryEmissions[[#This Row],[Hybrid?]]="Yes",0.8,1),"")))</f>
        <v/>
      </c>
      <c r="R67" s="69" t="str">
        <f>IFERROR(FerryEmissions[[#This Row],[Diesel PM10 Emission Factor (g/unit of fuel)]]*FerryEmissions[[#This Row],[Annual Fuel Consumption]]*FerryEmissions[[#This Row],[Useful Life (years)]]/453.59,"")</f>
        <v/>
      </c>
      <c r="S67" s="69" t="str">
        <f>IFERROR(IF(OR(FerryEmissions[[#This Row],[Fuel Type]]="Electric",FerryEmissions[[#This Row],[Fuel Type]]="Hydrogen"),0,FerryEmissions[[#This Row],[Annual Fuel Consumption]]*FerryEmissions[[#This Row],[Useful Life (years)]]/VLOOKUP(FerryEmissions[[#This Row],[Fuel Type]],GallonEquivalents[],3,FALSE)),"")</f>
        <v/>
      </c>
      <c r="T67" s="69">
        <f>IFERROR(IF(OR(FerryEmissions[[#This Row],[Fuel Type]]="Electric",FerryEmissions[[#This Row],[Fuel Type]]="Hydrogen"),FerryEmissions[[#This Row],[Annual Fuel Consumption]]*FerryEmissions[[#This Row],[Useful Life (years)]]/VLOOKUP(FerryEmissions[[#This Row],[Fuel Type]],GallonEquivalents[],3,FALSE),0),"")</f>
        <v>0</v>
      </c>
    </row>
    <row r="68" spans="2:20" ht="15.75" x14ac:dyDescent="0.25">
      <c r="B68" s="30" t="str">
        <f>IF('Transit Inputs'!B16="Ferry",'Transit Inputs'!B16,"")</f>
        <v/>
      </c>
      <c r="C68" s="30" t="str">
        <f>IF(ISBLANK('Transit Inputs'!C16),"",'Transit Inputs'!C16)</f>
        <v/>
      </c>
      <c r="D68" s="18" t="str">
        <f>IF(OR(ISBLANK('Transit Inputs'!D16),ISBLANK('Transit Inputs'!E16)),"",'Transit Inputs'!E16-'Transit Inputs'!D16)</f>
        <v/>
      </c>
      <c r="E68" s="18" t="str">
        <f>IF(ISBLANK('Transit Inputs'!M16),"",'Transit Inputs'!M16)</f>
        <v/>
      </c>
      <c r="F68" s="18" t="str">
        <f>IF(ISBLANK('Transit Inputs'!K16),"",'Transit Inputs'!K16)</f>
        <v/>
      </c>
      <c r="G68" s="18" t="str">
        <f>IF(ISBLANK('Transit Inputs'!L16),"",'Transit Inputs'!L16)</f>
        <v/>
      </c>
      <c r="H68" s="69" t="str">
        <f>IF(ISBLANK('Transit Inputs'!O16),"",'Transit Inputs'!O16)</f>
        <v/>
      </c>
      <c r="I68" s="591" t="str">
        <f>IFERROR(VLOOKUP(FerryEmissions[[#This Row],[Fuel Type]],'Modes of Transportation GHG'!$B$11:$G$22,6,FALSE)*IF(FerryEmissions[[#This Row],[Hybrid?]]="Yes",0.8,1),"")</f>
        <v/>
      </c>
      <c r="J68" s="69" t="str">
        <f>IFERROR(FerryEmissions[[#This Row],[GHG Emission Factor (gCO2e/unit fuel)]]*FerryEmissions[[#This Row],[Annual Fuel Consumption]]*FerryEmissions[[#This Row],[Useful Life (years)]]/1000000,"")</f>
        <v/>
      </c>
      <c r="K68" s="591" t="str">
        <f>IF(FerryEmissions[[#This Row],[Model Year]]="","",IF(OR(FerryEmissions[[#This Row],[Fuel Type]]="Electric",FerryEmissions[[#This Row],[Fuel Type]]="Hydrogen"),0,IF(FerryEmissions[[#This Row],[Model Year]]&gt;=2014,'Ferry Criteria &amp; Toxic'!$C$13*IF(FerryEmissions[[#This Row],[Hybrid?]]="Yes",0.8,1),"")))</f>
        <v/>
      </c>
      <c r="L68" s="69" t="str">
        <f>IFERROR(FerryEmissions[[#This Row],[ROG Emission Factor (g/unit of fuel)]]*FerryEmissions[[#This Row],[Annual Fuel Consumption]]*FerryEmissions[[#This Row],[Useful Life (years)]]/453.59,"")</f>
        <v/>
      </c>
      <c r="M68" s="591" t="str">
        <f>IF(FerryEmissions[[#This Row],[Model Year]]="","",IF(OR(FerryEmissions[[#This Row],[Fuel Type]]="Electric",FerryEmissions[[#This Row],[Fuel Type]]="Hydrogen"),0,IF(FerryEmissions[[#This Row],[Model Year]]&gt;=2014,'Ferry Criteria &amp; Toxic'!$D$13*IF(FerryEmissions[[#This Row],[Hybrid?]]="Yes",0.8,1),"")))</f>
        <v/>
      </c>
      <c r="N68" s="69" t="str">
        <f>IFERROR(FerryEmissions[[#This Row],[NOx Emission Factor (g/unit of fuel)]]*FerryEmissions[[#This Row],[Annual Fuel Consumption]]*FerryEmissions[[#This Row],[Useful Life (years)]]/453.59,"")</f>
        <v/>
      </c>
      <c r="O68" s="591" t="str">
        <f>IF(FerryEmissions[[#This Row],[Model Year]]="","",IF(OR(FerryEmissions[[#This Row],[Fuel Type]]="Electric",FerryEmissions[[#This Row],[Fuel Type]]="Hydrogen"),0,IF(FerryEmissions[[#This Row],[Model Year]]&gt;=2014,'Ferry Criteria &amp; Toxic'!$E$13*IF(FerryEmissions[[#This Row],[Hybrid?]]="Yes",0.8,1),"")))</f>
        <v/>
      </c>
      <c r="P68" s="69" t="str">
        <f>IFERROR(FerryEmissions[[#This Row],[PM2.5 Emission Factor (g/unit of fuel)]]*FerryEmissions[[#This Row],[Annual Fuel Consumption]]*FerryEmissions[[#This Row],[Useful Life (years)]]/453.59,"")</f>
        <v/>
      </c>
      <c r="Q68" s="591" t="str">
        <f>IF(FerryEmissions[[#This Row],[Model Year]]="","",IF(OR(FerryEmissions[[#This Row],[Fuel Type]]="Electric",FerryEmissions[[#This Row],[Fuel Type]]="Hydrogen"),0,IF(FerryEmissions[[#This Row],[Model Year]]&gt;=2014,'Ferry Criteria &amp; Toxic'!$F$13*IF(FerryEmissions[[#This Row],[Hybrid?]]="Yes",0.8,1),"")))</f>
        <v/>
      </c>
      <c r="R68" s="69" t="str">
        <f>IFERROR(FerryEmissions[[#This Row],[Diesel PM10 Emission Factor (g/unit of fuel)]]*FerryEmissions[[#This Row],[Annual Fuel Consumption]]*FerryEmissions[[#This Row],[Useful Life (years)]]/453.59,"")</f>
        <v/>
      </c>
      <c r="S68" s="69" t="str">
        <f>IFERROR(IF(OR(FerryEmissions[[#This Row],[Fuel Type]]="Electric",FerryEmissions[[#This Row],[Fuel Type]]="Hydrogen"),0,FerryEmissions[[#This Row],[Annual Fuel Consumption]]*FerryEmissions[[#This Row],[Useful Life (years)]]/VLOOKUP(FerryEmissions[[#This Row],[Fuel Type]],GallonEquivalents[],3,FALSE)),"")</f>
        <v/>
      </c>
      <c r="T68" s="69">
        <f>IFERROR(IF(OR(FerryEmissions[[#This Row],[Fuel Type]]="Electric",FerryEmissions[[#This Row],[Fuel Type]]="Hydrogen"),FerryEmissions[[#This Row],[Annual Fuel Consumption]]*FerryEmissions[[#This Row],[Useful Life (years)]]/VLOOKUP(FerryEmissions[[#This Row],[Fuel Type]],GallonEquivalents[],3,FALSE),0),"")</f>
        <v>0</v>
      </c>
    </row>
    <row r="69" spans="2:20" ht="15.75" x14ac:dyDescent="0.25">
      <c r="B69" s="30" t="str">
        <f>IF('Transit Inputs'!B17="Ferry",'Transit Inputs'!B17,"")</f>
        <v/>
      </c>
      <c r="C69" s="30" t="str">
        <f>IF(ISBLANK('Transit Inputs'!C17),"",'Transit Inputs'!C17)</f>
        <v/>
      </c>
      <c r="D69" s="18" t="str">
        <f>IF(OR(ISBLANK('Transit Inputs'!D17),ISBLANK('Transit Inputs'!E17)),"",'Transit Inputs'!E17-'Transit Inputs'!D17)</f>
        <v/>
      </c>
      <c r="E69" s="18" t="str">
        <f>IF(ISBLANK('Transit Inputs'!M17),"",'Transit Inputs'!M17)</f>
        <v/>
      </c>
      <c r="F69" s="18" t="str">
        <f>IF(ISBLANK('Transit Inputs'!K17),"",'Transit Inputs'!K17)</f>
        <v/>
      </c>
      <c r="G69" s="18" t="str">
        <f>IF(ISBLANK('Transit Inputs'!L17),"",'Transit Inputs'!L17)</f>
        <v/>
      </c>
      <c r="H69" s="69" t="str">
        <f>IF(ISBLANK('Transit Inputs'!O17),"",'Transit Inputs'!O17)</f>
        <v/>
      </c>
      <c r="I69" s="591" t="str">
        <f>IFERROR(VLOOKUP(FerryEmissions[[#This Row],[Fuel Type]],'Modes of Transportation GHG'!$B$11:$G$22,6,FALSE)*IF(FerryEmissions[[#This Row],[Hybrid?]]="Yes",0.8,1),"")</f>
        <v/>
      </c>
      <c r="J69" s="69" t="str">
        <f>IFERROR(FerryEmissions[[#This Row],[GHG Emission Factor (gCO2e/unit fuel)]]*FerryEmissions[[#This Row],[Annual Fuel Consumption]]*FerryEmissions[[#This Row],[Useful Life (years)]]/1000000,"")</f>
        <v/>
      </c>
      <c r="K69" s="591" t="str">
        <f>IF(FerryEmissions[[#This Row],[Model Year]]="","",IF(OR(FerryEmissions[[#This Row],[Fuel Type]]="Electric",FerryEmissions[[#This Row],[Fuel Type]]="Hydrogen"),0,IF(FerryEmissions[[#This Row],[Model Year]]&gt;=2014,'Ferry Criteria &amp; Toxic'!$C$13*IF(FerryEmissions[[#This Row],[Hybrid?]]="Yes",0.8,1),"")))</f>
        <v/>
      </c>
      <c r="L69" s="69" t="str">
        <f>IFERROR(FerryEmissions[[#This Row],[ROG Emission Factor (g/unit of fuel)]]*FerryEmissions[[#This Row],[Annual Fuel Consumption]]*FerryEmissions[[#This Row],[Useful Life (years)]]/453.59,"")</f>
        <v/>
      </c>
      <c r="M69" s="591" t="str">
        <f>IF(FerryEmissions[[#This Row],[Model Year]]="","",IF(OR(FerryEmissions[[#This Row],[Fuel Type]]="Electric",FerryEmissions[[#This Row],[Fuel Type]]="Hydrogen"),0,IF(FerryEmissions[[#This Row],[Model Year]]&gt;=2014,'Ferry Criteria &amp; Toxic'!$D$13*IF(FerryEmissions[[#This Row],[Hybrid?]]="Yes",0.8,1),"")))</f>
        <v/>
      </c>
      <c r="N69" s="69" t="str">
        <f>IFERROR(FerryEmissions[[#This Row],[NOx Emission Factor (g/unit of fuel)]]*FerryEmissions[[#This Row],[Annual Fuel Consumption]]*FerryEmissions[[#This Row],[Useful Life (years)]]/453.59,"")</f>
        <v/>
      </c>
      <c r="O69" s="591" t="str">
        <f>IF(FerryEmissions[[#This Row],[Model Year]]="","",IF(OR(FerryEmissions[[#This Row],[Fuel Type]]="Electric",FerryEmissions[[#This Row],[Fuel Type]]="Hydrogen"),0,IF(FerryEmissions[[#This Row],[Model Year]]&gt;=2014,'Ferry Criteria &amp; Toxic'!$E$13*IF(FerryEmissions[[#This Row],[Hybrid?]]="Yes",0.8,1),"")))</f>
        <v/>
      </c>
      <c r="P69" s="69" t="str">
        <f>IFERROR(FerryEmissions[[#This Row],[PM2.5 Emission Factor (g/unit of fuel)]]*FerryEmissions[[#This Row],[Annual Fuel Consumption]]*FerryEmissions[[#This Row],[Useful Life (years)]]/453.59,"")</f>
        <v/>
      </c>
      <c r="Q69" s="591" t="str">
        <f>IF(FerryEmissions[[#This Row],[Model Year]]="","",IF(OR(FerryEmissions[[#This Row],[Fuel Type]]="Electric",FerryEmissions[[#This Row],[Fuel Type]]="Hydrogen"),0,IF(FerryEmissions[[#This Row],[Model Year]]&gt;=2014,'Ferry Criteria &amp; Toxic'!$F$13*IF(FerryEmissions[[#This Row],[Hybrid?]]="Yes",0.8,1),"")))</f>
        <v/>
      </c>
      <c r="R69" s="69" t="str">
        <f>IFERROR(FerryEmissions[[#This Row],[Diesel PM10 Emission Factor (g/unit of fuel)]]*FerryEmissions[[#This Row],[Annual Fuel Consumption]]*FerryEmissions[[#This Row],[Useful Life (years)]]/453.59,"")</f>
        <v/>
      </c>
      <c r="S69" s="69" t="str">
        <f>IFERROR(IF(OR(FerryEmissions[[#This Row],[Fuel Type]]="Electric",FerryEmissions[[#This Row],[Fuel Type]]="Hydrogen"),0,FerryEmissions[[#This Row],[Annual Fuel Consumption]]*FerryEmissions[[#This Row],[Useful Life (years)]]/VLOOKUP(FerryEmissions[[#This Row],[Fuel Type]],GallonEquivalents[],3,FALSE)),"")</f>
        <v/>
      </c>
      <c r="T69" s="69">
        <f>IFERROR(IF(OR(FerryEmissions[[#This Row],[Fuel Type]]="Electric",FerryEmissions[[#This Row],[Fuel Type]]="Hydrogen"),FerryEmissions[[#This Row],[Annual Fuel Consumption]]*FerryEmissions[[#This Row],[Useful Life (years)]]/VLOOKUP(FerryEmissions[[#This Row],[Fuel Type]],GallonEquivalents[],3,FALSE),0),"")</f>
        <v>0</v>
      </c>
    </row>
    <row r="70" spans="2:20" ht="15.75" x14ac:dyDescent="0.25">
      <c r="B70" s="30" t="str">
        <f>IF('Transit Inputs'!B18="Ferry",'Transit Inputs'!B18,"")</f>
        <v/>
      </c>
      <c r="C70" s="30" t="str">
        <f>IF(ISBLANK('Transit Inputs'!C18),"",'Transit Inputs'!C18)</f>
        <v/>
      </c>
      <c r="D70" s="18" t="str">
        <f>IF(OR(ISBLANK('Transit Inputs'!D18),ISBLANK('Transit Inputs'!E18)),"",'Transit Inputs'!E18-'Transit Inputs'!D18)</f>
        <v/>
      </c>
      <c r="E70" s="18" t="str">
        <f>IF(ISBLANK('Transit Inputs'!M18),"",'Transit Inputs'!M18)</f>
        <v/>
      </c>
      <c r="F70" s="18" t="str">
        <f>IF(ISBLANK('Transit Inputs'!K18),"",'Transit Inputs'!K18)</f>
        <v/>
      </c>
      <c r="G70" s="18" t="str">
        <f>IF(ISBLANK('Transit Inputs'!L18),"",'Transit Inputs'!L18)</f>
        <v/>
      </c>
      <c r="H70" s="69" t="str">
        <f>IF(ISBLANK('Transit Inputs'!O18),"",'Transit Inputs'!O18)</f>
        <v/>
      </c>
      <c r="I70" s="591" t="str">
        <f>IFERROR(VLOOKUP(FerryEmissions[[#This Row],[Fuel Type]],'Modes of Transportation GHG'!$B$11:$G$22,6,FALSE)*IF(FerryEmissions[[#This Row],[Hybrid?]]="Yes",0.8,1),"")</f>
        <v/>
      </c>
      <c r="J70" s="69" t="str">
        <f>IFERROR(FerryEmissions[[#This Row],[GHG Emission Factor (gCO2e/unit fuel)]]*FerryEmissions[[#This Row],[Annual Fuel Consumption]]*FerryEmissions[[#This Row],[Useful Life (years)]]/1000000,"")</f>
        <v/>
      </c>
      <c r="K70" s="591" t="str">
        <f>IF(FerryEmissions[[#This Row],[Model Year]]="","",IF(OR(FerryEmissions[[#This Row],[Fuel Type]]="Electric",FerryEmissions[[#This Row],[Fuel Type]]="Hydrogen"),0,IF(FerryEmissions[[#This Row],[Model Year]]&gt;=2014,'Ferry Criteria &amp; Toxic'!$C$13*IF(FerryEmissions[[#This Row],[Hybrid?]]="Yes",0.8,1),"")))</f>
        <v/>
      </c>
      <c r="L70" s="69" t="str">
        <f>IFERROR(FerryEmissions[[#This Row],[ROG Emission Factor (g/unit of fuel)]]*FerryEmissions[[#This Row],[Annual Fuel Consumption]]*FerryEmissions[[#This Row],[Useful Life (years)]]/453.59,"")</f>
        <v/>
      </c>
      <c r="M70" s="591" t="str">
        <f>IF(FerryEmissions[[#This Row],[Model Year]]="","",IF(OR(FerryEmissions[[#This Row],[Fuel Type]]="Electric",FerryEmissions[[#This Row],[Fuel Type]]="Hydrogen"),0,IF(FerryEmissions[[#This Row],[Model Year]]&gt;=2014,'Ferry Criteria &amp; Toxic'!$D$13*IF(FerryEmissions[[#This Row],[Hybrid?]]="Yes",0.8,1),"")))</f>
        <v/>
      </c>
      <c r="N70" s="69" t="str">
        <f>IFERROR(FerryEmissions[[#This Row],[NOx Emission Factor (g/unit of fuel)]]*FerryEmissions[[#This Row],[Annual Fuel Consumption]]*FerryEmissions[[#This Row],[Useful Life (years)]]/453.59,"")</f>
        <v/>
      </c>
      <c r="O70" s="591" t="str">
        <f>IF(FerryEmissions[[#This Row],[Model Year]]="","",IF(OR(FerryEmissions[[#This Row],[Fuel Type]]="Electric",FerryEmissions[[#This Row],[Fuel Type]]="Hydrogen"),0,IF(FerryEmissions[[#This Row],[Model Year]]&gt;=2014,'Ferry Criteria &amp; Toxic'!$E$13*IF(FerryEmissions[[#This Row],[Hybrid?]]="Yes",0.8,1),"")))</f>
        <v/>
      </c>
      <c r="P70" s="69" t="str">
        <f>IFERROR(FerryEmissions[[#This Row],[PM2.5 Emission Factor (g/unit of fuel)]]*FerryEmissions[[#This Row],[Annual Fuel Consumption]]*FerryEmissions[[#This Row],[Useful Life (years)]]/453.59,"")</f>
        <v/>
      </c>
      <c r="Q70" s="591" t="str">
        <f>IF(FerryEmissions[[#This Row],[Model Year]]="","",IF(OR(FerryEmissions[[#This Row],[Fuel Type]]="Electric",FerryEmissions[[#This Row],[Fuel Type]]="Hydrogen"),0,IF(FerryEmissions[[#This Row],[Model Year]]&gt;=2014,'Ferry Criteria &amp; Toxic'!$F$13*IF(FerryEmissions[[#This Row],[Hybrid?]]="Yes",0.8,1),"")))</f>
        <v/>
      </c>
      <c r="R70" s="69" t="str">
        <f>IFERROR(FerryEmissions[[#This Row],[Diesel PM10 Emission Factor (g/unit of fuel)]]*FerryEmissions[[#This Row],[Annual Fuel Consumption]]*FerryEmissions[[#This Row],[Useful Life (years)]]/453.59,"")</f>
        <v/>
      </c>
      <c r="S70" s="69" t="str">
        <f>IFERROR(IF(OR(FerryEmissions[[#This Row],[Fuel Type]]="Electric",FerryEmissions[[#This Row],[Fuel Type]]="Hydrogen"),0,FerryEmissions[[#This Row],[Annual Fuel Consumption]]*FerryEmissions[[#This Row],[Useful Life (years)]]/VLOOKUP(FerryEmissions[[#This Row],[Fuel Type]],GallonEquivalents[],3,FALSE)),"")</f>
        <v/>
      </c>
      <c r="T70" s="69">
        <f>IFERROR(IF(OR(FerryEmissions[[#This Row],[Fuel Type]]="Electric",FerryEmissions[[#This Row],[Fuel Type]]="Hydrogen"),FerryEmissions[[#This Row],[Annual Fuel Consumption]]*FerryEmissions[[#This Row],[Useful Life (years)]]/VLOOKUP(FerryEmissions[[#This Row],[Fuel Type]],GallonEquivalents[],3,FALSE),0),"")</f>
        <v>0</v>
      </c>
    </row>
    <row r="71" spans="2:20" ht="15.75" x14ac:dyDescent="0.25">
      <c r="F71" s="2"/>
      <c r="G71" s="2"/>
      <c r="H71" s="2"/>
    </row>
    <row r="72" spans="2:20" ht="15.75" x14ac:dyDescent="0.25">
      <c r="F72" s="2"/>
      <c r="G72" s="2"/>
      <c r="H72" s="2"/>
    </row>
    <row r="73" spans="2:20" ht="15.75" x14ac:dyDescent="0.25">
      <c r="F73" s="2"/>
      <c r="G73" s="2"/>
      <c r="H73" s="2"/>
    </row>
    <row r="74" spans="2:20" ht="15.75" x14ac:dyDescent="0.25">
      <c r="F74" s="2"/>
      <c r="G74" s="2"/>
      <c r="H74" s="2"/>
    </row>
    <row r="75" spans="2:20" ht="15.75" x14ac:dyDescent="0.25">
      <c r="F75" s="2"/>
      <c r="G75" s="2"/>
      <c r="H75" s="2"/>
    </row>
    <row r="76" spans="2:20" ht="15.75" x14ac:dyDescent="0.25">
      <c r="F76" s="2"/>
      <c r="G76" s="2"/>
      <c r="H76" s="2"/>
    </row>
    <row r="77" spans="2:20" ht="15.75" x14ac:dyDescent="0.25">
      <c r="F77" s="2"/>
      <c r="G77" s="2"/>
      <c r="H77" s="2"/>
    </row>
    <row r="78" spans="2:20" ht="15.75" x14ac:dyDescent="0.25">
      <c r="F78" s="2"/>
      <c r="G78" s="2"/>
      <c r="H78" s="2"/>
    </row>
    <row r="79" spans="2:20" ht="15.75" x14ac:dyDescent="0.25">
      <c r="F79" s="2"/>
      <c r="G79" s="2"/>
      <c r="H79" s="2"/>
    </row>
    <row r="80" spans="2:20" ht="15.75" x14ac:dyDescent="0.25">
      <c r="F80" s="2"/>
      <c r="G80" s="2"/>
      <c r="H80" s="2"/>
    </row>
    <row r="81" spans="6:8" ht="15.75" x14ac:dyDescent="0.25">
      <c r="F81" s="2"/>
      <c r="G81" s="2"/>
      <c r="H81" s="2"/>
    </row>
    <row r="82" spans="6:8" ht="15.75" x14ac:dyDescent="0.25">
      <c r="F82" s="2"/>
      <c r="G82" s="2"/>
      <c r="H82" s="2"/>
    </row>
    <row r="83" spans="6:8" ht="15.75" x14ac:dyDescent="0.25">
      <c r="F83" s="2"/>
      <c r="G83" s="2"/>
      <c r="H83" s="2"/>
    </row>
    <row r="84" spans="6:8" ht="15.75" x14ac:dyDescent="0.25">
      <c r="F84" s="2"/>
      <c r="G84" s="2"/>
      <c r="H84" s="2"/>
    </row>
    <row r="85" spans="6:8" ht="15.75" x14ac:dyDescent="0.25">
      <c r="F85" s="2"/>
      <c r="G85" s="2"/>
      <c r="H85" s="2"/>
    </row>
    <row r="86" spans="6:8" ht="15.75" x14ac:dyDescent="0.25">
      <c r="F86" s="2"/>
      <c r="G86" s="2"/>
      <c r="H86" s="2"/>
    </row>
    <row r="87" spans="6:8" ht="15.75" x14ac:dyDescent="0.25">
      <c r="F87" s="2"/>
      <c r="G87" s="2"/>
      <c r="H87" s="2"/>
    </row>
    <row r="88" spans="6:8" ht="15.75" x14ac:dyDescent="0.25">
      <c r="F88" s="2"/>
      <c r="G88" s="2"/>
      <c r="H88" s="2"/>
    </row>
    <row r="89" spans="6:8" ht="15.75" x14ac:dyDescent="0.25">
      <c r="F89" s="2"/>
      <c r="G89" s="2"/>
      <c r="H89" s="2"/>
    </row>
    <row r="90" spans="6:8" ht="15.75" x14ac:dyDescent="0.25">
      <c r="F90" s="2"/>
      <c r="G90" s="2"/>
      <c r="H90" s="2"/>
    </row>
    <row r="91" spans="6:8" ht="15.75" x14ac:dyDescent="0.25">
      <c r="F91" s="2"/>
      <c r="G91" s="2"/>
      <c r="H91" s="2"/>
    </row>
    <row r="92" spans="6:8" ht="15.75" x14ac:dyDescent="0.25">
      <c r="F92" s="2"/>
      <c r="G92" s="2"/>
      <c r="H92" s="2"/>
    </row>
    <row r="93" spans="6:8" ht="15.75" x14ac:dyDescent="0.25">
      <c r="F93" s="2"/>
      <c r="G93" s="2"/>
      <c r="H93" s="2"/>
    </row>
    <row r="94" spans="6:8" ht="15.75" x14ac:dyDescent="0.25">
      <c r="F94" s="2"/>
      <c r="G94" s="2"/>
      <c r="H94" s="2"/>
    </row>
    <row r="95" spans="6:8" ht="15.75" x14ac:dyDescent="0.25">
      <c r="F95" s="2"/>
      <c r="G95" s="2"/>
      <c r="H95" s="2"/>
    </row>
    <row r="96" spans="6:8" ht="15.75" x14ac:dyDescent="0.25">
      <c r="F96" s="2"/>
      <c r="G96" s="2"/>
      <c r="H96" s="2"/>
    </row>
    <row r="97" spans="6:8" ht="15.75" x14ac:dyDescent="0.25">
      <c r="F97" s="2"/>
      <c r="G97" s="2"/>
      <c r="H97" s="2"/>
    </row>
    <row r="98" spans="6:8" ht="15.75" x14ac:dyDescent="0.25">
      <c r="F98" s="2"/>
      <c r="G98" s="2"/>
      <c r="H98" s="2"/>
    </row>
    <row r="99" spans="6:8" ht="15.75" x14ac:dyDescent="0.25">
      <c r="F99" s="2"/>
      <c r="G99" s="2"/>
      <c r="H99" s="2"/>
    </row>
    <row r="100" spans="6:8" ht="15.75" x14ac:dyDescent="0.25">
      <c r="F100" s="2"/>
      <c r="G100" s="2"/>
      <c r="H100" s="2"/>
    </row>
    <row r="101" spans="6:8" ht="15.75" x14ac:dyDescent="0.25">
      <c r="F101" s="2"/>
      <c r="G101" s="2"/>
      <c r="H101" s="2"/>
    </row>
    <row r="102" spans="6:8" ht="15.75" x14ac:dyDescent="0.25">
      <c r="F102" s="2"/>
      <c r="G102" s="2"/>
      <c r="H102" s="2"/>
    </row>
    <row r="103" spans="6:8" ht="15.75" x14ac:dyDescent="0.25">
      <c r="F103" s="2"/>
      <c r="G103" s="2"/>
      <c r="H103" s="2"/>
    </row>
    <row r="104" spans="6:8" ht="15.75" x14ac:dyDescent="0.25">
      <c r="F104" s="2"/>
      <c r="G104" s="2"/>
      <c r="H104" s="2"/>
    </row>
    <row r="105" spans="6:8" ht="15.75" x14ac:dyDescent="0.25">
      <c r="F105" s="2"/>
      <c r="G105" s="2"/>
      <c r="H105" s="2"/>
    </row>
    <row r="106" spans="6:8" ht="15.75" x14ac:dyDescent="0.25">
      <c r="F106" s="2"/>
      <c r="G106" s="2"/>
      <c r="H106" s="2"/>
    </row>
    <row r="107" spans="6:8" ht="15.75" x14ac:dyDescent="0.25">
      <c r="F107" s="2"/>
      <c r="G107" s="2"/>
      <c r="H107" s="2"/>
    </row>
  </sheetData>
  <pageMargins left="0.7" right="0.7" top="0.98479166666666662" bottom="0.75" header="0.3" footer="0.3"/>
  <pageSetup scale="65" fitToWidth="0" fitToHeight="0" orientation="landscape" r:id="rId1"/>
  <headerFooter>
    <oddFooter>&amp;L&amp;"Avenir LT Std 55 Roman,Regular"&amp;12&amp;K000000FINAL November 1, 2019&amp;C&amp;"Avenir LT Std 55 Roman,Regular"&amp;12Page &amp;P of &amp;N&amp;R&amp;"Avenir LT Std 55 Roman,Regular"&amp;12&amp;K000000&amp;A</oddFooter>
  </headerFooter>
  <drawing r:id="rId2"/>
  <legacyDrawingHF r:id="rId3"/>
  <tableParts count="8">
    <tablePart r:id="rId4"/>
    <tablePart r:id="rId5"/>
    <tablePart r:id="rId6"/>
    <tablePart r:id="rId7"/>
    <tablePart r:id="rId8"/>
    <tablePart r:id="rId9"/>
    <tablePart r:id="rId10"/>
    <tablePart r:id="rId1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J110"/>
  <sheetViews>
    <sheetView showGridLines="0" zoomScaleNormal="100" workbookViewId="0"/>
  </sheetViews>
  <sheetFormatPr defaultColWidth="9.140625" defaultRowHeight="15.75" x14ac:dyDescent="0.25"/>
  <cols>
    <col min="1" max="1" width="2.85546875" style="18" customWidth="1"/>
    <col min="2" max="2" width="26" style="18" customWidth="1"/>
    <col min="3" max="3" width="20.5703125" style="18" customWidth="1"/>
    <col min="4" max="4" width="7.7109375" style="18" customWidth="1"/>
    <col min="5" max="5" width="11.42578125" style="18" customWidth="1"/>
    <col min="6" max="6" width="8" style="18" customWidth="1"/>
    <col min="7" max="7" width="4.5703125" style="18" customWidth="1"/>
    <col min="8" max="8" width="25.5703125" style="18" customWidth="1"/>
    <col min="9" max="9" width="21.28515625" style="18" customWidth="1"/>
    <col min="10" max="10" width="8.28515625" style="18" customWidth="1"/>
    <col min="11" max="11" width="11.28515625" style="18" customWidth="1"/>
    <col min="12" max="12" width="8.42578125" style="18" customWidth="1"/>
    <col min="13" max="13" width="4.85546875" style="18" customWidth="1"/>
    <col min="14" max="14" width="35.140625" style="18" customWidth="1"/>
    <col min="15" max="15" width="14.5703125" style="18" customWidth="1"/>
    <col min="16" max="16" width="20" style="18" customWidth="1"/>
    <col min="17" max="17" width="19.7109375" style="18" customWidth="1"/>
    <col min="18" max="19" width="11" style="18" customWidth="1"/>
    <col min="20" max="20" width="10.7109375" style="18" customWidth="1"/>
    <col min="21" max="21" width="9.85546875" style="18" customWidth="1"/>
    <col min="22" max="22" width="14.140625" style="18" customWidth="1"/>
    <col min="23" max="23" width="18.28515625" style="18" customWidth="1"/>
    <col min="24" max="24" width="15.140625" style="18" customWidth="1"/>
    <col min="25" max="25" width="3.85546875" style="18" customWidth="1"/>
    <col min="26" max="26" width="21" style="18" customWidth="1"/>
    <col min="27" max="27" width="19.42578125" style="18" customWidth="1"/>
    <col min="28" max="28" width="15.85546875" style="18" customWidth="1"/>
    <col min="29" max="29" width="9.140625" style="18"/>
    <col min="30" max="30" width="41.28515625" style="18" bestFit="1" customWidth="1"/>
    <col min="31" max="31" width="9.140625" style="18"/>
    <col min="32" max="32" width="9.42578125" style="18" customWidth="1"/>
    <col min="33" max="16384" width="9.140625" style="18"/>
  </cols>
  <sheetData>
    <row r="1" spans="1:36" ht="18.75" customHeight="1" x14ac:dyDescent="0.25">
      <c r="A1" s="626"/>
      <c r="B1" s="626"/>
      <c r="C1" s="626"/>
      <c r="D1" s="626"/>
      <c r="E1" s="626"/>
      <c r="F1" s="626"/>
      <c r="G1" s="626"/>
      <c r="H1" s="626"/>
      <c r="I1" s="626"/>
      <c r="J1" s="626"/>
      <c r="K1" s="626"/>
      <c r="L1" s="626"/>
      <c r="M1" s="626"/>
      <c r="N1" s="626"/>
      <c r="O1" s="626"/>
      <c r="P1" s="626"/>
      <c r="Q1" s="626"/>
      <c r="R1" s="627"/>
      <c r="S1" s="627"/>
      <c r="T1" s="627"/>
      <c r="U1" s="627"/>
      <c r="V1" s="627"/>
    </row>
    <row r="2" spans="1:36" ht="15" customHeight="1" x14ac:dyDescent="0.25">
      <c r="A2" s="91"/>
      <c r="B2" s="91"/>
      <c r="C2" s="91"/>
      <c r="D2" s="91"/>
      <c r="E2" s="91"/>
      <c r="F2" s="91"/>
      <c r="G2" s="91"/>
      <c r="H2" s="91"/>
      <c r="I2" s="91"/>
      <c r="J2" s="91"/>
      <c r="K2" s="91"/>
      <c r="L2" s="91"/>
      <c r="M2" s="91"/>
      <c r="N2" s="91"/>
      <c r="O2" s="91"/>
      <c r="P2" s="91"/>
      <c r="Q2" s="91"/>
      <c r="R2" s="87"/>
      <c r="S2" s="87"/>
      <c r="T2" s="87"/>
      <c r="U2" s="87"/>
      <c r="V2" s="87"/>
    </row>
    <row r="3" spans="1:36" ht="18.75" customHeight="1" x14ac:dyDescent="0.25">
      <c r="A3" s="626"/>
      <c r="B3" s="626"/>
      <c r="C3" s="626"/>
      <c r="D3" s="626"/>
      <c r="E3" s="626"/>
      <c r="F3" s="626"/>
      <c r="G3" s="626"/>
      <c r="H3" s="626"/>
      <c r="I3" s="626"/>
      <c r="J3" s="626"/>
      <c r="K3" s="626"/>
      <c r="L3" s="626"/>
      <c r="M3" s="626"/>
      <c r="N3" s="626"/>
      <c r="O3" s="626"/>
      <c r="P3" s="626"/>
      <c r="Q3" s="626"/>
      <c r="R3" s="627"/>
      <c r="S3" s="627"/>
      <c r="T3" s="627"/>
      <c r="U3" s="627"/>
      <c r="V3" s="627"/>
    </row>
    <row r="4" spans="1:36" ht="18.75" customHeight="1" x14ac:dyDescent="0.25">
      <c r="A4" s="628"/>
      <c r="B4" s="628"/>
      <c r="C4" s="628"/>
      <c r="D4" s="628"/>
      <c r="E4" s="628"/>
      <c r="F4" s="628"/>
      <c r="G4" s="628"/>
      <c r="H4" s="628"/>
      <c r="I4" s="628"/>
      <c r="J4" s="628"/>
      <c r="K4" s="628"/>
      <c r="L4" s="628"/>
      <c r="M4" s="628"/>
      <c r="N4" s="628"/>
      <c r="O4" s="628"/>
      <c r="P4" s="628"/>
      <c r="Q4" s="628"/>
      <c r="R4" s="629"/>
      <c r="S4" s="629"/>
      <c r="T4" s="629"/>
      <c r="U4" s="629"/>
      <c r="V4" s="629"/>
      <c r="W4" s="30"/>
    </row>
    <row r="5" spans="1:36" ht="15" customHeight="1" x14ac:dyDescent="0.25">
      <c r="A5" s="91"/>
      <c r="B5" s="91"/>
      <c r="C5" s="91"/>
      <c r="D5" s="91"/>
      <c r="E5" s="91"/>
      <c r="F5" s="91"/>
      <c r="G5" s="91"/>
      <c r="H5" s="91"/>
      <c r="I5" s="91"/>
      <c r="J5" s="91"/>
      <c r="K5" s="91"/>
      <c r="L5" s="91"/>
      <c r="M5" s="91"/>
      <c r="N5" s="91"/>
      <c r="O5" s="91"/>
      <c r="P5" s="91"/>
      <c r="Q5" s="91"/>
      <c r="R5" s="87"/>
      <c r="S5" s="87"/>
      <c r="T5" s="87"/>
      <c r="U5" s="87"/>
      <c r="V5" s="87"/>
    </row>
    <row r="6" spans="1:36" ht="18.75" customHeight="1" x14ac:dyDescent="0.25">
      <c r="A6" s="626"/>
      <c r="B6" s="626"/>
      <c r="C6" s="626"/>
      <c r="D6" s="626"/>
      <c r="E6" s="626"/>
      <c r="F6" s="626"/>
      <c r="G6" s="626"/>
      <c r="H6" s="626"/>
      <c r="I6" s="626"/>
      <c r="J6" s="626"/>
      <c r="K6" s="626"/>
      <c r="L6" s="626"/>
      <c r="M6" s="626"/>
      <c r="N6" s="626"/>
      <c r="O6" s="626"/>
      <c r="P6" s="626"/>
      <c r="Q6" s="626"/>
      <c r="R6" s="627"/>
      <c r="S6" s="627"/>
      <c r="T6" s="627"/>
      <c r="U6" s="627"/>
      <c r="V6" s="627"/>
    </row>
    <row r="7" spans="1:36" ht="15" customHeight="1" x14ac:dyDescent="0.25"/>
    <row r="8" spans="1:36" ht="18" x14ac:dyDescent="0.25">
      <c r="B8" s="631" t="s">
        <v>4830</v>
      </c>
      <c r="C8" s="631"/>
      <c r="D8" s="625"/>
      <c r="E8" s="625"/>
      <c r="F8" s="625"/>
      <c r="G8" s="625"/>
      <c r="H8" s="628" t="s">
        <v>4831</v>
      </c>
      <c r="I8" s="628"/>
      <c r="J8" s="625"/>
      <c r="K8" s="62"/>
      <c r="N8" s="14" t="s">
        <v>4832</v>
      </c>
      <c r="V8" s="41" t="s">
        <v>4833</v>
      </c>
      <c r="X8" s="41"/>
    </row>
    <row r="9" spans="1:36" ht="48" thickBot="1" x14ac:dyDescent="0.3">
      <c r="A9" s="17"/>
      <c r="B9" s="63" t="s">
        <v>58</v>
      </c>
      <c r="C9" s="63" t="s">
        <v>5033</v>
      </c>
      <c r="D9" s="63" t="s">
        <v>4793</v>
      </c>
      <c r="E9" s="63" t="s">
        <v>4794</v>
      </c>
      <c r="F9" s="63" t="s">
        <v>4795</v>
      </c>
      <c r="G9" s="56"/>
      <c r="H9" s="60" t="s">
        <v>58</v>
      </c>
      <c r="I9" s="60" t="s">
        <v>5033</v>
      </c>
      <c r="J9" s="63" t="s">
        <v>4793</v>
      </c>
      <c r="K9" s="63" t="s">
        <v>4794</v>
      </c>
      <c r="L9" s="63" t="s">
        <v>4795</v>
      </c>
      <c r="M9" s="17"/>
      <c r="N9" s="42" t="s">
        <v>24</v>
      </c>
      <c r="O9" s="43" t="s">
        <v>4799</v>
      </c>
      <c r="P9" s="43" t="s">
        <v>4802</v>
      </c>
      <c r="Q9" s="43" t="s">
        <v>4803</v>
      </c>
      <c r="R9" s="44" t="s">
        <v>50</v>
      </c>
      <c r="S9" s="44" t="s">
        <v>51</v>
      </c>
      <c r="T9" s="45" t="s">
        <v>52</v>
      </c>
      <c r="U9" s="43"/>
      <c r="V9" s="44" t="s">
        <v>26</v>
      </c>
      <c r="W9" s="44" t="s">
        <v>14</v>
      </c>
    </row>
    <row r="10" spans="1:36" ht="15" customHeight="1" thickTop="1" x14ac:dyDescent="0.25">
      <c r="B10" s="16" t="s">
        <v>59</v>
      </c>
      <c r="C10" s="16" t="s">
        <v>4876</v>
      </c>
      <c r="D10" s="61">
        <v>12.336391298309902</v>
      </c>
      <c r="E10" s="61">
        <v>5.3091597548180438</v>
      </c>
      <c r="F10" s="61">
        <v>6.8602763300914384</v>
      </c>
      <c r="G10" s="61"/>
      <c r="H10" s="16" t="s">
        <v>59</v>
      </c>
      <c r="I10" s="16" t="s">
        <v>4876</v>
      </c>
      <c r="J10" s="61">
        <v>10.4</v>
      </c>
      <c r="K10" s="61">
        <v>4.5999999999999996</v>
      </c>
      <c r="L10" s="61">
        <v>5.2</v>
      </c>
      <c r="N10" s="17" t="s">
        <v>54</v>
      </c>
      <c r="O10" s="46">
        <v>1</v>
      </c>
      <c r="P10" s="46">
        <v>2</v>
      </c>
      <c r="Q10" s="17">
        <v>1.23</v>
      </c>
      <c r="R10" s="26">
        <v>7.32</v>
      </c>
      <c r="S10" s="26">
        <v>8.14</v>
      </c>
      <c r="T10" s="47">
        <v>6.28</v>
      </c>
      <c r="U10" s="17"/>
      <c r="V10" s="17" t="s">
        <v>12</v>
      </c>
      <c r="W10" s="17">
        <v>30</v>
      </c>
    </row>
    <row r="11" spans="1:36" ht="15" customHeight="1" x14ac:dyDescent="0.25">
      <c r="B11" s="16" t="s">
        <v>60</v>
      </c>
      <c r="C11" s="16" t="s">
        <v>4877</v>
      </c>
      <c r="D11" s="61">
        <v>17.551167404616002</v>
      </c>
      <c r="E11" s="61">
        <v>13.124970183983999</v>
      </c>
      <c r="F11" s="61">
        <v>14.691734088496</v>
      </c>
      <c r="G11" s="61"/>
      <c r="H11" s="16" t="s">
        <v>60</v>
      </c>
      <c r="I11" s="16" t="s">
        <v>4877</v>
      </c>
      <c r="J11" s="61">
        <v>3.2509050181500001</v>
      </c>
      <c r="K11" s="61">
        <v>1.967764779725</v>
      </c>
      <c r="L11" s="61">
        <v>3.9507456313750002</v>
      </c>
      <c r="N11" s="17" t="s">
        <v>55</v>
      </c>
      <c r="O11" s="46">
        <v>3</v>
      </c>
      <c r="P11" s="46">
        <v>4</v>
      </c>
      <c r="Q11" s="17">
        <v>1.23</v>
      </c>
      <c r="R11" s="26">
        <v>5.44</v>
      </c>
      <c r="S11" s="26">
        <v>4.91</v>
      </c>
      <c r="T11" s="49">
        <v>4.09</v>
      </c>
      <c r="U11" s="17"/>
      <c r="V11" s="17" t="s">
        <v>27</v>
      </c>
      <c r="W11" s="17">
        <v>20</v>
      </c>
    </row>
    <row r="12" spans="1:36" ht="15" customHeight="1" x14ac:dyDescent="0.25">
      <c r="A12" s="38"/>
      <c r="B12" s="16" t="s">
        <v>61</v>
      </c>
      <c r="C12" s="16" t="s">
        <v>4878</v>
      </c>
      <c r="D12" s="61">
        <v>20.328112049634377</v>
      </c>
      <c r="E12" s="61">
        <v>10.899274086175001</v>
      </c>
      <c r="F12" s="61">
        <v>12.186216874418749</v>
      </c>
      <c r="G12" s="61"/>
      <c r="H12" s="16" t="s">
        <v>61</v>
      </c>
      <c r="I12" s="16" t="s">
        <v>4878</v>
      </c>
      <c r="J12" s="61">
        <v>10.238619914250002</v>
      </c>
      <c r="K12" s="61">
        <v>5.0753115941055542</v>
      </c>
      <c r="L12" s="61">
        <v>5.0978711155666669</v>
      </c>
      <c r="M12" s="38"/>
      <c r="N12" s="17" t="s">
        <v>55</v>
      </c>
      <c r="O12" s="46">
        <v>5</v>
      </c>
      <c r="P12" s="46">
        <v>10</v>
      </c>
      <c r="Q12" s="17">
        <v>1.37</v>
      </c>
      <c r="R12" s="26">
        <v>5.44</v>
      </c>
      <c r="S12" s="26">
        <v>4.91</v>
      </c>
      <c r="T12" s="47">
        <v>4.09</v>
      </c>
      <c r="U12" s="17"/>
      <c r="V12" s="17" t="s">
        <v>28</v>
      </c>
      <c r="W12" s="17">
        <v>15</v>
      </c>
    </row>
    <row r="13" spans="1:36" ht="15" customHeight="1" x14ac:dyDescent="0.25">
      <c r="B13" s="16" t="s">
        <v>62</v>
      </c>
      <c r="C13" s="16" t="s">
        <v>4879</v>
      </c>
      <c r="D13" s="61">
        <v>11.1</v>
      </c>
      <c r="E13" s="61">
        <v>4.9000000000000004</v>
      </c>
      <c r="F13" s="61">
        <v>8</v>
      </c>
      <c r="G13" s="61"/>
      <c r="H13" s="16" t="s">
        <v>62</v>
      </c>
      <c r="I13" s="16" t="s">
        <v>4879</v>
      </c>
      <c r="J13" s="61">
        <v>7.3</v>
      </c>
      <c r="K13" s="61">
        <v>3</v>
      </c>
      <c r="L13" s="61">
        <v>7.9</v>
      </c>
      <c r="N13" s="17" t="s">
        <v>56</v>
      </c>
      <c r="O13" s="46">
        <v>11</v>
      </c>
      <c r="P13" s="46" t="s">
        <v>29</v>
      </c>
      <c r="Q13" s="17">
        <v>1.37</v>
      </c>
      <c r="R13" s="26">
        <v>4.45</v>
      </c>
      <c r="S13" s="26">
        <v>4.53</v>
      </c>
      <c r="T13" s="49">
        <v>3.59</v>
      </c>
      <c r="U13" s="17"/>
    </row>
    <row r="14" spans="1:36" ht="15" customHeight="1" x14ac:dyDescent="0.25">
      <c r="B14" s="16" t="s">
        <v>63</v>
      </c>
      <c r="C14" s="16" t="s">
        <v>4878</v>
      </c>
      <c r="D14" s="61">
        <v>20.328112049634377</v>
      </c>
      <c r="E14" s="61">
        <v>10.899274086175001</v>
      </c>
      <c r="F14" s="61">
        <v>12.186216874418749</v>
      </c>
      <c r="G14" s="61"/>
      <c r="H14" s="16" t="s">
        <v>63</v>
      </c>
      <c r="I14" s="16" t="s">
        <v>4878</v>
      </c>
      <c r="J14" s="61">
        <v>10.238619914250002</v>
      </c>
      <c r="K14" s="61">
        <v>5.0753115941055542</v>
      </c>
      <c r="L14" s="61">
        <v>5.0978711155666669</v>
      </c>
      <c r="N14" s="17" t="s">
        <v>110</v>
      </c>
      <c r="O14" s="46">
        <v>1</v>
      </c>
      <c r="P14" s="46">
        <v>2</v>
      </c>
      <c r="Q14" s="17">
        <v>1.38</v>
      </c>
      <c r="R14" s="26">
        <v>7.32</v>
      </c>
      <c r="S14" s="26">
        <v>8.14</v>
      </c>
      <c r="T14" s="47">
        <v>6.28</v>
      </c>
      <c r="U14" s="17"/>
    </row>
    <row r="15" spans="1:36" ht="15.75" customHeight="1" x14ac:dyDescent="0.25">
      <c r="B15" s="16" t="s">
        <v>64</v>
      </c>
      <c r="C15" s="16" t="s">
        <v>268</v>
      </c>
      <c r="D15" s="61">
        <v>20.769320392352626</v>
      </c>
      <c r="E15" s="61">
        <v>14.446022257126314</v>
      </c>
      <c r="F15" s="61">
        <v>14.093895018326315</v>
      </c>
      <c r="G15" s="61"/>
      <c r="H15" s="16" t="s">
        <v>64</v>
      </c>
      <c r="I15" s="16" t="s">
        <v>268</v>
      </c>
      <c r="J15" s="61">
        <v>7.9263298452500006</v>
      </c>
      <c r="K15" s="61">
        <v>4.5883169682730776</v>
      </c>
      <c r="L15" s="61">
        <v>4.2345580074961546</v>
      </c>
      <c r="N15" s="17" t="s">
        <v>111</v>
      </c>
      <c r="O15" s="46">
        <v>3</v>
      </c>
      <c r="P15" s="46">
        <v>10</v>
      </c>
      <c r="Q15" s="17">
        <v>1.38</v>
      </c>
      <c r="R15" s="26">
        <v>5.44</v>
      </c>
      <c r="S15" s="26">
        <v>4.91</v>
      </c>
      <c r="T15" s="49">
        <v>4.09</v>
      </c>
      <c r="U15" s="17"/>
      <c r="V15" s="14" t="s">
        <v>5135</v>
      </c>
      <c r="Y15" s="30"/>
      <c r="Z15" s="30"/>
      <c r="AA15" s="30"/>
      <c r="AB15" s="30"/>
      <c r="AC15" s="30"/>
      <c r="AD15" s="30"/>
      <c r="AE15" s="30"/>
      <c r="AF15" s="30"/>
      <c r="AG15" s="30"/>
      <c r="AH15" s="50"/>
      <c r="AI15" s="50"/>
      <c r="AJ15" s="30"/>
    </row>
    <row r="16" spans="1:36" ht="15" customHeight="1" x14ac:dyDescent="0.25">
      <c r="B16" s="16" t="s">
        <v>65</v>
      </c>
      <c r="C16" s="16" t="s">
        <v>4876</v>
      </c>
      <c r="D16" s="633">
        <v>14.6</v>
      </c>
      <c r="E16" s="633">
        <v>5.4</v>
      </c>
      <c r="F16" s="633">
        <v>6.8</v>
      </c>
      <c r="G16" s="61"/>
      <c r="H16" s="16" t="s">
        <v>65</v>
      </c>
      <c r="I16" s="16" t="s">
        <v>4876</v>
      </c>
      <c r="J16" s="61">
        <v>12.4</v>
      </c>
      <c r="K16" s="61">
        <v>4.5999999999999996</v>
      </c>
      <c r="L16" s="61">
        <v>5.5</v>
      </c>
      <c r="N16" s="17" t="s">
        <v>112</v>
      </c>
      <c r="O16" s="46">
        <v>11</v>
      </c>
      <c r="P16" s="46" t="s">
        <v>29</v>
      </c>
      <c r="Q16" s="17">
        <v>1.38</v>
      </c>
      <c r="R16" s="18">
        <v>4.45</v>
      </c>
      <c r="S16" s="18">
        <v>4.53</v>
      </c>
      <c r="T16" s="18">
        <v>3.59</v>
      </c>
      <c r="U16" s="17"/>
      <c r="V16" s="425" t="s">
        <v>4793</v>
      </c>
      <c r="W16" s="425" t="s">
        <v>4794</v>
      </c>
      <c r="X16" s="425" t="s">
        <v>4795</v>
      </c>
    </row>
    <row r="17" spans="1:33" ht="15" customHeight="1" x14ac:dyDescent="0.25">
      <c r="B17" s="16" t="s">
        <v>66</v>
      </c>
      <c r="C17" s="16" t="s">
        <v>259</v>
      </c>
      <c r="D17" s="61">
        <v>16.896941311754546</v>
      </c>
      <c r="E17" s="61">
        <v>10.886792666793937</v>
      </c>
      <c r="F17" s="61">
        <v>11.163051083939395</v>
      </c>
      <c r="G17" s="61"/>
      <c r="H17" s="16" t="s">
        <v>66</v>
      </c>
      <c r="I17" s="16" t="s">
        <v>259</v>
      </c>
      <c r="J17" s="61">
        <v>6.3626272196210527</v>
      </c>
      <c r="K17" s="61">
        <v>3.1509819175315794</v>
      </c>
      <c r="L17" s="61">
        <v>3.6778834553999995</v>
      </c>
      <c r="N17" s="17" t="s">
        <v>49</v>
      </c>
      <c r="O17" s="525" t="s">
        <v>29</v>
      </c>
      <c r="P17" s="46" t="s">
        <v>29</v>
      </c>
      <c r="Q17" s="17">
        <v>0.59</v>
      </c>
      <c r="R17" s="51">
        <v>3.7</v>
      </c>
      <c r="S17" s="26">
        <v>3.23</v>
      </c>
      <c r="T17" s="18">
        <v>3.14</v>
      </c>
      <c r="U17" s="17"/>
      <c r="V17" s="630">
        <v>0.42299999999999999</v>
      </c>
      <c r="W17" s="630">
        <v>0.19600000000000001</v>
      </c>
      <c r="X17" s="630">
        <v>0.38100000000000001</v>
      </c>
    </row>
    <row r="18" spans="1:33" ht="15" customHeight="1" x14ac:dyDescent="0.25">
      <c r="B18" s="16" t="s">
        <v>4885</v>
      </c>
      <c r="C18" s="16" t="s">
        <v>4880</v>
      </c>
      <c r="D18" s="61">
        <v>21</v>
      </c>
      <c r="E18" s="61">
        <v>16</v>
      </c>
      <c r="F18" s="61">
        <v>17</v>
      </c>
      <c r="G18" s="61"/>
      <c r="H18" s="16" t="s">
        <v>4885</v>
      </c>
      <c r="I18" s="16" t="s">
        <v>4880</v>
      </c>
      <c r="J18" s="61">
        <v>15</v>
      </c>
      <c r="K18" s="61">
        <v>10</v>
      </c>
      <c r="L18" s="61">
        <v>11</v>
      </c>
      <c r="O18" s="46"/>
      <c r="P18" s="46"/>
      <c r="Q18" s="46"/>
      <c r="R18" s="26"/>
      <c r="S18" s="26"/>
      <c r="T18" s="51"/>
    </row>
    <row r="19" spans="1:33" ht="15" customHeight="1" x14ac:dyDescent="0.25">
      <c r="B19" s="16" t="s">
        <v>4886</v>
      </c>
      <c r="C19" s="16" t="s">
        <v>4878</v>
      </c>
      <c r="D19" s="61">
        <v>20.328112049634377</v>
      </c>
      <c r="E19" s="61">
        <v>10.899274086175001</v>
      </c>
      <c r="F19" s="61">
        <v>12.186216874418749</v>
      </c>
      <c r="G19" s="61"/>
      <c r="H19" s="16" t="s">
        <v>4886</v>
      </c>
      <c r="I19" s="16" t="s">
        <v>4878</v>
      </c>
      <c r="J19" s="61">
        <v>10.238619914250002</v>
      </c>
      <c r="K19" s="61">
        <v>5.0753115941055542</v>
      </c>
      <c r="L19" s="61">
        <v>5.0978711155666669</v>
      </c>
      <c r="V19" s="61"/>
      <c r="W19" s="61"/>
      <c r="X19" s="61"/>
    </row>
    <row r="20" spans="1:33" ht="18" customHeight="1" x14ac:dyDescent="0.25">
      <c r="A20" s="14"/>
      <c r="B20" s="16" t="s">
        <v>67</v>
      </c>
      <c r="C20" s="16" t="s">
        <v>283</v>
      </c>
      <c r="D20" s="61">
        <v>20.712191700733573</v>
      </c>
      <c r="E20" s="61">
        <v>13.267275096710001</v>
      </c>
      <c r="F20" s="61">
        <v>13.269833174532144</v>
      </c>
      <c r="G20" s="61"/>
      <c r="H20" s="16" t="s">
        <v>67</v>
      </c>
      <c r="I20" s="16" t="s">
        <v>283</v>
      </c>
      <c r="J20" s="61">
        <v>10.725035094629146</v>
      </c>
      <c r="K20" s="61">
        <v>5.0461130789533701</v>
      </c>
      <c r="L20" s="61">
        <v>4.4120875512570104</v>
      </c>
      <c r="M20" s="14"/>
      <c r="N20" s="14" t="s">
        <v>4834</v>
      </c>
      <c r="O20" s="14"/>
      <c r="P20" s="14"/>
      <c r="V20" s="632" t="s">
        <v>5136</v>
      </c>
    </row>
    <row r="21" spans="1:33" ht="15.75" customHeight="1" x14ac:dyDescent="0.25">
      <c r="A21" s="25"/>
      <c r="B21" s="16" t="s">
        <v>68</v>
      </c>
      <c r="C21" s="16" t="s">
        <v>268</v>
      </c>
      <c r="D21" s="61">
        <v>20.769320392352626</v>
      </c>
      <c r="E21" s="61">
        <v>14.446022257126314</v>
      </c>
      <c r="F21" s="61">
        <v>14.093895018326315</v>
      </c>
      <c r="G21" s="61"/>
      <c r="H21" s="16" t="s">
        <v>68</v>
      </c>
      <c r="I21" s="16" t="s">
        <v>268</v>
      </c>
      <c r="J21" s="61">
        <v>7.9263298452500006</v>
      </c>
      <c r="K21" s="61">
        <v>4.5883169682730776</v>
      </c>
      <c r="L21" s="61">
        <v>4.2345580074961546</v>
      </c>
      <c r="M21" s="25"/>
      <c r="N21" s="25" t="s">
        <v>4800</v>
      </c>
      <c r="O21" s="25" t="s">
        <v>4801</v>
      </c>
      <c r="P21" s="25" t="s">
        <v>33</v>
      </c>
      <c r="Q21" s="25" t="s">
        <v>34</v>
      </c>
      <c r="T21" s="52"/>
      <c r="V21" s="63" t="s">
        <v>4798</v>
      </c>
      <c r="W21" s="63" t="s">
        <v>4797</v>
      </c>
      <c r="X21" s="63" t="s">
        <v>4796</v>
      </c>
    </row>
    <row r="22" spans="1:33" x14ac:dyDescent="0.25">
      <c r="A22" s="25"/>
      <c r="B22" s="16" t="s">
        <v>69</v>
      </c>
      <c r="C22" s="16" t="s">
        <v>259</v>
      </c>
      <c r="D22" s="61">
        <v>16.896941311754546</v>
      </c>
      <c r="E22" s="61">
        <v>10.886792666793937</v>
      </c>
      <c r="F22" s="61">
        <v>11.163051083939395</v>
      </c>
      <c r="G22" s="61"/>
      <c r="H22" s="16" t="s">
        <v>69</v>
      </c>
      <c r="I22" s="16" t="s">
        <v>259</v>
      </c>
      <c r="J22" s="61">
        <v>6.3626272196210527</v>
      </c>
      <c r="K22" s="61">
        <v>3.1509819175315794</v>
      </c>
      <c r="L22" s="61">
        <v>3.6778834553999995</v>
      </c>
      <c r="M22" s="25"/>
      <c r="N22" s="54">
        <v>0</v>
      </c>
      <c r="O22" s="54">
        <v>273.74</v>
      </c>
      <c r="P22" s="55">
        <v>0</v>
      </c>
      <c r="Q22" s="55">
        <v>0</v>
      </c>
      <c r="R22" s="25"/>
      <c r="S22" s="53"/>
      <c r="T22" s="25"/>
      <c r="U22" s="25"/>
      <c r="V22" s="57">
        <v>0.86</v>
      </c>
      <c r="W22" s="57">
        <v>0.11</v>
      </c>
      <c r="X22" s="57">
        <v>0.03</v>
      </c>
    </row>
    <row r="23" spans="1:33" ht="15" customHeight="1" x14ac:dyDescent="0.25">
      <c r="A23" s="25"/>
      <c r="B23" s="16" t="s">
        <v>70</v>
      </c>
      <c r="C23" s="16" t="s">
        <v>4881</v>
      </c>
      <c r="D23" s="61">
        <v>12.77</v>
      </c>
      <c r="E23" s="61">
        <v>5.18</v>
      </c>
      <c r="F23" s="61">
        <v>4.12</v>
      </c>
      <c r="G23" s="61"/>
      <c r="H23" s="16" t="s">
        <v>70</v>
      </c>
      <c r="I23" s="16" t="s">
        <v>4881</v>
      </c>
      <c r="J23" s="61">
        <v>7.85</v>
      </c>
      <c r="K23" s="61">
        <v>3.18</v>
      </c>
      <c r="L23" s="61">
        <v>2.34</v>
      </c>
      <c r="M23" s="25"/>
      <c r="N23" s="54">
        <v>273.75</v>
      </c>
      <c r="O23" s="54">
        <v>543.84</v>
      </c>
      <c r="P23" s="55">
        <v>1.4999999999999999E-2</v>
      </c>
      <c r="Q23" s="55">
        <v>6.2E-2</v>
      </c>
      <c r="R23" s="55"/>
      <c r="V23" s="57"/>
      <c r="W23" s="57"/>
      <c r="X23" s="57"/>
    </row>
    <row r="24" spans="1:33" ht="15" customHeight="1" x14ac:dyDescent="0.25">
      <c r="A24" s="25"/>
      <c r="B24" s="16" t="s">
        <v>71</v>
      </c>
      <c r="C24" s="16" t="s">
        <v>4877</v>
      </c>
      <c r="D24" s="61">
        <v>17.551167404616002</v>
      </c>
      <c r="E24" s="61">
        <v>13.124970183983999</v>
      </c>
      <c r="F24" s="61">
        <v>14.691734088496</v>
      </c>
      <c r="G24" s="61"/>
      <c r="H24" s="16" t="s">
        <v>71</v>
      </c>
      <c r="I24" s="16" t="s">
        <v>4877</v>
      </c>
      <c r="J24" s="61">
        <v>3.2509050181500001</v>
      </c>
      <c r="K24" s="61">
        <v>1.967764779725</v>
      </c>
      <c r="L24" s="61">
        <v>3.9507456313750002</v>
      </c>
      <c r="M24" s="25"/>
      <c r="N24" s="54">
        <v>543.85</v>
      </c>
      <c r="O24" s="54">
        <v>1087.69</v>
      </c>
      <c r="P24" s="55">
        <v>3.3000000000000002E-2</v>
      </c>
      <c r="Q24" s="55">
        <v>0.129</v>
      </c>
      <c r="R24" s="55"/>
      <c r="V24" s="57"/>
      <c r="W24" s="57"/>
      <c r="X24" s="57"/>
      <c r="AC24" s="38"/>
      <c r="AD24" s="38"/>
      <c r="AE24" s="38"/>
      <c r="AF24" s="38"/>
    </row>
    <row r="25" spans="1:33" ht="15" customHeight="1" x14ac:dyDescent="0.25">
      <c r="A25" s="25"/>
      <c r="B25" s="16" t="s">
        <v>221</v>
      </c>
      <c r="C25" s="16" t="s">
        <v>283</v>
      </c>
      <c r="D25" s="61">
        <v>20.712191700733573</v>
      </c>
      <c r="E25" s="61">
        <v>13.267275096710001</v>
      </c>
      <c r="F25" s="61">
        <v>13.269833174532144</v>
      </c>
      <c r="G25" s="61"/>
      <c r="H25" s="16" t="s">
        <v>221</v>
      </c>
      <c r="I25" s="16" t="s">
        <v>283</v>
      </c>
      <c r="J25" s="61">
        <v>10.725035094629146</v>
      </c>
      <c r="K25" s="61">
        <v>5.0461130789533701</v>
      </c>
      <c r="L25" s="61">
        <v>4.4120875512570104</v>
      </c>
      <c r="M25" s="25"/>
      <c r="N25" s="54">
        <v>1087.7</v>
      </c>
      <c r="O25" s="54">
        <v>2175.39</v>
      </c>
      <c r="P25" s="55">
        <v>7.9000000000000001E-2</v>
      </c>
      <c r="Q25" s="55">
        <v>0.2</v>
      </c>
      <c r="R25" s="55"/>
      <c r="S25" s="55"/>
      <c r="T25" s="55"/>
      <c r="U25" s="55"/>
      <c r="V25" s="58"/>
      <c r="Y25" s="57"/>
      <c r="AD25" s="38"/>
      <c r="AE25" s="38"/>
      <c r="AF25" s="38"/>
      <c r="AG25" s="38"/>
    </row>
    <row r="26" spans="1:33" ht="15" customHeight="1" x14ac:dyDescent="0.25">
      <c r="A26" s="25"/>
      <c r="B26" s="16" t="s">
        <v>72</v>
      </c>
      <c r="C26" s="16" t="s">
        <v>283</v>
      </c>
      <c r="D26" s="61">
        <v>20.712191700733573</v>
      </c>
      <c r="E26" s="61">
        <v>13.267275096710001</v>
      </c>
      <c r="F26" s="61">
        <v>13.269833174532144</v>
      </c>
      <c r="G26" s="61"/>
      <c r="H26" s="16" t="s">
        <v>72</v>
      </c>
      <c r="I26" s="16" t="s">
        <v>283</v>
      </c>
      <c r="J26" s="61">
        <v>10.725035094629146</v>
      </c>
      <c r="K26" s="61">
        <v>5.0461130789533701</v>
      </c>
      <c r="L26" s="61">
        <v>4.4120875512570104</v>
      </c>
      <c r="M26" s="25"/>
      <c r="N26" s="54">
        <v>2175.4</v>
      </c>
      <c r="O26" s="59" t="s">
        <v>29</v>
      </c>
      <c r="P26" s="55">
        <v>0.2</v>
      </c>
      <c r="Q26" s="55">
        <v>0.2</v>
      </c>
      <c r="R26" s="55"/>
      <c r="S26" s="55"/>
      <c r="T26" s="55"/>
      <c r="U26" s="55"/>
      <c r="V26" s="25"/>
      <c r="AD26" s="624"/>
      <c r="AE26" s="624"/>
      <c r="AF26" s="624"/>
      <c r="AG26" s="624"/>
    </row>
    <row r="27" spans="1:33" ht="15" customHeight="1" x14ac:dyDescent="0.25">
      <c r="A27" s="25"/>
      <c r="B27" s="16" t="s">
        <v>73</v>
      </c>
      <c r="C27" s="16" t="s">
        <v>259</v>
      </c>
      <c r="D27" s="61">
        <v>16.896941311754546</v>
      </c>
      <c r="E27" s="61">
        <v>10.886792666793937</v>
      </c>
      <c r="F27" s="61">
        <v>11.163051083939395</v>
      </c>
      <c r="G27" s="61"/>
      <c r="H27" s="16" t="s">
        <v>73</v>
      </c>
      <c r="I27" s="16" t="s">
        <v>259</v>
      </c>
      <c r="J27" s="61">
        <v>6.3626272196210527</v>
      </c>
      <c r="K27" s="61">
        <v>3.1509819175315794</v>
      </c>
      <c r="L27" s="61">
        <v>3.6778834553999995</v>
      </c>
      <c r="M27" s="25"/>
      <c r="N27" s="25"/>
      <c r="O27" s="25"/>
      <c r="P27" s="25"/>
      <c r="Q27" s="25"/>
      <c r="R27" s="55"/>
      <c r="S27" s="55"/>
      <c r="T27" s="55"/>
      <c r="U27" s="55"/>
      <c r="V27" s="15"/>
      <c r="X27" s="64"/>
      <c r="AD27" s="623"/>
      <c r="AE27" s="621"/>
      <c r="AF27" s="621"/>
      <c r="AG27" s="622"/>
    </row>
    <row r="28" spans="1:33" ht="15" customHeight="1" x14ac:dyDescent="0.25">
      <c r="A28" s="15"/>
      <c r="B28" s="16" t="s">
        <v>74</v>
      </c>
      <c r="C28" s="16" t="s">
        <v>4877</v>
      </c>
      <c r="D28" s="61">
        <v>17.551167404616002</v>
      </c>
      <c r="E28" s="61">
        <v>13.124970183983999</v>
      </c>
      <c r="F28" s="61">
        <v>14.691734088496</v>
      </c>
      <c r="G28" s="61"/>
      <c r="H28" s="16" t="s">
        <v>74</v>
      </c>
      <c r="I28" s="16" t="s">
        <v>4877</v>
      </c>
      <c r="J28" s="61">
        <v>3.2509050181500001</v>
      </c>
      <c r="K28" s="61">
        <v>1.967764779725</v>
      </c>
      <c r="L28" s="61">
        <v>3.9507456313750002</v>
      </c>
      <c r="M28" s="15"/>
      <c r="N28" s="15"/>
      <c r="O28" s="15"/>
      <c r="P28" s="15"/>
      <c r="Q28" s="15"/>
      <c r="R28" s="25"/>
      <c r="S28" s="25"/>
      <c r="T28" s="25"/>
      <c r="U28" s="25"/>
      <c r="V28" s="26"/>
      <c r="X28" s="64"/>
      <c r="Y28" s="64"/>
      <c r="Z28" s="64"/>
      <c r="AA28" s="64"/>
      <c r="AB28" s="64"/>
      <c r="AC28" s="64"/>
      <c r="AE28" s="64"/>
      <c r="AF28" s="64"/>
      <c r="AG28" s="64"/>
    </row>
    <row r="29" spans="1:33" ht="15" customHeight="1" x14ac:dyDescent="0.25">
      <c r="A29" s="26"/>
      <c r="B29" s="16" t="s">
        <v>232</v>
      </c>
      <c r="C29" s="16" t="s">
        <v>4881</v>
      </c>
      <c r="D29" s="61">
        <v>21.31</v>
      </c>
      <c r="E29" s="61">
        <v>7.55</v>
      </c>
      <c r="F29" s="61">
        <v>6.56</v>
      </c>
      <c r="G29" s="61"/>
      <c r="H29" s="16" t="s">
        <v>232</v>
      </c>
      <c r="I29" s="16" t="s">
        <v>4881</v>
      </c>
      <c r="J29" s="61">
        <v>15.69</v>
      </c>
      <c r="K29" s="61">
        <v>6.37</v>
      </c>
      <c r="L29" s="61">
        <v>5.44</v>
      </c>
      <c r="M29" s="26"/>
      <c r="N29" s="14" t="s">
        <v>4835</v>
      </c>
      <c r="R29" s="15"/>
      <c r="S29" s="15"/>
      <c r="T29" s="15"/>
      <c r="U29" s="15"/>
      <c r="W29" s="62"/>
      <c r="Y29" s="64"/>
      <c r="Z29" s="64"/>
      <c r="AA29" s="64"/>
      <c r="AB29" s="64"/>
      <c r="AC29" s="64"/>
      <c r="AD29" s="64"/>
      <c r="AE29" s="64"/>
      <c r="AF29" s="64"/>
      <c r="AG29" s="64"/>
    </row>
    <row r="30" spans="1:33" ht="15" customHeight="1" x14ac:dyDescent="0.25">
      <c r="A30" s="28"/>
      <c r="B30" s="16" t="s">
        <v>75</v>
      </c>
      <c r="C30" s="16" t="s">
        <v>283</v>
      </c>
      <c r="D30" s="61">
        <v>20.712191700733573</v>
      </c>
      <c r="E30" s="61">
        <v>13.267275096710001</v>
      </c>
      <c r="F30" s="61">
        <v>13.269833174532144</v>
      </c>
      <c r="G30" s="61"/>
      <c r="H30" s="16" t="s">
        <v>75</v>
      </c>
      <c r="I30" s="16" t="s">
        <v>283</v>
      </c>
      <c r="J30" s="61">
        <v>10.725035094629146</v>
      </c>
      <c r="K30" s="61">
        <v>5.0461130789533701</v>
      </c>
      <c r="L30" s="61">
        <v>4.4120875512570104</v>
      </c>
      <c r="M30" s="28"/>
      <c r="N30" s="44" t="s">
        <v>26</v>
      </c>
      <c r="O30" s="44" t="s">
        <v>35</v>
      </c>
      <c r="P30" s="44" t="s">
        <v>5074</v>
      </c>
      <c r="Q30" s="44" t="s">
        <v>7</v>
      </c>
      <c r="R30" s="625"/>
      <c r="W30" s="56"/>
    </row>
    <row r="31" spans="1:33" ht="15" customHeight="1" x14ac:dyDescent="0.25">
      <c r="A31" s="28"/>
      <c r="B31" s="16" t="s">
        <v>76</v>
      </c>
      <c r="C31" s="16" t="s">
        <v>4876</v>
      </c>
      <c r="D31" s="61">
        <v>13.4</v>
      </c>
      <c r="E31" s="61">
        <v>5.6</v>
      </c>
      <c r="F31" s="61">
        <v>7.8</v>
      </c>
      <c r="G31" s="61"/>
      <c r="H31" s="16" t="s">
        <v>76</v>
      </c>
      <c r="I31" s="16" t="s">
        <v>4876</v>
      </c>
      <c r="J31" s="61">
        <v>10.9</v>
      </c>
      <c r="K31" s="61">
        <v>4.7</v>
      </c>
      <c r="L31" s="61">
        <v>6</v>
      </c>
      <c r="M31" s="28"/>
      <c r="N31" s="17" t="s">
        <v>12</v>
      </c>
      <c r="O31" s="48">
        <v>0.65</v>
      </c>
      <c r="P31" s="48">
        <v>0.7</v>
      </c>
      <c r="Q31" s="48">
        <v>0.75</v>
      </c>
      <c r="R31" s="56"/>
      <c r="W31" s="61"/>
    </row>
    <row r="32" spans="1:33" ht="15" customHeight="1" x14ac:dyDescent="0.25">
      <c r="A32" s="29"/>
      <c r="B32" s="16" t="s">
        <v>77</v>
      </c>
      <c r="C32" s="16" t="s">
        <v>4878</v>
      </c>
      <c r="D32" s="61">
        <v>20.328112049634377</v>
      </c>
      <c r="E32" s="61">
        <v>10.899274086175001</v>
      </c>
      <c r="F32" s="61">
        <v>12.186216874418749</v>
      </c>
      <c r="G32" s="61"/>
      <c r="H32" s="16" t="s">
        <v>77</v>
      </c>
      <c r="I32" s="16" t="s">
        <v>4878</v>
      </c>
      <c r="J32" s="61">
        <v>10.238619914250002</v>
      </c>
      <c r="K32" s="61">
        <v>5.0753115941055542</v>
      </c>
      <c r="L32" s="61">
        <v>5.0978711155666669</v>
      </c>
      <c r="M32" s="29"/>
      <c r="N32" s="17" t="s">
        <v>27</v>
      </c>
      <c r="O32" s="48">
        <v>0.3</v>
      </c>
      <c r="P32" s="48">
        <v>0.35</v>
      </c>
      <c r="Q32" s="48">
        <v>0.4</v>
      </c>
      <c r="R32" s="61"/>
      <c r="W32" s="61"/>
    </row>
    <row r="33" spans="2:23" ht="15" customHeight="1" x14ac:dyDescent="0.25">
      <c r="B33" s="16" t="s">
        <v>241</v>
      </c>
      <c r="C33" s="16" t="s">
        <v>259</v>
      </c>
      <c r="D33" s="61">
        <v>16.896941311754546</v>
      </c>
      <c r="E33" s="61">
        <v>10.886792666793937</v>
      </c>
      <c r="F33" s="61">
        <v>11.163051083939395</v>
      </c>
      <c r="G33" s="61"/>
      <c r="H33" s="16" t="s">
        <v>241</v>
      </c>
      <c r="I33" s="16" t="s">
        <v>259</v>
      </c>
      <c r="J33" s="61">
        <v>6.3626272196210527</v>
      </c>
      <c r="K33" s="61">
        <v>3.1509819175315794</v>
      </c>
      <c r="L33" s="61">
        <v>3.6778834553999995</v>
      </c>
      <c r="N33" s="17" t="s">
        <v>28</v>
      </c>
      <c r="O33" s="48">
        <v>0.05</v>
      </c>
      <c r="P33" s="48">
        <v>0.1</v>
      </c>
      <c r="Q33" s="48">
        <v>0.15</v>
      </c>
      <c r="R33" s="61"/>
      <c r="W33" s="61"/>
    </row>
    <row r="34" spans="2:23" ht="15" customHeight="1" x14ac:dyDescent="0.25">
      <c r="B34" s="16" t="s">
        <v>78</v>
      </c>
      <c r="C34" s="16" t="s">
        <v>283</v>
      </c>
      <c r="D34" s="61">
        <v>20.712191700733573</v>
      </c>
      <c r="E34" s="61">
        <v>13.267275096710001</v>
      </c>
      <c r="F34" s="61">
        <v>13.269833174532144</v>
      </c>
      <c r="G34" s="61"/>
      <c r="H34" s="16" t="s">
        <v>78</v>
      </c>
      <c r="I34" s="16" t="s">
        <v>283</v>
      </c>
      <c r="J34" s="61">
        <v>10.725035094629146</v>
      </c>
      <c r="K34" s="61">
        <v>5.0461130789533701</v>
      </c>
      <c r="L34" s="61">
        <v>4.4120875512570104</v>
      </c>
      <c r="R34" s="61"/>
      <c r="W34" s="61"/>
    </row>
    <row r="35" spans="2:23" ht="15" customHeight="1" x14ac:dyDescent="0.25">
      <c r="B35" s="16" t="s">
        <v>79</v>
      </c>
      <c r="C35" s="16" t="s">
        <v>4877</v>
      </c>
      <c r="D35" s="61">
        <v>17.551167404616002</v>
      </c>
      <c r="E35" s="61">
        <v>13.124970183983999</v>
      </c>
      <c r="F35" s="61">
        <v>14.691734088496</v>
      </c>
      <c r="G35" s="61"/>
      <c r="H35" s="16" t="s">
        <v>79</v>
      </c>
      <c r="I35" s="16" t="s">
        <v>4877</v>
      </c>
      <c r="J35" s="61">
        <v>3.2509050181500001</v>
      </c>
      <c r="K35" s="61">
        <v>1.967764779725</v>
      </c>
      <c r="L35" s="61">
        <v>3.9507456313750002</v>
      </c>
      <c r="R35" s="61"/>
      <c r="W35" s="61"/>
    </row>
    <row r="36" spans="2:23" ht="15" customHeight="1" x14ac:dyDescent="0.25">
      <c r="B36" s="16" t="s">
        <v>80</v>
      </c>
      <c r="C36" s="16" t="s">
        <v>4877</v>
      </c>
      <c r="D36" s="61">
        <v>17.551167404616002</v>
      </c>
      <c r="E36" s="61">
        <v>13.124970183983999</v>
      </c>
      <c r="F36" s="61">
        <v>14.691734088496</v>
      </c>
      <c r="G36" s="61"/>
      <c r="H36" s="16" t="s">
        <v>80</v>
      </c>
      <c r="I36" s="16" t="s">
        <v>4877</v>
      </c>
      <c r="J36" s="61">
        <v>3.2509050181500001</v>
      </c>
      <c r="K36" s="61">
        <v>1.967764779725</v>
      </c>
      <c r="L36" s="61">
        <v>3.9507456313750002</v>
      </c>
      <c r="R36" s="61"/>
      <c r="W36" s="61"/>
    </row>
    <row r="37" spans="2:23" ht="15" customHeight="1" x14ac:dyDescent="0.25">
      <c r="B37" s="16" t="s">
        <v>81</v>
      </c>
      <c r="C37" s="16" t="s">
        <v>4882</v>
      </c>
      <c r="D37" s="61">
        <v>15.6</v>
      </c>
      <c r="E37" s="61">
        <v>9.5</v>
      </c>
      <c r="F37" s="61">
        <v>17.100000000000001</v>
      </c>
      <c r="G37" s="61"/>
      <c r="H37" s="16" t="s">
        <v>81</v>
      </c>
      <c r="I37" s="16" t="s">
        <v>4882</v>
      </c>
      <c r="J37" s="61">
        <v>11.8</v>
      </c>
      <c r="K37" s="61">
        <v>24</v>
      </c>
      <c r="L37" s="61">
        <v>10.9</v>
      </c>
      <c r="R37" s="61"/>
      <c r="W37" s="61"/>
    </row>
    <row r="38" spans="2:23" ht="15" customHeight="1" x14ac:dyDescent="0.25">
      <c r="B38" s="16" t="s">
        <v>82</v>
      </c>
      <c r="C38" s="16" t="s">
        <v>4876</v>
      </c>
      <c r="D38" s="61">
        <v>14</v>
      </c>
      <c r="E38" s="61">
        <v>4.7</v>
      </c>
      <c r="F38" s="61">
        <v>6.2</v>
      </c>
      <c r="G38" s="61"/>
      <c r="H38" s="16" t="s">
        <v>82</v>
      </c>
      <c r="I38" s="16" t="s">
        <v>4876</v>
      </c>
      <c r="J38" s="61">
        <v>12.8</v>
      </c>
      <c r="K38" s="61">
        <v>3.7</v>
      </c>
      <c r="L38" s="61">
        <v>4.3</v>
      </c>
      <c r="R38" s="61"/>
      <c r="W38" s="61"/>
    </row>
    <row r="39" spans="2:23" ht="15" customHeight="1" x14ac:dyDescent="0.25">
      <c r="B39" s="16" t="s">
        <v>83</v>
      </c>
      <c r="C39" s="16" t="s">
        <v>4878</v>
      </c>
      <c r="D39" s="61">
        <v>20.328112049634377</v>
      </c>
      <c r="E39" s="61">
        <v>10.899274086175001</v>
      </c>
      <c r="F39" s="61">
        <v>12.186216874418749</v>
      </c>
      <c r="G39" s="61"/>
      <c r="H39" s="16" t="s">
        <v>83</v>
      </c>
      <c r="I39" s="16" t="s">
        <v>4878</v>
      </c>
      <c r="J39" s="61">
        <v>10.238619914250002</v>
      </c>
      <c r="K39" s="61">
        <v>5.0753115941055542</v>
      </c>
      <c r="L39" s="61">
        <v>5.0978711155666669</v>
      </c>
      <c r="R39" s="61"/>
      <c r="W39" s="61"/>
    </row>
    <row r="40" spans="2:23" ht="15" customHeight="1" x14ac:dyDescent="0.25">
      <c r="B40" s="16" t="s">
        <v>84</v>
      </c>
      <c r="C40" s="16" t="s">
        <v>4881</v>
      </c>
      <c r="D40" s="61">
        <v>17.95</v>
      </c>
      <c r="E40" s="61">
        <v>7.47</v>
      </c>
      <c r="F40" s="61">
        <v>6.29</v>
      </c>
      <c r="G40" s="61"/>
      <c r="H40" s="16" t="s">
        <v>84</v>
      </c>
      <c r="I40" s="16" t="s">
        <v>4881</v>
      </c>
      <c r="J40" s="61">
        <v>14.68</v>
      </c>
      <c r="K40" s="61">
        <v>6.08</v>
      </c>
      <c r="L40" s="61">
        <v>5.01</v>
      </c>
      <c r="R40" s="61"/>
      <c r="W40" s="61"/>
    </row>
    <row r="41" spans="2:23" ht="15" customHeight="1" x14ac:dyDescent="0.25">
      <c r="B41" s="16" t="s">
        <v>4887</v>
      </c>
      <c r="C41" s="16" t="s">
        <v>4880</v>
      </c>
      <c r="D41" s="61">
        <v>21</v>
      </c>
      <c r="E41" s="61">
        <v>16</v>
      </c>
      <c r="F41" s="61">
        <v>16</v>
      </c>
      <c r="G41" s="61"/>
      <c r="H41" s="16" t="s">
        <v>4887</v>
      </c>
      <c r="I41" s="16" t="s">
        <v>4880</v>
      </c>
      <c r="J41" s="61">
        <v>12</v>
      </c>
      <c r="K41" s="61">
        <v>7</v>
      </c>
      <c r="L41" s="61">
        <v>8</v>
      </c>
      <c r="R41" s="61"/>
      <c r="W41" s="61"/>
    </row>
    <row r="42" spans="2:23" ht="15" customHeight="1" x14ac:dyDescent="0.25">
      <c r="B42" s="16" t="s">
        <v>4888</v>
      </c>
      <c r="C42" s="16" t="s">
        <v>4878</v>
      </c>
      <c r="D42" s="61">
        <v>20.328112049634377</v>
      </c>
      <c r="E42" s="61">
        <v>10.899274086175001</v>
      </c>
      <c r="F42" s="61">
        <v>12.186216874418749</v>
      </c>
      <c r="G42" s="61"/>
      <c r="H42" s="16" t="s">
        <v>4888</v>
      </c>
      <c r="I42" s="16" t="s">
        <v>4878</v>
      </c>
      <c r="J42" s="61">
        <v>10.238619914250002</v>
      </c>
      <c r="K42" s="61">
        <v>5.0753115941055542</v>
      </c>
      <c r="L42" s="61">
        <v>5.0978711155666669</v>
      </c>
      <c r="R42" s="61"/>
      <c r="W42" s="61"/>
    </row>
    <row r="43" spans="2:23" ht="15" customHeight="1" x14ac:dyDescent="0.25">
      <c r="B43" s="16" t="s">
        <v>85</v>
      </c>
      <c r="C43" s="16" t="s">
        <v>4878</v>
      </c>
      <c r="D43" s="61">
        <v>20.328112049634377</v>
      </c>
      <c r="E43" s="61">
        <v>10.899274086175001</v>
      </c>
      <c r="F43" s="61">
        <v>12.186216874418749</v>
      </c>
      <c r="G43" s="61"/>
      <c r="H43" s="16" t="s">
        <v>85</v>
      </c>
      <c r="I43" s="16" t="s">
        <v>4878</v>
      </c>
      <c r="J43" s="61">
        <v>10.238619914250002</v>
      </c>
      <c r="K43" s="61">
        <v>5.0753115941055542</v>
      </c>
      <c r="L43" s="61">
        <v>5.0978711155666669</v>
      </c>
      <c r="R43" s="61"/>
      <c r="W43" s="61"/>
    </row>
    <row r="44" spans="2:23" ht="15" customHeight="1" x14ac:dyDescent="0.25">
      <c r="B44" s="16" t="s">
        <v>265</v>
      </c>
      <c r="C44" s="16" t="s">
        <v>4881</v>
      </c>
      <c r="D44" s="61">
        <v>21.42</v>
      </c>
      <c r="E44" s="61">
        <v>7.25</v>
      </c>
      <c r="F44" s="61">
        <v>5.71</v>
      </c>
      <c r="G44" s="61"/>
      <c r="H44" s="16" t="s">
        <v>265</v>
      </c>
      <c r="I44" s="16" t="s">
        <v>4881</v>
      </c>
      <c r="J44" s="61">
        <v>19.66</v>
      </c>
      <c r="K44" s="61">
        <v>6.06</v>
      </c>
      <c r="L44" s="61">
        <v>4.7</v>
      </c>
      <c r="R44" s="61"/>
      <c r="W44" s="61"/>
    </row>
    <row r="45" spans="2:23" ht="15" customHeight="1" x14ac:dyDescent="0.25">
      <c r="B45" s="16" t="s">
        <v>86</v>
      </c>
      <c r="C45" s="16" t="s">
        <v>4880</v>
      </c>
      <c r="D45" s="61">
        <v>17</v>
      </c>
      <c r="E45" s="61">
        <v>13</v>
      </c>
      <c r="F45" s="61">
        <v>14</v>
      </c>
      <c r="G45" s="61"/>
      <c r="H45" s="16" t="s">
        <v>86</v>
      </c>
      <c r="I45" s="16" t="s">
        <v>4880</v>
      </c>
      <c r="J45" s="61">
        <v>10</v>
      </c>
      <c r="K45" s="61">
        <v>6</v>
      </c>
      <c r="L45" s="61">
        <v>6</v>
      </c>
      <c r="R45" s="61"/>
      <c r="W45" s="61"/>
    </row>
    <row r="46" spans="2:23" ht="15" customHeight="1" x14ac:dyDescent="0.25">
      <c r="B46" s="16" t="s">
        <v>87</v>
      </c>
      <c r="C46" s="16" t="s">
        <v>4882</v>
      </c>
      <c r="D46" s="61">
        <v>25.9</v>
      </c>
      <c r="E46" s="61">
        <v>13.1</v>
      </c>
      <c r="F46" s="61">
        <v>14.7</v>
      </c>
      <c r="G46" s="61"/>
      <c r="H46" s="16" t="s">
        <v>87</v>
      </c>
      <c r="I46" s="16" t="s">
        <v>4882</v>
      </c>
      <c r="J46" s="61">
        <v>21.2</v>
      </c>
      <c r="K46" s="61">
        <v>5.0999999999999996</v>
      </c>
      <c r="L46" s="61">
        <v>14.9</v>
      </c>
      <c r="R46" s="61"/>
      <c r="W46" s="61"/>
    </row>
    <row r="47" spans="2:23" ht="15" customHeight="1" x14ac:dyDescent="0.25">
      <c r="B47" s="16" t="s">
        <v>274</v>
      </c>
      <c r="C47" s="16" t="s">
        <v>4881</v>
      </c>
      <c r="D47" s="61">
        <v>22.18</v>
      </c>
      <c r="E47" s="61">
        <v>6.91</v>
      </c>
      <c r="F47" s="61">
        <v>5.74</v>
      </c>
      <c r="G47" s="61"/>
      <c r="H47" s="16" t="s">
        <v>274</v>
      </c>
      <c r="I47" s="16" t="s">
        <v>4881</v>
      </c>
      <c r="J47" s="61">
        <v>18.170000000000002</v>
      </c>
      <c r="K47" s="61">
        <v>6.2</v>
      </c>
      <c r="L47" s="61">
        <v>4.79</v>
      </c>
      <c r="R47" s="61"/>
      <c r="W47" s="61"/>
    </row>
    <row r="48" spans="2:23" ht="15" customHeight="1" x14ac:dyDescent="0.25">
      <c r="B48" s="16" t="s">
        <v>88</v>
      </c>
      <c r="C48" s="16" t="s">
        <v>310</v>
      </c>
      <c r="D48" s="61">
        <v>29.333161925500004</v>
      </c>
      <c r="E48" s="61">
        <v>16.929175921333329</v>
      </c>
      <c r="F48" s="61">
        <v>15.913988218841666</v>
      </c>
      <c r="G48" s="61"/>
      <c r="H48" s="16" t="s">
        <v>88</v>
      </c>
      <c r="I48" s="16" t="s">
        <v>310</v>
      </c>
      <c r="J48" s="61">
        <v>11.205598833455122</v>
      </c>
      <c r="K48" s="61">
        <v>6.2285381720378172</v>
      </c>
      <c r="L48" s="61">
        <v>5.4658761716613213</v>
      </c>
      <c r="R48" s="61"/>
      <c r="W48" s="61"/>
    </row>
    <row r="49" spans="2:23" ht="15" customHeight="1" x14ac:dyDescent="0.25">
      <c r="B49" s="16" t="s">
        <v>89</v>
      </c>
      <c r="C49" s="16" t="s">
        <v>4876</v>
      </c>
      <c r="D49" s="633" t="s">
        <v>29</v>
      </c>
      <c r="E49" s="633" t="s">
        <v>29</v>
      </c>
      <c r="F49" s="633" t="s">
        <v>29</v>
      </c>
      <c r="G49" s="61"/>
      <c r="H49" s="16" t="s">
        <v>89</v>
      </c>
      <c r="I49" s="16" t="s">
        <v>4876</v>
      </c>
      <c r="J49" s="61">
        <v>7.7</v>
      </c>
      <c r="K49" s="61">
        <v>3.5</v>
      </c>
      <c r="L49" s="61">
        <v>3.7</v>
      </c>
      <c r="R49" s="61"/>
      <c r="W49" s="61"/>
    </row>
    <row r="50" spans="2:23" ht="15" customHeight="1" x14ac:dyDescent="0.25">
      <c r="B50" s="16" t="s">
        <v>90</v>
      </c>
      <c r="C50" s="16" t="s">
        <v>283</v>
      </c>
      <c r="D50" s="61">
        <v>20.712191700733573</v>
      </c>
      <c r="E50" s="61">
        <v>13.267275096710001</v>
      </c>
      <c r="F50" s="61">
        <v>13.269833174532144</v>
      </c>
      <c r="G50" s="61"/>
      <c r="H50" s="16" t="s">
        <v>90</v>
      </c>
      <c r="I50" s="16" t="s">
        <v>283</v>
      </c>
      <c r="J50" s="61">
        <v>10.725035094629146</v>
      </c>
      <c r="K50" s="61">
        <v>5.0461130789533701</v>
      </c>
      <c r="L50" s="61">
        <v>4.4120875512570104</v>
      </c>
      <c r="R50" s="61"/>
      <c r="W50" s="61"/>
    </row>
    <row r="51" spans="2:23" ht="15" customHeight="1" x14ac:dyDescent="0.25">
      <c r="B51" s="16" t="s">
        <v>91</v>
      </c>
      <c r="C51" s="16" t="s">
        <v>4883</v>
      </c>
      <c r="D51" s="61">
        <v>14.1</v>
      </c>
      <c r="E51" s="61">
        <v>12.2</v>
      </c>
      <c r="F51" s="61">
        <v>9.9</v>
      </c>
      <c r="G51" s="61"/>
      <c r="H51" s="16" t="s">
        <v>91</v>
      </c>
      <c r="I51" s="16" t="s">
        <v>4883</v>
      </c>
      <c r="J51" s="61">
        <v>4.9000000000000004</v>
      </c>
      <c r="K51" s="61">
        <v>4.9000000000000004</v>
      </c>
      <c r="L51" s="61">
        <v>4.4000000000000004</v>
      </c>
      <c r="R51" s="61"/>
      <c r="W51" s="61"/>
    </row>
    <row r="52" spans="2:23" ht="15" customHeight="1" x14ac:dyDescent="0.25">
      <c r="B52" s="16" t="s">
        <v>92</v>
      </c>
      <c r="C52" s="16" t="s">
        <v>4876</v>
      </c>
      <c r="D52" s="61">
        <v>13.7</v>
      </c>
      <c r="E52" s="61">
        <v>7.9</v>
      </c>
      <c r="F52" s="61">
        <v>9.3000000000000007</v>
      </c>
      <c r="G52" s="61"/>
      <c r="H52" s="16" t="s">
        <v>92</v>
      </c>
      <c r="I52" s="16" t="s">
        <v>4876</v>
      </c>
      <c r="J52" s="61">
        <v>9.3000000000000007</v>
      </c>
      <c r="K52" s="61">
        <v>4.5999999999999996</v>
      </c>
      <c r="L52" s="61">
        <v>5.6</v>
      </c>
      <c r="R52" s="61"/>
      <c r="W52" s="61"/>
    </row>
    <row r="53" spans="2:23" x14ac:dyDescent="0.25">
      <c r="B53" s="16" t="s">
        <v>290</v>
      </c>
      <c r="C53" s="16" t="s">
        <v>4884</v>
      </c>
      <c r="D53" s="61">
        <v>15.512526034875</v>
      </c>
      <c r="E53" s="61">
        <v>10.5910935068</v>
      </c>
      <c r="F53" s="61">
        <v>10.227487547712499</v>
      </c>
      <c r="G53" s="61"/>
      <c r="H53" s="16" t="s">
        <v>290</v>
      </c>
      <c r="I53" s="16" t="s">
        <v>4884</v>
      </c>
      <c r="J53" s="61">
        <v>6.3384414162240015</v>
      </c>
      <c r="K53" s="61">
        <v>3.0777485626879995</v>
      </c>
      <c r="L53" s="61">
        <v>2.868385814599999</v>
      </c>
      <c r="R53" s="61"/>
      <c r="W53" s="61"/>
    </row>
    <row r="54" spans="2:23" x14ac:dyDescent="0.25">
      <c r="B54" s="16" t="s">
        <v>93</v>
      </c>
      <c r="C54" s="16" t="s">
        <v>4876</v>
      </c>
      <c r="D54" s="61">
        <v>12.2</v>
      </c>
      <c r="E54" s="61">
        <v>5.7</v>
      </c>
      <c r="F54" s="61">
        <v>6.9</v>
      </c>
      <c r="G54" s="61"/>
      <c r="H54" s="16" t="s">
        <v>93</v>
      </c>
      <c r="I54" s="16" t="s">
        <v>4876</v>
      </c>
      <c r="J54" s="61">
        <v>8.6</v>
      </c>
      <c r="K54" s="61">
        <v>4.7</v>
      </c>
      <c r="L54" s="61">
        <v>5.0999999999999996</v>
      </c>
      <c r="R54" s="61"/>
      <c r="W54" s="61"/>
    </row>
    <row r="55" spans="2:23" x14ac:dyDescent="0.25">
      <c r="B55" s="16" t="s">
        <v>94</v>
      </c>
      <c r="C55" s="16" t="s">
        <v>4882</v>
      </c>
      <c r="D55" s="61">
        <v>16.600000000000001</v>
      </c>
      <c r="E55" s="61">
        <v>6.6</v>
      </c>
      <c r="F55" s="61">
        <v>12.2</v>
      </c>
      <c r="G55" s="61"/>
      <c r="H55" s="16" t="s">
        <v>94</v>
      </c>
      <c r="I55" s="16" t="s">
        <v>4882</v>
      </c>
      <c r="J55" s="61">
        <v>13.2</v>
      </c>
      <c r="K55" s="61">
        <v>4.9000000000000004</v>
      </c>
      <c r="L55" s="61">
        <v>10</v>
      </c>
      <c r="R55" s="61"/>
      <c r="W55" s="61"/>
    </row>
    <row r="56" spans="2:23" ht="18" customHeight="1" x14ac:dyDescent="0.25">
      <c r="B56" s="16" t="s">
        <v>95</v>
      </c>
      <c r="C56" s="16" t="s">
        <v>268</v>
      </c>
      <c r="D56" s="61">
        <v>20.769320392352626</v>
      </c>
      <c r="E56" s="61">
        <v>14.446022257126314</v>
      </c>
      <c r="F56" s="61">
        <v>14.093895018326315</v>
      </c>
      <c r="G56" s="61"/>
      <c r="H56" s="16" t="s">
        <v>95</v>
      </c>
      <c r="I56" s="16" t="s">
        <v>268</v>
      </c>
      <c r="J56" s="61">
        <v>7.9263298452500006</v>
      </c>
      <c r="K56" s="61">
        <v>4.5883169682730776</v>
      </c>
      <c r="L56" s="61">
        <v>4.2345580074961546</v>
      </c>
      <c r="R56" s="61"/>
      <c r="W56" s="61"/>
    </row>
    <row r="57" spans="2:23" x14ac:dyDescent="0.25">
      <c r="B57" s="16" t="s">
        <v>96</v>
      </c>
      <c r="C57" s="16" t="s">
        <v>4878</v>
      </c>
      <c r="D57" s="61">
        <v>20.328112049634377</v>
      </c>
      <c r="E57" s="61">
        <v>10.899274086175001</v>
      </c>
      <c r="F57" s="61">
        <v>12.186216874418749</v>
      </c>
      <c r="G57" s="61"/>
      <c r="H57" s="16" t="s">
        <v>96</v>
      </c>
      <c r="I57" s="16" t="s">
        <v>4878</v>
      </c>
      <c r="J57" s="61">
        <v>10.238619914250002</v>
      </c>
      <c r="K57" s="61">
        <v>5.0753115941055542</v>
      </c>
      <c r="L57" s="61">
        <v>5.0978711155666669</v>
      </c>
      <c r="R57" s="61"/>
      <c r="W57" s="61"/>
    </row>
    <row r="58" spans="2:23" x14ac:dyDescent="0.25">
      <c r="B58" s="16" t="s">
        <v>97</v>
      </c>
      <c r="C58" s="16" t="s">
        <v>4877</v>
      </c>
      <c r="D58" s="61">
        <v>17.551167404616002</v>
      </c>
      <c r="E58" s="61">
        <v>13.124970183983999</v>
      </c>
      <c r="F58" s="61">
        <v>14.691734088496</v>
      </c>
      <c r="G58" s="61"/>
      <c r="H58" s="16" t="s">
        <v>97</v>
      </c>
      <c r="I58" s="16" t="s">
        <v>4877</v>
      </c>
      <c r="J58" s="61">
        <v>3.2509050181500001</v>
      </c>
      <c r="K58" s="61">
        <v>1.967764779725</v>
      </c>
      <c r="L58" s="61">
        <v>3.9507456313750002</v>
      </c>
      <c r="R58" s="61"/>
      <c r="W58" s="61"/>
    </row>
    <row r="59" spans="2:23" x14ac:dyDescent="0.25">
      <c r="B59" s="16" t="s">
        <v>303</v>
      </c>
      <c r="C59" s="16" t="s">
        <v>4876</v>
      </c>
      <c r="D59" s="61">
        <v>15.3</v>
      </c>
      <c r="E59" s="61">
        <v>4.3</v>
      </c>
      <c r="F59" s="61">
        <v>5.4</v>
      </c>
      <c r="G59" s="61"/>
      <c r="H59" s="16" t="s">
        <v>303</v>
      </c>
      <c r="I59" s="16" t="s">
        <v>4876</v>
      </c>
      <c r="J59" s="61">
        <v>13.9</v>
      </c>
      <c r="K59" s="61">
        <v>3.9</v>
      </c>
      <c r="L59" s="61">
        <v>4.5999999999999996</v>
      </c>
      <c r="R59" s="61"/>
      <c r="W59" s="61"/>
    </row>
    <row r="60" spans="2:23" x14ac:dyDescent="0.25">
      <c r="B60" s="16" t="s">
        <v>306</v>
      </c>
      <c r="C60" s="16" t="s">
        <v>4876</v>
      </c>
      <c r="D60" s="61">
        <v>12.6</v>
      </c>
      <c r="E60" s="61">
        <v>5.3</v>
      </c>
      <c r="F60" s="61">
        <v>6.3</v>
      </c>
      <c r="G60" s="61"/>
      <c r="H60" s="16" t="s">
        <v>306</v>
      </c>
      <c r="I60" s="16" t="s">
        <v>4876</v>
      </c>
      <c r="J60" s="61">
        <v>10.4</v>
      </c>
      <c r="K60" s="61">
        <v>4</v>
      </c>
      <c r="L60" s="61">
        <v>4.4000000000000004</v>
      </c>
      <c r="R60" s="61"/>
      <c r="W60" s="61"/>
    </row>
    <row r="61" spans="2:23" ht="18" customHeight="1" x14ac:dyDescent="0.25">
      <c r="B61" s="16" t="s">
        <v>98</v>
      </c>
      <c r="C61" s="16" t="s">
        <v>283</v>
      </c>
      <c r="D61" s="61">
        <v>20.712191700733573</v>
      </c>
      <c r="E61" s="61">
        <v>13.267275096710001</v>
      </c>
      <c r="F61" s="61">
        <v>13.269833174532144</v>
      </c>
      <c r="G61" s="61"/>
      <c r="H61" s="16" t="s">
        <v>98</v>
      </c>
      <c r="I61" s="16" t="s">
        <v>283</v>
      </c>
      <c r="J61" s="61">
        <v>10.725035094629146</v>
      </c>
      <c r="K61" s="61">
        <v>5.0461130789533701</v>
      </c>
      <c r="L61" s="61">
        <v>4.4120875512570104</v>
      </c>
      <c r="R61" s="61"/>
      <c r="W61" s="61"/>
    </row>
    <row r="62" spans="2:23" x14ac:dyDescent="0.25">
      <c r="B62" s="16" t="s">
        <v>99</v>
      </c>
      <c r="C62" s="16" t="s">
        <v>4880</v>
      </c>
      <c r="D62" s="61">
        <v>20</v>
      </c>
      <c r="E62" s="61">
        <v>13</v>
      </c>
      <c r="F62" s="61">
        <v>14</v>
      </c>
      <c r="G62" s="61"/>
      <c r="H62" s="16" t="s">
        <v>99</v>
      </c>
      <c r="I62" s="16" t="s">
        <v>4880</v>
      </c>
      <c r="J62" s="61">
        <v>10</v>
      </c>
      <c r="K62" s="61">
        <v>4</v>
      </c>
      <c r="L62" s="61">
        <v>5</v>
      </c>
      <c r="R62" s="61"/>
      <c r="W62" s="61"/>
    </row>
    <row r="63" spans="2:23" ht="15" customHeight="1" x14ac:dyDescent="0.25">
      <c r="B63" s="16" t="s">
        <v>100</v>
      </c>
      <c r="C63" s="16" t="s">
        <v>268</v>
      </c>
      <c r="D63" s="61">
        <v>20.769320392352626</v>
      </c>
      <c r="E63" s="61">
        <v>14.446022257126314</v>
      </c>
      <c r="F63" s="61">
        <v>14.093895018326315</v>
      </c>
      <c r="G63" s="61"/>
      <c r="H63" s="16" t="s">
        <v>100</v>
      </c>
      <c r="I63" s="16" t="s">
        <v>268</v>
      </c>
      <c r="J63" s="61">
        <v>7.9263298452500006</v>
      </c>
      <c r="K63" s="61">
        <v>4.5883169682730776</v>
      </c>
      <c r="L63" s="61">
        <v>4.2345580074961546</v>
      </c>
      <c r="R63" s="61"/>
      <c r="W63" s="61"/>
    </row>
    <row r="64" spans="2:23" x14ac:dyDescent="0.25">
      <c r="B64" s="16" t="s">
        <v>101</v>
      </c>
      <c r="C64" s="16" t="s">
        <v>259</v>
      </c>
      <c r="D64" s="61">
        <v>16.896941311754546</v>
      </c>
      <c r="E64" s="61">
        <v>10.886792666793937</v>
      </c>
      <c r="F64" s="61">
        <v>11.163051083939395</v>
      </c>
      <c r="G64" s="61"/>
      <c r="H64" s="16" t="s">
        <v>101</v>
      </c>
      <c r="I64" s="16" t="s">
        <v>259</v>
      </c>
      <c r="J64" s="61">
        <v>6.3626272196210527</v>
      </c>
      <c r="K64" s="61">
        <v>3.1509819175315794</v>
      </c>
      <c r="L64" s="61">
        <v>3.6778834553999995</v>
      </c>
      <c r="R64" s="61"/>
      <c r="W64" s="61"/>
    </row>
    <row r="65" spans="2:23" ht="16.5" customHeight="1" x14ac:dyDescent="0.25">
      <c r="B65" s="16" t="s">
        <v>102</v>
      </c>
      <c r="C65" s="16" t="s">
        <v>283</v>
      </c>
      <c r="D65" s="61">
        <v>20.712191700733573</v>
      </c>
      <c r="E65" s="61">
        <v>13.267275096710001</v>
      </c>
      <c r="F65" s="61">
        <v>13.269833174532144</v>
      </c>
      <c r="G65" s="61"/>
      <c r="H65" s="16" t="s">
        <v>102</v>
      </c>
      <c r="I65" s="16" t="s">
        <v>283</v>
      </c>
      <c r="J65" s="61">
        <v>10.725035094629146</v>
      </c>
      <c r="K65" s="61">
        <v>5.0461130789533701</v>
      </c>
      <c r="L65" s="61">
        <v>4.4120875512570104</v>
      </c>
      <c r="R65" s="61"/>
      <c r="W65" s="61"/>
    </row>
    <row r="66" spans="2:23" x14ac:dyDescent="0.25">
      <c r="B66" s="16" t="s">
        <v>103</v>
      </c>
      <c r="C66" s="16" t="s">
        <v>4878</v>
      </c>
      <c r="D66" s="61">
        <v>20.328112049634377</v>
      </c>
      <c r="E66" s="61">
        <v>10.899274086175001</v>
      </c>
      <c r="F66" s="61">
        <v>12.186216874418749</v>
      </c>
      <c r="G66" s="61"/>
      <c r="H66" s="16" t="s">
        <v>103</v>
      </c>
      <c r="I66" s="16" t="s">
        <v>4878</v>
      </c>
      <c r="J66" s="61">
        <v>10.238619914250002</v>
      </c>
      <c r="K66" s="61">
        <v>5.0753115941055542</v>
      </c>
      <c r="L66" s="61">
        <v>5.0978711155666669</v>
      </c>
      <c r="R66" s="61"/>
      <c r="W66" s="61"/>
    </row>
    <row r="67" spans="2:23" x14ac:dyDescent="0.25">
      <c r="B67" s="16" t="s">
        <v>104</v>
      </c>
      <c r="C67" s="16" t="s">
        <v>4881</v>
      </c>
      <c r="D67" s="61">
        <v>18.940000000000001</v>
      </c>
      <c r="E67" s="61">
        <v>6.86</v>
      </c>
      <c r="F67" s="61">
        <v>5.87</v>
      </c>
      <c r="G67" s="61"/>
      <c r="H67" s="16" t="s">
        <v>104</v>
      </c>
      <c r="I67" s="16" t="s">
        <v>4881</v>
      </c>
      <c r="J67" s="61">
        <v>15.88</v>
      </c>
      <c r="K67" s="61">
        <v>5.26</v>
      </c>
      <c r="L67" s="61">
        <v>4.37</v>
      </c>
      <c r="R67" s="61"/>
      <c r="W67" s="61"/>
    </row>
    <row r="68" spans="2:23" x14ac:dyDescent="0.25">
      <c r="B68" s="16" t="s">
        <v>105</v>
      </c>
      <c r="C68" s="16" t="s">
        <v>4880</v>
      </c>
      <c r="D68" s="61">
        <v>20</v>
      </c>
      <c r="E68" s="61">
        <v>16</v>
      </c>
      <c r="F68" s="61">
        <v>17</v>
      </c>
      <c r="G68" s="61"/>
      <c r="H68" s="16" t="s">
        <v>105</v>
      </c>
      <c r="I68" s="16" t="s">
        <v>4880</v>
      </c>
      <c r="J68" s="61">
        <v>11</v>
      </c>
      <c r="K68" s="61">
        <v>5</v>
      </c>
      <c r="L68" s="61">
        <v>7</v>
      </c>
      <c r="R68" s="61"/>
      <c r="W68" s="61"/>
    </row>
    <row r="69" spans="2:23" x14ac:dyDescent="0.25">
      <c r="B69" s="16" t="s">
        <v>106</v>
      </c>
      <c r="C69" s="16" t="s">
        <v>4880</v>
      </c>
      <c r="D69" s="61">
        <v>26</v>
      </c>
      <c r="E69" s="61">
        <v>19</v>
      </c>
      <c r="F69" s="61">
        <v>19</v>
      </c>
      <c r="G69" s="61"/>
      <c r="H69" s="16" t="s">
        <v>106</v>
      </c>
      <c r="I69" s="16" t="s">
        <v>4880</v>
      </c>
      <c r="J69" s="61">
        <v>15</v>
      </c>
      <c r="K69" s="61">
        <v>8</v>
      </c>
      <c r="L69" s="61">
        <v>8</v>
      </c>
      <c r="R69" s="61"/>
      <c r="W69" s="61"/>
    </row>
    <row r="70" spans="2:23" x14ac:dyDescent="0.25">
      <c r="R70" s="61"/>
      <c r="W70" s="61"/>
    </row>
    <row r="71" spans="2:23" x14ac:dyDescent="0.25">
      <c r="R71" s="61"/>
      <c r="V71" s="662"/>
      <c r="W71" s="61"/>
    </row>
    <row r="72" spans="2:23" ht="18" x14ac:dyDescent="0.25">
      <c r="B72" s="1091" t="s">
        <v>5139</v>
      </c>
      <c r="C72" s="1091"/>
      <c r="D72" s="1091"/>
      <c r="E72" s="1091"/>
      <c r="F72" s="1091"/>
      <c r="G72" s="1091"/>
      <c r="H72" s="1091"/>
      <c r="I72" s="1091"/>
      <c r="J72" s="1091"/>
      <c r="K72" s="1091"/>
      <c r="L72" s="1091"/>
      <c r="M72" s="1091"/>
      <c r="N72" s="1091"/>
      <c r="O72" s="1091"/>
      <c r="P72" s="1091"/>
      <c r="Q72" s="1091"/>
      <c r="R72" s="1091"/>
      <c r="S72" s="1091"/>
      <c r="T72" s="1091"/>
      <c r="U72" s="1091"/>
      <c r="W72" s="61"/>
    </row>
    <row r="73" spans="2:23" x14ac:dyDescent="0.25">
      <c r="B73" s="1092" t="s">
        <v>5133</v>
      </c>
      <c r="C73" s="1091"/>
      <c r="D73" s="1091"/>
      <c r="E73" s="1091"/>
      <c r="F73" s="1091"/>
      <c r="G73" s="1091"/>
      <c r="H73" s="1091"/>
      <c r="I73" s="1091"/>
      <c r="J73" s="1091"/>
      <c r="K73" s="1091"/>
      <c r="L73" s="1091"/>
      <c r="M73" s="1091"/>
      <c r="N73" s="1091"/>
      <c r="O73" s="1091"/>
      <c r="P73" s="1091"/>
      <c r="Q73" s="1091"/>
      <c r="R73" s="1091"/>
      <c r="S73" s="1091"/>
      <c r="T73" s="1091"/>
      <c r="U73" s="1091"/>
      <c r="W73" s="61"/>
    </row>
    <row r="74" spans="2:23" x14ac:dyDescent="0.25">
      <c r="B74" s="1092" t="s">
        <v>5134</v>
      </c>
      <c r="C74" s="1091"/>
      <c r="D74" s="1091"/>
      <c r="E74" s="1091"/>
      <c r="F74" s="1091"/>
      <c r="G74" s="1091"/>
      <c r="H74" s="1091"/>
      <c r="I74" s="1091"/>
      <c r="J74" s="1091"/>
      <c r="K74" s="1091"/>
      <c r="L74" s="1091"/>
      <c r="M74" s="1091"/>
      <c r="N74" s="1091"/>
      <c r="O74" s="1091"/>
      <c r="P74" s="1091"/>
      <c r="Q74" s="1091"/>
      <c r="R74" s="1091"/>
      <c r="S74" s="1091"/>
      <c r="T74" s="1091"/>
      <c r="U74" s="1091"/>
      <c r="W74" s="61"/>
    </row>
    <row r="75" spans="2:23" ht="18" x14ac:dyDescent="0.25">
      <c r="B75" s="1091" t="s">
        <v>5142</v>
      </c>
      <c r="D75" s="61"/>
    </row>
    <row r="76" spans="2:23" ht="18" x14ac:dyDescent="0.25">
      <c r="B76" s="1091" t="s">
        <v>5141</v>
      </c>
      <c r="C76" s="1091"/>
      <c r="D76" s="1091"/>
      <c r="E76" s="1091"/>
      <c r="F76" s="1091"/>
      <c r="G76" s="1091"/>
      <c r="H76" s="1091"/>
      <c r="I76" s="1091"/>
      <c r="J76" s="1091"/>
      <c r="K76" s="1091"/>
      <c r="L76" s="1091"/>
      <c r="M76" s="1091"/>
      <c r="N76" s="1091"/>
      <c r="O76" s="1091"/>
      <c r="P76" s="1091"/>
      <c r="Q76" s="1091"/>
      <c r="R76" s="1091"/>
      <c r="S76" s="1091"/>
      <c r="T76" s="1091"/>
      <c r="U76" s="1091"/>
      <c r="W76" s="61"/>
    </row>
    <row r="77" spans="2:23" x14ac:dyDescent="0.25">
      <c r="B77" s="1092" t="s">
        <v>5132</v>
      </c>
      <c r="C77" s="1091"/>
      <c r="D77" s="1091"/>
      <c r="E77" s="1091"/>
      <c r="F77" s="1091"/>
      <c r="G77" s="1091"/>
      <c r="H77" s="1091"/>
      <c r="I77" s="1091"/>
      <c r="J77" s="1091"/>
      <c r="K77" s="1091"/>
      <c r="L77" s="1091"/>
      <c r="M77" s="1091"/>
      <c r="N77" s="1091"/>
      <c r="O77" s="1091"/>
      <c r="P77" s="1091"/>
      <c r="Q77" s="1091"/>
      <c r="R77" s="1091"/>
      <c r="S77" s="1091"/>
      <c r="T77" s="1091"/>
      <c r="U77" s="1091"/>
      <c r="W77" s="61"/>
    </row>
    <row r="78" spans="2:23" ht="18" x14ac:dyDescent="0.25">
      <c r="B78" s="663" t="s">
        <v>5140</v>
      </c>
      <c r="C78" s="663"/>
      <c r="D78" s="27"/>
      <c r="E78" s="27"/>
      <c r="F78" s="27"/>
      <c r="G78" s="27"/>
      <c r="H78" s="27"/>
      <c r="I78" s="27"/>
      <c r="J78" s="27"/>
      <c r="K78" s="27"/>
      <c r="L78" s="27"/>
      <c r="M78" s="27"/>
      <c r="N78" s="27"/>
      <c r="O78" s="27"/>
      <c r="P78" s="27"/>
      <c r="Q78" s="27"/>
      <c r="R78" s="61"/>
      <c r="S78" s="27"/>
      <c r="T78" s="27"/>
      <c r="U78" s="27"/>
      <c r="W78" s="61"/>
    </row>
    <row r="79" spans="2:23" ht="18" x14ac:dyDescent="0.25">
      <c r="B79" s="1091" t="s">
        <v>5144</v>
      </c>
      <c r="C79" s="1091"/>
      <c r="D79" s="1091"/>
      <c r="E79" s="1091"/>
      <c r="F79" s="1091"/>
      <c r="G79" s="1091"/>
      <c r="H79" s="1091"/>
      <c r="I79" s="1091"/>
      <c r="J79" s="1091"/>
      <c r="K79" s="1091"/>
      <c r="L79" s="1091"/>
      <c r="M79" s="1091"/>
      <c r="N79" s="1091"/>
      <c r="O79" s="1091"/>
      <c r="P79" s="1091"/>
      <c r="Q79" s="1091"/>
      <c r="R79" s="1091"/>
      <c r="S79" s="1091"/>
      <c r="T79" s="1091"/>
      <c r="U79" s="1091"/>
      <c r="W79" s="61"/>
    </row>
    <row r="80" spans="2:23" ht="18" x14ac:dyDescent="0.25">
      <c r="B80" s="661"/>
      <c r="C80" s="661"/>
      <c r="R80" s="61"/>
      <c r="W80" s="61"/>
    </row>
    <row r="81" spans="14:23" x14ac:dyDescent="0.25">
      <c r="R81" s="61"/>
      <c r="W81" s="61"/>
    </row>
    <row r="82" spans="14:23" x14ac:dyDescent="0.25">
      <c r="R82" s="61"/>
      <c r="W82" s="61"/>
    </row>
    <row r="83" spans="14:23" x14ac:dyDescent="0.25">
      <c r="R83" s="61"/>
      <c r="W83" s="61"/>
    </row>
    <row r="84" spans="14:23" x14ac:dyDescent="0.25">
      <c r="R84" s="61"/>
      <c r="W84" s="61"/>
    </row>
    <row r="85" spans="14:23" x14ac:dyDescent="0.25">
      <c r="R85" s="61"/>
      <c r="W85" s="61"/>
    </row>
    <row r="86" spans="14:23" x14ac:dyDescent="0.25">
      <c r="R86" s="61"/>
      <c r="W86" s="61"/>
    </row>
    <row r="87" spans="14:23" x14ac:dyDescent="0.25">
      <c r="R87" s="61"/>
      <c r="W87" s="61"/>
    </row>
    <row r="88" spans="14:23" x14ac:dyDescent="0.25">
      <c r="R88" s="61"/>
      <c r="W88" s="61"/>
    </row>
    <row r="89" spans="14:23" x14ac:dyDescent="0.25">
      <c r="R89" s="61"/>
      <c r="W89" s="61"/>
    </row>
    <row r="90" spans="14:23" x14ac:dyDescent="0.25">
      <c r="R90" s="61"/>
      <c r="W90" s="61"/>
    </row>
    <row r="91" spans="14:23" x14ac:dyDescent="0.25">
      <c r="R91" s="61"/>
      <c r="W91" s="61"/>
    </row>
    <row r="92" spans="14:23" x14ac:dyDescent="0.25">
      <c r="R92" s="61"/>
      <c r="W92" s="61"/>
    </row>
    <row r="93" spans="14:23" x14ac:dyDescent="0.25">
      <c r="N93" s="64"/>
      <c r="O93" s="64"/>
      <c r="P93" s="64"/>
      <c r="Q93" s="64"/>
      <c r="R93" s="61"/>
      <c r="W93" s="61"/>
    </row>
    <row r="94" spans="14:23" x14ac:dyDescent="0.25">
      <c r="O94" s="64"/>
      <c r="P94" s="64"/>
      <c r="Q94" s="64"/>
      <c r="R94" s="61"/>
      <c r="V94" s="64"/>
      <c r="W94" s="61"/>
    </row>
    <row r="95" spans="14:23" x14ac:dyDescent="0.25">
      <c r="R95" s="61"/>
      <c r="S95" s="64"/>
      <c r="T95" s="64"/>
      <c r="U95" s="64"/>
      <c r="V95" s="64"/>
      <c r="W95" s="61"/>
    </row>
    <row r="96" spans="14:23" x14ac:dyDescent="0.25">
      <c r="R96" s="61"/>
      <c r="S96" s="64"/>
      <c r="T96" s="64"/>
      <c r="U96" s="64"/>
      <c r="W96" s="61"/>
    </row>
    <row r="97" spans="18:23" x14ac:dyDescent="0.25">
      <c r="R97" s="61"/>
      <c r="W97" s="61"/>
    </row>
    <row r="98" spans="18:23" x14ac:dyDescent="0.25">
      <c r="R98" s="61"/>
      <c r="W98" s="61"/>
    </row>
    <row r="99" spans="18:23" x14ac:dyDescent="0.25">
      <c r="R99" s="61"/>
      <c r="W99" s="61"/>
    </row>
    <row r="100" spans="18:23" x14ac:dyDescent="0.25">
      <c r="R100" s="61"/>
      <c r="W100" s="61"/>
    </row>
    <row r="101" spans="18:23" x14ac:dyDescent="0.25">
      <c r="R101" s="61"/>
      <c r="W101" s="61"/>
    </row>
    <row r="102" spans="18:23" x14ac:dyDescent="0.25">
      <c r="R102" s="61"/>
      <c r="W102" s="61"/>
    </row>
    <row r="103" spans="18:23" x14ac:dyDescent="0.25">
      <c r="R103" s="61"/>
      <c r="W103" s="61"/>
    </row>
    <row r="104" spans="18:23" x14ac:dyDescent="0.25">
      <c r="R104" s="61"/>
      <c r="W104" s="61"/>
    </row>
    <row r="105" spans="18:23" x14ac:dyDescent="0.25">
      <c r="R105" s="61"/>
      <c r="W105" s="61"/>
    </row>
    <row r="106" spans="18:23" x14ac:dyDescent="0.25">
      <c r="R106" s="61"/>
      <c r="W106" s="61"/>
    </row>
    <row r="107" spans="18:23" x14ac:dyDescent="0.25">
      <c r="R107" s="61"/>
      <c r="W107" s="61"/>
    </row>
    <row r="108" spans="18:23" x14ac:dyDescent="0.25">
      <c r="R108" s="61"/>
      <c r="W108" s="64"/>
    </row>
    <row r="109" spans="18:23" x14ac:dyDescent="0.25">
      <c r="R109" s="64"/>
      <c r="W109" s="64"/>
    </row>
    <row r="110" spans="18:23" x14ac:dyDescent="0.25">
      <c r="R110" s="64"/>
    </row>
  </sheetData>
  <hyperlinks>
    <hyperlink ref="B72:Q72" r:id="rId1" display="1 Trip lengths were provided by MPOs or derived from the California Statewide Travel Demand Model, available at:  https://dot.ca.gov/programs/transportation-planning/multi-modal-system-planning/statewide-modeling."/>
    <hyperlink ref="B76" r:id="rId2" tooltip="Link to CAPCOA quantification report" display="http://www.capcoa.org/wp-content/uploads/2010/11/CAPCOA-Quantification-Report-9-14-Final.pdf"/>
    <hyperlink ref="B78" r:id="rId3" display="4  Strategic Growth Council AHSC Program Guidelines:  http://sgc.ca.gov/programs/ahsc/resources/guidelines.html"/>
    <hyperlink ref="B79" r:id="rId4" display="5  The default statewide residential trip type percentages and residential trip link percentages from the California Air Pollution Control Officers Association California Emissions Estimator Model User's Guide (Appendix D, Tables 4.2 and 4.3) are used:  h"/>
    <hyperlink ref="B75" r:id="rId5" tooltip="Link to Institute of Transportation Engineers Parking and Trip Generation Manuals" display="https://www.ite.org/technical-resources/topics/trip-and-parking-generation/"/>
  </hyperlinks>
  <pageMargins left="0.7" right="0.7" top="0.98479166666666662" bottom="0.75" header="0.3" footer="0.3"/>
  <pageSetup scale="65" fitToWidth="0" fitToHeight="0" orientation="landscape" r:id="rId6"/>
  <headerFooter>
    <oddFooter>&amp;L&amp;"Avenir LT Std 55 Roman,Regular"&amp;12&amp;K000000FINAL November 1, 2019&amp;C&amp;"Avenir LT Std 55 Roman,Regular"&amp;12Page &amp;P of &amp;N&amp;R&amp;"Avenir LT Std 55 Roman,Regular"&amp;12&amp;K000000&amp;A</oddFooter>
  </headerFooter>
  <drawing r:id="rId7"/>
  <legacyDrawingHF r:id="rId8"/>
  <tableParts count="8">
    <tablePart r:id="rId9"/>
    <tablePart r:id="rId10"/>
    <tablePart r:id="rId11"/>
    <tablePart r:id="rId12"/>
    <tablePart r:id="rId13"/>
    <tablePart r:id="rId14"/>
    <tablePart r:id="rId15"/>
    <tablePart r:id="rId1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120"/>
  <sheetViews>
    <sheetView showGridLines="0" zoomScaleNormal="100" workbookViewId="0"/>
  </sheetViews>
  <sheetFormatPr defaultColWidth="9.140625" defaultRowHeight="15" x14ac:dyDescent="0.25"/>
  <cols>
    <col min="1" max="1" width="4.28515625" style="13" customWidth="1"/>
    <col min="2" max="2" width="25.5703125" style="13" bestFit="1" customWidth="1"/>
    <col min="3" max="3" width="25.42578125" style="13" customWidth="1"/>
    <col min="4" max="4" width="16.140625" style="13" customWidth="1"/>
    <col min="5" max="5" width="25.42578125" style="13" customWidth="1"/>
    <col min="6" max="6" width="33.140625" style="13" customWidth="1"/>
    <col min="7" max="7" width="26.85546875" style="13" customWidth="1"/>
    <col min="8" max="8" width="26.140625" style="13" customWidth="1"/>
    <col min="9" max="9" width="25.5703125" style="13" bestFit="1" customWidth="1"/>
    <col min="10" max="10" width="12.5703125" style="13" customWidth="1"/>
    <col min="11" max="11" width="2.5703125" style="13" customWidth="1"/>
    <col min="12" max="12" width="31.7109375" style="13" customWidth="1"/>
    <col min="13" max="16384" width="9.140625" style="13"/>
  </cols>
  <sheetData>
    <row r="1" spans="1:11" ht="18.75" customHeight="1" x14ac:dyDescent="0.25">
      <c r="A1" s="634"/>
      <c r="B1" s="634"/>
      <c r="C1" s="634"/>
      <c r="D1" s="634"/>
      <c r="E1" s="634"/>
    </row>
    <row r="2" spans="1:11" ht="15" customHeight="1" x14ac:dyDescent="0.25">
      <c r="A2" s="100"/>
      <c r="B2" s="100"/>
      <c r="C2" s="100"/>
      <c r="D2" s="100"/>
      <c r="E2" s="100"/>
    </row>
    <row r="3" spans="1:11" ht="18.75" customHeight="1" x14ac:dyDescent="0.25">
      <c r="A3" s="634"/>
      <c r="B3" s="634"/>
      <c r="C3" s="634"/>
      <c r="D3" s="634"/>
      <c r="E3" s="634"/>
    </row>
    <row r="4" spans="1:11" ht="18.75" customHeight="1" x14ac:dyDescent="0.25">
      <c r="A4" s="635"/>
      <c r="B4" s="635"/>
      <c r="C4" s="635"/>
      <c r="D4" s="635"/>
      <c r="E4" s="635"/>
      <c r="F4" s="12"/>
    </row>
    <row r="5" spans="1:11" ht="15" customHeight="1" x14ac:dyDescent="0.25">
      <c r="A5" s="100"/>
      <c r="B5" s="100"/>
      <c r="C5" s="100"/>
      <c r="D5" s="100"/>
      <c r="E5" s="100"/>
    </row>
    <row r="6" spans="1:11" ht="18.75" customHeight="1" x14ac:dyDescent="0.25">
      <c r="A6" s="634"/>
      <c r="B6" s="634"/>
      <c r="C6" s="634"/>
      <c r="D6" s="634"/>
      <c r="E6" s="634"/>
    </row>
    <row r="7" spans="1:11" ht="21.75" customHeight="1" x14ac:dyDescent="0.25"/>
    <row r="8" spans="1:11" ht="15" customHeight="1" x14ac:dyDescent="0.25">
      <c r="B8" s="446" t="s">
        <v>4728</v>
      </c>
      <c r="F8" s="12"/>
      <c r="G8" s="12"/>
      <c r="H8" s="12"/>
      <c r="I8" s="12"/>
      <c r="J8" s="12"/>
      <c r="K8" s="12"/>
    </row>
    <row r="9" spans="1:11" ht="28.5" customHeight="1" x14ac:dyDescent="0.25">
      <c r="A9" s="593" t="s">
        <v>4773</v>
      </c>
      <c r="B9" s="13" t="s">
        <v>136</v>
      </c>
      <c r="C9" s="593" t="s">
        <v>5039</v>
      </c>
      <c r="D9" s="13" t="s">
        <v>4731</v>
      </c>
      <c r="E9" s="13" t="s">
        <v>4720</v>
      </c>
      <c r="F9" s="13" t="s">
        <v>4740</v>
      </c>
      <c r="G9" s="593" t="s">
        <v>4727</v>
      </c>
      <c r="H9" s="579" t="s">
        <v>5038</v>
      </c>
      <c r="I9" s="593" t="s">
        <v>4736</v>
      </c>
      <c r="J9" s="12"/>
      <c r="K9" s="12"/>
    </row>
    <row r="10" spans="1:11" ht="15" hidden="1" customHeight="1" x14ac:dyDescent="0.25">
      <c r="B10" s="581" t="s">
        <v>136</v>
      </c>
      <c r="C10" s="582" t="s">
        <v>4735</v>
      </c>
      <c r="D10" s="581" t="s">
        <v>4733</v>
      </c>
      <c r="E10" s="581" t="s">
        <v>4734</v>
      </c>
      <c r="F10" s="581" t="s">
        <v>4732</v>
      </c>
      <c r="G10" s="582" t="s">
        <v>4727</v>
      </c>
      <c r="H10" s="582" t="s">
        <v>4737</v>
      </c>
      <c r="I10" s="581" t="s">
        <v>4736</v>
      </c>
      <c r="J10" s="12"/>
      <c r="K10" s="12"/>
    </row>
    <row r="11" spans="1:11" ht="15" customHeight="1" x14ac:dyDescent="0.25">
      <c r="B11" s="575" t="s">
        <v>156</v>
      </c>
      <c r="C11" s="575" t="s">
        <v>156</v>
      </c>
      <c r="D11" s="575" t="s">
        <v>139</v>
      </c>
      <c r="E11" s="575" t="s">
        <v>156</v>
      </c>
      <c r="F11" s="575" t="s">
        <v>156</v>
      </c>
      <c r="G11" s="575" t="s">
        <v>156</v>
      </c>
      <c r="H11" s="576" t="s">
        <v>139</v>
      </c>
      <c r="I11" s="575" t="s">
        <v>156</v>
      </c>
      <c r="J11" s="12"/>
      <c r="K11" s="12"/>
    </row>
    <row r="12" spans="1:11" ht="15" customHeight="1" x14ac:dyDescent="0.25">
      <c r="B12" s="575" t="s">
        <v>178</v>
      </c>
      <c r="C12" s="575" t="s">
        <v>178</v>
      </c>
      <c r="D12" s="575"/>
      <c r="E12" s="575" t="s">
        <v>178</v>
      </c>
      <c r="F12" s="575" t="s">
        <v>178</v>
      </c>
      <c r="G12" s="575" t="s">
        <v>178</v>
      </c>
      <c r="H12" s="576"/>
      <c r="I12" s="575" t="s">
        <v>178</v>
      </c>
      <c r="J12" s="12"/>
      <c r="K12" s="12"/>
    </row>
    <row r="13" spans="1:11" ht="15" customHeight="1" x14ac:dyDescent="0.25">
      <c r="B13" s="575" t="s">
        <v>155</v>
      </c>
      <c r="C13" s="575" t="s">
        <v>155</v>
      </c>
      <c r="D13" s="575"/>
      <c r="E13" s="575" t="s">
        <v>155</v>
      </c>
      <c r="F13" s="575" t="s">
        <v>155</v>
      </c>
      <c r="G13" s="575" t="s">
        <v>155</v>
      </c>
      <c r="H13" s="576"/>
      <c r="I13" s="575" t="s">
        <v>155</v>
      </c>
      <c r="J13" s="12"/>
      <c r="K13" s="12"/>
    </row>
    <row r="14" spans="1:11" ht="15" customHeight="1" x14ac:dyDescent="0.25">
      <c r="B14" s="575" t="s">
        <v>139</v>
      </c>
      <c r="C14" s="575" t="s">
        <v>139</v>
      </c>
      <c r="D14" s="575"/>
      <c r="E14" s="575" t="s">
        <v>139</v>
      </c>
      <c r="F14" s="575" t="s">
        <v>139</v>
      </c>
      <c r="G14" s="575" t="s">
        <v>139</v>
      </c>
      <c r="H14" s="576"/>
      <c r="I14" s="575" t="s">
        <v>139</v>
      </c>
      <c r="J14" s="12"/>
      <c r="K14" s="12"/>
    </row>
    <row r="15" spans="1:11" x14ac:dyDescent="0.25">
      <c r="B15" s="575" t="s">
        <v>158</v>
      </c>
      <c r="C15" s="575" t="s">
        <v>157</v>
      </c>
      <c r="D15" s="575"/>
      <c r="E15" s="575" t="s">
        <v>158</v>
      </c>
      <c r="F15" s="575" t="s">
        <v>158</v>
      </c>
      <c r="G15" s="575" t="s">
        <v>158</v>
      </c>
      <c r="H15" s="576"/>
      <c r="I15" s="575" t="s">
        <v>158</v>
      </c>
      <c r="J15" s="12"/>
      <c r="K15" s="12"/>
    </row>
    <row r="16" spans="1:11" x14ac:dyDescent="0.25">
      <c r="B16" s="575" t="s">
        <v>157</v>
      </c>
      <c r="C16" s="575" t="s">
        <v>179</v>
      </c>
      <c r="D16" s="575"/>
      <c r="E16" s="575" t="s">
        <v>157</v>
      </c>
      <c r="F16" s="575" t="s">
        <v>157</v>
      </c>
      <c r="G16" s="575" t="s">
        <v>157</v>
      </c>
      <c r="H16" s="576"/>
      <c r="I16" s="575" t="s">
        <v>157</v>
      </c>
      <c r="J16" s="12"/>
      <c r="K16" s="12"/>
    </row>
    <row r="17" spans="2:11" x14ac:dyDescent="0.25">
      <c r="B17" s="575" t="s">
        <v>179</v>
      </c>
      <c r="C17" s="575" t="s">
        <v>169</v>
      </c>
      <c r="D17" s="575"/>
      <c r="E17" s="575" t="s">
        <v>179</v>
      </c>
      <c r="F17" s="575" t="s">
        <v>179</v>
      </c>
      <c r="G17" s="575" t="s">
        <v>179</v>
      </c>
      <c r="H17" s="576"/>
      <c r="I17" s="575" t="s">
        <v>179</v>
      </c>
      <c r="J17" s="12"/>
      <c r="K17" s="12"/>
    </row>
    <row r="18" spans="2:11" x14ac:dyDescent="0.25">
      <c r="B18" s="575" t="s">
        <v>169</v>
      </c>
      <c r="C18" s="575" t="s">
        <v>173</v>
      </c>
      <c r="D18" s="575"/>
      <c r="E18" s="575" t="s">
        <v>169</v>
      </c>
      <c r="F18" s="575" t="s">
        <v>169</v>
      </c>
      <c r="G18" s="575" t="s">
        <v>169</v>
      </c>
      <c r="H18" s="576"/>
      <c r="I18" s="575" t="s">
        <v>169</v>
      </c>
      <c r="J18" s="12"/>
      <c r="K18" s="12"/>
    </row>
    <row r="19" spans="2:11" x14ac:dyDescent="0.25">
      <c r="B19" s="575" t="s">
        <v>173</v>
      </c>
      <c r="C19" s="576"/>
      <c r="D19" s="575"/>
      <c r="E19" s="575" t="s">
        <v>173</v>
      </c>
      <c r="F19" s="575" t="s">
        <v>173</v>
      </c>
      <c r="G19" s="575" t="s">
        <v>173</v>
      </c>
      <c r="H19" s="576"/>
      <c r="I19" s="575" t="s">
        <v>173</v>
      </c>
      <c r="J19" s="12"/>
      <c r="K19" s="12"/>
    </row>
    <row r="20" spans="2:11" x14ac:dyDescent="0.25">
      <c r="B20" s="575"/>
      <c r="C20" s="575"/>
      <c r="D20" s="575"/>
      <c r="E20" s="575"/>
      <c r="F20" s="575"/>
      <c r="G20" s="576"/>
      <c r="H20" s="576"/>
      <c r="I20" s="575"/>
      <c r="J20" s="12"/>
      <c r="K20" s="12"/>
    </row>
    <row r="21" spans="2:11" ht="18" x14ac:dyDescent="0.25">
      <c r="B21" s="580" t="s">
        <v>4862</v>
      </c>
      <c r="F21" s="14" t="s">
        <v>4836</v>
      </c>
      <c r="I21" s="422" t="s">
        <v>4837</v>
      </c>
      <c r="J21" s="30"/>
      <c r="K21" s="12"/>
    </row>
    <row r="22" spans="2:11" ht="15.75" x14ac:dyDescent="0.25">
      <c r="B22" s="572" t="s">
        <v>4739</v>
      </c>
      <c r="C22" s="572" t="s">
        <v>4786</v>
      </c>
      <c r="D22" s="579" t="s">
        <v>4787</v>
      </c>
      <c r="E22" s="12"/>
      <c r="F22" s="595" t="s">
        <v>159</v>
      </c>
      <c r="G22" s="601" t="s">
        <v>4785</v>
      </c>
      <c r="H22" s="12"/>
      <c r="I22" s="65" t="s">
        <v>166</v>
      </c>
      <c r="J22" s="65" t="s">
        <v>165</v>
      </c>
    </row>
    <row r="23" spans="2:11" ht="15.75" x14ac:dyDescent="0.25">
      <c r="B23" s="13" t="s">
        <v>156</v>
      </c>
      <c r="C23" s="577">
        <v>1.0661222548164593</v>
      </c>
      <c r="D23" s="578">
        <v>0.82650440022199312</v>
      </c>
      <c r="E23" s="12"/>
      <c r="F23" s="30" t="s">
        <v>156</v>
      </c>
      <c r="G23" s="423">
        <v>2.52</v>
      </c>
      <c r="H23" s="12"/>
      <c r="I23" s="30" t="s">
        <v>53</v>
      </c>
      <c r="J23" s="30">
        <v>0.19089999999999999</v>
      </c>
    </row>
    <row r="24" spans="2:11" ht="15.75" x14ac:dyDescent="0.25">
      <c r="B24" s="13" t="s">
        <v>178</v>
      </c>
      <c r="C24" s="577">
        <v>152.46031746031747</v>
      </c>
      <c r="D24" s="578">
        <v>118.19387755102041</v>
      </c>
      <c r="E24" s="12"/>
      <c r="F24" s="30" t="s">
        <v>178</v>
      </c>
      <c r="G24" s="423">
        <v>1.89</v>
      </c>
      <c r="H24" s="12"/>
      <c r="I24" s="30" t="s">
        <v>107</v>
      </c>
      <c r="J24" s="30">
        <v>0.16450000000000001</v>
      </c>
    </row>
    <row r="25" spans="2:11" ht="15.75" x14ac:dyDescent="0.25">
      <c r="B25" s="13" t="s">
        <v>155</v>
      </c>
      <c r="C25" s="577">
        <v>1</v>
      </c>
      <c r="D25" s="578">
        <v>0.77524354874693235</v>
      </c>
      <c r="E25" s="12"/>
      <c r="F25" s="30" t="s">
        <v>155</v>
      </c>
      <c r="G25" s="423">
        <v>3.08</v>
      </c>
      <c r="H25" s="12"/>
      <c r="I25" s="30" t="s">
        <v>164</v>
      </c>
      <c r="J25" s="30">
        <v>9.0899999999999995E-2</v>
      </c>
    </row>
    <row r="26" spans="2:11" ht="15.75" x14ac:dyDescent="0.25">
      <c r="B26" s="13" t="s">
        <v>139</v>
      </c>
      <c r="C26" s="577">
        <v>7.4705555555555554</v>
      </c>
      <c r="D26" s="578">
        <v>9.4632352941176467</v>
      </c>
      <c r="E26" s="12"/>
      <c r="F26" s="30" t="s">
        <v>139</v>
      </c>
      <c r="G26" s="423">
        <v>2.92</v>
      </c>
      <c r="H26" s="12"/>
    </row>
    <row r="27" spans="2:11" ht="18" x14ac:dyDescent="0.25">
      <c r="B27" s="13" t="s">
        <v>158</v>
      </c>
      <c r="C27" s="577">
        <v>1.1609254942588276</v>
      </c>
      <c r="D27" s="578">
        <v>1</v>
      </c>
      <c r="E27" s="12"/>
      <c r="F27" s="30" t="s">
        <v>158</v>
      </c>
      <c r="G27" s="30">
        <v>3.29</v>
      </c>
      <c r="H27" s="12"/>
      <c r="I27" s="14" t="s">
        <v>4838</v>
      </c>
    </row>
    <row r="28" spans="2:11" ht="15.75" x14ac:dyDescent="0.25">
      <c r="B28" s="13" t="s">
        <v>157</v>
      </c>
      <c r="C28" s="577">
        <v>0.58978070175438591</v>
      </c>
      <c r="D28" s="578">
        <v>0.3861</v>
      </c>
      <c r="E28" s="12"/>
      <c r="F28" s="30" t="s">
        <v>157</v>
      </c>
      <c r="G28" s="423">
        <v>15.64</v>
      </c>
      <c r="H28" s="12"/>
      <c r="I28" s="65" t="s">
        <v>162</v>
      </c>
      <c r="J28" s="65" t="s">
        <v>163</v>
      </c>
    </row>
    <row r="29" spans="2:11" ht="15.75" x14ac:dyDescent="0.25">
      <c r="B29" s="13" t="s">
        <v>179</v>
      </c>
      <c r="C29" s="577">
        <v>1.8953585070545618</v>
      </c>
      <c r="D29" s="578">
        <v>1.4693644551566662</v>
      </c>
      <c r="E29" s="12"/>
      <c r="F29" s="30" t="s">
        <v>179</v>
      </c>
      <c r="G29" s="423">
        <v>1.79</v>
      </c>
      <c r="H29" s="12"/>
      <c r="I29" s="636" t="s">
        <v>177</v>
      </c>
      <c r="J29" s="837">
        <v>0.57999999999999996</v>
      </c>
    </row>
    <row r="30" spans="2:11" ht="15.75" x14ac:dyDescent="0.25">
      <c r="B30" s="13" t="s">
        <v>169</v>
      </c>
      <c r="C30" s="577">
        <v>1.0371770150404935</v>
      </c>
      <c r="D30" s="578">
        <v>0.80406478981874263</v>
      </c>
      <c r="E30" s="12"/>
      <c r="F30" s="30" t="s">
        <v>169</v>
      </c>
      <c r="G30" s="423">
        <v>2.52</v>
      </c>
      <c r="H30" s="12"/>
      <c r="I30" s="636" t="s">
        <v>160</v>
      </c>
      <c r="J30" s="636">
        <v>0.04</v>
      </c>
    </row>
    <row r="31" spans="2:11" ht="15.75" x14ac:dyDescent="0.25">
      <c r="B31" s="13" t="s">
        <v>173</v>
      </c>
      <c r="C31" s="577">
        <v>152.46031746031747</v>
      </c>
      <c r="D31" s="578">
        <v>118.19387755102041</v>
      </c>
      <c r="E31" s="12"/>
      <c r="F31" s="30" t="s">
        <v>173</v>
      </c>
      <c r="G31" s="423">
        <v>1.89</v>
      </c>
      <c r="H31" s="12"/>
      <c r="I31" s="636" t="s">
        <v>161</v>
      </c>
      <c r="J31" s="636">
        <v>0</v>
      </c>
    </row>
    <row r="32" spans="2:11" ht="15.75" x14ac:dyDescent="0.25">
      <c r="B32" s="100" t="s">
        <v>5129</v>
      </c>
      <c r="C32" s="100"/>
      <c r="D32" s="100"/>
      <c r="F32" s="1090" t="s">
        <v>5073</v>
      </c>
      <c r="G32" s="1090"/>
      <c r="H32" s="12"/>
      <c r="I32" s="30"/>
      <c r="J32" s="30"/>
      <c r="K32" s="12"/>
    </row>
    <row r="33" spans="2:11" ht="18" x14ac:dyDescent="0.25">
      <c r="B33" s="13" t="s">
        <v>5131</v>
      </c>
      <c r="C33" s="100"/>
      <c r="D33" s="100"/>
      <c r="F33" s="30"/>
      <c r="G33" s="30"/>
      <c r="H33" s="30"/>
      <c r="I33" s="422" t="s">
        <v>4839</v>
      </c>
      <c r="J33" s="30"/>
      <c r="K33" s="30"/>
    </row>
    <row r="34" spans="2:11" ht="15.75" x14ac:dyDescent="0.25">
      <c r="B34" s="13" t="s">
        <v>5130</v>
      </c>
      <c r="F34" s="30"/>
      <c r="G34" s="30"/>
      <c r="H34" s="30"/>
      <c r="I34" s="65" t="s">
        <v>132</v>
      </c>
      <c r="J34" s="65" t="s">
        <v>174</v>
      </c>
      <c r="K34" s="30"/>
    </row>
    <row r="35" spans="2:11" ht="15.75" x14ac:dyDescent="0.25">
      <c r="E35" s="14"/>
      <c r="F35" s="30"/>
      <c r="G35" s="30"/>
      <c r="H35" s="30"/>
      <c r="I35" s="636" t="s">
        <v>4693</v>
      </c>
      <c r="J35" s="636">
        <v>11.13</v>
      </c>
      <c r="K35" s="30"/>
    </row>
    <row r="36" spans="2:11" ht="15.75" x14ac:dyDescent="0.25">
      <c r="E36" s="69"/>
      <c r="F36" s="30"/>
      <c r="G36" s="30"/>
      <c r="H36" s="30"/>
      <c r="I36" s="636" t="s">
        <v>4694</v>
      </c>
      <c r="J36" s="837">
        <v>3</v>
      </c>
      <c r="K36" s="30"/>
    </row>
    <row r="37" spans="2:11" ht="15.75" x14ac:dyDescent="0.25">
      <c r="F37" s="30"/>
      <c r="G37" s="30"/>
      <c r="H37" s="30"/>
      <c r="I37" s="636" t="s">
        <v>176</v>
      </c>
      <c r="J37" s="837">
        <v>3</v>
      </c>
      <c r="K37" s="30"/>
    </row>
    <row r="38" spans="2:11" ht="15.75" x14ac:dyDescent="0.25">
      <c r="F38" s="30"/>
      <c r="G38" s="30"/>
      <c r="H38" s="30"/>
      <c r="I38" s="636" t="s">
        <v>175</v>
      </c>
      <c r="J38" s="837">
        <v>6</v>
      </c>
      <c r="K38" s="30"/>
    </row>
    <row r="39" spans="2:11" ht="15.75" x14ac:dyDescent="0.25">
      <c r="F39" s="30"/>
      <c r="G39" s="30"/>
      <c r="H39" s="30"/>
      <c r="I39" s="636"/>
      <c r="J39" s="636"/>
      <c r="K39" s="30"/>
    </row>
    <row r="40" spans="2:11" ht="15.75" x14ac:dyDescent="0.25">
      <c r="F40" s="30"/>
      <c r="G40" s="30"/>
      <c r="H40" s="30"/>
      <c r="I40" s="30"/>
      <c r="J40" s="30"/>
      <c r="K40" s="30"/>
    </row>
    <row r="41" spans="2:11" ht="18" x14ac:dyDescent="0.25">
      <c r="B41" s="664" t="s">
        <v>5145</v>
      </c>
      <c r="F41" s="30"/>
      <c r="G41" s="30"/>
      <c r="H41" s="30"/>
      <c r="I41" s="30"/>
      <c r="J41" s="30"/>
      <c r="K41" s="30"/>
    </row>
    <row r="42" spans="2:11" ht="18" x14ac:dyDescent="0.25">
      <c r="B42" s="665" t="s">
        <v>5137</v>
      </c>
      <c r="C42" s="600"/>
      <c r="D42" s="600"/>
      <c r="E42" s="600"/>
      <c r="F42" s="600"/>
      <c r="G42" s="30"/>
      <c r="H42" s="30"/>
      <c r="I42" s="30"/>
      <c r="J42" s="30"/>
      <c r="K42" s="30"/>
    </row>
    <row r="43" spans="2:11" ht="18" x14ac:dyDescent="0.25">
      <c r="B43" s="665" t="s">
        <v>5138</v>
      </c>
      <c r="C43" s="600"/>
      <c r="D43" s="600"/>
      <c r="E43" s="600"/>
      <c r="F43" s="600"/>
      <c r="G43" s="30"/>
      <c r="H43" s="30"/>
      <c r="I43" s="30"/>
      <c r="J43" s="30"/>
      <c r="K43" s="30"/>
    </row>
    <row r="44" spans="2:11" ht="15.75" x14ac:dyDescent="0.25">
      <c r="F44" s="30"/>
      <c r="G44" s="30"/>
      <c r="H44" s="30"/>
      <c r="I44" s="30"/>
      <c r="J44" s="30"/>
      <c r="K44" s="30"/>
    </row>
    <row r="45" spans="2:11" ht="15.75" x14ac:dyDescent="0.25">
      <c r="F45" s="30"/>
      <c r="G45" s="30"/>
      <c r="H45" s="30"/>
      <c r="I45" s="30"/>
      <c r="J45" s="30"/>
      <c r="K45" s="30"/>
    </row>
    <row r="46" spans="2:11" ht="15.75" x14ac:dyDescent="0.25">
      <c r="F46" s="30"/>
      <c r="G46" s="30"/>
      <c r="H46" s="30"/>
      <c r="I46" s="30"/>
      <c r="J46" s="30"/>
      <c r="K46" s="30"/>
    </row>
    <row r="47" spans="2:11" ht="15.75" x14ac:dyDescent="0.25">
      <c r="F47" s="30"/>
      <c r="G47" s="30"/>
      <c r="H47" s="30"/>
      <c r="I47" s="30"/>
      <c r="J47" s="30"/>
      <c r="K47" s="30"/>
    </row>
    <row r="48" spans="2:11" ht="15.75" x14ac:dyDescent="0.25">
      <c r="F48" s="30"/>
      <c r="G48" s="30"/>
      <c r="H48" s="30"/>
      <c r="I48" s="30"/>
      <c r="J48" s="30"/>
      <c r="K48" s="30"/>
    </row>
    <row r="49" spans="6:11" ht="15.75" x14ac:dyDescent="0.25">
      <c r="F49" s="30"/>
      <c r="G49" s="30"/>
      <c r="H49" s="30"/>
      <c r="I49" s="30"/>
      <c r="J49" s="30"/>
      <c r="K49" s="30"/>
    </row>
    <row r="50" spans="6:11" ht="15.75" x14ac:dyDescent="0.25">
      <c r="F50" s="30"/>
      <c r="G50" s="30"/>
      <c r="H50" s="30"/>
      <c r="I50" s="30"/>
      <c r="J50" s="30"/>
      <c r="K50" s="30"/>
    </row>
    <row r="51" spans="6:11" ht="15.75" x14ac:dyDescent="0.25">
      <c r="F51" s="30"/>
      <c r="G51" s="30"/>
      <c r="H51" s="30"/>
      <c r="I51" s="30"/>
      <c r="J51" s="30"/>
      <c r="K51" s="30"/>
    </row>
    <row r="52" spans="6:11" ht="15.75" x14ac:dyDescent="0.25">
      <c r="F52" s="30"/>
      <c r="G52" s="30"/>
      <c r="H52" s="30"/>
      <c r="I52" s="30"/>
      <c r="J52" s="30"/>
      <c r="K52" s="30"/>
    </row>
    <row r="53" spans="6:11" ht="15.75" x14ac:dyDescent="0.25">
      <c r="F53" s="30"/>
      <c r="G53" s="30"/>
      <c r="H53" s="30"/>
      <c r="I53" s="30"/>
      <c r="J53" s="30"/>
      <c r="K53" s="30"/>
    </row>
    <row r="54" spans="6:11" ht="15.75" x14ac:dyDescent="0.25">
      <c r="F54" s="30"/>
      <c r="G54" s="30"/>
      <c r="H54" s="30"/>
      <c r="I54" s="30"/>
      <c r="J54" s="30"/>
      <c r="K54" s="30"/>
    </row>
    <row r="55" spans="6:11" ht="15.75" x14ac:dyDescent="0.25">
      <c r="F55" s="30"/>
      <c r="G55" s="30"/>
      <c r="H55" s="30"/>
      <c r="I55" s="30"/>
      <c r="J55" s="30"/>
      <c r="K55" s="30"/>
    </row>
    <row r="56" spans="6:11" ht="15.75" x14ac:dyDescent="0.25">
      <c r="F56" s="30"/>
      <c r="G56" s="30"/>
      <c r="H56" s="30"/>
      <c r="I56" s="30"/>
      <c r="J56" s="30"/>
      <c r="K56" s="30"/>
    </row>
    <row r="57" spans="6:11" ht="15.75" x14ac:dyDescent="0.25">
      <c r="F57" s="30"/>
      <c r="G57" s="30"/>
      <c r="H57" s="30"/>
      <c r="I57" s="30"/>
      <c r="J57" s="30"/>
      <c r="K57" s="30"/>
    </row>
    <row r="58" spans="6:11" ht="15.75" x14ac:dyDescent="0.25">
      <c r="F58" s="30"/>
      <c r="G58" s="30"/>
      <c r="H58" s="30"/>
      <c r="I58" s="30"/>
      <c r="J58" s="30"/>
      <c r="K58" s="30"/>
    </row>
    <row r="59" spans="6:11" ht="15.75" x14ac:dyDescent="0.25">
      <c r="F59" s="30"/>
      <c r="G59" s="30"/>
      <c r="H59" s="30"/>
      <c r="I59" s="30"/>
      <c r="J59" s="30"/>
      <c r="K59" s="30"/>
    </row>
    <row r="60" spans="6:11" ht="15.75" x14ac:dyDescent="0.25">
      <c r="F60" s="30"/>
      <c r="G60" s="30"/>
      <c r="H60" s="30"/>
      <c r="I60" s="30"/>
      <c r="J60" s="30"/>
      <c r="K60" s="30"/>
    </row>
    <row r="61" spans="6:11" ht="15.75" x14ac:dyDescent="0.25">
      <c r="F61" s="30"/>
      <c r="G61" s="30"/>
      <c r="H61" s="30"/>
      <c r="I61" s="30"/>
      <c r="J61" s="30"/>
      <c r="K61" s="30"/>
    </row>
    <row r="62" spans="6:11" ht="15.75" x14ac:dyDescent="0.25">
      <c r="F62" s="30"/>
      <c r="G62" s="30"/>
      <c r="H62" s="30"/>
      <c r="I62" s="30"/>
      <c r="J62" s="30"/>
      <c r="K62" s="30"/>
    </row>
    <row r="63" spans="6:11" ht="15.75" x14ac:dyDescent="0.25">
      <c r="F63" s="30"/>
      <c r="G63" s="30"/>
      <c r="H63" s="30"/>
      <c r="I63" s="30"/>
      <c r="J63" s="30"/>
      <c r="K63" s="30"/>
    </row>
    <row r="64" spans="6:11" ht="15.75" x14ac:dyDescent="0.25">
      <c r="F64" s="30"/>
      <c r="G64" s="30"/>
      <c r="H64" s="30"/>
      <c r="I64" s="30"/>
      <c r="J64" s="30"/>
      <c r="K64" s="30"/>
    </row>
    <row r="65" spans="6:11" ht="15.75" x14ac:dyDescent="0.25">
      <c r="F65" s="30"/>
      <c r="G65" s="30"/>
      <c r="H65" s="30"/>
      <c r="I65" s="30"/>
      <c r="J65" s="30"/>
      <c r="K65" s="30"/>
    </row>
    <row r="66" spans="6:11" ht="15.75" x14ac:dyDescent="0.25">
      <c r="F66" s="30"/>
      <c r="G66" s="30"/>
      <c r="H66" s="30"/>
      <c r="I66" s="30"/>
      <c r="J66" s="30"/>
      <c r="K66" s="30"/>
    </row>
    <row r="67" spans="6:11" ht="15.75" x14ac:dyDescent="0.25">
      <c r="F67" s="30"/>
      <c r="G67" s="30"/>
      <c r="H67" s="30"/>
      <c r="I67" s="30"/>
      <c r="J67" s="30"/>
      <c r="K67" s="30"/>
    </row>
    <row r="68" spans="6:11" ht="15.75" x14ac:dyDescent="0.25">
      <c r="F68" s="30"/>
      <c r="G68" s="30"/>
      <c r="H68" s="30"/>
      <c r="I68" s="30"/>
      <c r="J68" s="30"/>
      <c r="K68" s="30"/>
    </row>
    <row r="69" spans="6:11" ht="15.75" x14ac:dyDescent="0.25">
      <c r="F69" s="30"/>
      <c r="G69" s="30"/>
      <c r="H69" s="30"/>
      <c r="I69" s="30"/>
      <c r="J69" s="30"/>
      <c r="K69" s="30"/>
    </row>
    <row r="70" spans="6:11" ht="15.75" x14ac:dyDescent="0.25">
      <c r="F70" s="30"/>
      <c r="G70" s="30"/>
      <c r="H70" s="30"/>
      <c r="I70" s="30"/>
      <c r="J70" s="30"/>
      <c r="K70" s="30"/>
    </row>
    <row r="71" spans="6:11" ht="15.75" x14ac:dyDescent="0.25">
      <c r="F71" s="30"/>
      <c r="G71" s="30"/>
      <c r="H71" s="30"/>
      <c r="I71" s="30"/>
      <c r="J71" s="30"/>
      <c r="K71" s="30"/>
    </row>
    <row r="72" spans="6:11" ht="15.75" x14ac:dyDescent="0.25">
      <c r="F72" s="30"/>
      <c r="G72" s="30"/>
      <c r="H72" s="30"/>
      <c r="I72" s="30"/>
      <c r="J72" s="30"/>
      <c r="K72" s="30"/>
    </row>
    <row r="73" spans="6:11" ht="15.75" x14ac:dyDescent="0.25">
      <c r="F73" s="30"/>
      <c r="G73" s="30"/>
      <c r="H73" s="30"/>
      <c r="I73" s="30"/>
      <c r="J73" s="30"/>
      <c r="K73" s="30"/>
    </row>
    <row r="74" spans="6:11" ht="15.75" x14ac:dyDescent="0.25">
      <c r="F74" s="30"/>
      <c r="G74" s="30"/>
      <c r="H74" s="30"/>
      <c r="I74" s="30"/>
      <c r="J74" s="30"/>
      <c r="K74" s="30"/>
    </row>
    <row r="75" spans="6:11" ht="15.75" x14ac:dyDescent="0.25">
      <c r="F75" s="30"/>
      <c r="G75" s="30"/>
      <c r="H75" s="30"/>
      <c r="I75" s="30"/>
      <c r="J75" s="30"/>
      <c r="K75" s="30"/>
    </row>
    <row r="76" spans="6:11" ht="15.75" x14ac:dyDescent="0.25">
      <c r="F76" s="30"/>
      <c r="G76" s="30"/>
      <c r="H76" s="30"/>
      <c r="I76" s="30"/>
      <c r="J76" s="30"/>
      <c r="K76" s="30"/>
    </row>
    <row r="77" spans="6:11" ht="15.75" x14ac:dyDescent="0.25">
      <c r="F77" s="30"/>
      <c r="G77" s="30"/>
      <c r="H77" s="30"/>
      <c r="I77" s="30"/>
      <c r="J77" s="30"/>
      <c r="K77" s="30"/>
    </row>
    <row r="78" spans="6:11" ht="15.75" x14ac:dyDescent="0.25">
      <c r="F78" s="30"/>
      <c r="G78" s="30"/>
      <c r="H78" s="30"/>
      <c r="I78" s="30"/>
      <c r="J78" s="30"/>
      <c r="K78" s="30"/>
    </row>
    <row r="79" spans="6:11" ht="15.75" x14ac:dyDescent="0.25">
      <c r="F79" s="30"/>
      <c r="G79" s="30"/>
      <c r="H79" s="30"/>
      <c r="I79" s="30"/>
      <c r="J79" s="30"/>
      <c r="K79" s="30"/>
    </row>
    <row r="80" spans="6:11" ht="15.75" x14ac:dyDescent="0.25">
      <c r="F80" s="30"/>
      <c r="G80" s="30"/>
      <c r="H80" s="30"/>
      <c r="I80" s="30"/>
      <c r="J80" s="30"/>
      <c r="K80" s="30"/>
    </row>
    <row r="81" spans="6:11" ht="15.75" x14ac:dyDescent="0.25">
      <c r="F81" s="30"/>
      <c r="G81" s="30"/>
      <c r="H81" s="30"/>
      <c r="I81" s="30"/>
      <c r="J81" s="30"/>
      <c r="K81" s="30"/>
    </row>
    <row r="82" spans="6:11" ht="15.75" x14ac:dyDescent="0.25">
      <c r="F82" s="30"/>
      <c r="G82" s="30"/>
      <c r="H82" s="30"/>
      <c r="I82" s="30"/>
      <c r="J82" s="30"/>
      <c r="K82" s="30"/>
    </row>
    <row r="83" spans="6:11" ht="15.75" x14ac:dyDescent="0.25">
      <c r="F83" s="30"/>
      <c r="G83" s="30"/>
      <c r="H83" s="30"/>
      <c r="I83" s="30"/>
      <c r="J83" s="30"/>
      <c r="K83" s="30"/>
    </row>
    <row r="84" spans="6:11" ht="15.75" x14ac:dyDescent="0.25">
      <c r="F84" s="30"/>
      <c r="G84" s="30"/>
      <c r="H84" s="30"/>
      <c r="I84" s="30"/>
      <c r="J84" s="30"/>
      <c r="K84" s="30"/>
    </row>
    <row r="85" spans="6:11" ht="15.75" x14ac:dyDescent="0.25">
      <c r="F85" s="30"/>
      <c r="G85" s="30"/>
      <c r="H85" s="30"/>
      <c r="I85" s="30"/>
      <c r="J85" s="30"/>
      <c r="K85" s="30"/>
    </row>
    <row r="86" spans="6:11" ht="15.75" x14ac:dyDescent="0.25">
      <c r="F86" s="30"/>
      <c r="G86" s="30"/>
      <c r="H86" s="30"/>
      <c r="I86" s="30"/>
      <c r="J86" s="30"/>
      <c r="K86" s="30"/>
    </row>
    <row r="87" spans="6:11" ht="15.75" x14ac:dyDescent="0.25">
      <c r="F87" s="30"/>
      <c r="G87" s="30"/>
      <c r="H87" s="30"/>
      <c r="I87" s="30"/>
      <c r="J87" s="30"/>
      <c r="K87" s="30"/>
    </row>
    <row r="88" spans="6:11" ht="15.75" x14ac:dyDescent="0.25">
      <c r="F88" s="30"/>
      <c r="G88" s="30"/>
      <c r="H88" s="30"/>
      <c r="I88" s="30"/>
      <c r="J88" s="30"/>
      <c r="K88" s="30"/>
    </row>
    <row r="89" spans="6:11" ht="15.75" x14ac:dyDescent="0.25">
      <c r="F89" s="30"/>
      <c r="G89" s="30"/>
      <c r="H89" s="30"/>
      <c r="I89" s="30"/>
      <c r="J89" s="30"/>
      <c r="K89" s="30"/>
    </row>
    <row r="90" spans="6:11" ht="15.75" x14ac:dyDescent="0.25">
      <c r="F90" s="30"/>
      <c r="G90" s="30"/>
      <c r="H90" s="30"/>
      <c r="I90" s="30"/>
      <c r="J90" s="30"/>
      <c r="K90" s="30"/>
    </row>
    <row r="91" spans="6:11" ht="15.75" x14ac:dyDescent="0.25">
      <c r="F91" s="30"/>
      <c r="G91" s="30"/>
      <c r="H91" s="30"/>
      <c r="I91" s="30"/>
      <c r="J91" s="30"/>
      <c r="K91" s="30"/>
    </row>
    <row r="92" spans="6:11" ht="15.75" x14ac:dyDescent="0.25">
      <c r="F92" s="30"/>
      <c r="G92" s="30"/>
      <c r="H92" s="30"/>
      <c r="I92" s="30"/>
      <c r="J92" s="30"/>
      <c r="K92" s="30"/>
    </row>
    <row r="93" spans="6:11" ht="15.75" x14ac:dyDescent="0.25">
      <c r="F93" s="30"/>
      <c r="G93" s="30"/>
      <c r="H93" s="30"/>
      <c r="I93" s="30"/>
      <c r="J93" s="30"/>
      <c r="K93" s="30"/>
    </row>
    <row r="94" spans="6:11" ht="15.75" x14ac:dyDescent="0.25">
      <c r="F94" s="30"/>
      <c r="G94" s="30"/>
      <c r="H94" s="30"/>
      <c r="I94" s="30"/>
      <c r="J94" s="30"/>
      <c r="K94" s="30"/>
    </row>
    <row r="95" spans="6:11" ht="15.75" x14ac:dyDescent="0.25">
      <c r="F95" s="30"/>
      <c r="G95" s="30"/>
      <c r="H95" s="30"/>
      <c r="I95" s="30"/>
      <c r="J95" s="30"/>
      <c r="K95" s="30"/>
    </row>
    <row r="96" spans="6:11" ht="15.75" x14ac:dyDescent="0.25">
      <c r="F96" s="30"/>
      <c r="G96" s="30"/>
      <c r="H96" s="30"/>
      <c r="I96" s="30"/>
      <c r="J96" s="30"/>
      <c r="K96" s="30"/>
    </row>
    <row r="97" spans="6:11" ht="15.75" x14ac:dyDescent="0.25">
      <c r="F97" s="30"/>
      <c r="G97" s="30"/>
      <c r="H97" s="30"/>
      <c r="I97" s="30"/>
      <c r="J97" s="30"/>
      <c r="K97" s="30"/>
    </row>
    <row r="98" spans="6:11" ht="15.75" x14ac:dyDescent="0.25">
      <c r="F98" s="30"/>
      <c r="G98" s="30"/>
      <c r="H98" s="30"/>
      <c r="I98" s="30"/>
      <c r="J98" s="30"/>
      <c r="K98" s="30"/>
    </row>
    <row r="99" spans="6:11" ht="15.75" x14ac:dyDescent="0.25">
      <c r="F99" s="30"/>
      <c r="G99" s="30"/>
      <c r="H99" s="30"/>
      <c r="I99" s="30"/>
      <c r="J99" s="30"/>
      <c r="K99" s="30"/>
    </row>
    <row r="100" spans="6:11" ht="15.75" x14ac:dyDescent="0.25">
      <c r="F100" s="30"/>
      <c r="G100" s="30"/>
      <c r="H100" s="30"/>
      <c r="I100" s="30"/>
      <c r="J100" s="30"/>
      <c r="K100" s="30"/>
    </row>
    <row r="101" spans="6:11" ht="15.75" x14ac:dyDescent="0.25">
      <c r="F101" s="30"/>
      <c r="G101" s="30"/>
      <c r="H101" s="30"/>
      <c r="I101" s="30"/>
      <c r="J101" s="30"/>
      <c r="K101" s="30"/>
    </row>
    <row r="102" spans="6:11" ht="15.75" x14ac:dyDescent="0.25">
      <c r="F102" s="30"/>
      <c r="G102" s="30"/>
      <c r="H102" s="30"/>
      <c r="I102" s="30"/>
      <c r="J102" s="30"/>
      <c r="K102" s="30"/>
    </row>
    <row r="103" spans="6:11" ht="15.75" x14ac:dyDescent="0.25">
      <c r="F103" s="30"/>
      <c r="G103" s="30"/>
      <c r="H103" s="30"/>
      <c r="I103" s="30"/>
      <c r="J103" s="30"/>
      <c r="K103" s="30"/>
    </row>
    <row r="104" spans="6:11" ht="15.75" x14ac:dyDescent="0.25">
      <c r="F104" s="30"/>
      <c r="G104" s="30"/>
      <c r="H104" s="30"/>
      <c r="I104" s="30"/>
      <c r="J104" s="30"/>
      <c r="K104" s="30"/>
    </row>
    <row r="105" spans="6:11" ht="15.75" x14ac:dyDescent="0.25">
      <c r="F105" s="30"/>
      <c r="G105" s="30"/>
      <c r="H105" s="30"/>
      <c r="I105" s="30"/>
      <c r="J105" s="30"/>
      <c r="K105" s="30"/>
    </row>
    <row r="106" spans="6:11" ht="15.75" x14ac:dyDescent="0.25">
      <c r="F106" s="30"/>
      <c r="G106" s="30"/>
      <c r="H106" s="30"/>
      <c r="I106" s="30"/>
      <c r="J106" s="30"/>
      <c r="K106" s="30"/>
    </row>
    <row r="107" spans="6:11" ht="15.75" x14ac:dyDescent="0.25">
      <c r="F107" s="30"/>
      <c r="G107" s="30"/>
      <c r="H107" s="30"/>
      <c r="I107" s="30"/>
      <c r="J107" s="30"/>
      <c r="K107" s="30"/>
    </row>
    <row r="108" spans="6:11" ht="15.75" x14ac:dyDescent="0.25">
      <c r="F108" s="30"/>
      <c r="G108" s="30"/>
      <c r="H108" s="30"/>
      <c r="I108" s="30"/>
      <c r="J108" s="30"/>
      <c r="K108" s="30"/>
    </row>
    <row r="109" spans="6:11" ht="15.75" x14ac:dyDescent="0.25">
      <c r="F109" s="30"/>
      <c r="G109" s="30"/>
      <c r="H109" s="30"/>
      <c r="I109" s="30"/>
      <c r="J109" s="30"/>
      <c r="K109" s="30"/>
    </row>
    <row r="110" spans="6:11" ht="15.75" x14ac:dyDescent="0.25">
      <c r="F110" s="30"/>
      <c r="G110" s="30"/>
      <c r="H110" s="30"/>
      <c r="I110" s="30"/>
      <c r="J110" s="30"/>
      <c r="K110" s="30"/>
    </row>
    <row r="111" spans="6:11" ht="15.75" x14ac:dyDescent="0.25">
      <c r="F111" s="30"/>
      <c r="G111" s="30"/>
      <c r="H111" s="30"/>
      <c r="I111" s="30"/>
      <c r="J111" s="30"/>
      <c r="K111" s="30"/>
    </row>
    <row r="112" spans="6:11" ht="15.75" x14ac:dyDescent="0.25">
      <c r="F112" s="30"/>
      <c r="G112" s="30"/>
      <c r="H112" s="30"/>
      <c r="I112" s="30"/>
      <c r="J112" s="30"/>
      <c r="K112" s="30"/>
    </row>
    <row r="113" spans="6:11" ht="15.75" x14ac:dyDescent="0.25">
      <c r="F113" s="30"/>
      <c r="G113" s="30"/>
      <c r="H113" s="30"/>
      <c r="I113" s="30"/>
      <c r="J113" s="30"/>
      <c r="K113" s="30"/>
    </row>
    <row r="114" spans="6:11" ht="15.75" x14ac:dyDescent="0.25">
      <c r="F114" s="30"/>
      <c r="G114" s="30"/>
      <c r="H114" s="30"/>
      <c r="I114" s="30"/>
      <c r="J114" s="30"/>
      <c r="K114" s="30"/>
    </row>
    <row r="115" spans="6:11" ht="15.75" x14ac:dyDescent="0.25">
      <c r="F115" s="30"/>
      <c r="G115" s="30"/>
      <c r="H115" s="30"/>
      <c r="I115" s="30"/>
      <c r="J115" s="30"/>
      <c r="K115" s="30"/>
    </row>
    <row r="116" spans="6:11" ht="15.75" x14ac:dyDescent="0.25">
      <c r="F116" s="30"/>
      <c r="G116" s="30"/>
      <c r="H116" s="30"/>
      <c r="I116" s="30"/>
      <c r="J116" s="30"/>
      <c r="K116" s="30"/>
    </row>
    <row r="117" spans="6:11" ht="15.75" x14ac:dyDescent="0.25">
      <c r="F117" s="30"/>
      <c r="G117" s="30"/>
      <c r="H117" s="30"/>
      <c r="I117" s="30"/>
      <c r="J117" s="30"/>
      <c r="K117" s="30"/>
    </row>
    <row r="118" spans="6:11" ht="15.75" x14ac:dyDescent="0.25">
      <c r="F118" s="30"/>
      <c r="G118" s="30"/>
      <c r="H118" s="30"/>
      <c r="I118" s="30"/>
      <c r="J118" s="30"/>
      <c r="K118" s="30"/>
    </row>
    <row r="119" spans="6:11" ht="15.75" x14ac:dyDescent="0.25">
      <c r="F119" s="30"/>
      <c r="G119" s="30"/>
      <c r="H119" s="30"/>
      <c r="I119" s="30"/>
      <c r="J119" s="30"/>
      <c r="K119" s="30"/>
    </row>
    <row r="120" spans="6:11" ht="15.75" x14ac:dyDescent="0.25">
      <c r="F120" s="30"/>
      <c r="G120" s="30"/>
      <c r="H120" s="30"/>
      <c r="I120" s="30"/>
      <c r="J120" s="30"/>
      <c r="K120" s="30"/>
    </row>
  </sheetData>
  <sortState ref="H11:H18">
    <sortCondition ref="H10"/>
  </sortState>
  <hyperlinks>
    <hyperlink ref="B41" r:id="rId1" display="1 2018 LCFS Regulation:  https://www.arb.ca.gov/fuels/lcfs/dashboard/dashboard.htm"/>
    <hyperlink ref="B43" r:id="rId2" tooltip="Link to CARB co-benefit assessment methodologies"/>
    <hyperlink ref="B42" r:id="rId3" tooltip="Link to CARB co-benefit assessment methodologies" display="2 Electricity and fuel prices are from the CARB Energy and Fuel Cost Savings Co-benefit Assessment Methodology:  https://ww2.arb.ca.gov/resources/documents/cci-co-benefit-assessment-methodologies"/>
  </hyperlinks>
  <pageMargins left="0.7" right="0.7" top="0.98479166666666662" bottom="0.75" header="0.3" footer="0.3"/>
  <pageSetup scale="65" fitToWidth="0" fitToHeight="0" orientation="landscape" r:id="rId4"/>
  <headerFooter>
    <oddFooter>&amp;L&amp;"Avenir LT Std 55 Roman,Regular"&amp;12&amp;K000000FINAL November 1, 2019&amp;C&amp;"Avenir LT Std 55 Roman,Regular"&amp;12Page &amp;P of &amp;N&amp;R&amp;"Avenir LT Std 55 Roman,Regular"&amp;12&amp;K000000&amp;A</oddFooter>
  </headerFooter>
  <drawing r:id="rId5"/>
  <legacyDrawingHF r:id="rId6"/>
  <tableParts count="6">
    <tablePart r:id="rId7"/>
    <tablePart r:id="rId8"/>
    <tablePart r:id="rId9"/>
    <tablePart r:id="rId10"/>
    <tablePart r:id="rId11"/>
    <tablePart r:id="rId1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18"/>
  <sheetViews>
    <sheetView showGridLines="0" zoomScaleNormal="100" workbookViewId="0"/>
  </sheetViews>
  <sheetFormatPr defaultColWidth="9.140625" defaultRowHeight="15" x14ac:dyDescent="0.25"/>
  <cols>
    <col min="1" max="1" width="4.28515625" style="13" customWidth="1"/>
    <col min="2" max="2" width="17.42578125" style="13" customWidth="1"/>
    <col min="3" max="3" width="17.85546875" style="13" bestFit="1" customWidth="1"/>
    <col min="4" max="4" width="17.85546875" style="13" customWidth="1"/>
    <col min="5" max="5" width="3.28515625" style="13" customWidth="1"/>
    <col min="6" max="6" width="21.140625" style="13" customWidth="1"/>
    <col min="7" max="7" width="10.7109375" style="13" customWidth="1"/>
    <col min="8" max="8" width="21.42578125" style="13" customWidth="1"/>
    <col min="9" max="9" width="19.42578125" style="13" customWidth="1"/>
    <col min="10" max="10" width="16.85546875" style="13" customWidth="1"/>
    <col min="11" max="11" width="14.140625" style="13" customWidth="1"/>
    <col min="12" max="12" width="31.7109375" style="13" customWidth="1"/>
    <col min="13" max="16384" width="9.140625" style="13"/>
  </cols>
  <sheetData>
    <row r="1" spans="1:11" ht="18.75" customHeight="1" x14ac:dyDescent="0.25">
      <c r="A1" s="634"/>
      <c r="B1" s="634"/>
      <c r="C1" s="634"/>
      <c r="D1" s="634"/>
      <c r="E1" s="634"/>
    </row>
    <row r="2" spans="1:11" ht="15" customHeight="1" x14ac:dyDescent="0.25">
      <c r="A2" s="100"/>
      <c r="B2" s="100"/>
      <c r="C2" s="100"/>
      <c r="D2" s="100"/>
      <c r="E2" s="100"/>
    </row>
    <row r="3" spans="1:11" ht="18.75" customHeight="1" x14ac:dyDescent="0.25">
      <c r="A3" s="634"/>
      <c r="B3" s="634"/>
      <c r="C3" s="634"/>
      <c r="D3" s="634"/>
      <c r="E3" s="634"/>
    </row>
    <row r="4" spans="1:11" ht="18.75" customHeight="1" x14ac:dyDescent="0.25">
      <c r="A4" s="635"/>
      <c r="B4" s="635"/>
      <c r="C4" s="635"/>
      <c r="D4" s="635"/>
      <c r="E4" s="635"/>
      <c r="F4" s="12"/>
    </row>
    <row r="5" spans="1:11" ht="15" customHeight="1" x14ac:dyDescent="0.25">
      <c r="A5" s="100"/>
      <c r="B5" s="100"/>
      <c r="C5" s="100"/>
      <c r="D5" s="100"/>
      <c r="E5" s="100"/>
    </row>
    <row r="6" spans="1:11" ht="18.75" customHeight="1" x14ac:dyDescent="0.25">
      <c r="A6" s="634"/>
      <c r="B6" s="634"/>
      <c r="C6" s="634"/>
      <c r="D6" s="634"/>
      <c r="E6" s="634"/>
    </row>
    <row r="7" spans="1:11" ht="15" customHeight="1" x14ac:dyDescent="0.25"/>
    <row r="8" spans="1:11" ht="15" customHeight="1" x14ac:dyDescent="0.25">
      <c r="B8" s="14" t="s">
        <v>5042</v>
      </c>
      <c r="C8" s="18"/>
      <c r="D8" s="18"/>
      <c r="F8" s="14" t="s">
        <v>4840</v>
      </c>
      <c r="J8" s="30"/>
      <c r="K8" s="30"/>
    </row>
    <row r="9" spans="1:11" ht="30.75" customHeight="1" x14ac:dyDescent="0.25">
      <c r="B9" s="425" t="s">
        <v>5043</v>
      </c>
      <c r="C9" s="425" t="s">
        <v>167</v>
      </c>
      <c r="D9" s="425" t="s">
        <v>168</v>
      </c>
      <c r="E9" s="572"/>
      <c r="F9" s="425" t="s">
        <v>5044</v>
      </c>
      <c r="G9" s="424" t="s">
        <v>127</v>
      </c>
      <c r="H9" s="425" t="s">
        <v>129</v>
      </c>
      <c r="I9" s="425" t="s">
        <v>128</v>
      </c>
      <c r="J9" s="30"/>
    </row>
    <row r="10" spans="1:11" ht="15" customHeight="1" x14ac:dyDescent="0.25">
      <c r="B10" s="66">
        <v>0</v>
      </c>
      <c r="C10" s="18">
        <v>0</v>
      </c>
      <c r="D10" s="18">
        <v>0</v>
      </c>
      <c r="E10" s="30"/>
      <c r="F10" s="66">
        <v>1</v>
      </c>
      <c r="G10" s="18">
        <v>1.04E-2</v>
      </c>
      <c r="H10" s="18">
        <v>1.55E-2</v>
      </c>
      <c r="I10" s="18">
        <v>2.07E-2</v>
      </c>
      <c r="J10" s="30"/>
    </row>
    <row r="11" spans="1:11" ht="15" customHeight="1" x14ac:dyDescent="0.25">
      <c r="B11" s="67">
        <v>3</v>
      </c>
      <c r="C11" s="68">
        <v>1E-3</v>
      </c>
      <c r="D11" s="68">
        <v>5.0000000000000001E-4</v>
      </c>
      <c r="E11" s="30"/>
      <c r="F11" s="66">
        <v>12001</v>
      </c>
      <c r="G11" s="18">
        <v>7.3000000000000001E-3</v>
      </c>
      <c r="H11" s="18">
        <v>1.09E-2</v>
      </c>
      <c r="I11" s="18">
        <v>1.4500000000000001E-2</v>
      </c>
      <c r="J11" s="30"/>
    </row>
    <row r="12" spans="1:11" ht="15" customHeight="1" x14ac:dyDescent="0.25">
      <c r="B12" s="67">
        <v>4</v>
      </c>
      <c r="C12" s="68">
        <v>2E-3</v>
      </c>
      <c r="D12" s="68">
        <v>1E-3</v>
      </c>
      <c r="E12" s="30"/>
      <c r="F12" s="66">
        <v>24001</v>
      </c>
      <c r="G12" s="18">
        <v>5.1999999999999998E-3</v>
      </c>
      <c r="H12" s="18">
        <v>7.7999999999999996E-3</v>
      </c>
      <c r="I12" s="18">
        <v>1.04E-2</v>
      </c>
      <c r="J12" s="30"/>
    </row>
    <row r="13" spans="1:11" ht="15" customHeight="1" x14ac:dyDescent="0.25">
      <c r="B13" s="67">
        <v>7</v>
      </c>
      <c r="C13" s="68">
        <v>3.0000000000000001E-3</v>
      </c>
      <c r="D13" s="68">
        <v>1.5E-3</v>
      </c>
      <c r="E13" s="30"/>
      <c r="J13" s="30"/>
    </row>
    <row r="14" spans="1:11" ht="15" customHeight="1" x14ac:dyDescent="0.25">
      <c r="B14" s="18"/>
      <c r="C14" s="70"/>
      <c r="D14" s="70"/>
      <c r="E14" s="30"/>
      <c r="J14" s="30"/>
    </row>
    <row r="15" spans="1:11" ht="15" customHeight="1" x14ac:dyDescent="0.25">
      <c r="B15" s="18"/>
      <c r="C15" s="70"/>
      <c r="D15" s="70"/>
      <c r="E15" s="30"/>
      <c r="F15" s="41" t="s">
        <v>5127</v>
      </c>
      <c r="J15" s="30"/>
    </row>
    <row r="16" spans="1:11" ht="18" x14ac:dyDescent="0.25">
      <c r="F16" s="41" t="s">
        <v>5128</v>
      </c>
      <c r="G16" s="41"/>
      <c r="H16" s="41"/>
      <c r="I16" s="41"/>
      <c r="J16" s="30"/>
      <c r="K16" s="30"/>
    </row>
    <row r="17" spans="2:12" ht="30.75" customHeight="1" x14ac:dyDescent="0.25">
      <c r="F17" s="425" t="s">
        <v>5044</v>
      </c>
      <c r="G17" s="425" t="s">
        <v>127</v>
      </c>
      <c r="H17" s="425" t="s">
        <v>129</v>
      </c>
      <c r="I17" s="425" t="s">
        <v>128</v>
      </c>
      <c r="J17" s="30"/>
      <c r="K17" s="30"/>
    </row>
    <row r="18" spans="2:12" ht="15.75" x14ac:dyDescent="0.25">
      <c r="F18" s="69">
        <v>1</v>
      </c>
      <c r="G18" s="18">
        <v>1.9E-3</v>
      </c>
      <c r="H18" s="18">
        <v>2.8999999999999998E-3</v>
      </c>
      <c r="I18" s="18">
        <v>3.8E-3</v>
      </c>
      <c r="J18" s="30"/>
      <c r="K18" s="30"/>
    </row>
    <row r="19" spans="2:12" ht="15.75" x14ac:dyDescent="0.25">
      <c r="F19" s="69">
        <v>12001</v>
      </c>
      <c r="G19" s="18">
        <v>1.4E-3</v>
      </c>
      <c r="H19" s="70">
        <v>2E-3</v>
      </c>
      <c r="I19" s="18">
        <v>2.7000000000000001E-3</v>
      </c>
      <c r="J19" s="30"/>
      <c r="K19" s="30"/>
    </row>
    <row r="20" spans="2:12" ht="15.75" x14ac:dyDescent="0.25">
      <c r="F20" s="69">
        <v>24001</v>
      </c>
      <c r="G20" s="70">
        <v>1E-3</v>
      </c>
      <c r="H20" s="18">
        <v>1.4E-3</v>
      </c>
      <c r="I20" s="18">
        <v>1.9E-3</v>
      </c>
      <c r="J20" s="30"/>
      <c r="K20" s="30"/>
    </row>
    <row r="21" spans="2:12" ht="15.75" x14ac:dyDescent="0.25">
      <c r="F21" s="30"/>
      <c r="G21" s="30"/>
      <c r="H21" s="30"/>
      <c r="I21" s="30"/>
      <c r="J21" s="30"/>
      <c r="K21" s="30"/>
    </row>
    <row r="22" spans="2:12" ht="15.75" x14ac:dyDescent="0.25">
      <c r="F22" s="30"/>
      <c r="G22" s="30"/>
      <c r="H22" s="30"/>
      <c r="I22" s="30"/>
      <c r="J22" s="30"/>
      <c r="K22" s="30"/>
    </row>
    <row r="23" spans="2:12" ht="18" x14ac:dyDescent="0.25">
      <c r="B23" s="1089" t="s">
        <v>5148</v>
      </c>
      <c r="C23" s="1089"/>
      <c r="D23" s="1089"/>
      <c r="E23" s="1089"/>
      <c r="F23" s="1089"/>
      <c r="G23" s="1089"/>
      <c r="H23" s="1089"/>
      <c r="I23" s="1089"/>
      <c r="J23" s="1089"/>
      <c r="K23" s="1089"/>
      <c r="L23" s="1089"/>
    </row>
    <row r="24" spans="2:12" ht="15.75" x14ac:dyDescent="0.25">
      <c r="F24" s="30"/>
      <c r="G24" s="30"/>
      <c r="H24" s="30"/>
      <c r="I24" s="30"/>
      <c r="J24" s="30"/>
      <c r="K24" s="30"/>
    </row>
    <row r="25" spans="2:12" ht="15.75" x14ac:dyDescent="0.25">
      <c r="F25" s="30"/>
      <c r="G25" s="30"/>
      <c r="H25" s="30"/>
      <c r="I25" s="30"/>
      <c r="J25" s="30"/>
      <c r="K25" s="30"/>
    </row>
    <row r="26" spans="2:12" ht="15.75" x14ac:dyDescent="0.25">
      <c r="F26" s="30"/>
      <c r="G26" s="30"/>
      <c r="H26" s="30"/>
      <c r="I26" s="30"/>
      <c r="J26" s="30"/>
      <c r="K26" s="30"/>
    </row>
    <row r="27" spans="2:12" ht="15.75" x14ac:dyDescent="0.25">
      <c r="F27" s="30"/>
      <c r="G27" s="30"/>
      <c r="H27" s="30"/>
      <c r="I27" s="30"/>
      <c r="J27" s="30"/>
      <c r="K27" s="30"/>
    </row>
    <row r="28" spans="2:12" ht="15.75" x14ac:dyDescent="0.25">
      <c r="F28" s="30"/>
      <c r="G28" s="30"/>
      <c r="H28" s="30"/>
      <c r="I28" s="30"/>
      <c r="J28" s="30"/>
      <c r="K28" s="30"/>
    </row>
    <row r="29" spans="2:12" ht="15.75" x14ac:dyDescent="0.25">
      <c r="F29" s="30"/>
      <c r="G29" s="30"/>
      <c r="H29" s="30"/>
      <c r="I29" s="30"/>
      <c r="J29" s="30"/>
      <c r="K29" s="30"/>
    </row>
    <row r="30" spans="2:12" ht="15.75" x14ac:dyDescent="0.25">
      <c r="F30" s="30"/>
      <c r="G30" s="30"/>
      <c r="H30" s="30"/>
      <c r="I30" s="30"/>
      <c r="J30" s="30"/>
      <c r="K30" s="30"/>
    </row>
    <row r="31" spans="2:12" ht="15.75" x14ac:dyDescent="0.25">
      <c r="F31" s="30"/>
      <c r="G31" s="30"/>
      <c r="H31" s="30"/>
      <c r="I31" s="30"/>
      <c r="J31" s="30"/>
      <c r="K31" s="30"/>
    </row>
    <row r="32" spans="2:12" ht="15.75" x14ac:dyDescent="0.25">
      <c r="F32" s="30"/>
      <c r="G32" s="30"/>
      <c r="H32" s="30"/>
      <c r="I32" s="30"/>
      <c r="J32" s="30"/>
      <c r="K32" s="30"/>
    </row>
    <row r="33" spans="6:11" ht="15.75" x14ac:dyDescent="0.25">
      <c r="F33" s="30"/>
      <c r="G33" s="30"/>
      <c r="H33" s="30"/>
      <c r="I33" s="30"/>
      <c r="J33" s="30"/>
      <c r="K33" s="30"/>
    </row>
    <row r="34" spans="6:11" ht="15.75" x14ac:dyDescent="0.25">
      <c r="F34" s="30"/>
      <c r="G34" s="30"/>
      <c r="H34" s="30"/>
      <c r="I34" s="30"/>
      <c r="J34" s="30"/>
      <c r="K34" s="30"/>
    </row>
    <row r="35" spans="6:11" ht="15.75" x14ac:dyDescent="0.25">
      <c r="F35" s="30"/>
      <c r="G35" s="30"/>
      <c r="H35" s="30"/>
      <c r="I35" s="30"/>
      <c r="J35" s="30"/>
      <c r="K35" s="30"/>
    </row>
    <row r="36" spans="6:11" ht="15.75" x14ac:dyDescent="0.25">
      <c r="F36" s="30"/>
      <c r="G36" s="30"/>
      <c r="H36" s="30"/>
      <c r="I36" s="30"/>
      <c r="J36" s="30"/>
      <c r="K36" s="30"/>
    </row>
    <row r="37" spans="6:11" ht="15.75" x14ac:dyDescent="0.25">
      <c r="F37" s="30"/>
      <c r="G37" s="30"/>
      <c r="H37" s="30"/>
      <c r="I37" s="30"/>
      <c r="J37" s="30"/>
      <c r="K37" s="30"/>
    </row>
    <row r="38" spans="6:11" ht="15.75" x14ac:dyDescent="0.25">
      <c r="F38" s="30"/>
      <c r="G38" s="30"/>
      <c r="H38" s="30"/>
      <c r="I38" s="30"/>
      <c r="J38" s="30"/>
      <c r="K38" s="30"/>
    </row>
    <row r="39" spans="6:11" ht="15.75" x14ac:dyDescent="0.25">
      <c r="F39" s="30"/>
      <c r="G39" s="30"/>
      <c r="H39" s="30"/>
      <c r="I39" s="30"/>
      <c r="J39" s="30"/>
      <c r="K39" s="30"/>
    </row>
    <row r="40" spans="6:11" ht="15.75" x14ac:dyDescent="0.25">
      <c r="F40" s="30"/>
      <c r="G40" s="30"/>
      <c r="H40" s="30"/>
      <c r="I40" s="30"/>
      <c r="J40" s="30"/>
      <c r="K40" s="30"/>
    </row>
    <row r="41" spans="6:11" ht="15.75" x14ac:dyDescent="0.25">
      <c r="F41" s="30"/>
      <c r="G41" s="30"/>
      <c r="H41" s="30"/>
      <c r="I41" s="30"/>
      <c r="J41" s="30"/>
      <c r="K41" s="30"/>
    </row>
    <row r="42" spans="6:11" ht="15.75" x14ac:dyDescent="0.25">
      <c r="F42" s="30"/>
      <c r="G42" s="30"/>
      <c r="H42" s="30"/>
      <c r="I42" s="30"/>
      <c r="J42" s="30"/>
      <c r="K42" s="30"/>
    </row>
    <row r="43" spans="6:11" ht="15.75" x14ac:dyDescent="0.25">
      <c r="F43" s="30"/>
      <c r="G43" s="30"/>
      <c r="H43" s="30"/>
      <c r="I43" s="30"/>
      <c r="J43" s="30"/>
      <c r="K43" s="30"/>
    </row>
    <row r="44" spans="6:11" ht="15.75" x14ac:dyDescent="0.25">
      <c r="F44" s="30"/>
      <c r="G44" s="30"/>
      <c r="H44" s="30"/>
      <c r="I44" s="30"/>
      <c r="J44" s="30"/>
      <c r="K44" s="30"/>
    </row>
    <row r="45" spans="6:11" ht="15.75" x14ac:dyDescent="0.25">
      <c r="F45" s="30"/>
      <c r="G45" s="30"/>
      <c r="H45" s="30"/>
      <c r="I45" s="30"/>
      <c r="J45" s="30"/>
      <c r="K45" s="30"/>
    </row>
    <row r="46" spans="6:11" ht="15.75" x14ac:dyDescent="0.25">
      <c r="F46" s="30"/>
      <c r="G46" s="30"/>
      <c r="H46" s="30"/>
      <c r="I46" s="30"/>
      <c r="J46" s="30"/>
      <c r="K46" s="30"/>
    </row>
    <row r="47" spans="6:11" ht="15.75" x14ac:dyDescent="0.25">
      <c r="F47" s="30"/>
      <c r="G47" s="30"/>
      <c r="H47" s="30"/>
      <c r="I47" s="30"/>
      <c r="J47" s="30"/>
      <c r="K47" s="30"/>
    </row>
    <row r="48" spans="6:11" ht="15.75" x14ac:dyDescent="0.25">
      <c r="F48" s="30"/>
      <c r="G48" s="30"/>
      <c r="H48" s="30"/>
      <c r="I48" s="30"/>
      <c r="J48" s="30"/>
      <c r="K48" s="30"/>
    </row>
    <row r="49" spans="6:11" ht="15.75" x14ac:dyDescent="0.25">
      <c r="F49" s="30"/>
      <c r="G49" s="30"/>
      <c r="H49" s="30"/>
      <c r="I49" s="30"/>
      <c r="J49" s="30"/>
      <c r="K49" s="30"/>
    </row>
    <row r="50" spans="6:11" ht="15.75" x14ac:dyDescent="0.25">
      <c r="F50" s="30"/>
      <c r="G50" s="30"/>
      <c r="H50" s="30"/>
      <c r="I50" s="30"/>
      <c r="J50" s="30"/>
      <c r="K50" s="30"/>
    </row>
    <row r="51" spans="6:11" ht="15.75" x14ac:dyDescent="0.25">
      <c r="F51" s="30"/>
      <c r="G51" s="30"/>
      <c r="H51" s="30"/>
      <c r="I51" s="30"/>
      <c r="J51" s="30"/>
      <c r="K51" s="30"/>
    </row>
    <row r="52" spans="6:11" ht="15.75" x14ac:dyDescent="0.25">
      <c r="F52" s="30"/>
      <c r="G52" s="30"/>
      <c r="H52" s="30"/>
      <c r="I52" s="30"/>
      <c r="J52" s="30"/>
      <c r="K52" s="30"/>
    </row>
    <row r="53" spans="6:11" ht="15.75" x14ac:dyDescent="0.25">
      <c r="F53" s="30"/>
      <c r="G53" s="30"/>
      <c r="H53" s="30"/>
      <c r="I53" s="30"/>
      <c r="J53" s="30"/>
      <c r="K53" s="30"/>
    </row>
    <row r="54" spans="6:11" ht="15.75" x14ac:dyDescent="0.25">
      <c r="F54" s="30"/>
      <c r="G54" s="30"/>
      <c r="H54" s="30"/>
      <c r="I54" s="30"/>
      <c r="J54" s="30"/>
      <c r="K54" s="30"/>
    </row>
    <row r="55" spans="6:11" ht="15.75" x14ac:dyDescent="0.25">
      <c r="F55" s="30"/>
      <c r="G55" s="30"/>
      <c r="H55" s="30"/>
      <c r="I55" s="30"/>
      <c r="J55" s="30"/>
      <c r="K55" s="30"/>
    </row>
    <row r="56" spans="6:11" ht="15.75" x14ac:dyDescent="0.25">
      <c r="F56" s="30"/>
      <c r="G56" s="30"/>
      <c r="H56" s="30"/>
      <c r="I56" s="30"/>
      <c r="J56" s="30"/>
      <c r="K56" s="30"/>
    </row>
    <row r="57" spans="6:11" ht="15.75" x14ac:dyDescent="0.25">
      <c r="F57" s="30"/>
      <c r="G57" s="30"/>
      <c r="H57" s="30"/>
      <c r="I57" s="30"/>
      <c r="J57" s="30"/>
      <c r="K57" s="30"/>
    </row>
    <row r="58" spans="6:11" ht="15.75" x14ac:dyDescent="0.25">
      <c r="F58" s="30"/>
      <c r="G58" s="30"/>
      <c r="H58" s="30"/>
      <c r="I58" s="30"/>
      <c r="J58" s="30"/>
      <c r="K58" s="30"/>
    </row>
    <row r="59" spans="6:11" ht="15.75" x14ac:dyDescent="0.25">
      <c r="F59" s="30"/>
      <c r="G59" s="30"/>
      <c r="H59" s="30"/>
      <c r="I59" s="30"/>
      <c r="J59" s="30"/>
      <c r="K59" s="30"/>
    </row>
    <row r="60" spans="6:11" ht="15.75" x14ac:dyDescent="0.25">
      <c r="F60" s="30"/>
      <c r="G60" s="30"/>
      <c r="H60" s="30"/>
      <c r="I60" s="30"/>
      <c r="J60" s="30"/>
      <c r="K60" s="30"/>
    </row>
    <row r="61" spans="6:11" ht="15.75" x14ac:dyDescent="0.25">
      <c r="F61" s="30"/>
      <c r="G61" s="30"/>
      <c r="H61" s="30"/>
      <c r="I61" s="30"/>
      <c r="J61" s="30"/>
      <c r="K61" s="30"/>
    </row>
    <row r="62" spans="6:11" ht="15.75" x14ac:dyDescent="0.25">
      <c r="F62" s="30"/>
      <c r="G62" s="30"/>
      <c r="H62" s="30"/>
      <c r="I62" s="30"/>
      <c r="J62" s="30"/>
      <c r="K62" s="30"/>
    </row>
    <row r="63" spans="6:11" ht="15.75" x14ac:dyDescent="0.25">
      <c r="F63" s="30"/>
      <c r="G63" s="30"/>
      <c r="H63" s="30"/>
      <c r="I63" s="30"/>
      <c r="J63" s="30"/>
      <c r="K63" s="30"/>
    </row>
    <row r="64" spans="6:11" ht="15.75" x14ac:dyDescent="0.25">
      <c r="F64" s="30"/>
      <c r="G64" s="30"/>
      <c r="H64" s="30"/>
      <c r="I64" s="30"/>
      <c r="J64" s="30"/>
      <c r="K64" s="30"/>
    </row>
    <row r="65" spans="6:11" ht="15.75" x14ac:dyDescent="0.25">
      <c r="F65" s="30"/>
      <c r="G65" s="30"/>
      <c r="H65" s="30"/>
      <c r="I65" s="30"/>
      <c r="J65" s="30"/>
      <c r="K65" s="30"/>
    </row>
    <row r="66" spans="6:11" ht="15.75" x14ac:dyDescent="0.25">
      <c r="F66" s="30"/>
      <c r="G66" s="30"/>
      <c r="H66" s="30"/>
      <c r="I66" s="30"/>
      <c r="J66" s="30"/>
      <c r="K66" s="30"/>
    </row>
    <row r="67" spans="6:11" ht="15.75" x14ac:dyDescent="0.25">
      <c r="F67" s="30"/>
      <c r="G67" s="30"/>
      <c r="H67" s="30"/>
      <c r="I67" s="30"/>
      <c r="J67" s="30"/>
      <c r="K67" s="30"/>
    </row>
    <row r="68" spans="6:11" ht="15.75" x14ac:dyDescent="0.25">
      <c r="F68" s="30"/>
      <c r="G68" s="30"/>
      <c r="H68" s="30"/>
      <c r="I68" s="30"/>
      <c r="J68" s="30"/>
      <c r="K68" s="30"/>
    </row>
    <row r="69" spans="6:11" ht="15.75" x14ac:dyDescent="0.25">
      <c r="F69" s="30"/>
      <c r="G69" s="30"/>
      <c r="H69" s="30"/>
      <c r="I69" s="30"/>
      <c r="J69" s="30"/>
      <c r="K69" s="30"/>
    </row>
    <row r="70" spans="6:11" ht="15.75" x14ac:dyDescent="0.25">
      <c r="F70" s="30"/>
      <c r="G70" s="30"/>
      <c r="H70" s="30"/>
      <c r="I70" s="30"/>
      <c r="J70" s="30"/>
      <c r="K70" s="30"/>
    </row>
    <row r="71" spans="6:11" ht="15.75" x14ac:dyDescent="0.25">
      <c r="F71" s="30"/>
      <c r="G71" s="30"/>
      <c r="H71" s="30"/>
      <c r="I71" s="30"/>
      <c r="J71" s="30"/>
      <c r="K71" s="30"/>
    </row>
    <row r="72" spans="6:11" ht="15.75" x14ac:dyDescent="0.25">
      <c r="F72" s="30"/>
      <c r="G72" s="30"/>
      <c r="H72" s="30"/>
      <c r="I72" s="30"/>
      <c r="J72" s="30"/>
      <c r="K72" s="30"/>
    </row>
    <row r="73" spans="6:11" ht="15.75" x14ac:dyDescent="0.25">
      <c r="F73" s="30"/>
      <c r="G73" s="30"/>
      <c r="H73" s="30"/>
      <c r="I73" s="30"/>
      <c r="J73" s="30"/>
      <c r="K73" s="30"/>
    </row>
    <row r="74" spans="6:11" ht="15.75" x14ac:dyDescent="0.25">
      <c r="F74" s="30"/>
      <c r="G74" s="30"/>
      <c r="H74" s="30"/>
      <c r="I74" s="30"/>
      <c r="J74" s="30"/>
      <c r="K74" s="30"/>
    </row>
    <row r="75" spans="6:11" ht="15.75" x14ac:dyDescent="0.25">
      <c r="F75" s="30"/>
      <c r="G75" s="30"/>
      <c r="H75" s="30"/>
      <c r="I75" s="30"/>
      <c r="J75" s="30"/>
      <c r="K75" s="30"/>
    </row>
    <row r="76" spans="6:11" ht="15.75" x14ac:dyDescent="0.25">
      <c r="F76" s="30"/>
      <c r="G76" s="30"/>
      <c r="H76" s="30"/>
      <c r="I76" s="30"/>
      <c r="J76" s="30"/>
      <c r="K76" s="30"/>
    </row>
    <row r="77" spans="6:11" ht="15.75" x14ac:dyDescent="0.25">
      <c r="F77" s="30"/>
      <c r="G77" s="30"/>
      <c r="H77" s="30"/>
      <c r="I77" s="30"/>
      <c r="J77" s="30"/>
      <c r="K77" s="30"/>
    </row>
    <row r="78" spans="6:11" ht="15.75" x14ac:dyDescent="0.25">
      <c r="F78" s="30"/>
      <c r="G78" s="30"/>
      <c r="H78" s="30"/>
      <c r="I78" s="30"/>
      <c r="J78" s="30"/>
      <c r="K78" s="30"/>
    </row>
    <row r="79" spans="6:11" ht="15.75" x14ac:dyDescent="0.25">
      <c r="F79" s="30"/>
      <c r="G79" s="30"/>
      <c r="H79" s="30"/>
      <c r="I79" s="30"/>
      <c r="J79" s="30"/>
      <c r="K79" s="30"/>
    </row>
    <row r="80" spans="6:11" ht="15.75" x14ac:dyDescent="0.25">
      <c r="F80" s="30"/>
      <c r="G80" s="30"/>
      <c r="H80" s="30"/>
      <c r="I80" s="30"/>
      <c r="J80" s="30"/>
      <c r="K80" s="30"/>
    </row>
    <row r="81" spans="6:11" ht="15.75" x14ac:dyDescent="0.25">
      <c r="F81" s="30"/>
      <c r="G81" s="30"/>
      <c r="H81" s="30"/>
      <c r="I81" s="30"/>
      <c r="J81" s="30"/>
      <c r="K81" s="30"/>
    </row>
    <row r="82" spans="6:11" ht="15.75" x14ac:dyDescent="0.25">
      <c r="F82" s="30"/>
      <c r="G82" s="30"/>
      <c r="H82" s="30"/>
      <c r="I82" s="30"/>
      <c r="J82" s="30"/>
      <c r="K82" s="30"/>
    </row>
    <row r="83" spans="6:11" ht="15.75" x14ac:dyDescent="0.25">
      <c r="F83" s="30"/>
      <c r="G83" s="30"/>
      <c r="H83" s="30"/>
      <c r="I83" s="30"/>
      <c r="J83" s="30"/>
      <c r="K83" s="30"/>
    </row>
    <row r="84" spans="6:11" ht="15.75" x14ac:dyDescent="0.25">
      <c r="F84" s="30"/>
      <c r="G84" s="30"/>
      <c r="H84" s="30"/>
      <c r="I84" s="30"/>
      <c r="J84" s="30"/>
      <c r="K84" s="30"/>
    </row>
    <row r="85" spans="6:11" ht="15.75" x14ac:dyDescent="0.25">
      <c r="F85" s="30"/>
      <c r="G85" s="30"/>
      <c r="H85" s="30"/>
      <c r="I85" s="30"/>
      <c r="J85" s="30"/>
      <c r="K85" s="30"/>
    </row>
    <row r="86" spans="6:11" ht="15.75" x14ac:dyDescent="0.25">
      <c r="F86" s="30"/>
      <c r="G86" s="30"/>
      <c r="H86" s="30"/>
      <c r="I86" s="30"/>
      <c r="J86" s="30"/>
      <c r="K86" s="30"/>
    </row>
    <row r="87" spans="6:11" ht="15.75" x14ac:dyDescent="0.25">
      <c r="F87" s="30"/>
      <c r="G87" s="30"/>
      <c r="H87" s="30"/>
      <c r="I87" s="30"/>
      <c r="J87" s="30"/>
      <c r="K87" s="30"/>
    </row>
    <row r="88" spans="6:11" ht="15.75" x14ac:dyDescent="0.25">
      <c r="F88" s="30"/>
      <c r="G88" s="30"/>
      <c r="H88" s="30"/>
      <c r="I88" s="30"/>
      <c r="J88" s="30"/>
      <c r="K88" s="30"/>
    </row>
    <row r="89" spans="6:11" ht="15.75" x14ac:dyDescent="0.25">
      <c r="F89" s="30"/>
      <c r="G89" s="30"/>
      <c r="H89" s="30"/>
      <c r="I89" s="30"/>
      <c r="J89" s="30"/>
      <c r="K89" s="30"/>
    </row>
    <row r="90" spans="6:11" ht="15.75" x14ac:dyDescent="0.25">
      <c r="F90" s="30"/>
      <c r="G90" s="30"/>
      <c r="H90" s="30"/>
      <c r="I90" s="30"/>
      <c r="J90" s="30"/>
      <c r="K90" s="30"/>
    </row>
    <row r="91" spans="6:11" ht="15.75" x14ac:dyDescent="0.25">
      <c r="F91" s="30"/>
      <c r="G91" s="30"/>
      <c r="H91" s="30"/>
      <c r="I91" s="30"/>
      <c r="J91" s="30"/>
      <c r="K91" s="30"/>
    </row>
    <row r="92" spans="6:11" ht="15.75" x14ac:dyDescent="0.25">
      <c r="F92" s="30"/>
      <c r="G92" s="30"/>
      <c r="H92" s="30"/>
      <c r="I92" s="30"/>
      <c r="J92" s="30"/>
      <c r="K92" s="30"/>
    </row>
    <row r="93" spans="6:11" ht="15.75" x14ac:dyDescent="0.25">
      <c r="F93" s="30"/>
      <c r="G93" s="30"/>
      <c r="H93" s="30"/>
      <c r="I93" s="30"/>
      <c r="J93" s="30"/>
      <c r="K93" s="30"/>
    </row>
    <row r="94" spans="6:11" ht="15.75" x14ac:dyDescent="0.25">
      <c r="F94" s="30"/>
      <c r="G94" s="30"/>
      <c r="H94" s="30"/>
      <c r="I94" s="30"/>
      <c r="J94" s="30"/>
      <c r="K94" s="30"/>
    </row>
    <row r="95" spans="6:11" ht="15.75" x14ac:dyDescent="0.25">
      <c r="F95" s="30"/>
      <c r="G95" s="30"/>
      <c r="H95" s="30"/>
      <c r="I95" s="30"/>
      <c r="J95" s="30"/>
      <c r="K95" s="30"/>
    </row>
    <row r="96" spans="6:11" ht="15.75" x14ac:dyDescent="0.25">
      <c r="F96" s="30"/>
      <c r="G96" s="30"/>
      <c r="H96" s="30"/>
      <c r="I96" s="30"/>
      <c r="J96" s="30"/>
      <c r="K96" s="30"/>
    </row>
    <row r="97" spans="6:11" ht="15.75" x14ac:dyDescent="0.25">
      <c r="F97" s="30"/>
      <c r="G97" s="30"/>
      <c r="H97" s="30"/>
      <c r="I97" s="30"/>
      <c r="J97" s="30"/>
      <c r="K97" s="30"/>
    </row>
    <row r="98" spans="6:11" ht="15.75" x14ac:dyDescent="0.25">
      <c r="F98" s="30"/>
      <c r="G98" s="30"/>
      <c r="H98" s="30"/>
      <c r="I98" s="30"/>
      <c r="J98" s="30"/>
      <c r="K98" s="30"/>
    </row>
    <row r="99" spans="6:11" ht="15.75" x14ac:dyDescent="0.25">
      <c r="F99" s="30"/>
      <c r="G99" s="30"/>
      <c r="H99" s="30"/>
      <c r="I99" s="30"/>
      <c r="J99" s="30"/>
      <c r="K99" s="30"/>
    </row>
    <row r="100" spans="6:11" ht="15.75" x14ac:dyDescent="0.25">
      <c r="F100" s="30"/>
      <c r="G100" s="30"/>
      <c r="H100" s="30"/>
      <c r="I100" s="30"/>
      <c r="J100" s="30"/>
      <c r="K100" s="30"/>
    </row>
    <row r="101" spans="6:11" ht="15.75" x14ac:dyDescent="0.25">
      <c r="F101" s="30"/>
      <c r="G101" s="30"/>
      <c r="H101" s="30"/>
      <c r="I101" s="30"/>
      <c r="J101" s="30"/>
      <c r="K101" s="30"/>
    </row>
    <row r="102" spans="6:11" ht="15.75" x14ac:dyDescent="0.25">
      <c r="F102" s="30"/>
      <c r="G102" s="30"/>
      <c r="H102" s="30"/>
      <c r="I102" s="30"/>
      <c r="J102" s="30"/>
      <c r="K102" s="30"/>
    </row>
    <row r="103" spans="6:11" ht="15.75" x14ac:dyDescent="0.25">
      <c r="F103" s="30"/>
      <c r="G103" s="30"/>
      <c r="H103" s="30"/>
      <c r="I103" s="30"/>
      <c r="J103" s="30"/>
      <c r="K103" s="30"/>
    </row>
    <row r="104" spans="6:11" ht="15.75" x14ac:dyDescent="0.25">
      <c r="F104" s="30"/>
      <c r="G104" s="30"/>
      <c r="H104" s="30"/>
      <c r="I104" s="30"/>
      <c r="J104" s="30"/>
      <c r="K104" s="30"/>
    </row>
    <row r="105" spans="6:11" ht="15.75" x14ac:dyDescent="0.25">
      <c r="F105" s="30"/>
      <c r="G105" s="30"/>
      <c r="H105" s="30"/>
      <c r="I105" s="30"/>
      <c r="J105" s="30"/>
      <c r="K105" s="30"/>
    </row>
    <row r="106" spans="6:11" ht="15.75" x14ac:dyDescent="0.25">
      <c r="F106" s="30"/>
      <c r="G106" s="30"/>
      <c r="H106" s="30"/>
      <c r="I106" s="30"/>
      <c r="J106" s="30"/>
      <c r="K106" s="30"/>
    </row>
    <row r="107" spans="6:11" ht="15.75" x14ac:dyDescent="0.25">
      <c r="F107" s="30"/>
      <c r="G107" s="30"/>
      <c r="H107" s="30"/>
      <c r="I107" s="30"/>
      <c r="J107" s="30"/>
      <c r="K107" s="30"/>
    </row>
    <row r="108" spans="6:11" ht="15.75" x14ac:dyDescent="0.25">
      <c r="F108" s="30"/>
      <c r="G108" s="30"/>
      <c r="H108" s="30"/>
      <c r="I108" s="30"/>
      <c r="J108" s="30"/>
      <c r="K108" s="30"/>
    </row>
    <row r="109" spans="6:11" ht="15.75" x14ac:dyDescent="0.25">
      <c r="F109" s="30"/>
      <c r="G109" s="30"/>
      <c r="H109" s="30"/>
      <c r="I109" s="30"/>
      <c r="J109" s="30"/>
      <c r="K109" s="30"/>
    </row>
    <row r="110" spans="6:11" ht="15.75" x14ac:dyDescent="0.25">
      <c r="F110" s="30"/>
      <c r="G110" s="30"/>
      <c r="H110" s="30"/>
      <c r="I110" s="30"/>
      <c r="J110" s="30"/>
      <c r="K110" s="30"/>
    </row>
    <row r="111" spans="6:11" ht="15.75" x14ac:dyDescent="0.25">
      <c r="F111" s="30"/>
      <c r="G111" s="30"/>
      <c r="H111" s="30"/>
      <c r="I111" s="30"/>
      <c r="J111" s="30"/>
      <c r="K111" s="30"/>
    </row>
    <row r="112" spans="6:11" ht="15.75" x14ac:dyDescent="0.25">
      <c r="F112" s="30"/>
      <c r="G112" s="30"/>
      <c r="H112" s="30"/>
      <c r="I112" s="30"/>
      <c r="J112" s="30"/>
      <c r="K112" s="30"/>
    </row>
    <row r="113" spans="6:11" ht="15.75" x14ac:dyDescent="0.25">
      <c r="F113" s="30"/>
      <c r="G113" s="30"/>
      <c r="H113" s="30"/>
      <c r="I113" s="30"/>
      <c r="J113" s="30"/>
      <c r="K113" s="30"/>
    </row>
    <row r="114" spans="6:11" ht="15.75" x14ac:dyDescent="0.25">
      <c r="F114" s="30"/>
      <c r="G114" s="30"/>
      <c r="H114" s="30"/>
      <c r="I114" s="30"/>
      <c r="J114" s="30"/>
      <c r="K114" s="30"/>
    </row>
    <row r="115" spans="6:11" ht="15.75" x14ac:dyDescent="0.25">
      <c r="F115" s="30"/>
      <c r="G115" s="30"/>
      <c r="H115" s="30"/>
      <c r="I115" s="30"/>
      <c r="J115" s="30"/>
      <c r="K115" s="30"/>
    </row>
    <row r="116" spans="6:11" ht="15.75" x14ac:dyDescent="0.25">
      <c r="F116" s="30"/>
      <c r="G116" s="30"/>
      <c r="H116" s="30"/>
      <c r="I116" s="30"/>
      <c r="J116" s="30"/>
      <c r="K116" s="30"/>
    </row>
    <row r="117" spans="6:11" ht="15.75" x14ac:dyDescent="0.25">
      <c r="F117" s="30"/>
      <c r="G117" s="30"/>
      <c r="H117" s="30"/>
      <c r="I117" s="30"/>
      <c r="J117" s="30"/>
      <c r="K117" s="30"/>
    </row>
    <row r="118" spans="6:11" ht="15.75" x14ac:dyDescent="0.25">
      <c r="J118" s="30"/>
      <c r="K118" s="30"/>
    </row>
  </sheetData>
  <hyperlinks>
    <hyperlink ref="B23" r:id="rId1" tooltip="Link to CARB's cost-effectiveness analysis tools webpage" display="http://www.arb.ca.gov/planning/tsaq/eval/eval.htm"/>
  </hyperlinks>
  <pageMargins left="0.7" right="0.7" top="0.98479166666666662" bottom="0.75" header="0.3" footer="0.3"/>
  <pageSetup scale="65" fitToWidth="0" fitToHeight="0" orientation="landscape" r:id="rId2"/>
  <headerFooter>
    <oddFooter>&amp;L&amp;"Avenir LT Std 55 Roman,Regular"&amp;12&amp;K000000FINAL November 1, 2019&amp;C&amp;"Avenir LT Std 55 Roman,Regular"&amp;12Page &amp;P of &amp;N&amp;R&amp;"Avenir LT Std 55 Roman,Regular"&amp;12&amp;K000000&amp;A</oddFooter>
  </headerFooter>
  <drawing r:id="rId3"/>
  <legacyDrawingHF r:id="rId4"/>
  <tableParts count="3">
    <tablePart r:id="rId5"/>
    <tablePart r:id="rId6"/>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L50"/>
  <sheetViews>
    <sheetView showGridLines="0" zoomScaleNormal="100" workbookViewId="0"/>
  </sheetViews>
  <sheetFormatPr defaultRowHeight="15" x14ac:dyDescent="0.25"/>
  <cols>
    <col min="1" max="1" width="3.85546875" style="71" customWidth="1"/>
    <col min="2" max="2" width="29.7109375" style="71" bestFit="1" customWidth="1"/>
    <col min="3" max="3" width="18.42578125" style="71" customWidth="1"/>
    <col min="4" max="4" width="21" style="71" bestFit="1" customWidth="1"/>
    <col min="5" max="5" width="34" style="71" customWidth="1"/>
    <col min="6" max="6" width="26.140625" style="71" bestFit="1" customWidth="1"/>
    <col min="7" max="7" width="20.85546875" style="71" bestFit="1" customWidth="1"/>
    <col min="8" max="8" width="18" style="71" bestFit="1" customWidth="1"/>
    <col min="9" max="9" width="18" style="71" customWidth="1"/>
    <col min="10" max="10" width="20" style="71" bestFit="1" customWidth="1"/>
    <col min="11" max="16384" width="9.140625" style="71"/>
  </cols>
  <sheetData>
    <row r="2" spans="2:12" ht="18.75" x14ac:dyDescent="0.3">
      <c r="E2" s="72"/>
    </row>
    <row r="3" spans="2:12" ht="18.75" x14ac:dyDescent="0.3">
      <c r="E3" s="73"/>
    </row>
    <row r="4" spans="2:12" ht="18.75" x14ac:dyDescent="0.3">
      <c r="E4" s="74"/>
    </row>
    <row r="7" spans="2:12" ht="15.75" thickBot="1" x14ac:dyDescent="0.3"/>
    <row r="8" spans="2:12" ht="15.95" customHeight="1" x14ac:dyDescent="0.25">
      <c r="B8" s="1064" t="s">
        <v>4729</v>
      </c>
      <c r="C8" s="1065"/>
      <c r="D8" s="1065"/>
      <c r="E8" s="1066"/>
    </row>
    <row r="9" spans="2:12" ht="15.95" customHeight="1" x14ac:dyDescent="0.25">
      <c r="B9" s="1045" t="s">
        <v>373</v>
      </c>
      <c r="C9" s="1046"/>
      <c r="D9" s="1046"/>
      <c r="E9" s="1047"/>
    </row>
    <row r="10" spans="2:12" ht="15.95" customHeight="1" thickBot="1" x14ac:dyDescent="0.3">
      <c r="B10" s="323" t="s">
        <v>374</v>
      </c>
      <c r="C10" s="324" t="s">
        <v>375</v>
      </c>
      <c r="D10" s="324" t="s">
        <v>376</v>
      </c>
      <c r="E10" s="325" t="s">
        <v>377</v>
      </c>
      <c r="F10" s="17"/>
      <c r="G10" s="17"/>
      <c r="H10" s="17"/>
      <c r="I10" s="17"/>
      <c r="J10" s="17"/>
      <c r="K10" s="17"/>
    </row>
    <row r="11" spans="2:12" ht="18.75" customHeight="1" x14ac:dyDescent="0.25">
      <c r="B11" s="326" t="s">
        <v>366</v>
      </c>
      <c r="C11" s="327" t="s">
        <v>378</v>
      </c>
      <c r="D11" s="327" t="s">
        <v>5049</v>
      </c>
      <c r="E11" s="833" t="s">
        <v>5050</v>
      </c>
      <c r="F11" s="193"/>
      <c r="G11" s="193"/>
      <c r="H11" s="193"/>
      <c r="I11" s="193"/>
      <c r="J11" s="193"/>
      <c r="K11" s="193"/>
      <c r="L11" s="157"/>
    </row>
    <row r="12" spans="2:12" ht="18.75" customHeight="1" x14ac:dyDescent="0.25">
      <c r="B12" s="328" t="s">
        <v>368</v>
      </c>
      <c r="C12" s="329" t="s">
        <v>4566</v>
      </c>
      <c r="D12" s="329" t="s">
        <v>5051</v>
      </c>
      <c r="E12" s="330" t="s">
        <v>5052</v>
      </c>
      <c r="F12" s="193"/>
      <c r="G12" s="76"/>
      <c r="H12" s="18"/>
      <c r="I12" s="18"/>
      <c r="J12" s="18"/>
      <c r="K12" s="18"/>
      <c r="L12" s="13"/>
    </row>
    <row r="13" spans="2:12" ht="18.75" customHeight="1" x14ac:dyDescent="0.25">
      <c r="B13" s="328" t="s">
        <v>365</v>
      </c>
      <c r="C13" s="329" t="s">
        <v>379</v>
      </c>
      <c r="D13" s="329" t="s">
        <v>5053</v>
      </c>
      <c r="E13" s="330" t="s">
        <v>5054</v>
      </c>
      <c r="F13" s="193"/>
      <c r="G13" s="589"/>
      <c r="H13" s="18"/>
      <c r="I13" s="18"/>
      <c r="J13" s="18"/>
      <c r="K13" s="18"/>
      <c r="L13" s="13"/>
    </row>
    <row r="14" spans="2:12" ht="18.75" customHeight="1" x14ac:dyDescent="0.25">
      <c r="B14" s="328" t="s">
        <v>370</v>
      </c>
      <c r="C14" s="329" t="s">
        <v>380</v>
      </c>
      <c r="D14" s="329" t="s">
        <v>5055</v>
      </c>
      <c r="E14" s="330" t="s">
        <v>5056</v>
      </c>
      <c r="F14" s="193"/>
      <c r="G14" s="18"/>
      <c r="H14" s="577"/>
      <c r="I14" s="577"/>
      <c r="J14" s="18"/>
      <c r="K14" s="18"/>
      <c r="L14" s="13"/>
    </row>
    <row r="15" spans="2:12" ht="18.75" customHeight="1" x14ac:dyDescent="0.25">
      <c r="B15" s="328" t="s">
        <v>371</v>
      </c>
      <c r="C15" s="329" t="s">
        <v>381</v>
      </c>
      <c r="D15" s="329" t="s">
        <v>5057</v>
      </c>
      <c r="E15" s="330" t="s">
        <v>5058</v>
      </c>
      <c r="F15" s="193"/>
      <c r="G15" s="18"/>
      <c r="H15" s="18"/>
      <c r="I15" s="18"/>
      <c r="J15" s="18"/>
      <c r="K15" s="18"/>
      <c r="L15" s="13"/>
    </row>
    <row r="16" spans="2:12" ht="18.75" customHeight="1" x14ac:dyDescent="0.25">
      <c r="B16" s="328" t="s">
        <v>382</v>
      </c>
      <c r="C16" s="329" t="s">
        <v>383</v>
      </c>
      <c r="D16" s="329" t="s">
        <v>5059</v>
      </c>
      <c r="E16" s="330" t="s">
        <v>5060</v>
      </c>
      <c r="F16" s="193"/>
      <c r="G16" s="18"/>
      <c r="H16" s="18"/>
      <c r="I16" s="18"/>
      <c r="J16" s="18"/>
      <c r="K16" s="18"/>
      <c r="L16" s="13"/>
    </row>
    <row r="17" spans="2:12" ht="18.75" customHeight="1" x14ac:dyDescent="0.25">
      <c r="B17" s="328" t="s">
        <v>369</v>
      </c>
      <c r="C17" s="329" t="s">
        <v>384</v>
      </c>
      <c r="D17" s="329" t="s">
        <v>5061</v>
      </c>
      <c r="E17" s="330" t="s">
        <v>5062</v>
      </c>
      <c r="F17" s="193"/>
      <c r="G17" s="18"/>
      <c r="H17" s="18"/>
      <c r="I17" s="18"/>
      <c r="J17" s="18"/>
      <c r="K17" s="18"/>
      <c r="L17" s="13"/>
    </row>
    <row r="18" spans="2:12" ht="18.75" customHeight="1" x14ac:dyDescent="0.25">
      <c r="B18" s="328" t="s">
        <v>385</v>
      </c>
      <c r="C18" s="329" t="s">
        <v>386</v>
      </c>
      <c r="D18" s="329" t="s">
        <v>5063</v>
      </c>
      <c r="E18" s="330" t="s">
        <v>5064</v>
      </c>
      <c r="F18" s="193"/>
      <c r="G18" s="18"/>
      <c r="H18" s="18"/>
      <c r="I18" s="18"/>
      <c r="J18" s="18"/>
      <c r="K18" s="18"/>
      <c r="L18" s="13"/>
    </row>
    <row r="19" spans="2:12" ht="18.75" customHeight="1" x14ac:dyDescent="0.25">
      <c r="B19" s="331" t="s">
        <v>387</v>
      </c>
      <c r="C19" s="332" t="s">
        <v>388</v>
      </c>
      <c r="D19" s="332" t="s">
        <v>5065</v>
      </c>
      <c r="E19" s="333" t="s">
        <v>5066</v>
      </c>
      <c r="F19" s="17"/>
      <c r="G19" s="64"/>
      <c r="H19" s="64"/>
      <c r="I19" s="64"/>
      <c r="J19" s="64"/>
      <c r="K19" s="64"/>
      <c r="L19" s="76"/>
    </row>
    <row r="20" spans="2:12" ht="18.75" customHeight="1" x14ac:dyDescent="0.25">
      <c r="B20" s="331" t="s">
        <v>367</v>
      </c>
      <c r="C20" s="332" t="s">
        <v>389</v>
      </c>
      <c r="D20" s="332" t="s">
        <v>5067</v>
      </c>
      <c r="E20" s="333" t="s">
        <v>5068</v>
      </c>
      <c r="F20" s="17"/>
      <c r="G20" s="64"/>
      <c r="H20" s="64"/>
      <c r="I20" s="64"/>
      <c r="J20" s="64"/>
      <c r="K20" s="64"/>
      <c r="L20" s="76"/>
    </row>
    <row r="21" spans="2:12" ht="18.75" customHeight="1" x14ac:dyDescent="0.25">
      <c r="B21" s="334" t="s">
        <v>390</v>
      </c>
      <c r="C21" s="335" t="s">
        <v>380</v>
      </c>
      <c r="D21" s="335" t="s">
        <v>5069</v>
      </c>
      <c r="E21" s="336" t="s">
        <v>5070</v>
      </c>
      <c r="F21" s="17"/>
      <c r="G21" s="64"/>
      <c r="H21" s="64"/>
      <c r="I21" s="64"/>
      <c r="J21" s="64"/>
      <c r="K21" s="64"/>
      <c r="L21" s="76"/>
    </row>
    <row r="22" spans="2:12" ht="18.75" customHeight="1" thickBot="1" x14ac:dyDescent="0.3">
      <c r="B22" s="337" t="s">
        <v>4567</v>
      </c>
      <c r="C22" s="338" t="s">
        <v>4566</v>
      </c>
      <c r="D22" s="338" t="s">
        <v>5071</v>
      </c>
      <c r="E22" s="339" t="s">
        <v>5072</v>
      </c>
      <c r="F22" s="17"/>
      <c r="G22" s="64"/>
      <c r="H22" s="64"/>
      <c r="I22" s="64"/>
      <c r="J22" s="64"/>
      <c r="K22" s="64"/>
      <c r="L22" s="76"/>
    </row>
    <row r="23" spans="2:12" ht="15.75" customHeight="1" x14ac:dyDescent="0.25">
      <c r="B23" s="1055" t="s">
        <v>5118</v>
      </c>
      <c r="C23" s="1048"/>
      <c r="D23" s="1048"/>
      <c r="E23" s="1049"/>
      <c r="F23" s="17"/>
      <c r="G23" s="17"/>
      <c r="H23" s="17"/>
      <c r="I23" s="17"/>
      <c r="J23" s="17"/>
      <c r="K23" s="17"/>
    </row>
    <row r="24" spans="2:12" ht="15.75" x14ac:dyDescent="0.25">
      <c r="B24" s="1056" t="s">
        <v>5119</v>
      </c>
      <c r="C24" s="1050"/>
      <c r="D24" s="1050"/>
      <c r="E24" s="1051"/>
      <c r="F24" s="17"/>
      <c r="G24" s="17"/>
      <c r="H24" s="17"/>
      <c r="I24" s="17"/>
      <c r="J24" s="17"/>
      <c r="K24" s="17"/>
    </row>
    <row r="25" spans="2:12" ht="15.75" x14ac:dyDescent="0.25">
      <c r="B25" s="1056" t="s">
        <v>5120</v>
      </c>
      <c r="C25" s="1050"/>
      <c r="D25" s="1050"/>
      <c r="E25" s="1051"/>
      <c r="F25" s="17"/>
      <c r="G25" s="17"/>
      <c r="H25" s="17"/>
      <c r="I25" s="17"/>
      <c r="J25" s="17"/>
      <c r="K25" s="17"/>
    </row>
    <row r="26" spans="2:12" ht="15.75" x14ac:dyDescent="0.25">
      <c r="B26" s="1056" t="s">
        <v>5122</v>
      </c>
      <c r="C26" s="1050"/>
      <c r="D26" s="1050"/>
      <c r="E26" s="1051"/>
      <c r="F26" s="17"/>
      <c r="G26" s="17"/>
      <c r="H26" s="17"/>
      <c r="I26" s="17"/>
      <c r="J26" s="17"/>
      <c r="K26" s="17"/>
    </row>
    <row r="27" spans="2:12" ht="16.5" thickBot="1" x14ac:dyDescent="0.3">
      <c r="B27" s="1052" t="s">
        <v>5121</v>
      </c>
      <c r="C27" s="1053"/>
      <c r="D27" s="1053"/>
      <c r="E27" s="1054"/>
      <c r="F27" s="17"/>
      <c r="G27" s="17"/>
      <c r="H27" s="17"/>
      <c r="I27" s="17"/>
      <c r="J27" s="17"/>
      <c r="K27" s="17"/>
    </row>
    <row r="28" spans="2:12" ht="16.5" thickBot="1" x14ac:dyDescent="0.3">
      <c r="B28" s="340"/>
      <c r="C28" s="340"/>
      <c r="D28" s="340"/>
      <c r="E28" s="340"/>
      <c r="F28" s="17"/>
      <c r="G28" s="17"/>
      <c r="H28" s="17"/>
      <c r="I28" s="17"/>
      <c r="J28" s="17"/>
      <c r="K28" s="17"/>
    </row>
    <row r="29" spans="2:12" ht="15.95" customHeight="1" x14ac:dyDescent="0.25">
      <c r="B29" s="1057" t="s">
        <v>391</v>
      </c>
      <c r="C29" s="1058"/>
      <c r="D29" s="1059"/>
      <c r="E29" s="17"/>
      <c r="F29" s="17"/>
      <c r="G29" s="17"/>
      <c r="H29" s="17"/>
      <c r="I29" s="17"/>
      <c r="J29" s="17"/>
      <c r="K29" s="17"/>
    </row>
    <row r="30" spans="2:12" ht="48" thickBot="1" x14ac:dyDescent="0.3">
      <c r="B30" s="341" t="s">
        <v>374</v>
      </c>
      <c r="C30" s="342" t="s">
        <v>392</v>
      </c>
      <c r="D30" s="343" t="s">
        <v>393</v>
      </c>
      <c r="E30" s="17"/>
      <c r="F30" s="17"/>
      <c r="G30" s="17"/>
      <c r="H30" s="17"/>
      <c r="I30" s="17"/>
      <c r="J30" s="17"/>
      <c r="K30" s="17"/>
    </row>
    <row r="31" spans="2:12" ht="15.75" x14ac:dyDescent="0.25">
      <c r="B31" s="344" t="s">
        <v>366</v>
      </c>
      <c r="C31" s="345">
        <v>1</v>
      </c>
      <c r="D31" s="346" t="s">
        <v>394</v>
      </c>
      <c r="E31" s="17"/>
      <c r="F31" s="17"/>
      <c r="G31" s="17"/>
      <c r="H31" s="17"/>
      <c r="I31" s="17"/>
      <c r="J31" s="17"/>
      <c r="K31" s="17"/>
    </row>
    <row r="32" spans="2:12" ht="15.75" x14ac:dyDescent="0.25">
      <c r="B32" s="328" t="s">
        <v>368</v>
      </c>
      <c r="C32" s="329">
        <v>0.9</v>
      </c>
      <c r="D32" s="347">
        <v>1</v>
      </c>
      <c r="E32" s="17"/>
      <c r="F32" s="17"/>
      <c r="G32" s="17"/>
      <c r="H32" s="17"/>
      <c r="I32" s="17"/>
      <c r="J32" s="17"/>
      <c r="K32" s="17"/>
    </row>
    <row r="33" spans="2:11" ht="15.75" x14ac:dyDescent="0.25">
      <c r="B33" s="328" t="s">
        <v>365</v>
      </c>
      <c r="C33" s="348">
        <v>1</v>
      </c>
      <c r="D33" s="349" t="s">
        <v>394</v>
      </c>
      <c r="E33" s="17"/>
      <c r="F33" s="17"/>
      <c r="G33" s="17"/>
      <c r="H33" s="17"/>
      <c r="I33" s="17"/>
      <c r="J33" s="17"/>
      <c r="K33" s="17"/>
    </row>
    <row r="34" spans="2:11" ht="126" x14ac:dyDescent="0.25">
      <c r="B34" s="350" t="s">
        <v>370</v>
      </c>
      <c r="C34" s="351" t="s">
        <v>395</v>
      </c>
      <c r="D34" s="330">
        <v>3.4</v>
      </c>
      <c r="E34" s="17"/>
      <c r="F34" s="17"/>
      <c r="G34" s="17"/>
      <c r="H34" s="17"/>
      <c r="I34" s="17"/>
      <c r="J34" s="17"/>
      <c r="K34" s="17"/>
    </row>
    <row r="35" spans="2:11" ht="15.75" x14ac:dyDescent="0.25">
      <c r="B35" s="328" t="s">
        <v>396</v>
      </c>
      <c r="C35" s="352" t="s">
        <v>394</v>
      </c>
      <c r="D35" s="347">
        <v>1</v>
      </c>
      <c r="E35" s="17"/>
      <c r="F35" s="17"/>
      <c r="G35" s="17"/>
      <c r="H35" s="17"/>
      <c r="I35" s="17"/>
      <c r="J35" s="17"/>
      <c r="K35" s="17"/>
    </row>
    <row r="36" spans="2:11" ht="15.75" x14ac:dyDescent="0.25">
      <c r="B36" s="328" t="s">
        <v>382</v>
      </c>
      <c r="C36" s="329">
        <v>1.9</v>
      </c>
      <c r="D36" s="330">
        <v>2.5</v>
      </c>
      <c r="E36" s="17"/>
      <c r="F36" s="17"/>
      <c r="G36" s="17"/>
      <c r="H36" s="17"/>
      <c r="I36" s="17"/>
      <c r="J36" s="17"/>
      <c r="K36" s="17"/>
    </row>
    <row r="37" spans="2:11" ht="15.75" x14ac:dyDescent="0.25">
      <c r="B37" s="328" t="s">
        <v>369</v>
      </c>
      <c r="C37" s="329">
        <v>0.9</v>
      </c>
      <c r="D37" s="347">
        <v>1</v>
      </c>
      <c r="E37" s="17"/>
      <c r="F37" s="17"/>
      <c r="G37" s="17"/>
      <c r="H37" s="17"/>
      <c r="I37" s="17"/>
      <c r="J37" s="17"/>
      <c r="K37" s="17"/>
    </row>
    <row r="38" spans="2:11" ht="15.75" x14ac:dyDescent="0.25">
      <c r="B38" s="328" t="s">
        <v>385</v>
      </c>
      <c r="C38" s="348">
        <v>0.9</v>
      </c>
      <c r="D38" s="347">
        <v>1</v>
      </c>
      <c r="E38" s="17"/>
      <c r="F38" s="17"/>
      <c r="G38" s="17"/>
      <c r="H38" s="17"/>
      <c r="I38" s="17"/>
      <c r="J38" s="17"/>
      <c r="K38" s="17"/>
    </row>
    <row r="39" spans="2:11" ht="15.75" x14ac:dyDescent="0.25">
      <c r="B39" s="328" t="s">
        <v>387</v>
      </c>
      <c r="C39" s="352" t="s">
        <v>394</v>
      </c>
      <c r="D39" s="347">
        <v>1</v>
      </c>
      <c r="E39" s="17"/>
      <c r="F39" s="17"/>
      <c r="G39" s="17"/>
      <c r="H39" s="17"/>
      <c r="I39" s="17"/>
      <c r="J39" s="17"/>
      <c r="K39" s="17"/>
    </row>
    <row r="40" spans="2:11" ht="15.75" x14ac:dyDescent="0.25">
      <c r="B40" s="328" t="s">
        <v>367</v>
      </c>
      <c r="C40" s="348">
        <v>1</v>
      </c>
      <c r="D40" s="349" t="s">
        <v>394</v>
      </c>
      <c r="E40" s="17"/>
      <c r="F40" s="17"/>
      <c r="G40" s="17"/>
      <c r="H40" s="17"/>
      <c r="I40" s="17"/>
      <c r="J40" s="17"/>
      <c r="K40" s="17"/>
    </row>
    <row r="41" spans="2:11" ht="16.5" thickBot="1" x14ac:dyDescent="0.3">
      <c r="B41" s="337" t="s">
        <v>4567</v>
      </c>
      <c r="C41" s="338">
        <v>0.9</v>
      </c>
      <c r="D41" s="353">
        <v>1</v>
      </c>
      <c r="E41" s="17"/>
      <c r="F41" s="17"/>
      <c r="G41" s="17"/>
      <c r="H41" s="17"/>
      <c r="I41" s="17"/>
      <c r="J41" s="17"/>
      <c r="K41" s="17"/>
    </row>
    <row r="42" spans="2:11" ht="15.75" x14ac:dyDescent="0.25">
      <c r="B42" s="17"/>
      <c r="C42" s="17"/>
      <c r="D42" s="17"/>
      <c r="E42" s="17"/>
      <c r="F42" s="17"/>
      <c r="G42" s="17"/>
      <c r="H42" s="17"/>
      <c r="I42" s="17"/>
      <c r="J42" s="17"/>
      <c r="K42" s="17"/>
    </row>
    <row r="43" spans="2:11" ht="16.5" thickBot="1" x14ac:dyDescent="0.3">
      <c r="B43" s="17"/>
      <c r="C43" s="17"/>
      <c r="D43" s="17"/>
      <c r="E43" s="17"/>
      <c r="F43" s="17"/>
      <c r="G43" s="17"/>
      <c r="H43" s="17"/>
      <c r="I43" s="17"/>
      <c r="J43" s="17"/>
      <c r="K43" s="17"/>
    </row>
    <row r="44" spans="2:11" ht="15.75" x14ac:dyDescent="0.25">
      <c r="B44" s="1067" t="s">
        <v>182</v>
      </c>
      <c r="C44" s="1068"/>
      <c r="D44" s="1068"/>
      <c r="E44" s="1069"/>
      <c r="F44" s="17"/>
      <c r="G44" s="17"/>
      <c r="H44" s="17"/>
      <c r="I44" s="17"/>
      <c r="J44" s="17"/>
      <c r="K44" s="17"/>
    </row>
    <row r="45" spans="2:11" ht="15.75" x14ac:dyDescent="0.25">
      <c r="B45" s="1070" t="s">
        <v>5125</v>
      </c>
      <c r="C45" s="1071"/>
      <c r="D45" s="1071"/>
      <c r="E45" s="1072"/>
    </row>
    <row r="46" spans="2:11" ht="15.75" x14ac:dyDescent="0.25">
      <c r="B46" s="1070" t="s">
        <v>5126</v>
      </c>
      <c r="C46" s="1071"/>
      <c r="D46" s="1071"/>
      <c r="E46" s="1072"/>
    </row>
    <row r="47" spans="2:11" ht="15.75" customHeight="1" x14ac:dyDescent="0.25">
      <c r="B47" s="1135" t="s">
        <v>5143</v>
      </c>
      <c r="C47" s="1073"/>
      <c r="D47" s="1073"/>
      <c r="E47" s="1074"/>
    </row>
    <row r="48" spans="2:11" ht="15.75" customHeight="1" x14ac:dyDescent="0.25">
      <c r="B48" s="1075" t="s">
        <v>397</v>
      </c>
      <c r="C48" s="1076"/>
      <c r="D48" s="1076"/>
      <c r="E48" s="1077"/>
    </row>
    <row r="49" spans="2:5" ht="15.75" x14ac:dyDescent="0.25">
      <c r="B49" s="1063" t="s">
        <v>5123</v>
      </c>
      <c r="C49" s="354"/>
      <c r="D49" s="354"/>
      <c r="E49" s="355"/>
    </row>
    <row r="50" spans="2:5" ht="16.5" thickBot="1" x14ac:dyDescent="0.3">
      <c r="B50" s="1060" t="s">
        <v>5124</v>
      </c>
      <c r="C50" s="1061"/>
      <c r="D50" s="1061"/>
      <c r="E50" s="1062"/>
    </row>
  </sheetData>
  <sheetProtection algorithmName="SHA-512" hashValue="GhOKxHbIQGh7qtwiHZD2Xq3IL2agRxiWv07Q0Tmy1kbzcdQGpP5KFgYTS+lqwX/HTC1blDviJ60dAfeWrjpznA==" saltValue="KhGybBQ3nmMYrV8n4xgweg==" spinCount="100000" sheet="1" objects="1" scenarios="1"/>
  <hyperlinks>
    <hyperlink ref="B47" r:id="rId1" tooltip="Link to LCFS Regulation"/>
    <hyperlink ref="B47:E47" r:id="rId2" tooltip="Link to LCFS Regulation" display="https://www.arb.ca.gov/regact/2018/lcfs18/frolcfs.pdf"/>
  </hyperlinks>
  <pageMargins left="0.7" right="0.7" top="0.98479166666666662" bottom="0.75" header="0.3" footer="0.3"/>
  <pageSetup scale="65" orientation="portrait" r:id="rId3"/>
  <headerFooter>
    <oddFooter>&amp;L&amp;"Avenir LT Std 55 Roman,Regular"&amp;12&amp;K000000FINAL November 1, 2019&amp;C&amp;"Avenir LT Std 55 Roman,Regular"&amp;12Page &amp;P of &amp;N&amp;R&amp;"Avenir LT Std 55 Roman,Regular"&amp;12&amp;K000000&amp;A</oddFooter>
  </headerFooter>
  <drawing r:id="rId4"/>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2:G32"/>
  <sheetViews>
    <sheetView showGridLines="0" zoomScaleNormal="100" workbookViewId="0"/>
  </sheetViews>
  <sheetFormatPr defaultRowHeight="15" x14ac:dyDescent="0.25"/>
  <cols>
    <col min="1" max="1" width="1.85546875" style="71" customWidth="1"/>
    <col min="2" max="2" width="45.42578125" style="71" customWidth="1"/>
    <col min="3" max="3" width="34.28515625" style="71" customWidth="1"/>
    <col min="4" max="5" width="30.7109375" style="71" customWidth="1"/>
    <col min="6" max="6" width="30.7109375" style="71" hidden="1" customWidth="1"/>
    <col min="7" max="7" width="30.7109375" style="71" customWidth="1"/>
    <col min="8" max="16384" width="9.140625" style="71"/>
  </cols>
  <sheetData>
    <row r="2" spans="2:7" ht="18.75" x14ac:dyDescent="0.3">
      <c r="D2" s="72"/>
    </row>
    <row r="3" spans="2:7" ht="18.75" x14ac:dyDescent="0.3">
      <c r="D3" s="73"/>
    </row>
    <row r="4" spans="2:7" ht="18.75" x14ac:dyDescent="0.3">
      <c r="D4" s="74"/>
    </row>
    <row r="7" spans="2:7" ht="15.75" thickBot="1" x14ac:dyDescent="0.3"/>
    <row r="8" spans="2:7" ht="15.75" x14ac:dyDescent="0.25">
      <c r="B8" s="1078" t="s">
        <v>4726</v>
      </c>
      <c r="C8" s="1079"/>
      <c r="D8" s="1079"/>
      <c r="E8" s="1079"/>
      <c r="F8" s="1079"/>
      <c r="G8" s="1080"/>
    </row>
    <row r="9" spans="2:7" ht="15.75" x14ac:dyDescent="0.25">
      <c r="B9" s="186"/>
      <c r="C9" s="356" t="s">
        <v>4754</v>
      </c>
      <c r="D9" s="356" t="s">
        <v>4747</v>
      </c>
      <c r="E9" s="840" t="s">
        <v>134</v>
      </c>
      <c r="F9" s="840"/>
      <c r="G9" s="357" t="s">
        <v>136</v>
      </c>
    </row>
    <row r="10" spans="2:7" ht="19.5" thickBot="1" x14ac:dyDescent="0.4">
      <c r="B10" s="358" t="s">
        <v>4739</v>
      </c>
      <c r="C10" s="359" t="s">
        <v>4568</v>
      </c>
      <c r="D10" s="360" t="s">
        <v>4569</v>
      </c>
      <c r="E10" s="359" t="s">
        <v>4568</v>
      </c>
      <c r="F10" s="359" t="s">
        <v>4570</v>
      </c>
      <c r="G10" s="361" t="s">
        <v>4571</v>
      </c>
    </row>
    <row r="11" spans="2:7" ht="15.75" x14ac:dyDescent="0.25">
      <c r="B11" s="585" t="s">
        <v>155</v>
      </c>
      <c r="C11" s="362">
        <v>13507.511500000001</v>
      </c>
      <c r="D11" s="363"/>
      <c r="E11" s="362">
        <v>13507.511500000001</v>
      </c>
      <c r="F11" s="362">
        <v>24571.51416965</v>
      </c>
      <c r="G11" s="364">
        <v>13507.511500000001</v>
      </c>
    </row>
    <row r="12" spans="2:7" ht="15.75" x14ac:dyDescent="0.25">
      <c r="B12" s="474" t="s">
        <v>156</v>
      </c>
      <c r="C12" s="365">
        <v>4152.4335999999994</v>
      </c>
      <c r="D12" s="365">
        <v>3576.8303999999998</v>
      </c>
      <c r="E12" s="365">
        <v>4152.4335999999994</v>
      </c>
      <c r="F12" s="365">
        <v>8400.0577061799995</v>
      </c>
      <c r="G12" s="366">
        <v>3894.8943999999997</v>
      </c>
    </row>
    <row r="13" spans="2:7" ht="15.75" x14ac:dyDescent="0.25">
      <c r="B13" s="474" t="s">
        <v>169</v>
      </c>
      <c r="C13" s="365">
        <v>4333.9680999999991</v>
      </c>
      <c r="D13" s="365">
        <v>4148.0009999999993</v>
      </c>
      <c r="E13" s="365">
        <v>4333.9680999999991</v>
      </c>
      <c r="F13" s="365">
        <v>7436.2770607999992</v>
      </c>
      <c r="G13" s="366">
        <v>4178.6194999999998</v>
      </c>
    </row>
    <row r="14" spans="2:7" ht="15.75" x14ac:dyDescent="0.25">
      <c r="B14" s="474" t="s">
        <v>178</v>
      </c>
      <c r="C14" s="365">
        <v>11834.85411111111</v>
      </c>
      <c r="D14" s="365">
        <v>9174.8942999999999</v>
      </c>
      <c r="E14" s="365">
        <v>11834.85411111111</v>
      </c>
      <c r="F14" s="365">
        <v>21528.783113522219</v>
      </c>
      <c r="G14" s="366">
        <v>77.625799999999998</v>
      </c>
    </row>
    <row r="15" spans="2:7" ht="15.75" x14ac:dyDescent="0.25">
      <c r="B15" s="474" t="s">
        <v>173</v>
      </c>
      <c r="C15" s="365">
        <v>7467.5673333333325</v>
      </c>
      <c r="D15" s="365">
        <v>5789.1833999999999</v>
      </c>
      <c r="E15" s="365">
        <v>7467.5673333333325</v>
      </c>
      <c r="F15" s="365">
        <v>11915.438097422222</v>
      </c>
      <c r="G15" s="366">
        <v>48.980399999999996</v>
      </c>
    </row>
    <row r="16" spans="2:7" ht="15.75" x14ac:dyDescent="0.25">
      <c r="B16" s="474" t="s">
        <v>179</v>
      </c>
      <c r="C16" s="365">
        <v>16091.576666666666</v>
      </c>
      <c r="D16" s="365">
        <v>12474.891</v>
      </c>
      <c r="E16" s="365">
        <v>16091.576666666666</v>
      </c>
      <c r="F16" s="365">
        <v>26573.275154766659</v>
      </c>
      <c r="G16" s="366">
        <v>8489.991</v>
      </c>
    </row>
    <row r="17" spans="2:7" ht="15.75" x14ac:dyDescent="0.25">
      <c r="B17" s="474" t="s">
        <v>157</v>
      </c>
      <c r="C17" s="365">
        <v>7899.0508947368426</v>
      </c>
      <c r="D17" s="365">
        <v>5171.1145200000001</v>
      </c>
      <c r="E17" s="365">
        <v>7899.0508947368426</v>
      </c>
      <c r="F17" s="367"/>
      <c r="G17" s="366">
        <v>13393.2</v>
      </c>
    </row>
    <row r="18" spans="2:7" ht="15.75" x14ac:dyDescent="0.25">
      <c r="B18" s="474" t="s">
        <v>139</v>
      </c>
      <c r="C18" s="365">
        <v>2191.5920599999999</v>
      </c>
      <c r="D18" s="365">
        <v>2776.1725588235295</v>
      </c>
      <c r="E18" s="367"/>
      <c r="F18" s="367"/>
      <c r="G18" s="366">
        <v>293.36399999999998</v>
      </c>
    </row>
    <row r="19" spans="2:7" ht="15.75" x14ac:dyDescent="0.25">
      <c r="B19" s="474" t="s">
        <v>171</v>
      </c>
      <c r="C19" s="367"/>
      <c r="D19" s="367"/>
      <c r="E19" s="365">
        <v>2382.1652826086956</v>
      </c>
      <c r="F19" s="365">
        <v>4985.6223963962611</v>
      </c>
      <c r="G19" s="368"/>
    </row>
    <row r="20" spans="2:7" ht="15.75" x14ac:dyDescent="0.25">
      <c r="B20" s="474" t="s">
        <v>172</v>
      </c>
      <c r="C20" s="367"/>
      <c r="D20" s="367"/>
      <c r="E20" s="365">
        <v>3320.5940303030302</v>
      </c>
      <c r="F20" s="365">
        <v>6949.6554616432641</v>
      </c>
      <c r="G20" s="368"/>
    </row>
    <row r="21" spans="2:7" ht="16.5" customHeight="1" x14ac:dyDescent="0.25">
      <c r="B21" s="586" t="s">
        <v>170</v>
      </c>
      <c r="C21" s="365">
        <v>3534.8259032258061</v>
      </c>
      <c r="D21" s="367"/>
      <c r="E21" s="365">
        <v>3534.8259032258061</v>
      </c>
      <c r="F21" s="365">
        <v>7398.0203301363581</v>
      </c>
      <c r="G21" s="368"/>
    </row>
    <row r="22" spans="2:7" ht="15.75" x14ac:dyDescent="0.25">
      <c r="B22" s="474" t="s">
        <v>158</v>
      </c>
      <c r="C22" s="367"/>
      <c r="D22" s="365">
        <v>11518.135199999999</v>
      </c>
      <c r="E22" s="367"/>
      <c r="F22" s="367"/>
      <c r="G22" s="366">
        <v>11518.135199999999</v>
      </c>
    </row>
    <row r="23" spans="2:7" ht="18.75" x14ac:dyDescent="0.35">
      <c r="B23" s="587"/>
      <c r="C23" s="369" t="s">
        <v>4569</v>
      </c>
      <c r="D23" s="369" t="s">
        <v>4568</v>
      </c>
      <c r="E23" s="369"/>
      <c r="F23" s="369"/>
      <c r="G23" s="370"/>
    </row>
    <row r="24" spans="2:7" ht="15.75" x14ac:dyDescent="0.25">
      <c r="B24" s="474" t="s">
        <v>158</v>
      </c>
      <c r="C24" s="371">
        <v>11518.135199999999</v>
      </c>
      <c r="D24" s="367"/>
      <c r="E24" s="367"/>
      <c r="F24" s="367"/>
      <c r="G24" s="368"/>
    </row>
    <row r="25" spans="2:7" ht="16.5" thickBot="1" x14ac:dyDescent="0.3">
      <c r="B25" s="475" t="s">
        <v>155</v>
      </c>
      <c r="C25" s="372"/>
      <c r="D25" s="373">
        <v>10471.611150000001</v>
      </c>
      <c r="E25" s="372"/>
      <c r="F25" s="372"/>
      <c r="G25" s="374"/>
    </row>
    <row r="26" spans="2:7" s="157" customFormat="1" ht="15.75" x14ac:dyDescent="0.25">
      <c r="B26" s="13" t="s">
        <v>4730</v>
      </c>
      <c r="C26" s="584"/>
      <c r="D26" s="583"/>
      <c r="E26" s="584"/>
      <c r="F26" s="584"/>
      <c r="G26" s="584"/>
    </row>
    <row r="27" spans="2:7" ht="19.5" thickBot="1" x14ac:dyDescent="0.35">
      <c r="B27" s="375"/>
      <c r="C27" s="376"/>
      <c r="D27" s="376"/>
      <c r="E27" s="376"/>
      <c r="F27" s="376"/>
      <c r="G27" s="375"/>
    </row>
    <row r="28" spans="2:7" ht="15.75" x14ac:dyDescent="0.25">
      <c r="B28" s="377" t="s">
        <v>182</v>
      </c>
      <c r="C28" s="378"/>
      <c r="D28" s="378"/>
      <c r="E28" s="378"/>
      <c r="F28" s="378"/>
      <c r="G28" s="379"/>
    </row>
    <row r="29" spans="2:7" ht="15.75" x14ac:dyDescent="0.25">
      <c r="B29" s="380" t="s">
        <v>372</v>
      </c>
      <c r="C29" s="64"/>
      <c r="D29" s="76"/>
      <c r="E29" s="76"/>
      <c r="F29" s="76"/>
      <c r="G29" s="306"/>
    </row>
    <row r="30" spans="2:7" ht="16.5" thickBot="1" x14ac:dyDescent="0.3">
      <c r="B30" s="1136" t="s">
        <v>5143</v>
      </c>
      <c r="C30" s="159"/>
      <c r="D30" s="381"/>
      <c r="E30" s="381"/>
      <c r="F30" s="381"/>
      <c r="G30" s="382"/>
    </row>
    <row r="31" spans="2:7" ht="15.75" x14ac:dyDescent="0.25">
      <c r="B31" s="383"/>
    </row>
    <row r="32" spans="2:7" x14ac:dyDescent="0.25">
      <c r="B32" s="13"/>
    </row>
  </sheetData>
  <sheetProtection algorithmName="SHA-512" hashValue="6z8EQevrpZ/v1BXB7wRWXpXZ3IcZSIHTcjjIK/iWeS47edX73XepWUijgSue1urMpChGXLPbD2HOhc4n7S35FQ==" saltValue="w7R0J82oSnI+nWTX7Xfwug==" spinCount="100000" sheet="1" objects="1" scenarios="1"/>
  <hyperlinks>
    <hyperlink ref="B30" r:id="rId1" tooltip="Link to LCFS Regulation" display="https://www.arb.ca.gov/regact/2018/lcfs18/frolcfs.pdf"/>
  </hyperlinks>
  <pageMargins left="0.7" right="0.7" top="0.98479166666666662" bottom="0.75" header="0.3" footer="0.3"/>
  <pageSetup scale="65" orientation="portrait" r:id="rId2"/>
  <headerFooter>
    <oddFooter>&amp;L&amp;"Avenir LT Std 55 Roman,Regular"&amp;12&amp;K000000FINAL November 1, 2019&amp;C&amp;"Avenir LT Std 55 Roman,Regular"&amp;12Page &amp;P of &amp;N&amp;R&amp;"Avenir LT Std 55 Roman,Regular"&amp;12&amp;K000000&amp;A</oddFooter>
  </headerFooter>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J2731"/>
  <sheetViews>
    <sheetView showGridLines="0" zoomScaleNormal="100" workbookViewId="0"/>
  </sheetViews>
  <sheetFormatPr defaultRowHeight="15" x14ac:dyDescent="0.25"/>
  <cols>
    <col min="1" max="1" width="3.42578125" style="71" customWidth="1"/>
    <col min="2" max="2" width="28.7109375" style="71" customWidth="1"/>
    <col min="3" max="3" width="12.42578125" style="396" customWidth="1"/>
    <col min="4" max="4" width="32.7109375" style="71" bestFit="1" customWidth="1"/>
    <col min="5" max="5" width="16.85546875" style="71" customWidth="1"/>
    <col min="6" max="9" width="9.140625" style="71"/>
    <col min="10" max="10" width="27.42578125" style="71" customWidth="1"/>
    <col min="11" max="16384" width="9.140625" style="71"/>
  </cols>
  <sheetData>
    <row r="2" spans="2:10" ht="18.75" x14ac:dyDescent="0.3">
      <c r="E2" s="72"/>
      <c r="J2" s="72"/>
    </row>
    <row r="3" spans="2:10" ht="18.75" x14ac:dyDescent="0.3">
      <c r="E3" s="73"/>
      <c r="J3" s="73"/>
    </row>
    <row r="4" spans="2:10" ht="18.75" x14ac:dyDescent="0.3">
      <c r="E4" s="74"/>
    </row>
    <row r="7" spans="2:10" ht="15.75" thickBot="1" x14ac:dyDescent="0.3"/>
    <row r="8" spans="2:10" ht="15.95" customHeight="1" x14ac:dyDescent="0.25">
      <c r="B8" s="1078" t="s">
        <v>181</v>
      </c>
      <c r="C8" s="1079"/>
      <c r="D8" s="1079"/>
      <c r="E8" s="1079"/>
      <c r="F8" s="1079"/>
      <c r="G8" s="1079"/>
      <c r="H8" s="1079"/>
      <c r="I8" s="1079"/>
      <c r="J8" s="1080"/>
    </row>
    <row r="9" spans="2:10" ht="15.95" customHeight="1" x14ac:dyDescent="0.25">
      <c r="B9" s="1039" t="s">
        <v>182</v>
      </c>
      <c r="C9" s="1040"/>
      <c r="D9" s="1040"/>
      <c r="E9" s="1040"/>
      <c r="F9" s="1040"/>
      <c r="G9" s="1040"/>
      <c r="H9" s="1040"/>
      <c r="I9" s="1040"/>
      <c r="J9" s="1041"/>
    </row>
    <row r="10" spans="2:10" ht="15.75" x14ac:dyDescent="0.25">
      <c r="B10" s="149" t="s">
        <v>4589</v>
      </c>
      <c r="C10" s="87"/>
      <c r="D10" s="18"/>
      <c r="E10" s="18"/>
      <c r="F10" s="18"/>
      <c r="G10" s="18"/>
      <c r="H10" s="18"/>
      <c r="I10" s="18"/>
      <c r="J10" s="148"/>
    </row>
    <row r="11" spans="2:10" ht="15.75" x14ac:dyDescent="0.25">
      <c r="B11" s="149" t="s">
        <v>183</v>
      </c>
      <c r="C11" s="87"/>
      <c r="D11" s="18"/>
      <c r="E11" s="18"/>
      <c r="F11" s="18"/>
      <c r="G11" s="18"/>
      <c r="H11" s="18"/>
      <c r="I11" s="18"/>
      <c r="J11" s="148"/>
    </row>
    <row r="12" spans="2:10" ht="15.75" x14ac:dyDescent="0.25">
      <c r="B12" s="149" t="s">
        <v>184</v>
      </c>
      <c r="C12" s="87"/>
      <c r="D12" s="18"/>
      <c r="E12" s="18"/>
      <c r="F12" s="18"/>
      <c r="G12" s="18"/>
      <c r="H12" s="18"/>
      <c r="I12" s="18"/>
      <c r="J12" s="148"/>
    </row>
    <row r="13" spans="2:10" ht="15.75" customHeight="1" x14ac:dyDescent="0.25">
      <c r="B13" s="911" t="s">
        <v>5110</v>
      </c>
      <c r="C13" s="906"/>
      <c r="D13" s="906"/>
      <c r="E13" s="906"/>
      <c r="F13" s="906"/>
      <c r="G13" s="906"/>
      <c r="H13" s="906"/>
      <c r="I13" s="906"/>
      <c r="J13" s="907"/>
    </row>
    <row r="14" spans="2:10" ht="15.75" customHeight="1" x14ac:dyDescent="0.25">
      <c r="B14" s="911" t="s">
        <v>5111</v>
      </c>
      <c r="C14" s="906"/>
      <c r="D14" s="906"/>
      <c r="E14" s="906"/>
      <c r="F14" s="906"/>
      <c r="G14" s="906"/>
      <c r="H14" s="906"/>
      <c r="I14" s="906"/>
      <c r="J14" s="907"/>
    </row>
    <row r="15" spans="2:10" ht="15.75" x14ac:dyDescent="0.25">
      <c r="B15" s="149" t="s">
        <v>185</v>
      </c>
      <c r="C15" s="87"/>
      <c r="D15" s="18"/>
      <c r="E15" s="18"/>
      <c r="F15" s="18"/>
      <c r="G15" s="18"/>
      <c r="H15" s="18"/>
      <c r="I15" s="18"/>
      <c r="J15" s="148"/>
    </row>
    <row r="16" spans="2:10" ht="15.75" x14ac:dyDescent="0.25">
      <c r="B16" s="149" t="s">
        <v>4760</v>
      </c>
      <c r="C16" s="87"/>
      <c r="D16" s="18"/>
      <c r="E16" s="18"/>
      <c r="F16" s="18"/>
      <c r="G16" s="18"/>
      <c r="H16" s="18"/>
      <c r="I16" s="18"/>
      <c r="J16" s="148"/>
    </row>
    <row r="17" spans="2:10" ht="15.75" x14ac:dyDescent="0.25">
      <c r="B17" s="149" t="s">
        <v>186</v>
      </c>
      <c r="C17" s="87"/>
      <c r="D17" s="18"/>
      <c r="E17" s="18"/>
      <c r="F17" s="18"/>
      <c r="G17" s="18"/>
      <c r="H17" s="18"/>
      <c r="I17" s="18"/>
      <c r="J17" s="148"/>
    </row>
    <row r="18" spans="2:10" ht="15.75" x14ac:dyDescent="0.25">
      <c r="B18" s="149" t="s">
        <v>187</v>
      </c>
      <c r="C18" s="87"/>
      <c r="D18" s="18"/>
      <c r="E18" s="18"/>
      <c r="F18" s="18"/>
      <c r="G18" s="18"/>
      <c r="H18" s="18"/>
      <c r="I18" s="18"/>
      <c r="J18" s="148"/>
    </row>
    <row r="19" spans="2:10" ht="15.75" x14ac:dyDescent="0.25">
      <c r="B19" s="149" t="s">
        <v>188</v>
      </c>
      <c r="C19" s="87"/>
      <c r="D19" s="18"/>
      <c r="E19" s="18"/>
      <c r="F19" s="18"/>
      <c r="G19" s="18"/>
      <c r="H19" s="18"/>
      <c r="I19" s="18"/>
      <c r="J19" s="148"/>
    </row>
    <row r="20" spans="2:10" ht="15.75" x14ac:dyDescent="0.25">
      <c r="B20" s="149" t="s">
        <v>189</v>
      </c>
      <c r="C20" s="64"/>
      <c r="D20" s="64"/>
      <c r="E20" s="64"/>
      <c r="F20" s="64"/>
      <c r="G20" s="64"/>
      <c r="H20" s="64"/>
      <c r="I20" s="64"/>
      <c r="J20" s="148"/>
    </row>
    <row r="21" spans="2:10" ht="15.75" customHeight="1" x14ac:dyDescent="0.25">
      <c r="B21" s="905" t="s">
        <v>190</v>
      </c>
      <c r="C21" s="27"/>
      <c r="D21" s="27"/>
      <c r="E21" s="166"/>
      <c r="F21" s="166"/>
      <c r="G21" s="18"/>
      <c r="H21" s="18"/>
      <c r="I21" s="18"/>
      <c r="J21" s="306"/>
    </row>
    <row r="22" spans="2:10" ht="16.5" thickBot="1" x14ac:dyDescent="0.3">
      <c r="B22" s="164" t="s">
        <v>4590</v>
      </c>
      <c r="C22" s="388"/>
      <c r="D22" s="165"/>
      <c r="E22" s="397"/>
      <c r="F22" s="397"/>
      <c r="G22" s="165"/>
      <c r="H22" s="165"/>
      <c r="I22" s="165"/>
      <c r="J22" s="382"/>
    </row>
    <row r="23" spans="2:10" ht="15.75" x14ac:dyDescent="0.25">
      <c r="B23" s="166"/>
      <c r="C23" s="87"/>
      <c r="D23" s="18"/>
      <c r="E23" s="166"/>
      <c r="F23" s="166"/>
      <c r="G23" s="18"/>
      <c r="H23" s="18"/>
      <c r="I23" s="18"/>
    </row>
    <row r="24" spans="2:10" ht="15.75" customHeight="1" x14ac:dyDescent="0.25">
      <c r="B24" s="1043" t="s">
        <v>5112</v>
      </c>
      <c r="C24" s="1042"/>
      <c r="D24" s="1042"/>
      <c r="E24" s="1042"/>
      <c r="F24" s="1042"/>
      <c r="G24" s="1042"/>
      <c r="H24" s="1042"/>
      <c r="I24" s="1042"/>
      <c r="J24" s="1042"/>
    </row>
    <row r="25" spans="2:10" ht="15.75" customHeight="1" x14ac:dyDescent="0.25">
      <c r="B25" s="1044" t="s">
        <v>5113</v>
      </c>
      <c r="C25" s="1042"/>
      <c r="D25" s="1042"/>
      <c r="E25" s="1042"/>
      <c r="F25" s="1042"/>
      <c r="G25" s="1042"/>
      <c r="H25" s="1042"/>
      <c r="I25" s="1042"/>
      <c r="J25" s="1042"/>
    </row>
    <row r="26" spans="2:10" ht="16.5" customHeight="1" x14ac:dyDescent="0.25">
      <c r="B26" s="1044" t="s">
        <v>5114</v>
      </c>
      <c r="C26" s="1042"/>
      <c r="D26" s="1042"/>
      <c r="E26" s="1042"/>
      <c r="F26" s="1042"/>
      <c r="G26" s="1042"/>
      <c r="H26" s="1042"/>
      <c r="I26" s="1042"/>
      <c r="J26" s="1042"/>
    </row>
    <row r="27" spans="2:10" ht="16.5" customHeight="1" x14ac:dyDescent="0.25">
      <c r="B27" s="1044" t="s">
        <v>5115</v>
      </c>
      <c r="C27" s="1042"/>
      <c r="D27" s="1042"/>
      <c r="E27" s="1042"/>
      <c r="F27" s="1042"/>
      <c r="G27" s="1042"/>
      <c r="H27" s="1042"/>
      <c r="I27" s="1042"/>
      <c r="J27" s="1042"/>
    </row>
    <row r="28" spans="2:10" ht="16.5" customHeight="1" x14ac:dyDescent="0.25">
      <c r="B28" s="1044" t="s">
        <v>5116</v>
      </c>
      <c r="C28" s="1042"/>
      <c r="D28" s="1042"/>
      <c r="E28" s="1042"/>
      <c r="F28" s="1042"/>
      <c r="G28" s="1042"/>
      <c r="H28" s="1042"/>
      <c r="I28" s="1042"/>
      <c r="J28" s="1042"/>
    </row>
    <row r="29" spans="2:10" ht="16.5" customHeight="1" x14ac:dyDescent="0.25">
      <c r="B29" s="1042" t="s">
        <v>5117</v>
      </c>
      <c r="C29" s="1042"/>
      <c r="D29" s="1042"/>
      <c r="E29" s="1042"/>
      <c r="F29" s="1042"/>
      <c r="G29" s="1042"/>
      <c r="H29" s="1042"/>
      <c r="I29" s="1042"/>
      <c r="J29" s="1042"/>
    </row>
    <row r="30" spans="2:10" ht="16.5" customHeight="1" thickBot="1" x14ac:dyDescent="0.3">
      <c r="B30" s="398"/>
      <c r="C30" s="398"/>
      <c r="D30" s="398"/>
      <c r="E30" s="398"/>
      <c r="F30" s="398"/>
      <c r="G30" s="398"/>
      <c r="H30" s="398"/>
      <c r="I30" s="398"/>
      <c r="J30" s="398"/>
    </row>
    <row r="31" spans="2:10" ht="15.95" customHeight="1" thickBot="1" x14ac:dyDescent="0.3">
      <c r="B31" s="399" t="s">
        <v>191</v>
      </c>
      <c r="C31" s="400" t="s">
        <v>192</v>
      </c>
      <c r="D31" s="401" t="s">
        <v>193</v>
      </c>
      <c r="E31" s="402" t="s">
        <v>4572</v>
      </c>
      <c r="F31" s="17"/>
      <c r="G31" s="17"/>
      <c r="H31" s="17"/>
      <c r="I31" s="17"/>
    </row>
    <row r="32" spans="2:10" ht="15.75" x14ac:dyDescent="0.25">
      <c r="B32" s="403" t="s">
        <v>59</v>
      </c>
      <c r="C32" s="404">
        <v>2015</v>
      </c>
      <c r="D32" s="405" t="s">
        <v>194</v>
      </c>
      <c r="E32" s="406">
        <v>487.93751476156308</v>
      </c>
      <c r="F32" s="17"/>
      <c r="G32" s="17"/>
      <c r="H32" s="17"/>
      <c r="I32" s="17"/>
    </row>
    <row r="33" spans="2:9" ht="15.75" x14ac:dyDescent="0.25">
      <c r="B33" s="407" t="s">
        <v>59</v>
      </c>
      <c r="C33" s="408">
        <v>2016</v>
      </c>
      <c r="D33" s="409" t="s">
        <v>195</v>
      </c>
      <c r="E33" s="410">
        <v>477.76284825547918</v>
      </c>
      <c r="F33" s="17"/>
      <c r="G33" s="17"/>
      <c r="H33" s="17"/>
      <c r="I33" s="17"/>
    </row>
    <row r="34" spans="2:9" ht="15.75" x14ac:dyDescent="0.25">
      <c r="B34" s="411" t="s">
        <v>59</v>
      </c>
      <c r="C34" s="412">
        <v>2017</v>
      </c>
      <c r="D34" s="412" t="s">
        <v>520</v>
      </c>
      <c r="E34" s="413">
        <v>467.03030045186233</v>
      </c>
      <c r="F34" s="17"/>
      <c r="G34" s="17"/>
      <c r="H34" s="17"/>
      <c r="I34" s="17"/>
    </row>
    <row r="35" spans="2:9" ht="15.75" x14ac:dyDescent="0.25">
      <c r="B35" s="411" t="s">
        <v>59</v>
      </c>
      <c r="C35" s="412">
        <v>2018</v>
      </c>
      <c r="D35" s="412" t="s">
        <v>521</v>
      </c>
      <c r="E35" s="413">
        <v>455.62736140406508</v>
      </c>
      <c r="F35" s="17"/>
      <c r="G35" s="17"/>
      <c r="H35" s="17"/>
      <c r="I35" s="17"/>
    </row>
    <row r="36" spans="2:9" ht="15.75" x14ac:dyDescent="0.25">
      <c r="B36" s="411" t="s">
        <v>59</v>
      </c>
      <c r="C36" s="412">
        <v>2019</v>
      </c>
      <c r="D36" s="412" t="s">
        <v>522</v>
      </c>
      <c r="E36" s="413">
        <v>443.84227907620419</v>
      </c>
      <c r="F36" s="17"/>
      <c r="G36" s="17"/>
      <c r="H36" s="17"/>
      <c r="I36" s="17"/>
    </row>
    <row r="37" spans="2:9" ht="15.75" x14ac:dyDescent="0.25">
      <c r="B37" s="411" t="s">
        <v>59</v>
      </c>
      <c r="C37" s="412">
        <v>2020</v>
      </c>
      <c r="D37" s="412" t="s">
        <v>523</v>
      </c>
      <c r="E37" s="413">
        <v>431.77205542285469</v>
      </c>
      <c r="F37" s="17"/>
      <c r="G37" s="17"/>
      <c r="H37" s="17"/>
      <c r="I37" s="17"/>
    </row>
    <row r="38" spans="2:9" ht="15.75" x14ac:dyDescent="0.25">
      <c r="B38" s="411" t="s">
        <v>59</v>
      </c>
      <c r="C38" s="412">
        <v>2021</v>
      </c>
      <c r="D38" s="412" t="s">
        <v>524</v>
      </c>
      <c r="E38" s="413">
        <v>419.50069212678727</v>
      </c>
      <c r="F38" s="17"/>
      <c r="G38" s="17"/>
      <c r="H38" s="17"/>
      <c r="I38" s="17"/>
    </row>
    <row r="39" spans="2:9" ht="15.75" x14ac:dyDescent="0.25">
      <c r="B39" s="411" t="s">
        <v>59</v>
      </c>
      <c r="C39" s="412">
        <v>2022</v>
      </c>
      <c r="D39" s="412" t="s">
        <v>525</v>
      </c>
      <c r="E39" s="413">
        <v>407.36763414912144</v>
      </c>
      <c r="F39" s="17"/>
      <c r="G39" s="17"/>
      <c r="H39" s="17"/>
      <c r="I39" s="17"/>
    </row>
    <row r="40" spans="2:9" ht="15.75" x14ac:dyDescent="0.25">
      <c r="B40" s="411" t="s">
        <v>59</v>
      </c>
      <c r="C40" s="412">
        <v>2023</v>
      </c>
      <c r="D40" s="412" t="s">
        <v>526</v>
      </c>
      <c r="E40" s="413">
        <v>395.26493168867819</v>
      </c>
      <c r="F40" s="17"/>
      <c r="G40" s="17"/>
      <c r="H40" s="17"/>
      <c r="I40" s="17"/>
    </row>
    <row r="41" spans="2:9" ht="15.75" x14ac:dyDescent="0.25">
      <c r="B41" s="411" t="s">
        <v>59</v>
      </c>
      <c r="C41" s="412">
        <v>2024</v>
      </c>
      <c r="D41" s="412" t="s">
        <v>527</v>
      </c>
      <c r="E41" s="413">
        <v>383.26005416902882</v>
      </c>
      <c r="F41" s="17"/>
      <c r="G41" s="17"/>
      <c r="H41" s="17"/>
      <c r="I41" s="17"/>
    </row>
    <row r="42" spans="2:9" ht="15.75" x14ac:dyDescent="0.25">
      <c r="B42" s="411" t="s">
        <v>59</v>
      </c>
      <c r="C42" s="412">
        <v>2025</v>
      </c>
      <c r="D42" s="412" t="s">
        <v>528</v>
      </c>
      <c r="E42" s="413">
        <v>371.35091022244626</v>
      </c>
      <c r="F42" s="17"/>
      <c r="G42" s="17"/>
      <c r="H42" s="17"/>
      <c r="I42" s="17"/>
    </row>
    <row r="43" spans="2:9" ht="15.75" x14ac:dyDescent="0.25">
      <c r="B43" s="411" t="s">
        <v>59</v>
      </c>
      <c r="C43" s="412">
        <v>2026</v>
      </c>
      <c r="D43" s="412" t="s">
        <v>529</v>
      </c>
      <c r="E43" s="413">
        <v>360.57983911695442</v>
      </c>
      <c r="F43" s="17"/>
      <c r="G43" s="17"/>
      <c r="H43" s="17"/>
      <c r="I43" s="17"/>
    </row>
    <row r="44" spans="2:9" ht="15.75" x14ac:dyDescent="0.25">
      <c r="B44" s="411" t="s">
        <v>59</v>
      </c>
      <c r="C44" s="412">
        <v>2027</v>
      </c>
      <c r="D44" s="412" t="s">
        <v>530</v>
      </c>
      <c r="E44" s="413">
        <v>350.79129290123603</v>
      </c>
      <c r="F44" s="17"/>
      <c r="G44" s="17"/>
      <c r="H44" s="17"/>
      <c r="I44" s="17"/>
    </row>
    <row r="45" spans="2:9" ht="15.75" x14ac:dyDescent="0.25">
      <c r="B45" s="411" t="s">
        <v>59</v>
      </c>
      <c r="C45" s="412">
        <v>2028</v>
      </c>
      <c r="D45" s="412" t="s">
        <v>531</v>
      </c>
      <c r="E45" s="413">
        <v>341.99810328057038</v>
      </c>
      <c r="F45" s="17"/>
      <c r="G45" s="17"/>
      <c r="H45" s="17"/>
      <c r="I45" s="17"/>
    </row>
    <row r="46" spans="2:9" ht="15.75" x14ac:dyDescent="0.25">
      <c r="B46" s="411" t="s">
        <v>59</v>
      </c>
      <c r="C46" s="412">
        <v>2029</v>
      </c>
      <c r="D46" s="412" t="s">
        <v>532</v>
      </c>
      <c r="E46" s="413">
        <v>334.12829308495498</v>
      </c>
      <c r="F46" s="17"/>
      <c r="G46" s="17"/>
      <c r="H46" s="17"/>
      <c r="I46" s="17"/>
    </row>
    <row r="47" spans="2:9" ht="15.75" x14ac:dyDescent="0.25">
      <c r="B47" s="411" t="s">
        <v>59</v>
      </c>
      <c r="C47" s="412">
        <v>2030</v>
      </c>
      <c r="D47" s="412" t="s">
        <v>533</v>
      </c>
      <c r="E47" s="413">
        <v>327.1369516471733</v>
      </c>
      <c r="F47" s="17"/>
      <c r="G47" s="17"/>
      <c r="H47" s="17"/>
      <c r="I47" s="17"/>
    </row>
    <row r="48" spans="2:9" ht="15.75" x14ac:dyDescent="0.25">
      <c r="B48" s="411" t="s">
        <v>59</v>
      </c>
      <c r="C48" s="412">
        <v>2031</v>
      </c>
      <c r="D48" s="412" t="s">
        <v>534</v>
      </c>
      <c r="E48" s="413">
        <v>320.94076564931839</v>
      </c>
      <c r="F48" s="17"/>
      <c r="G48" s="17"/>
      <c r="H48" s="17"/>
      <c r="I48" s="17"/>
    </row>
    <row r="49" spans="2:9" ht="15.75" x14ac:dyDescent="0.25">
      <c r="B49" s="411" t="s">
        <v>59</v>
      </c>
      <c r="C49" s="412">
        <v>2032</v>
      </c>
      <c r="D49" s="412" t="s">
        <v>535</v>
      </c>
      <c r="E49" s="413">
        <v>315.48345369828559</v>
      </c>
      <c r="F49" s="17"/>
      <c r="G49" s="17"/>
      <c r="H49" s="17"/>
      <c r="I49" s="17"/>
    </row>
    <row r="50" spans="2:9" ht="15.75" x14ac:dyDescent="0.25">
      <c r="B50" s="411" t="s">
        <v>59</v>
      </c>
      <c r="C50" s="412">
        <v>2033</v>
      </c>
      <c r="D50" s="412" t="s">
        <v>536</v>
      </c>
      <c r="E50" s="413">
        <v>310.71004957914056</v>
      </c>
      <c r="F50" s="17"/>
      <c r="G50" s="17"/>
      <c r="H50" s="17"/>
      <c r="I50" s="17"/>
    </row>
    <row r="51" spans="2:9" ht="15.75" x14ac:dyDescent="0.25">
      <c r="B51" s="411" t="s">
        <v>59</v>
      </c>
      <c r="C51" s="412">
        <v>2034</v>
      </c>
      <c r="D51" s="412" t="s">
        <v>537</v>
      </c>
      <c r="E51" s="413">
        <v>306.55084025239404</v>
      </c>
      <c r="F51" s="17"/>
      <c r="G51" s="17"/>
      <c r="H51" s="17"/>
      <c r="I51" s="17"/>
    </row>
    <row r="52" spans="2:9" ht="15.75" x14ac:dyDescent="0.25">
      <c r="B52" s="411" t="s">
        <v>59</v>
      </c>
      <c r="C52" s="412">
        <v>2035</v>
      </c>
      <c r="D52" s="412" t="s">
        <v>538</v>
      </c>
      <c r="E52" s="413">
        <v>302.95536958226086</v>
      </c>
      <c r="F52" s="17"/>
      <c r="G52" s="17"/>
      <c r="H52" s="17"/>
      <c r="I52" s="17"/>
    </row>
    <row r="53" spans="2:9" ht="15.75" x14ac:dyDescent="0.25">
      <c r="B53" s="411" t="s">
        <v>59</v>
      </c>
      <c r="C53" s="412">
        <v>2036</v>
      </c>
      <c r="D53" s="412" t="s">
        <v>539</v>
      </c>
      <c r="E53" s="413">
        <v>299.87192901792702</v>
      </c>
      <c r="F53" s="17"/>
      <c r="G53" s="17"/>
      <c r="H53" s="17"/>
      <c r="I53" s="17"/>
    </row>
    <row r="54" spans="2:9" ht="15.75" x14ac:dyDescent="0.25">
      <c r="B54" s="411" t="s">
        <v>59</v>
      </c>
      <c r="C54" s="412">
        <v>2037</v>
      </c>
      <c r="D54" s="412" t="s">
        <v>540</v>
      </c>
      <c r="E54" s="413">
        <v>297.2557684078426</v>
      </c>
      <c r="F54" s="17"/>
      <c r="G54" s="17"/>
      <c r="H54" s="17"/>
      <c r="I54" s="17"/>
    </row>
    <row r="55" spans="2:9" ht="15.75" x14ac:dyDescent="0.25">
      <c r="B55" s="411" t="s">
        <v>59</v>
      </c>
      <c r="C55" s="412">
        <v>2038</v>
      </c>
      <c r="D55" s="412" t="s">
        <v>541</v>
      </c>
      <c r="E55" s="413">
        <v>295.0575937700836</v>
      </c>
      <c r="F55" s="17"/>
      <c r="G55" s="17"/>
      <c r="H55" s="17"/>
      <c r="I55" s="17"/>
    </row>
    <row r="56" spans="2:9" ht="15.75" x14ac:dyDescent="0.25">
      <c r="B56" s="411" t="s">
        <v>59</v>
      </c>
      <c r="C56" s="412">
        <v>2039</v>
      </c>
      <c r="D56" s="412" t="s">
        <v>542</v>
      </c>
      <c r="E56" s="413">
        <v>293.22058154920029</v>
      </c>
      <c r="F56" s="17"/>
      <c r="G56" s="17"/>
      <c r="H56" s="17"/>
      <c r="I56" s="17"/>
    </row>
    <row r="57" spans="2:9" ht="15.75" x14ac:dyDescent="0.25">
      <c r="B57" s="411" t="s">
        <v>59</v>
      </c>
      <c r="C57" s="412">
        <v>2040</v>
      </c>
      <c r="D57" s="412" t="s">
        <v>543</v>
      </c>
      <c r="E57" s="413">
        <v>291.69235215118999</v>
      </c>
      <c r="F57" s="17"/>
      <c r="G57" s="17"/>
      <c r="H57" s="17"/>
      <c r="I57" s="17"/>
    </row>
    <row r="58" spans="2:9" ht="15.75" x14ac:dyDescent="0.25">
      <c r="B58" s="411" t="s">
        <v>59</v>
      </c>
      <c r="C58" s="412">
        <v>2041</v>
      </c>
      <c r="D58" s="412" t="s">
        <v>544</v>
      </c>
      <c r="E58" s="413">
        <v>290.44262000914728</v>
      </c>
      <c r="F58" s="17"/>
      <c r="G58" s="17"/>
      <c r="H58" s="17"/>
      <c r="I58" s="17"/>
    </row>
    <row r="59" spans="2:9" ht="15.75" x14ac:dyDescent="0.25">
      <c r="B59" s="411" t="s">
        <v>59</v>
      </c>
      <c r="C59" s="412">
        <v>2042</v>
      </c>
      <c r="D59" s="412" t="s">
        <v>545</v>
      </c>
      <c r="E59" s="413">
        <v>289.41342761976767</v>
      </c>
      <c r="F59" s="17"/>
      <c r="G59" s="17"/>
      <c r="H59" s="17"/>
      <c r="I59" s="17"/>
    </row>
    <row r="60" spans="2:9" ht="15.75" x14ac:dyDescent="0.25">
      <c r="B60" s="411" t="s">
        <v>59</v>
      </c>
      <c r="C60" s="412">
        <v>2043</v>
      </c>
      <c r="D60" s="412" t="s">
        <v>546</v>
      </c>
      <c r="E60" s="413">
        <v>288.57559007025668</v>
      </c>
      <c r="F60" s="17"/>
      <c r="G60" s="17"/>
      <c r="H60" s="17"/>
      <c r="I60" s="17"/>
    </row>
    <row r="61" spans="2:9" ht="15.75" x14ac:dyDescent="0.25">
      <c r="B61" s="411" t="s">
        <v>59</v>
      </c>
      <c r="C61" s="412">
        <v>2044</v>
      </c>
      <c r="D61" s="412" t="s">
        <v>547</v>
      </c>
      <c r="E61" s="413">
        <v>287.89070420164524</v>
      </c>
      <c r="F61" s="17"/>
      <c r="G61" s="17"/>
      <c r="H61" s="17"/>
      <c r="I61" s="17"/>
    </row>
    <row r="62" spans="2:9" ht="15.75" x14ac:dyDescent="0.25">
      <c r="B62" s="411" t="s">
        <v>59</v>
      </c>
      <c r="C62" s="412">
        <v>2045</v>
      </c>
      <c r="D62" s="412" t="s">
        <v>548</v>
      </c>
      <c r="E62" s="413">
        <v>287.3207549267708</v>
      </c>
      <c r="F62" s="17"/>
      <c r="G62" s="17"/>
      <c r="H62" s="17"/>
      <c r="I62" s="17"/>
    </row>
    <row r="63" spans="2:9" ht="15.75" x14ac:dyDescent="0.25">
      <c r="B63" s="411" t="s">
        <v>59</v>
      </c>
      <c r="C63" s="412">
        <v>2046</v>
      </c>
      <c r="D63" s="412" t="s">
        <v>549</v>
      </c>
      <c r="E63" s="413">
        <v>286.85812091392688</v>
      </c>
      <c r="F63" s="17"/>
      <c r="G63" s="17"/>
      <c r="H63" s="17"/>
      <c r="I63" s="17"/>
    </row>
    <row r="64" spans="2:9" ht="15.75" x14ac:dyDescent="0.25">
      <c r="B64" s="411" t="s">
        <v>59</v>
      </c>
      <c r="C64" s="412">
        <v>2047</v>
      </c>
      <c r="D64" s="412" t="s">
        <v>550</v>
      </c>
      <c r="E64" s="413">
        <v>286.48255249641699</v>
      </c>
      <c r="F64" s="17"/>
      <c r="G64" s="17"/>
      <c r="H64" s="17"/>
      <c r="I64" s="17"/>
    </row>
    <row r="65" spans="2:9" ht="15.75" x14ac:dyDescent="0.25">
      <c r="B65" s="411" t="s">
        <v>59</v>
      </c>
      <c r="C65" s="412">
        <v>2048</v>
      </c>
      <c r="D65" s="412" t="s">
        <v>551</v>
      </c>
      <c r="E65" s="413">
        <v>286.17651590734442</v>
      </c>
      <c r="F65" s="17"/>
      <c r="G65" s="17"/>
      <c r="H65" s="17"/>
      <c r="I65" s="17"/>
    </row>
    <row r="66" spans="2:9" ht="15.75" x14ac:dyDescent="0.25">
      <c r="B66" s="411" t="s">
        <v>59</v>
      </c>
      <c r="C66" s="412">
        <v>2049</v>
      </c>
      <c r="D66" s="412" t="s">
        <v>552</v>
      </c>
      <c r="E66" s="413">
        <v>285.92838905067737</v>
      </c>
      <c r="F66" s="17"/>
      <c r="G66" s="17"/>
      <c r="H66" s="17"/>
      <c r="I66" s="17"/>
    </row>
    <row r="67" spans="2:9" ht="15.75" x14ac:dyDescent="0.25">
      <c r="B67" s="411" t="s">
        <v>59</v>
      </c>
      <c r="C67" s="412">
        <v>2050</v>
      </c>
      <c r="D67" s="412" t="s">
        <v>553</v>
      </c>
      <c r="E67" s="413">
        <v>285.73092911248625</v>
      </c>
      <c r="F67" s="17"/>
      <c r="G67" s="17"/>
      <c r="H67" s="17"/>
      <c r="I67" s="17"/>
    </row>
    <row r="68" spans="2:9" ht="15.75" x14ac:dyDescent="0.25">
      <c r="B68" s="407" t="s">
        <v>60</v>
      </c>
      <c r="C68" s="408">
        <v>2015</v>
      </c>
      <c r="D68" s="409" t="s">
        <v>196</v>
      </c>
      <c r="E68" s="410">
        <v>487.37700091243732</v>
      </c>
      <c r="F68" s="17"/>
      <c r="G68" s="17"/>
      <c r="H68" s="17"/>
      <c r="I68" s="17"/>
    </row>
    <row r="69" spans="2:9" ht="15.75" x14ac:dyDescent="0.25">
      <c r="B69" s="407" t="s">
        <v>60</v>
      </c>
      <c r="C69" s="408">
        <v>2016</v>
      </c>
      <c r="D69" s="409" t="s">
        <v>197</v>
      </c>
      <c r="E69" s="410">
        <v>478.09134100049636</v>
      </c>
      <c r="F69" s="17"/>
      <c r="G69" s="17"/>
      <c r="H69" s="17"/>
      <c r="I69" s="17"/>
    </row>
    <row r="70" spans="2:9" ht="15.75" x14ac:dyDescent="0.25">
      <c r="B70" s="411" t="s">
        <v>60</v>
      </c>
      <c r="C70" s="412">
        <v>2017</v>
      </c>
      <c r="D70" s="412" t="s">
        <v>554</v>
      </c>
      <c r="E70" s="413">
        <v>466.01502823131887</v>
      </c>
      <c r="F70" s="17"/>
      <c r="G70" s="17"/>
      <c r="H70" s="17"/>
      <c r="I70" s="17"/>
    </row>
    <row r="71" spans="2:9" ht="15.75" x14ac:dyDescent="0.25">
      <c r="B71" s="411" t="s">
        <v>60</v>
      </c>
      <c r="C71" s="412">
        <v>2018</v>
      </c>
      <c r="D71" s="412" t="s">
        <v>555</v>
      </c>
      <c r="E71" s="413">
        <v>453.82414004936891</v>
      </c>
      <c r="F71" s="17"/>
      <c r="G71" s="17"/>
      <c r="H71" s="17"/>
      <c r="I71" s="17"/>
    </row>
    <row r="72" spans="2:9" ht="15.75" x14ac:dyDescent="0.25">
      <c r="B72" s="411" t="s">
        <v>60</v>
      </c>
      <c r="C72" s="412">
        <v>2019</v>
      </c>
      <c r="D72" s="412" t="s">
        <v>556</v>
      </c>
      <c r="E72" s="413">
        <v>441.37401730966491</v>
      </c>
      <c r="F72" s="17"/>
      <c r="G72" s="17"/>
      <c r="H72" s="17"/>
      <c r="I72" s="17"/>
    </row>
    <row r="73" spans="2:9" ht="15.75" x14ac:dyDescent="0.25">
      <c r="B73" s="411" t="s">
        <v>60</v>
      </c>
      <c r="C73" s="412">
        <v>2020</v>
      </c>
      <c r="D73" s="412" t="s">
        <v>557</v>
      </c>
      <c r="E73" s="413">
        <v>428.61746901591988</v>
      </c>
      <c r="F73" s="17"/>
      <c r="G73" s="17"/>
      <c r="H73" s="17"/>
      <c r="I73" s="17"/>
    </row>
    <row r="74" spans="2:9" ht="15.75" x14ac:dyDescent="0.25">
      <c r="B74" s="411" t="s">
        <v>60</v>
      </c>
      <c r="C74" s="412">
        <v>2021</v>
      </c>
      <c r="D74" s="412" t="s">
        <v>558</v>
      </c>
      <c r="E74" s="413">
        <v>415.72234522094038</v>
      </c>
      <c r="F74" s="17"/>
      <c r="G74" s="17"/>
      <c r="H74" s="17"/>
      <c r="I74" s="17"/>
    </row>
    <row r="75" spans="2:9" ht="15.75" x14ac:dyDescent="0.25">
      <c r="B75" s="411" t="s">
        <v>60</v>
      </c>
      <c r="C75" s="412">
        <v>2022</v>
      </c>
      <c r="D75" s="412" t="s">
        <v>559</v>
      </c>
      <c r="E75" s="413">
        <v>403.02952006511555</v>
      </c>
      <c r="F75" s="17"/>
      <c r="G75" s="17"/>
      <c r="H75" s="17"/>
      <c r="I75" s="17"/>
    </row>
    <row r="76" spans="2:9" ht="15.75" x14ac:dyDescent="0.25">
      <c r="B76" s="411" t="s">
        <v>60</v>
      </c>
      <c r="C76" s="412">
        <v>2023</v>
      </c>
      <c r="D76" s="412" t="s">
        <v>560</v>
      </c>
      <c r="E76" s="413">
        <v>390.48963663606759</v>
      </c>
      <c r="F76" s="17"/>
      <c r="G76" s="17"/>
      <c r="H76" s="17"/>
      <c r="I76" s="17"/>
    </row>
    <row r="77" spans="2:9" ht="15.75" x14ac:dyDescent="0.25">
      <c r="B77" s="411" t="s">
        <v>60</v>
      </c>
      <c r="C77" s="412">
        <v>2024</v>
      </c>
      <c r="D77" s="412" t="s">
        <v>561</v>
      </c>
      <c r="E77" s="413">
        <v>378.23761118416047</v>
      </c>
      <c r="F77" s="17"/>
      <c r="G77" s="17"/>
      <c r="H77" s="17"/>
      <c r="I77" s="17"/>
    </row>
    <row r="78" spans="2:9" ht="15.75" x14ac:dyDescent="0.25">
      <c r="B78" s="411" t="s">
        <v>60</v>
      </c>
      <c r="C78" s="412">
        <v>2025</v>
      </c>
      <c r="D78" s="412" t="s">
        <v>562</v>
      </c>
      <c r="E78" s="413">
        <v>366.14916467105525</v>
      </c>
      <c r="F78" s="17"/>
      <c r="G78" s="17"/>
      <c r="H78" s="17"/>
      <c r="I78" s="17"/>
    </row>
    <row r="79" spans="2:9" ht="15.75" x14ac:dyDescent="0.25">
      <c r="B79" s="411" t="s">
        <v>60</v>
      </c>
      <c r="C79" s="412">
        <v>2026</v>
      </c>
      <c r="D79" s="412" t="s">
        <v>563</v>
      </c>
      <c r="E79" s="413">
        <v>355.2389736966993</v>
      </c>
      <c r="F79" s="17"/>
      <c r="G79" s="17"/>
      <c r="H79" s="17"/>
      <c r="I79" s="17"/>
    </row>
    <row r="80" spans="2:9" ht="15.75" x14ac:dyDescent="0.25">
      <c r="B80" s="411" t="s">
        <v>60</v>
      </c>
      <c r="C80" s="412">
        <v>2027</v>
      </c>
      <c r="D80" s="412" t="s">
        <v>564</v>
      </c>
      <c r="E80" s="413">
        <v>345.36747009540926</v>
      </c>
      <c r="F80" s="17"/>
      <c r="G80" s="17"/>
      <c r="H80" s="17"/>
      <c r="I80" s="17"/>
    </row>
    <row r="81" spans="2:9" ht="15.75" x14ac:dyDescent="0.25">
      <c r="B81" s="411" t="s">
        <v>60</v>
      </c>
      <c r="C81" s="412">
        <v>2028</v>
      </c>
      <c r="D81" s="412" t="s">
        <v>565</v>
      </c>
      <c r="E81" s="413">
        <v>336.52877755780838</v>
      </c>
      <c r="F81" s="17"/>
      <c r="G81" s="17"/>
      <c r="H81" s="17"/>
      <c r="I81" s="17"/>
    </row>
    <row r="82" spans="2:9" ht="15.75" x14ac:dyDescent="0.25">
      <c r="B82" s="411" t="s">
        <v>60</v>
      </c>
      <c r="C82" s="412">
        <v>2029</v>
      </c>
      <c r="D82" s="412" t="s">
        <v>566</v>
      </c>
      <c r="E82" s="413">
        <v>328.60447559963399</v>
      </c>
      <c r="F82" s="17"/>
      <c r="G82" s="17"/>
      <c r="H82" s="17"/>
      <c r="I82" s="17"/>
    </row>
    <row r="83" spans="2:9" ht="15.75" x14ac:dyDescent="0.25">
      <c r="B83" s="411" t="s">
        <v>60</v>
      </c>
      <c r="C83" s="412">
        <v>2030</v>
      </c>
      <c r="D83" s="412" t="s">
        <v>567</v>
      </c>
      <c r="E83" s="413">
        <v>321.56473408163328</v>
      </c>
      <c r="F83" s="17"/>
      <c r="G83" s="17"/>
      <c r="H83" s="17"/>
      <c r="I83" s="17"/>
    </row>
    <row r="84" spans="2:9" ht="15.75" x14ac:dyDescent="0.25">
      <c r="B84" s="411" t="s">
        <v>60</v>
      </c>
      <c r="C84" s="412">
        <v>2031</v>
      </c>
      <c r="D84" s="412" t="s">
        <v>568</v>
      </c>
      <c r="E84" s="413">
        <v>315.27360831705136</v>
      </c>
      <c r="F84" s="17"/>
      <c r="G84" s="17"/>
      <c r="H84" s="17"/>
      <c r="I84" s="17"/>
    </row>
    <row r="85" spans="2:9" ht="15.75" x14ac:dyDescent="0.25">
      <c r="B85" s="411" t="s">
        <v>60</v>
      </c>
      <c r="C85" s="412">
        <v>2032</v>
      </c>
      <c r="D85" s="412" t="s">
        <v>569</v>
      </c>
      <c r="E85" s="413">
        <v>309.74738873912952</v>
      </c>
      <c r="F85" s="17"/>
      <c r="G85" s="17"/>
      <c r="H85" s="17"/>
      <c r="I85" s="17"/>
    </row>
    <row r="86" spans="2:9" ht="15.75" x14ac:dyDescent="0.25">
      <c r="B86" s="411" t="s">
        <v>60</v>
      </c>
      <c r="C86" s="412">
        <v>2033</v>
      </c>
      <c r="D86" s="412" t="s">
        <v>570</v>
      </c>
      <c r="E86" s="413">
        <v>304.88564784848529</v>
      </c>
      <c r="F86" s="17"/>
      <c r="G86" s="17"/>
      <c r="H86" s="17"/>
      <c r="I86" s="17"/>
    </row>
    <row r="87" spans="2:9" ht="15.75" x14ac:dyDescent="0.25">
      <c r="B87" s="411" t="s">
        <v>60</v>
      </c>
      <c r="C87" s="412">
        <v>2034</v>
      </c>
      <c r="D87" s="412" t="s">
        <v>571</v>
      </c>
      <c r="E87" s="413">
        <v>300.63914877805814</v>
      </c>
      <c r="F87" s="17"/>
      <c r="G87" s="17"/>
      <c r="H87" s="17"/>
      <c r="I87" s="17"/>
    </row>
    <row r="88" spans="2:9" ht="15.75" x14ac:dyDescent="0.25">
      <c r="B88" s="411" t="s">
        <v>60</v>
      </c>
      <c r="C88" s="412">
        <v>2035</v>
      </c>
      <c r="D88" s="412" t="s">
        <v>572</v>
      </c>
      <c r="E88" s="413">
        <v>296.93718358071459</v>
      </c>
      <c r="F88" s="17"/>
      <c r="G88" s="17"/>
      <c r="H88" s="17"/>
      <c r="I88" s="17"/>
    </row>
    <row r="89" spans="2:9" ht="15.75" x14ac:dyDescent="0.25">
      <c r="B89" s="411" t="s">
        <v>60</v>
      </c>
      <c r="C89" s="412">
        <v>2036</v>
      </c>
      <c r="D89" s="412" t="s">
        <v>573</v>
      </c>
      <c r="E89" s="413">
        <v>293.75141568737575</v>
      </c>
      <c r="F89" s="17"/>
      <c r="G89" s="17"/>
      <c r="H89" s="17"/>
      <c r="I89" s="17"/>
    </row>
    <row r="90" spans="2:9" ht="15.75" x14ac:dyDescent="0.25">
      <c r="B90" s="411" t="s">
        <v>60</v>
      </c>
      <c r="C90" s="412">
        <v>2037</v>
      </c>
      <c r="D90" s="412" t="s">
        <v>574</v>
      </c>
      <c r="E90" s="413">
        <v>290.99872234917217</v>
      </c>
      <c r="F90" s="17"/>
      <c r="G90" s="17"/>
      <c r="H90" s="17"/>
      <c r="I90" s="17"/>
    </row>
    <row r="91" spans="2:9" ht="15.75" x14ac:dyDescent="0.25">
      <c r="B91" s="411" t="s">
        <v>60</v>
      </c>
      <c r="C91" s="412">
        <v>2038</v>
      </c>
      <c r="D91" s="412" t="s">
        <v>575</v>
      </c>
      <c r="E91" s="413">
        <v>288.70780692612618</v>
      </c>
      <c r="F91" s="17"/>
      <c r="G91" s="17"/>
      <c r="H91" s="17"/>
      <c r="I91" s="17"/>
    </row>
    <row r="92" spans="2:9" ht="15.75" x14ac:dyDescent="0.25">
      <c r="B92" s="411" t="s">
        <v>60</v>
      </c>
      <c r="C92" s="412">
        <v>2039</v>
      </c>
      <c r="D92" s="412" t="s">
        <v>576</v>
      </c>
      <c r="E92" s="413">
        <v>286.77348136441532</v>
      </c>
      <c r="F92" s="17"/>
      <c r="G92" s="17"/>
      <c r="H92" s="17"/>
      <c r="I92" s="17"/>
    </row>
    <row r="93" spans="2:9" ht="15.75" x14ac:dyDescent="0.25">
      <c r="B93" s="411" t="s">
        <v>60</v>
      </c>
      <c r="C93" s="412">
        <v>2040</v>
      </c>
      <c r="D93" s="412" t="s">
        <v>577</v>
      </c>
      <c r="E93" s="413">
        <v>285.15368773660782</v>
      </c>
      <c r="F93" s="17"/>
      <c r="G93" s="17"/>
      <c r="H93" s="17"/>
      <c r="I93" s="17"/>
    </row>
    <row r="94" spans="2:9" ht="15.75" x14ac:dyDescent="0.25">
      <c r="B94" s="411" t="s">
        <v>60</v>
      </c>
      <c r="C94" s="412">
        <v>2041</v>
      </c>
      <c r="D94" s="412" t="s">
        <v>578</v>
      </c>
      <c r="E94" s="413">
        <v>283.82470991579805</v>
      </c>
      <c r="F94" s="17"/>
      <c r="G94" s="17"/>
      <c r="H94" s="17"/>
      <c r="I94" s="17"/>
    </row>
    <row r="95" spans="2:9" ht="15.75" x14ac:dyDescent="0.25">
      <c r="B95" s="411" t="s">
        <v>60</v>
      </c>
      <c r="C95" s="412">
        <v>2042</v>
      </c>
      <c r="D95" s="412" t="s">
        <v>579</v>
      </c>
      <c r="E95" s="413">
        <v>282.71262982511269</v>
      </c>
      <c r="F95" s="17"/>
      <c r="G95" s="17"/>
      <c r="H95" s="17"/>
      <c r="I95" s="17"/>
    </row>
    <row r="96" spans="2:9" ht="15.75" x14ac:dyDescent="0.25">
      <c r="B96" s="411" t="s">
        <v>60</v>
      </c>
      <c r="C96" s="412">
        <v>2043</v>
      </c>
      <c r="D96" s="412" t="s">
        <v>580</v>
      </c>
      <c r="E96" s="413">
        <v>281.82334198861525</v>
      </c>
      <c r="F96" s="17"/>
      <c r="G96" s="17"/>
      <c r="H96" s="17"/>
      <c r="I96" s="17"/>
    </row>
    <row r="97" spans="2:9" ht="15.75" x14ac:dyDescent="0.25">
      <c r="B97" s="411" t="s">
        <v>60</v>
      </c>
      <c r="C97" s="412">
        <v>2044</v>
      </c>
      <c r="D97" s="412" t="s">
        <v>581</v>
      </c>
      <c r="E97" s="413">
        <v>281.05828647743891</v>
      </c>
      <c r="F97" s="17"/>
      <c r="G97" s="17"/>
      <c r="H97" s="17"/>
      <c r="I97" s="17"/>
    </row>
    <row r="98" spans="2:9" ht="15.75" x14ac:dyDescent="0.25">
      <c r="B98" s="411" t="s">
        <v>60</v>
      </c>
      <c r="C98" s="412">
        <v>2045</v>
      </c>
      <c r="D98" s="412" t="s">
        <v>582</v>
      </c>
      <c r="E98" s="413">
        <v>280.43539213087564</v>
      </c>
      <c r="F98" s="17"/>
      <c r="G98" s="17"/>
      <c r="H98" s="17"/>
      <c r="I98" s="17"/>
    </row>
    <row r="99" spans="2:9" ht="15.75" x14ac:dyDescent="0.25">
      <c r="B99" s="411" t="s">
        <v>60</v>
      </c>
      <c r="C99" s="412">
        <v>2046</v>
      </c>
      <c r="D99" s="412" t="s">
        <v>583</v>
      </c>
      <c r="E99" s="413">
        <v>279.94569132236563</v>
      </c>
      <c r="F99" s="17"/>
      <c r="G99" s="17"/>
      <c r="H99" s="17"/>
      <c r="I99" s="17"/>
    </row>
    <row r="100" spans="2:9" ht="15.75" x14ac:dyDescent="0.25">
      <c r="B100" s="411" t="s">
        <v>60</v>
      </c>
      <c r="C100" s="412">
        <v>2047</v>
      </c>
      <c r="D100" s="412" t="s">
        <v>584</v>
      </c>
      <c r="E100" s="413">
        <v>279.54460451645315</v>
      </c>
      <c r="F100" s="17"/>
      <c r="G100" s="17"/>
      <c r="H100" s="17"/>
      <c r="I100" s="17"/>
    </row>
    <row r="101" spans="2:9" ht="15.75" x14ac:dyDescent="0.25">
      <c r="B101" s="411" t="s">
        <v>60</v>
      </c>
      <c r="C101" s="412">
        <v>2048</v>
      </c>
      <c r="D101" s="412" t="s">
        <v>585</v>
      </c>
      <c r="E101" s="413">
        <v>279.25189491243066</v>
      </c>
      <c r="F101" s="17"/>
      <c r="G101" s="17"/>
      <c r="H101" s="17"/>
      <c r="I101" s="17"/>
    </row>
    <row r="102" spans="2:9" ht="15.75" x14ac:dyDescent="0.25">
      <c r="B102" s="411" t="s">
        <v>60</v>
      </c>
      <c r="C102" s="412">
        <v>2049</v>
      </c>
      <c r="D102" s="412" t="s">
        <v>586</v>
      </c>
      <c r="E102" s="413">
        <v>278.97073080401145</v>
      </c>
      <c r="F102" s="17"/>
      <c r="G102" s="17"/>
      <c r="H102" s="17"/>
      <c r="I102" s="17"/>
    </row>
    <row r="103" spans="2:9" ht="15.75" x14ac:dyDescent="0.25">
      <c r="B103" s="411" t="s">
        <v>60</v>
      </c>
      <c r="C103" s="412">
        <v>2050</v>
      </c>
      <c r="D103" s="412" t="s">
        <v>587</v>
      </c>
      <c r="E103" s="413">
        <v>278.78032608560034</v>
      </c>
      <c r="F103" s="17"/>
      <c r="G103" s="17"/>
      <c r="H103" s="17"/>
      <c r="I103" s="17"/>
    </row>
    <row r="104" spans="2:9" ht="15.75" x14ac:dyDescent="0.25">
      <c r="B104" s="407" t="s">
        <v>61</v>
      </c>
      <c r="C104" s="408">
        <v>2015</v>
      </c>
      <c r="D104" s="409" t="s">
        <v>198</v>
      </c>
      <c r="E104" s="410">
        <v>507.37937937381997</v>
      </c>
      <c r="F104" s="17"/>
      <c r="G104" s="17"/>
      <c r="H104" s="17"/>
      <c r="I104" s="17"/>
    </row>
    <row r="105" spans="2:9" ht="15.75" x14ac:dyDescent="0.25">
      <c r="B105" s="407" t="s">
        <v>61</v>
      </c>
      <c r="C105" s="408">
        <v>2016</v>
      </c>
      <c r="D105" s="409" t="s">
        <v>199</v>
      </c>
      <c r="E105" s="410">
        <v>499.31351821419059</v>
      </c>
      <c r="F105" s="17"/>
      <c r="G105" s="17"/>
      <c r="H105" s="17"/>
      <c r="I105" s="17"/>
    </row>
    <row r="106" spans="2:9" ht="15.75" x14ac:dyDescent="0.25">
      <c r="B106" s="411" t="s">
        <v>61</v>
      </c>
      <c r="C106" s="412">
        <v>2017</v>
      </c>
      <c r="D106" s="412" t="s">
        <v>588</v>
      </c>
      <c r="E106" s="413">
        <v>487.7105528621401</v>
      </c>
      <c r="F106" s="17"/>
      <c r="G106" s="17"/>
      <c r="H106" s="17"/>
      <c r="I106" s="17"/>
    </row>
    <row r="107" spans="2:9" ht="15.75" x14ac:dyDescent="0.25">
      <c r="B107" s="411" t="s">
        <v>61</v>
      </c>
      <c r="C107" s="412">
        <v>2018</v>
      </c>
      <c r="D107" s="412" t="s">
        <v>589</v>
      </c>
      <c r="E107" s="413">
        <v>475.40541166182578</v>
      </c>
      <c r="F107" s="17"/>
      <c r="G107" s="17"/>
      <c r="H107" s="17"/>
      <c r="I107" s="17"/>
    </row>
    <row r="108" spans="2:9" ht="15.75" x14ac:dyDescent="0.25">
      <c r="B108" s="411" t="s">
        <v>61</v>
      </c>
      <c r="C108" s="412">
        <v>2019</v>
      </c>
      <c r="D108" s="412" t="s">
        <v>590</v>
      </c>
      <c r="E108" s="413">
        <v>462.4291064188202</v>
      </c>
      <c r="F108" s="17"/>
      <c r="G108" s="17"/>
      <c r="H108" s="17"/>
      <c r="I108" s="17"/>
    </row>
    <row r="109" spans="2:9" ht="15.75" x14ac:dyDescent="0.25">
      <c r="B109" s="411" t="s">
        <v>61</v>
      </c>
      <c r="C109" s="412">
        <v>2020</v>
      </c>
      <c r="D109" s="412" t="s">
        <v>591</v>
      </c>
      <c r="E109" s="413">
        <v>449.06933725771307</v>
      </c>
      <c r="F109" s="17"/>
      <c r="G109" s="17"/>
      <c r="H109" s="17"/>
      <c r="I109" s="17"/>
    </row>
    <row r="110" spans="2:9" ht="15.75" x14ac:dyDescent="0.25">
      <c r="B110" s="411" t="s">
        <v>61</v>
      </c>
      <c r="C110" s="412">
        <v>2021</v>
      </c>
      <c r="D110" s="412" t="s">
        <v>592</v>
      </c>
      <c r="E110" s="413">
        <v>435.40560818203761</v>
      </c>
      <c r="F110" s="17"/>
      <c r="G110" s="17"/>
      <c r="H110" s="17"/>
      <c r="I110" s="17"/>
    </row>
    <row r="111" spans="2:9" ht="15.75" x14ac:dyDescent="0.25">
      <c r="B111" s="411" t="s">
        <v>61</v>
      </c>
      <c r="C111" s="412">
        <v>2022</v>
      </c>
      <c r="D111" s="412" t="s">
        <v>593</v>
      </c>
      <c r="E111" s="413">
        <v>421.74327371205487</v>
      </c>
      <c r="F111" s="17"/>
      <c r="G111" s="17"/>
      <c r="H111" s="17"/>
      <c r="I111" s="17"/>
    </row>
    <row r="112" spans="2:9" ht="15.75" x14ac:dyDescent="0.25">
      <c r="B112" s="411" t="s">
        <v>61</v>
      </c>
      <c r="C112" s="412">
        <v>2023</v>
      </c>
      <c r="D112" s="412" t="s">
        <v>594</v>
      </c>
      <c r="E112" s="413">
        <v>408.24386434235089</v>
      </c>
      <c r="F112" s="17"/>
      <c r="G112" s="17"/>
      <c r="H112" s="17"/>
      <c r="I112" s="17"/>
    </row>
    <row r="113" spans="2:9" ht="15.75" x14ac:dyDescent="0.25">
      <c r="B113" s="411" t="s">
        <v>61</v>
      </c>
      <c r="C113" s="412">
        <v>2024</v>
      </c>
      <c r="D113" s="412" t="s">
        <v>595</v>
      </c>
      <c r="E113" s="413">
        <v>394.93322620927376</v>
      </c>
      <c r="F113" s="17"/>
      <c r="G113" s="17"/>
      <c r="H113" s="17"/>
      <c r="I113" s="17"/>
    </row>
    <row r="114" spans="2:9" ht="15.75" x14ac:dyDescent="0.25">
      <c r="B114" s="411" t="s">
        <v>61</v>
      </c>
      <c r="C114" s="412">
        <v>2025</v>
      </c>
      <c r="D114" s="412" t="s">
        <v>596</v>
      </c>
      <c r="E114" s="413">
        <v>381.95102702431569</v>
      </c>
      <c r="F114" s="17"/>
      <c r="G114" s="17"/>
      <c r="H114" s="17"/>
      <c r="I114" s="17"/>
    </row>
    <row r="115" spans="2:9" ht="15.75" x14ac:dyDescent="0.25">
      <c r="B115" s="411" t="s">
        <v>61</v>
      </c>
      <c r="C115" s="412">
        <v>2026</v>
      </c>
      <c r="D115" s="412" t="s">
        <v>597</v>
      </c>
      <c r="E115" s="413">
        <v>369.90201787098431</v>
      </c>
      <c r="F115" s="17"/>
      <c r="G115" s="17"/>
      <c r="H115" s="17"/>
      <c r="I115" s="17"/>
    </row>
    <row r="116" spans="2:9" ht="15.75" x14ac:dyDescent="0.25">
      <c r="B116" s="411" t="s">
        <v>61</v>
      </c>
      <c r="C116" s="412">
        <v>2027</v>
      </c>
      <c r="D116" s="412" t="s">
        <v>598</v>
      </c>
      <c r="E116" s="413">
        <v>358.68670504701021</v>
      </c>
      <c r="F116" s="17"/>
      <c r="G116" s="17"/>
      <c r="H116" s="17"/>
      <c r="I116" s="17"/>
    </row>
    <row r="117" spans="2:9" ht="15.75" x14ac:dyDescent="0.25">
      <c r="B117" s="411" t="s">
        <v>61</v>
      </c>
      <c r="C117" s="412">
        <v>2028</v>
      </c>
      <c r="D117" s="412" t="s">
        <v>599</v>
      </c>
      <c r="E117" s="413">
        <v>348.4095778878069</v>
      </c>
      <c r="F117" s="17"/>
      <c r="G117" s="17"/>
      <c r="H117" s="17"/>
      <c r="I117" s="17"/>
    </row>
    <row r="118" spans="2:9" ht="15.75" x14ac:dyDescent="0.25">
      <c r="B118" s="411" t="s">
        <v>61</v>
      </c>
      <c r="C118" s="412">
        <v>2029</v>
      </c>
      <c r="D118" s="412" t="s">
        <v>600</v>
      </c>
      <c r="E118" s="413">
        <v>339.03825499496446</v>
      </c>
      <c r="F118" s="17"/>
      <c r="G118" s="17"/>
      <c r="H118" s="17"/>
      <c r="I118" s="17"/>
    </row>
    <row r="119" spans="2:9" ht="15.75" x14ac:dyDescent="0.25">
      <c r="B119" s="411" t="s">
        <v>61</v>
      </c>
      <c r="C119" s="412">
        <v>2030</v>
      </c>
      <c r="D119" s="412" t="s">
        <v>601</v>
      </c>
      <c r="E119" s="413">
        <v>330.55479144930217</v>
      </c>
      <c r="F119" s="17"/>
      <c r="G119" s="17"/>
      <c r="H119" s="17"/>
      <c r="I119" s="17"/>
    </row>
    <row r="120" spans="2:9" ht="15.75" x14ac:dyDescent="0.25">
      <c r="B120" s="411" t="s">
        <v>61</v>
      </c>
      <c r="C120" s="412">
        <v>2031</v>
      </c>
      <c r="D120" s="412" t="s">
        <v>602</v>
      </c>
      <c r="E120" s="413">
        <v>322.96710742575925</v>
      </c>
      <c r="F120" s="17"/>
      <c r="G120" s="17"/>
      <c r="H120" s="17"/>
      <c r="I120" s="17"/>
    </row>
    <row r="121" spans="2:9" ht="15.75" x14ac:dyDescent="0.25">
      <c r="B121" s="411" t="s">
        <v>61</v>
      </c>
      <c r="C121" s="412">
        <v>2032</v>
      </c>
      <c r="D121" s="412" t="s">
        <v>603</v>
      </c>
      <c r="E121" s="413">
        <v>316.22225604219062</v>
      </c>
      <c r="F121" s="17"/>
      <c r="G121" s="17"/>
      <c r="H121" s="17"/>
      <c r="I121" s="17"/>
    </row>
    <row r="122" spans="2:9" ht="15.75" x14ac:dyDescent="0.25">
      <c r="B122" s="411" t="s">
        <v>61</v>
      </c>
      <c r="C122" s="412">
        <v>2033</v>
      </c>
      <c r="D122" s="412" t="s">
        <v>604</v>
      </c>
      <c r="E122" s="413">
        <v>310.21593262861347</v>
      </c>
      <c r="F122" s="17"/>
      <c r="G122" s="17"/>
      <c r="H122" s="17"/>
      <c r="I122" s="17"/>
    </row>
    <row r="123" spans="2:9" ht="15.75" x14ac:dyDescent="0.25">
      <c r="B123" s="411" t="s">
        <v>61</v>
      </c>
      <c r="C123" s="412">
        <v>2034</v>
      </c>
      <c r="D123" s="412" t="s">
        <v>605</v>
      </c>
      <c r="E123" s="413">
        <v>304.86957756828298</v>
      </c>
      <c r="F123" s="17"/>
      <c r="G123" s="17"/>
      <c r="H123" s="17"/>
      <c r="I123" s="17"/>
    </row>
    <row r="124" spans="2:9" ht="15.75" x14ac:dyDescent="0.25">
      <c r="B124" s="411" t="s">
        <v>61</v>
      </c>
      <c r="C124" s="412">
        <v>2035</v>
      </c>
      <c r="D124" s="412" t="s">
        <v>606</v>
      </c>
      <c r="E124" s="413">
        <v>300.14256070863365</v>
      </c>
      <c r="F124" s="17"/>
      <c r="G124" s="17"/>
      <c r="H124" s="17"/>
      <c r="I124" s="17"/>
    </row>
    <row r="125" spans="2:9" ht="15.75" x14ac:dyDescent="0.25">
      <c r="B125" s="411" t="s">
        <v>61</v>
      </c>
      <c r="C125" s="412">
        <v>2036</v>
      </c>
      <c r="D125" s="412" t="s">
        <v>607</v>
      </c>
      <c r="E125" s="413">
        <v>295.99676566296648</v>
      </c>
      <c r="F125" s="17"/>
      <c r="G125" s="17"/>
      <c r="H125" s="17"/>
      <c r="I125" s="17"/>
    </row>
    <row r="126" spans="2:9" ht="15.75" x14ac:dyDescent="0.25">
      <c r="B126" s="411" t="s">
        <v>61</v>
      </c>
      <c r="C126" s="412">
        <v>2037</v>
      </c>
      <c r="D126" s="412" t="s">
        <v>608</v>
      </c>
      <c r="E126" s="413">
        <v>292.38084711993804</v>
      </c>
      <c r="F126" s="17"/>
      <c r="G126" s="17"/>
      <c r="H126" s="17"/>
      <c r="I126" s="17"/>
    </row>
    <row r="127" spans="2:9" ht="15.75" x14ac:dyDescent="0.25">
      <c r="B127" s="411" t="s">
        <v>61</v>
      </c>
      <c r="C127" s="412">
        <v>2038</v>
      </c>
      <c r="D127" s="412" t="s">
        <v>609</v>
      </c>
      <c r="E127" s="413">
        <v>289.24804403940021</v>
      </c>
      <c r="F127" s="17"/>
      <c r="G127" s="17"/>
      <c r="H127" s="17"/>
      <c r="I127" s="17"/>
    </row>
    <row r="128" spans="2:9" ht="15.75" x14ac:dyDescent="0.25">
      <c r="B128" s="411" t="s">
        <v>61</v>
      </c>
      <c r="C128" s="412">
        <v>2039</v>
      </c>
      <c r="D128" s="412" t="s">
        <v>610</v>
      </c>
      <c r="E128" s="413">
        <v>286.49334524235627</v>
      </c>
      <c r="F128" s="17"/>
      <c r="G128" s="17"/>
      <c r="H128" s="17"/>
      <c r="I128" s="17"/>
    </row>
    <row r="129" spans="2:9" ht="15.75" x14ac:dyDescent="0.25">
      <c r="B129" s="411" t="s">
        <v>61</v>
      </c>
      <c r="C129" s="412">
        <v>2040</v>
      </c>
      <c r="D129" s="412" t="s">
        <v>611</v>
      </c>
      <c r="E129" s="413">
        <v>284.11010200249632</v>
      </c>
      <c r="F129" s="17"/>
      <c r="G129" s="17"/>
      <c r="H129" s="17"/>
      <c r="I129" s="17"/>
    </row>
    <row r="130" spans="2:9" ht="15.75" x14ac:dyDescent="0.25">
      <c r="B130" s="411" t="s">
        <v>61</v>
      </c>
      <c r="C130" s="412">
        <v>2041</v>
      </c>
      <c r="D130" s="412" t="s">
        <v>612</v>
      </c>
      <c r="E130" s="413">
        <v>282.04524671205081</v>
      </c>
      <c r="F130" s="17"/>
      <c r="G130" s="17"/>
      <c r="H130" s="17"/>
      <c r="I130" s="17"/>
    </row>
    <row r="131" spans="2:9" ht="15.75" x14ac:dyDescent="0.25">
      <c r="B131" s="411" t="s">
        <v>61</v>
      </c>
      <c r="C131" s="412">
        <v>2042</v>
      </c>
      <c r="D131" s="412" t="s">
        <v>613</v>
      </c>
      <c r="E131" s="413">
        <v>280.22253782375827</v>
      </c>
      <c r="F131" s="17"/>
      <c r="G131" s="17"/>
      <c r="H131" s="17"/>
      <c r="I131" s="17"/>
    </row>
    <row r="132" spans="2:9" ht="15.75" x14ac:dyDescent="0.25">
      <c r="B132" s="411" t="s">
        <v>61</v>
      </c>
      <c r="C132" s="412">
        <v>2043</v>
      </c>
      <c r="D132" s="412" t="s">
        <v>614</v>
      </c>
      <c r="E132" s="413">
        <v>278.61310897113503</v>
      </c>
      <c r="F132" s="17"/>
      <c r="G132" s="17"/>
      <c r="H132" s="17"/>
      <c r="I132" s="17"/>
    </row>
    <row r="133" spans="2:9" ht="15.75" x14ac:dyDescent="0.25">
      <c r="B133" s="411" t="s">
        <v>61</v>
      </c>
      <c r="C133" s="412">
        <v>2044</v>
      </c>
      <c r="D133" s="412" t="s">
        <v>615</v>
      </c>
      <c r="E133" s="413">
        <v>277.20812967429998</v>
      </c>
      <c r="F133" s="17"/>
      <c r="G133" s="17"/>
      <c r="H133" s="17"/>
      <c r="I133" s="17"/>
    </row>
    <row r="134" spans="2:9" ht="15.75" x14ac:dyDescent="0.25">
      <c r="B134" s="411" t="s">
        <v>61</v>
      </c>
      <c r="C134" s="412">
        <v>2045</v>
      </c>
      <c r="D134" s="412" t="s">
        <v>616</v>
      </c>
      <c r="E134" s="413">
        <v>275.92611462185272</v>
      </c>
      <c r="F134" s="17"/>
      <c r="G134" s="17"/>
      <c r="H134" s="17"/>
      <c r="I134" s="17"/>
    </row>
    <row r="135" spans="2:9" ht="15.75" x14ac:dyDescent="0.25">
      <c r="B135" s="411" t="s">
        <v>61</v>
      </c>
      <c r="C135" s="412">
        <v>2046</v>
      </c>
      <c r="D135" s="412" t="s">
        <v>617</v>
      </c>
      <c r="E135" s="413">
        <v>274.83106079727315</v>
      </c>
      <c r="F135" s="17"/>
      <c r="G135" s="17"/>
      <c r="H135" s="17"/>
      <c r="I135" s="17"/>
    </row>
    <row r="136" spans="2:9" ht="15.75" x14ac:dyDescent="0.25">
      <c r="B136" s="411" t="s">
        <v>61</v>
      </c>
      <c r="C136" s="412">
        <v>2047</v>
      </c>
      <c r="D136" s="412" t="s">
        <v>618</v>
      </c>
      <c r="E136" s="413">
        <v>273.88428736217116</v>
      </c>
      <c r="F136" s="17"/>
      <c r="G136" s="17"/>
      <c r="H136" s="17"/>
      <c r="I136" s="17"/>
    </row>
    <row r="137" spans="2:9" ht="15.75" x14ac:dyDescent="0.25">
      <c r="B137" s="411" t="s">
        <v>61</v>
      </c>
      <c r="C137" s="412">
        <v>2048</v>
      </c>
      <c r="D137" s="412" t="s">
        <v>619</v>
      </c>
      <c r="E137" s="413">
        <v>273.04847998854444</v>
      </c>
      <c r="F137" s="17"/>
      <c r="G137" s="17"/>
      <c r="H137" s="17"/>
      <c r="I137" s="17"/>
    </row>
    <row r="138" spans="2:9" ht="15.75" x14ac:dyDescent="0.25">
      <c r="B138" s="411" t="s">
        <v>61</v>
      </c>
      <c r="C138" s="412">
        <v>2049</v>
      </c>
      <c r="D138" s="412" t="s">
        <v>620</v>
      </c>
      <c r="E138" s="413">
        <v>272.33673912857637</v>
      </c>
      <c r="F138" s="17"/>
      <c r="G138" s="17"/>
      <c r="H138" s="17"/>
      <c r="I138" s="17"/>
    </row>
    <row r="139" spans="2:9" ht="15.75" x14ac:dyDescent="0.25">
      <c r="B139" s="411" t="s">
        <v>61</v>
      </c>
      <c r="C139" s="412">
        <v>2050</v>
      </c>
      <c r="D139" s="412" t="s">
        <v>621</v>
      </c>
      <c r="E139" s="413">
        <v>271.72134490006641</v>
      </c>
      <c r="F139" s="17"/>
      <c r="G139" s="17"/>
      <c r="H139" s="17"/>
      <c r="I139" s="17"/>
    </row>
    <row r="140" spans="2:9" ht="15.75" x14ac:dyDescent="0.25">
      <c r="B140" s="407" t="s">
        <v>62</v>
      </c>
      <c r="C140" s="408">
        <v>2015</v>
      </c>
      <c r="D140" s="409" t="s">
        <v>200</v>
      </c>
      <c r="E140" s="410">
        <v>535.95984837211006</v>
      </c>
      <c r="F140" s="17"/>
      <c r="G140" s="17"/>
      <c r="H140" s="17"/>
      <c r="I140" s="17"/>
    </row>
    <row r="141" spans="2:9" ht="15.75" x14ac:dyDescent="0.25">
      <c r="B141" s="407" t="s">
        <v>62</v>
      </c>
      <c r="C141" s="408">
        <v>2016</v>
      </c>
      <c r="D141" s="409" t="s">
        <v>201</v>
      </c>
      <c r="E141" s="410">
        <v>527.70784119660073</v>
      </c>
      <c r="F141" s="17"/>
      <c r="G141" s="17"/>
      <c r="H141" s="17"/>
      <c r="I141" s="17"/>
    </row>
    <row r="142" spans="2:9" ht="15.75" x14ac:dyDescent="0.25">
      <c r="B142" s="411" t="s">
        <v>62</v>
      </c>
      <c r="C142" s="412">
        <v>2017</v>
      </c>
      <c r="D142" s="412" t="s">
        <v>622</v>
      </c>
      <c r="E142" s="413">
        <v>514.50914293854748</v>
      </c>
      <c r="F142" s="17"/>
      <c r="G142" s="17"/>
      <c r="H142" s="17"/>
      <c r="I142" s="17"/>
    </row>
    <row r="143" spans="2:9" ht="15.75" x14ac:dyDescent="0.25">
      <c r="B143" s="411" t="s">
        <v>62</v>
      </c>
      <c r="C143" s="412">
        <v>2018</v>
      </c>
      <c r="D143" s="412" t="s">
        <v>623</v>
      </c>
      <c r="E143" s="413">
        <v>500.50456981424884</v>
      </c>
      <c r="F143" s="17"/>
      <c r="G143" s="17"/>
      <c r="H143" s="17"/>
      <c r="I143" s="17"/>
    </row>
    <row r="144" spans="2:9" ht="15.75" x14ac:dyDescent="0.25">
      <c r="B144" s="411" t="s">
        <v>62</v>
      </c>
      <c r="C144" s="412">
        <v>2019</v>
      </c>
      <c r="D144" s="412" t="s">
        <v>624</v>
      </c>
      <c r="E144" s="413">
        <v>485.86895880654231</v>
      </c>
      <c r="F144" s="17"/>
      <c r="G144" s="17"/>
      <c r="H144" s="17"/>
      <c r="I144" s="17"/>
    </row>
    <row r="145" spans="2:9" ht="15.75" x14ac:dyDescent="0.25">
      <c r="B145" s="411" t="s">
        <v>62</v>
      </c>
      <c r="C145" s="412">
        <v>2020</v>
      </c>
      <c r="D145" s="412" t="s">
        <v>625</v>
      </c>
      <c r="E145" s="413">
        <v>470.98213588882794</v>
      </c>
      <c r="F145" s="17"/>
      <c r="G145" s="17"/>
      <c r="H145" s="17"/>
      <c r="I145" s="17"/>
    </row>
    <row r="146" spans="2:9" ht="15.75" x14ac:dyDescent="0.25">
      <c r="B146" s="411" t="s">
        <v>62</v>
      </c>
      <c r="C146" s="412">
        <v>2021</v>
      </c>
      <c r="D146" s="412" t="s">
        <v>626</v>
      </c>
      <c r="E146" s="413">
        <v>456.5579177752262</v>
      </c>
      <c r="F146" s="17"/>
      <c r="G146" s="17"/>
      <c r="H146" s="17"/>
      <c r="I146" s="17"/>
    </row>
    <row r="147" spans="2:9" ht="15.75" x14ac:dyDescent="0.25">
      <c r="B147" s="411" t="s">
        <v>62</v>
      </c>
      <c r="C147" s="412">
        <v>2022</v>
      </c>
      <c r="D147" s="412" t="s">
        <v>627</v>
      </c>
      <c r="E147" s="413">
        <v>441.62829785798453</v>
      </c>
      <c r="F147" s="17"/>
      <c r="G147" s="17"/>
      <c r="H147" s="17"/>
      <c r="I147" s="17"/>
    </row>
    <row r="148" spans="2:9" ht="15.75" x14ac:dyDescent="0.25">
      <c r="B148" s="411" t="s">
        <v>62</v>
      </c>
      <c r="C148" s="412">
        <v>2023</v>
      </c>
      <c r="D148" s="412" t="s">
        <v>628</v>
      </c>
      <c r="E148" s="413">
        <v>426.9284240891173</v>
      </c>
      <c r="F148" s="17"/>
      <c r="G148" s="17"/>
      <c r="H148" s="17"/>
      <c r="I148" s="17"/>
    </row>
    <row r="149" spans="2:9" ht="15.75" x14ac:dyDescent="0.25">
      <c r="B149" s="411" t="s">
        <v>62</v>
      </c>
      <c r="C149" s="412">
        <v>2024</v>
      </c>
      <c r="D149" s="412" t="s">
        <v>629</v>
      </c>
      <c r="E149" s="413">
        <v>412.49307113682318</v>
      </c>
      <c r="F149" s="17"/>
      <c r="G149" s="17"/>
      <c r="H149" s="17"/>
      <c r="I149" s="17"/>
    </row>
    <row r="150" spans="2:9" ht="15.75" x14ac:dyDescent="0.25">
      <c r="B150" s="411" t="s">
        <v>62</v>
      </c>
      <c r="C150" s="412">
        <v>2025</v>
      </c>
      <c r="D150" s="412" t="s">
        <v>630</v>
      </c>
      <c r="E150" s="413">
        <v>398.42676344254522</v>
      </c>
      <c r="F150" s="17"/>
      <c r="G150" s="17"/>
      <c r="H150" s="17"/>
      <c r="I150" s="17"/>
    </row>
    <row r="151" spans="2:9" ht="15.75" x14ac:dyDescent="0.25">
      <c r="B151" s="411" t="s">
        <v>62</v>
      </c>
      <c r="C151" s="412">
        <v>2026</v>
      </c>
      <c r="D151" s="412" t="s">
        <v>631</v>
      </c>
      <c r="E151" s="413">
        <v>385.47314685954052</v>
      </c>
      <c r="F151" s="17"/>
      <c r="G151" s="17"/>
      <c r="H151" s="17"/>
      <c r="I151" s="17"/>
    </row>
    <row r="152" spans="2:9" ht="15.75" x14ac:dyDescent="0.25">
      <c r="B152" s="411" t="s">
        <v>62</v>
      </c>
      <c r="C152" s="412">
        <v>2027</v>
      </c>
      <c r="D152" s="412" t="s">
        <v>632</v>
      </c>
      <c r="E152" s="413">
        <v>373.53823821304263</v>
      </c>
      <c r="F152" s="17"/>
      <c r="G152" s="17"/>
      <c r="H152" s="17"/>
      <c r="I152" s="17"/>
    </row>
    <row r="153" spans="2:9" ht="15.75" x14ac:dyDescent="0.25">
      <c r="B153" s="411" t="s">
        <v>62</v>
      </c>
      <c r="C153" s="412">
        <v>2028</v>
      </c>
      <c r="D153" s="412" t="s">
        <v>633</v>
      </c>
      <c r="E153" s="413">
        <v>362.73242249532632</v>
      </c>
      <c r="F153" s="17"/>
      <c r="G153" s="17"/>
      <c r="H153" s="17"/>
      <c r="I153" s="17"/>
    </row>
    <row r="154" spans="2:9" ht="15.75" x14ac:dyDescent="0.25">
      <c r="B154" s="411" t="s">
        <v>62</v>
      </c>
      <c r="C154" s="412">
        <v>2029</v>
      </c>
      <c r="D154" s="412" t="s">
        <v>634</v>
      </c>
      <c r="E154" s="413">
        <v>352.97199176320248</v>
      </c>
      <c r="F154" s="17"/>
      <c r="G154" s="17"/>
      <c r="H154" s="17"/>
      <c r="I154" s="17"/>
    </row>
    <row r="155" spans="2:9" ht="15.75" x14ac:dyDescent="0.25">
      <c r="B155" s="411" t="s">
        <v>62</v>
      </c>
      <c r="C155" s="412">
        <v>2030</v>
      </c>
      <c r="D155" s="412" t="s">
        <v>635</v>
      </c>
      <c r="E155" s="413">
        <v>344.23113697411435</v>
      </c>
      <c r="F155" s="17"/>
      <c r="G155" s="17"/>
      <c r="H155" s="17"/>
      <c r="I155" s="17"/>
    </row>
    <row r="156" spans="2:9" ht="15.75" x14ac:dyDescent="0.25">
      <c r="B156" s="411" t="s">
        <v>62</v>
      </c>
      <c r="C156" s="412">
        <v>2031</v>
      </c>
      <c r="D156" s="412" t="s">
        <v>636</v>
      </c>
      <c r="E156" s="413">
        <v>336.42998722477063</v>
      </c>
      <c r="F156" s="17"/>
      <c r="G156" s="17"/>
      <c r="H156" s="17"/>
      <c r="I156" s="17"/>
    </row>
    <row r="157" spans="2:9" ht="15.75" x14ac:dyDescent="0.25">
      <c r="B157" s="411" t="s">
        <v>62</v>
      </c>
      <c r="C157" s="412">
        <v>2032</v>
      </c>
      <c r="D157" s="412" t="s">
        <v>637</v>
      </c>
      <c r="E157" s="413">
        <v>329.52971884201833</v>
      </c>
      <c r="F157" s="17"/>
      <c r="G157" s="17"/>
      <c r="H157" s="17"/>
      <c r="I157" s="17"/>
    </row>
    <row r="158" spans="2:9" ht="15.75" x14ac:dyDescent="0.25">
      <c r="B158" s="411" t="s">
        <v>62</v>
      </c>
      <c r="C158" s="412">
        <v>2033</v>
      </c>
      <c r="D158" s="412" t="s">
        <v>638</v>
      </c>
      <c r="E158" s="413">
        <v>323.4252185575852</v>
      </c>
      <c r="F158" s="17"/>
      <c r="G158" s="17"/>
      <c r="H158" s="17"/>
      <c r="I158" s="17"/>
    </row>
    <row r="159" spans="2:9" ht="15.75" x14ac:dyDescent="0.25">
      <c r="B159" s="411" t="s">
        <v>62</v>
      </c>
      <c r="C159" s="412">
        <v>2034</v>
      </c>
      <c r="D159" s="412" t="s">
        <v>639</v>
      </c>
      <c r="E159" s="413">
        <v>318.05155513567883</v>
      </c>
      <c r="F159" s="17"/>
      <c r="G159" s="17"/>
      <c r="H159" s="17"/>
      <c r="I159" s="17"/>
    </row>
    <row r="160" spans="2:9" ht="15.75" x14ac:dyDescent="0.25">
      <c r="B160" s="411" t="s">
        <v>62</v>
      </c>
      <c r="C160" s="412">
        <v>2035</v>
      </c>
      <c r="D160" s="412" t="s">
        <v>640</v>
      </c>
      <c r="E160" s="413">
        <v>313.37217410921056</v>
      </c>
      <c r="F160" s="17"/>
      <c r="G160" s="17"/>
      <c r="H160" s="17"/>
      <c r="I160" s="17"/>
    </row>
    <row r="161" spans="2:9" ht="15.75" x14ac:dyDescent="0.25">
      <c r="B161" s="411" t="s">
        <v>62</v>
      </c>
      <c r="C161" s="412">
        <v>2036</v>
      </c>
      <c r="D161" s="412" t="s">
        <v>641</v>
      </c>
      <c r="E161" s="413">
        <v>309.3140644961469</v>
      </c>
      <c r="F161" s="17"/>
      <c r="G161" s="17"/>
      <c r="H161" s="17"/>
      <c r="I161" s="17"/>
    </row>
    <row r="162" spans="2:9" ht="15.75" x14ac:dyDescent="0.25">
      <c r="B162" s="411" t="s">
        <v>62</v>
      </c>
      <c r="C162" s="412">
        <v>2037</v>
      </c>
      <c r="D162" s="412" t="s">
        <v>642</v>
      </c>
      <c r="E162" s="413">
        <v>305.83571697303915</v>
      </c>
      <c r="F162" s="17"/>
      <c r="G162" s="17"/>
      <c r="H162" s="17"/>
      <c r="I162" s="17"/>
    </row>
    <row r="163" spans="2:9" ht="15.75" x14ac:dyDescent="0.25">
      <c r="B163" s="411" t="s">
        <v>62</v>
      </c>
      <c r="C163" s="412">
        <v>2038</v>
      </c>
      <c r="D163" s="412" t="s">
        <v>643</v>
      </c>
      <c r="E163" s="413">
        <v>302.87738425202912</v>
      </c>
      <c r="F163" s="17"/>
      <c r="G163" s="17"/>
      <c r="H163" s="17"/>
      <c r="I163" s="17"/>
    </row>
    <row r="164" spans="2:9" ht="15.75" x14ac:dyDescent="0.25">
      <c r="B164" s="411" t="s">
        <v>62</v>
      </c>
      <c r="C164" s="412">
        <v>2039</v>
      </c>
      <c r="D164" s="412" t="s">
        <v>644</v>
      </c>
      <c r="E164" s="413">
        <v>300.34745694263711</v>
      </c>
      <c r="F164" s="17"/>
      <c r="G164" s="17"/>
      <c r="H164" s="17"/>
      <c r="I164" s="17"/>
    </row>
    <row r="165" spans="2:9" ht="15.75" x14ac:dyDescent="0.25">
      <c r="B165" s="411" t="s">
        <v>62</v>
      </c>
      <c r="C165" s="412">
        <v>2040</v>
      </c>
      <c r="D165" s="412" t="s">
        <v>645</v>
      </c>
      <c r="E165" s="413">
        <v>298.21673751649593</v>
      </c>
      <c r="F165" s="17"/>
      <c r="G165" s="17"/>
      <c r="H165" s="17"/>
      <c r="I165" s="17"/>
    </row>
    <row r="166" spans="2:9" ht="15.75" x14ac:dyDescent="0.25">
      <c r="B166" s="411" t="s">
        <v>62</v>
      </c>
      <c r="C166" s="412">
        <v>2041</v>
      </c>
      <c r="D166" s="412" t="s">
        <v>646</v>
      </c>
      <c r="E166" s="413">
        <v>296.43662774154478</v>
      </c>
      <c r="F166" s="17"/>
      <c r="G166" s="17"/>
      <c r="H166" s="17"/>
      <c r="I166" s="17"/>
    </row>
    <row r="167" spans="2:9" ht="15.75" x14ac:dyDescent="0.25">
      <c r="B167" s="411" t="s">
        <v>62</v>
      </c>
      <c r="C167" s="412">
        <v>2042</v>
      </c>
      <c r="D167" s="412" t="s">
        <v>647</v>
      </c>
      <c r="E167" s="413">
        <v>294.92922559515188</v>
      </c>
      <c r="F167" s="17"/>
      <c r="G167" s="17"/>
      <c r="H167" s="17"/>
      <c r="I167" s="17"/>
    </row>
    <row r="168" spans="2:9" ht="15.75" x14ac:dyDescent="0.25">
      <c r="B168" s="411" t="s">
        <v>62</v>
      </c>
      <c r="C168" s="412">
        <v>2043</v>
      </c>
      <c r="D168" s="412" t="s">
        <v>648</v>
      </c>
      <c r="E168" s="413">
        <v>293.67646975865773</v>
      </c>
      <c r="F168" s="17"/>
      <c r="G168" s="17"/>
      <c r="H168" s="17"/>
      <c r="I168" s="17"/>
    </row>
    <row r="169" spans="2:9" ht="15.75" x14ac:dyDescent="0.25">
      <c r="B169" s="411" t="s">
        <v>62</v>
      </c>
      <c r="C169" s="412">
        <v>2044</v>
      </c>
      <c r="D169" s="412" t="s">
        <v>649</v>
      </c>
      <c r="E169" s="413">
        <v>292.61724146301827</v>
      </c>
      <c r="F169" s="17"/>
      <c r="G169" s="17"/>
      <c r="H169" s="17"/>
      <c r="I169" s="17"/>
    </row>
    <row r="170" spans="2:9" ht="15.75" x14ac:dyDescent="0.25">
      <c r="B170" s="411" t="s">
        <v>62</v>
      </c>
      <c r="C170" s="412">
        <v>2045</v>
      </c>
      <c r="D170" s="412" t="s">
        <v>650</v>
      </c>
      <c r="E170" s="413">
        <v>291.72156530805267</v>
      </c>
      <c r="F170" s="17"/>
      <c r="G170" s="17"/>
      <c r="H170" s="17"/>
      <c r="I170" s="17"/>
    </row>
    <row r="171" spans="2:9" ht="15.75" x14ac:dyDescent="0.25">
      <c r="B171" s="411" t="s">
        <v>62</v>
      </c>
      <c r="C171" s="412">
        <v>2046</v>
      </c>
      <c r="D171" s="412" t="s">
        <v>651</v>
      </c>
      <c r="E171" s="413">
        <v>290.96543908182645</v>
      </c>
      <c r="F171" s="17"/>
      <c r="G171" s="17"/>
      <c r="H171" s="17"/>
      <c r="I171" s="17"/>
    </row>
    <row r="172" spans="2:9" ht="15.75" x14ac:dyDescent="0.25">
      <c r="B172" s="411" t="s">
        <v>62</v>
      </c>
      <c r="C172" s="412">
        <v>2047</v>
      </c>
      <c r="D172" s="412" t="s">
        <v>652</v>
      </c>
      <c r="E172" s="413">
        <v>290.33567092922016</v>
      </c>
      <c r="F172" s="17"/>
      <c r="G172" s="17"/>
      <c r="H172" s="17"/>
      <c r="I172" s="17"/>
    </row>
    <row r="173" spans="2:9" ht="15.75" x14ac:dyDescent="0.25">
      <c r="B173" s="411" t="s">
        <v>62</v>
      </c>
      <c r="C173" s="412">
        <v>2048</v>
      </c>
      <c r="D173" s="412" t="s">
        <v>653</v>
      </c>
      <c r="E173" s="413">
        <v>289.8092291930185</v>
      </c>
      <c r="F173" s="17"/>
      <c r="G173" s="17"/>
      <c r="H173" s="17"/>
      <c r="I173" s="17"/>
    </row>
    <row r="174" spans="2:9" ht="15.75" x14ac:dyDescent="0.25">
      <c r="B174" s="411" t="s">
        <v>62</v>
      </c>
      <c r="C174" s="412">
        <v>2049</v>
      </c>
      <c r="D174" s="412" t="s">
        <v>654</v>
      </c>
      <c r="E174" s="413">
        <v>289.35727829314499</v>
      </c>
      <c r="F174" s="17"/>
      <c r="G174" s="17"/>
      <c r="H174" s="17"/>
      <c r="I174" s="17"/>
    </row>
    <row r="175" spans="2:9" ht="15.75" x14ac:dyDescent="0.25">
      <c r="B175" s="411" t="s">
        <v>62</v>
      </c>
      <c r="C175" s="412">
        <v>2050</v>
      </c>
      <c r="D175" s="412" t="s">
        <v>655</v>
      </c>
      <c r="E175" s="413">
        <v>288.99636001683075</v>
      </c>
      <c r="F175" s="17"/>
      <c r="G175" s="17"/>
      <c r="H175" s="17"/>
      <c r="I175" s="17"/>
    </row>
    <row r="176" spans="2:9" ht="15.75" x14ac:dyDescent="0.25">
      <c r="B176" s="407" t="s">
        <v>63</v>
      </c>
      <c r="C176" s="408">
        <v>2015</v>
      </c>
      <c r="D176" s="409" t="s">
        <v>202</v>
      </c>
      <c r="E176" s="410">
        <v>538.05743908235843</v>
      </c>
      <c r="F176" s="17"/>
      <c r="G176" s="17"/>
      <c r="H176" s="17"/>
      <c r="I176" s="17"/>
    </row>
    <row r="177" spans="2:9" ht="15.75" x14ac:dyDescent="0.25">
      <c r="B177" s="407" t="s">
        <v>63</v>
      </c>
      <c r="C177" s="408">
        <v>2016</v>
      </c>
      <c r="D177" s="409" t="s">
        <v>203</v>
      </c>
      <c r="E177" s="410">
        <v>530.59494830313793</v>
      </c>
      <c r="F177" s="17"/>
      <c r="G177" s="17"/>
      <c r="H177" s="17"/>
      <c r="I177" s="17"/>
    </row>
    <row r="178" spans="2:9" ht="15.75" x14ac:dyDescent="0.25">
      <c r="B178" s="411" t="s">
        <v>63</v>
      </c>
      <c r="C178" s="412">
        <v>2017</v>
      </c>
      <c r="D178" s="412" t="s">
        <v>656</v>
      </c>
      <c r="E178" s="413">
        <v>518.50977007876224</v>
      </c>
      <c r="F178" s="17"/>
      <c r="G178" s="17"/>
      <c r="H178" s="17"/>
      <c r="I178" s="17"/>
    </row>
    <row r="179" spans="2:9" ht="15.75" x14ac:dyDescent="0.25">
      <c r="B179" s="411" t="s">
        <v>63</v>
      </c>
      <c r="C179" s="412">
        <v>2018</v>
      </c>
      <c r="D179" s="412" t="s">
        <v>657</v>
      </c>
      <c r="E179" s="413">
        <v>505.5949235328913</v>
      </c>
      <c r="F179" s="17"/>
      <c r="G179" s="17"/>
      <c r="H179" s="17"/>
      <c r="I179" s="17"/>
    </row>
    <row r="180" spans="2:9" ht="15.75" x14ac:dyDescent="0.25">
      <c r="B180" s="411" t="s">
        <v>63</v>
      </c>
      <c r="C180" s="412">
        <v>2019</v>
      </c>
      <c r="D180" s="412" t="s">
        <v>658</v>
      </c>
      <c r="E180" s="413">
        <v>492.01793697522066</v>
      </c>
      <c r="F180" s="17"/>
      <c r="G180" s="17"/>
      <c r="H180" s="17"/>
      <c r="I180" s="17"/>
    </row>
    <row r="181" spans="2:9" ht="15.75" x14ac:dyDescent="0.25">
      <c r="B181" s="411" t="s">
        <v>63</v>
      </c>
      <c r="C181" s="412">
        <v>2020</v>
      </c>
      <c r="D181" s="412" t="s">
        <v>659</v>
      </c>
      <c r="E181" s="413">
        <v>478.04949049158495</v>
      </c>
      <c r="F181" s="17"/>
      <c r="G181" s="17"/>
      <c r="H181" s="17"/>
      <c r="I181" s="17"/>
    </row>
    <row r="182" spans="2:9" ht="15.75" x14ac:dyDescent="0.25">
      <c r="B182" s="411" t="s">
        <v>63</v>
      </c>
      <c r="C182" s="412">
        <v>2021</v>
      </c>
      <c r="D182" s="412" t="s">
        <v>660</v>
      </c>
      <c r="E182" s="413">
        <v>463.66840719523259</v>
      </c>
      <c r="F182" s="17"/>
      <c r="G182" s="17"/>
      <c r="H182" s="17"/>
      <c r="I182" s="17"/>
    </row>
    <row r="183" spans="2:9" ht="15.75" x14ac:dyDescent="0.25">
      <c r="B183" s="411" t="s">
        <v>63</v>
      </c>
      <c r="C183" s="412">
        <v>2022</v>
      </c>
      <c r="D183" s="412" t="s">
        <v>661</v>
      </c>
      <c r="E183" s="413">
        <v>449.37185850030846</v>
      </c>
      <c r="F183" s="17"/>
      <c r="G183" s="17"/>
      <c r="H183" s="17"/>
      <c r="I183" s="17"/>
    </row>
    <row r="184" spans="2:9" ht="15.75" x14ac:dyDescent="0.25">
      <c r="B184" s="411" t="s">
        <v>63</v>
      </c>
      <c r="C184" s="412">
        <v>2023</v>
      </c>
      <c r="D184" s="412" t="s">
        <v>662</v>
      </c>
      <c r="E184" s="413">
        <v>435.08069514562322</v>
      </c>
      <c r="F184" s="17"/>
      <c r="G184" s="17"/>
      <c r="H184" s="17"/>
      <c r="I184" s="17"/>
    </row>
    <row r="185" spans="2:9" ht="15.75" x14ac:dyDescent="0.25">
      <c r="B185" s="411" t="s">
        <v>63</v>
      </c>
      <c r="C185" s="412">
        <v>2024</v>
      </c>
      <c r="D185" s="412" t="s">
        <v>663</v>
      </c>
      <c r="E185" s="413">
        <v>420.89852028964657</v>
      </c>
      <c r="F185" s="17"/>
      <c r="G185" s="17"/>
      <c r="H185" s="17"/>
      <c r="I185" s="17"/>
    </row>
    <row r="186" spans="2:9" ht="15.75" x14ac:dyDescent="0.25">
      <c r="B186" s="411" t="s">
        <v>63</v>
      </c>
      <c r="C186" s="412">
        <v>2025</v>
      </c>
      <c r="D186" s="412" t="s">
        <v>664</v>
      </c>
      <c r="E186" s="413">
        <v>407.03815865223282</v>
      </c>
      <c r="F186" s="17"/>
      <c r="G186" s="17"/>
      <c r="H186" s="17"/>
      <c r="I186" s="17"/>
    </row>
    <row r="187" spans="2:9" ht="15.75" x14ac:dyDescent="0.25">
      <c r="B187" s="411" t="s">
        <v>63</v>
      </c>
      <c r="C187" s="412">
        <v>2026</v>
      </c>
      <c r="D187" s="412" t="s">
        <v>665</v>
      </c>
      <c r="E187" s="413">
        <v>394.18374949468301</v>
      </c>
      <c r="F187" s="17"/>
      <c r="G187" s="17"/>
      <c r="H187" s="17"/>
      <c r="I187" s="17"/>
    </row>
    <row r="188" spans="2:9" ht="15.75" x14ac:dyDescent="0.25">
      <c r="B188" s="411" t="s">
        <v>63</v>
      </c>
      <c r="C188" s="412">
        <v>2027</v>
      </c>
      <c r="D188" s="412" t="s">
        <v>666</v>
      </c>
      <c r="E188" s="413">
        <v>382.18008234302647</v>
      </c>
      <c r="F188" s="17"/>
      <c r="G188" s="17"/>
      <c r="H188" s="17"/>
      <c r="I188" s="17"/>
    </row>
    <row r="189" spans="2:9" ht="15.75" x14ac:dyDescent="0.25">
      <c r="B189" s="411" t="s">
        <v>63</v>
      </c>
      <c r="C189" s="412">
        <v>2028</v>
      </c>
      <c r="D189" s="412" t="s">
        <v>667</v>
      </c>
      <c r="E189" s="413">
        <v>371.21485650523425</v>
      </c>
      <c r="F189" s="17"/>
      <c r="G189" s="17"/>
      <c r="H189" s="17"/>
      <c r="I189" s="17"/>
    </row>
    <row r="190" spans="2:9" ht="15.75" x14ac:dyDescent="0.25">
      <c r="B190" s="411" t="s">
        <v>63</v>
      </c>
      <c r="C190" s="412">
        <v>2029</v>
      </c>
      <c r="D190" s="412" t="s">
        <v>668</v>
      </c>
      <c r="E190" s="413">
        <v>361.20727983516122</v>
      </c>
      <c r="F190" s="17"/>
      <c r="G190" s="17"/>
      <c r="H190" s="17"/>
      <c r="I190" s="17"/>
    </row>
    <row r="191" spans="2:9" ht="15.75" x14ac:dyDescent="0.25">
      <c r="B191" s="411" t="s">
        <v>63</v>
      </c>
      <c r="C191" s="412">
        <v>2030</v>
      </c>
      <c r="D191" s="412" t="s">
        <v>669</v>
      </c>
      <c r="E191" s="413">
        <v>352.10223056665967</v>
      </c>
      <c r="F191" s="17"/>
      <c r="G191" s="17"/>
      <c r="H191" s="17"/>
      <c r="I191" s="17"/>
    </row>
    <row r="192" spans="2:9" ht="15.75" x14ac:dyDescent="0.25">
      <c r="B192" s="411" t="s">
        <v>63</v>
      </c>
      <c r="C192" s="412">
        <v>2031</v>
      </c>
      <c r="D192" s="412" t="s">
        <v>670</v>
      </c>
      <c r="E192" s="413">
        <v>343.86418026755541</v>
      </c>
      <c r="F192" s="17"/>
      <c r="G192" s="17"/>
      <c r="H192" s="17"/>
      <c r="I192" s="17"/>
    </row>
    <row r="193" spans="2:9" ht="15.75" x14ac:dyDescent="0.25">
      <c r="B193" s="411" t="s">
        <v>63</v>
      </c>
      <c r="C193" s="412">
        <v>2032</v>
      </c>
      <c r="D193" s="412" t="s">
        <v>671</v>
      </c>
      <c r="E193" s="413">
        <v>336.49934039653431</v>
      </c>
      <c r="F193" s="17"/>
      <c r="G193" s="17"/>
      <c r="H193" s="17"/>
      <c r="I193" s="17"/>
    </row>
    <row r="194" spans="2:9" ht="15.75" x14ac:dyDescent="0.25">
      <c r="B194" s="411" t="s">
        <v>63</v>
      </c>
      <c r="C194" s="412">
        <v>2033</v>
      </c>
      <c r="D194" s="412" t="s">
        <v>672</v>
      </c>
      <c r="E194" s="413">
        <v>329.96861423253171</v>
      </c>
      <c r="F194" s="17"/>
      <c r="G194" s="17"/>
      <c r="H194" s="17"/>
      <c r="I194" s="17"/>
    </row>
    <row r="195" spans="2:9" ht="15.75" x14ac:dyDescent="0.25">
      <c r="B195" s="411" t="s">
        <v>63</v>
      </c>
      <c r="C195" s="412">
        <v>2034</v>
      </c>
      <c r="D195" s="412" t="s">
        <v>673</v>
      </c>
      <c r="E195" s="413">
        <v>324.13817766346654</v>
      </c>
      <c r="F195" s="17"/>
      <c r="G195" s="17"/>
      <c r="H195" s="17"/>
      <c r="I195" s="17"/>
    </row>
    <row r="196" spans="2:9" ht="15.75" x14ac:dyDescent="0.25">
      <c r="B196" s="411" t="s">
        <v>63</v>
      </c>
      <c r="C196" s="412">
        <v>2035</v>
      </c>
      <c r="D196" s="412" t="s">
        <v>674</v>
      </c>
      <c r="E196" s="413">
        <v>319.02474562785017</v>
      </c>
      <c r="F196" s="17"/>
      <c r="G196" s="17"/>
      <c r="H196" s="17"/>
      <c r="I196" s="17"/>
    </row>
    <row r="197" spans="2:9" ht="15.75" x14ac:dyDescent="0.25">
      <c r="B197" s="411" t="s">
        <v>63</v>
      </c>
      <c r="C197" s="412">
        <v>2036</v>
      </c>
      <c r="D197" s="412" t="s">
        <v>675</v>
      </c>
      <c r="E197" s="413">
        <v>314.49944449897714</v>
      </c>
      <c r="F197" s="17"/>
      <c r="G197" s="17"/>
      <c r="H197" s="17"/>
      <c r="I197" s="17"/>
    </row>
    <row r="198" spans="2:9" ht="15.75" x14ac:dyDescent="0.25">
      <c r="B198" s="411" t="s">
        <v>63</v>
      </c>
      <c r="C198" s="412">
        <v>2037</v>
      </c>
      <c r="D198" s="412" t="s">
        <v>676</v>
      </c>
      <c r="E198" s="413">
        <v>310.56073073228544</v>
      </c>
      <c r="F198" s="17"/>
      <c r="G198" s="17"/>
      <c r="H198" s="17"/>
      <c r="I198" s="17"/>
    </row>
    <row r="199" spans="2:9" ht="15.75" x14ac:dyDescent="0.25">
      <c r="B199" s="411" t="s">
        <v>63</v>
      </c>
      <c r="C199" s="412">
        <v>2038</v>
      </c>
      <c r="D199" s="412" t="s">
        <v>677</v>
      </c>
      <c r="E199" s="413">
        <v>307.13875662134666</v>
      </c>
      <c r="F199" s="17"/>
      <c r="G199" s="17"/>
      <c r="H199" s="17"/>
      <c r="I199" s="17"/>
    </row>
    <row r="200" spans="2:9" ht="15.75" x14ac:dyDescent="0.25">
      <c r="B200" s="411" t="s">
        <v>63</v>
      </c>
      <c r="C200" s="412">
        <v>2039</v>
      </c>
      <c r="D200" s="412" t="s">
        <v>678</v>
      </c>
      <c r="E200" s="413">
        <v>304.13792119850541</v>
      </c>
      <c r="F200" s="17"/>
      <c r="G200" s="17"/>
      <c r="H200" s="17"/>
      <c r="I200" s="17"/>
    </row>
    <row r="201" spans="2:9" ht="15.75" x14ac:dyDescent="0.25">
      <c r="B201" s="411" t="s">
        <v>63</v>
      </c>
      <c r="C201" s="412">
        <v>2040</v>
      </c>
      <c r="D201" s="412" t="s">
        <v>679</v>
      </c>
      <c r="E201" s="413">
        <v>301.48990961998226</v>
      </c>
      <c r="F201" s="17"/>
      <c r="G201" s="17"/>
      <c r="H201" s="17"/>
      <c r="I201" s="17"/>
    </row>
    <row r="202" spans="2:9" ht="15.75" x14ac:dyDescent="0.25">
      <c r="B202" s="411" t="s">
        <v>63</v>
      </c>
      <c r="C202" s="412">
        <v>2041</v>
      </c>
      <c r="D202" s="412" t="s">
        <v>680</v>
      </c>
      <c r="E202" s="413">
        <v>299.21524660339082</v>
      </c>
      <c r="F202" s="17"/>
      <c r="G202" s="17"/>
      <c r="H202" s="17"/>
      <c r="I202" s="17"/>
    </row>
    <row r="203" spans="2:9" ht="15.75" x14ac:dyDescent="0.25">
      <c r="B203" s="411" t="s">
        <v>63</v>
      </c>
      <c r="C203" s="412">
        <v>2042</v>
      </c>
      <c r="D203" s="412" t="s">
        <v>681</v>
      </c>
      <c r="E203" s="413">
        <v>297.18729952487985</v>
      </c>
      <c r="F203" s="17"/>
      <c r="G203" s="17"/>
      <c r="H203" s="17"/>
      <c r="I203" s="17"/>
    </row>
    <row r="204" spans="2:9" ht="15.75" x14ac:dyDescent="0.25">
      <c r="B204" s="411" t="s">
        <v>63</v>
      </c>
      <c r="C204" s="412">
        <v>2043</v>
      </c>
      <c r="D204" s="412" t="s">
        <v>682</v>
      </c>
      <c r="E204" s="413">
        <v>295.42165108700794</v>
      </c>
      <c r="F204" s="17"/>
      <c r="G204" s="17"/>
      <c r="H204" s="17"/>
      <c r="I204" s="17"/>
    </row>
    <row r="205" spans="2:9" ht="15.75" x14ac:dyDescent="0.25">
      <c r="B205" s="411" t="s">
        <v>63</v>
      </c>
      <c r="C205" s="412">
        <v>2044</v>
      </c>
      <c r="D205" s="412" t="s">
        <v>683</v>
      </c>
      <c r="E205" s="413">
        <v>293.8680525416122</v>
      </c>
      <c r="F205" s="17"/>
      <c r="G205" s="17"/>
      <c r="H205" s="17"/>
      <c r="I205" s="17"/>
    </row>
    <row r="206" spans="2:9" ht="15.75" x14ac:dyDescent="0.25">
      <c r="B206" s="411" t="s">
        <v>63</v>
      </c>
      <c r="C206" s="412">
        <v>2045</v>
      </c>
      <c r="D206" s="412" t="s">
        <v>684</v>
      </c>
      <c r="E206" s="413">
        <v>292.48086946597698</v>
      </c>
      <c r="F206" s="17"/>
      <c r="G206" s="17"/>
      <c r="H206" s="17"/>
      <c r="I206" s="17"/>
    </row>
    <row r="207" spans="2:9" ht="15.75" x14ac:dyDescent="0.25">
      <c r="B207" s="411" t="s">
        <v>63</v>
      </c>
      <c r="C207" s="412">
        <v>2046</v>
      </c>
      <c r="D207" s="412" t="s">
        <v>685</v>
      </c>
      <c r="E207" s="413">
        <v>291.2448966953765</v>
      </c>
      <c r="F207" s="17"/>
      <c r="G207" s="17"/>
      <c r="H207" s="17"/>
      <c r="I207" s="17"/>
    </row>
    <row r="208" spans="2:9" ht="15.75" x14ac:dyDescent="0.25">
      <c r="B208" s="411" t="s">
        <v>63</v>
      </c>
      <c r="C208" s="412">
        <v>2047</v>
      </c>
      <c r="D208" s="412" t="s">
        <v>686</v>
      </c>
      <c r="E208" s="413">
        <v>290.19994329139985</v>
      </c>
      <c r="F208" s="17"/>
      <c r="G208" s="17"/>
      <c r="H208" s="17"/>
      <c r="I208" s="17"/>
    </row>
    <row r="209" spans="2:9" ht="15.75" x14ac:dyDescent="0.25">
      <c r="B209" s="411" t="s">
        <v>63</v>
      </c>
      <c r="C209" s="412">
        <v>2048</v>
      </c>
      <c r="D209" s="412" t="s">
        <v>687</v>
      </c>
      <c r="E209" s="413">
        <v>289.27619719013774</v>
      </c>
      <c r="F209" s="17"/>
      <c r="G209" s="17"/>
      <c r="H209" s="17"/>
      <c r="I209" s="17"/>
    </row>
    <row r="210" spans="2:9" ht="15.75" x14ac:dyDescent="0.25">
      <c r="B210" s="411" t="s">
        <v>63</v>
      </c>
      <c r="C210" s="412">
        <v>2049</v>
      </c>
      <c r="D210" s="412" t="s">
        <v>688</v>
      </c>
      <c r="E210" s="413">
        <v>288.49203366807672</v>
      </c>
      <c r="F210" s="17"/>
      <c r="G210" s="17"/>
      <c r="H210" s="17"/>
      <c r="I210" s="17"/>
    </row>
    <row r="211" spans="2:9" ht="15.75" x14ac:dyDescent="0.25">
      <c r="B211" s="411" t="s">
        <v>63</v>
      </c>
      <c r="C211" s="412">
        <v>2050</v>
      </c>
      <c r="D211" s="412" t="s">
        <v>689</v>
      </c>
      <c r="E211" s="413">
        <v>287.79174369287642</v>
      </c>
      <c r="F211" s="17"/>
      <c r="G211" s="17"/>
      <c r="H211" s="17"/>
      <c r="I211" s="17"/>
    </row>
    <row r="212" spans="2:9" ht="15.75" x14ac:dyDescent="0.25">
      <c r="B212" s="407" t="s">
        <v>64</v>
      </c>
      <c r="C212" s="408">
        <v>2015</v>
      </c>
      <c r="D212" s="409" t="s">
        <v>204</v>
      </c>
      <c r="E212" s="410">
        <v>517.28360483111078</v>
      </c>
      <c r="F212" s="17"/>
      <c r="G212" s="17"/>
      <c r="H212" s="17"/>
      <c r="I212" s="17"/>
    </row>
    <row r="213" spans="2:9" ht="15.75" x14ac:dyDescent="0.25">
      <c r="B213" s="407" t="s">
        <v>64</v>
      </c>
      <c r="C213" s="408">
        <v>2016</v>
      </c>
      <c r="D213" s="409" t="s">
        <v>205</v>
      </c>
      <c r="E213" s="410">
        <v>506.76510066260994</v>
      </c>
      <c r="F213" s="17"/>
      <c r="G213" s="17"/>
      <c r="H213" s="17"/>
      <c r="I213" s="17"/>
    </row>
    <row r="214" spans="2:9" ht="15.75" x14ac:dyDescent="0.25">
      <c r="B214" s="411" t="s">
        <v>64</v>
      </c>
      <c r="C214" s="412">
        <v>2017</v>
      </c>
      <c r="D214" s="412" t="s">
        <v>690</v>
      </c>
      <c r="E214" s="413">
        <v>494.1114643303959</v>
      </c>
      <c r="F214" s="17"/>
      <c r="G214" s="17"/>
      <c r="H214" s="17"/>
      <c r="I214" s="17"/>
    </row>
    <row r="215" spans="2:9" ht="15.75" x14ac:dyDescent="0.25">
      <c r="B215" s="411" t="s">
        <v>64</v>
      </c>
      <c r="C215" s="412">
        <v>2018</v>
      </c>
      <c r="D215" s="412" t="s">
        <v>691</v>
      </c>
      <c r="E215" s="413">
        <v>480.61844733660587</v>
      </c>
      <c r="F215" s="17"/>
      <c r="G215" s="17"/>
      <c r="H215" s="17"/>
      <c r="I215" s="17"/>
    </row>
    <row r="216" spans="2:9" ht="15.75" x14ac:dyDescent="0.25">
      <c r="B216" s="411" t="s">
        <v>64</v>
      </c>
      <c r="C216" s="412">
        <v>2019</v>
      </c>
      <c r="D216" s="412" t="s">
        <v>692</v>
      </c>
      <c r="E216" s="413">
        <v>466.68529191539989</v>
      </c>
      <c r="F216" s="17"/>
      <c r="G216" s="17"/>
      <c r="H216" s="17"/>
      <c r="I216" s="17"/>
    </row>
    <row r="217" spans="2:9" ht="15.75" x14ac:dyDescent="0.25">
      <c r="B217" s="411" t="s">
        <v>64</v>
      </c>
      <c r="C217" s="412">
        <v>2020</v>
      </c>
      <c r="D217" s="412" t="s">
        <v>693</v>
      </c>
      <c r="E217" s="413">
        <v>452.57488585248387</v>
      </c>
      <c r="F217" s="17"/>
      <c r="G217" s="17"/>
      <c r="H217" s="17"/>
      <c r="I217" s="17"/>
    </row>
    <row r="218" spans="2:9" ht="15.75" x14ac:dyDescent="0.25">
      <c r="B218" s="411" t="s">
        <v>64</v>
      </c>
      <c r="C218" s="412">
        <v>2021</v>
      </c>
      <c r="D218" s="412" t="s">
        <v>694</v>
      </c>
      <c r="E218" s="413">
        <v>438.4363286261306</v>
      </c>
      <c r="F218" s="17"/>
      <c r="G218" s="17"/>
      <c r="H218" s="17"/>
      <c r="I218" s="17"/>
    </row>
    <row r="219" spans="2:9" ht="15.75" x14ac:dyDescent="0.25">
      <c r="B219" s="411" t="s">
        <v>64</v>
      </c>
      <c r="C219" s="412">
        <v>2022</v>
      </c>
      <c r="D219" s="412" t="s">
        <v>695</v>
      </c>
      <c r="E219" s="413">
        <v>424.5892574538787</v>
      </c>
      <c r="F219" s="17"/>
      <c r="G219" s="17"/>
      <c r="H219" s="17"/>
      <c r="I219" s="17"/>
    </row>
    <row r="220" spans="2:9" ht="15.75" x14ac:dyDescent="0.25">
      <c r="B220" s="411" t="s">
        <v>64</v>
      </c>
      <c r="C220" s="412">
        <v>2023</v>
      </c>
      <c r="D220" s="412" t="s">
        <v>696</v>
      </c>
      <c r="E220" s="413">
        <v>410.96888406354105</v>
      </c>
      <c r="F220" s="17"/>
      <c r="G220" s="17"/>
      <c r="H220" s="17"/>
      <c r="I220" s="17"/>
    </row>
    <row r="221" spans="2:9" ht="15.75" x14ac:dyDescent="0.25">
      <c r="B221" s="411" t="s">
        <v>64</v>
      </c>
      <c r="C221" s="412">
        <v>2024</v>
      </c>
      <c r="D221" s="412" t="s">
        <v>697</v>
      </c>
      <c r="E221" s="413">
        <v>397.62225632626667</v>
      </c>
      <c r="F221" s="17"/>
      <c r="G221" s="17"/>
      <c r="H221" s="17"/>
      <c r="I221" s="17"/>
    </row>
    <row r="222" spans="2:9" ht="15.75" x14ac:dyDescent="0.25">
      <c r="B222" s="411" t="s">
        <v>64</v>
      </c>
      <c r="C222" s="412">
        <v>2025</v>
      </c>
      <c r="D222" s="412" t="s">
        <v>698</v>
      </c>
      <c r="E222" s="413">
        <v>384.53102979928912</v>
      </c>
      <c r="F222" s="17"/>
      <c r="G222" s="17"/>
      <c r="H222" s="17"/>
      <c r="I222" s="17"/>
    </row>
    <row r="223" spans="2:9" ht="15.75" x14ac:dyDescent="0.25">
      <c r="B223" s="411" t="s">
        <v>64</v>
      </c>
      <c r="C223" s="412">
        <v>2026</v>
      </c>
      <c r="D223" s="412" t="s">
        <v>699</v>
      </c>
      <c r="E223" s="413">
        <v>372.67445056106493</v>
      </c>
      <c r="F223" s="17"/>
      <c r="G223" s="17"/>
      <c r="H223" s="17"/>
      <c r="I223" s="17"/>
    </row>
    <row r="224" spans="2:9" ht="15.75" x14ac:dyDescent="0.25">
      <c r="B224" s="411" t="s">
        <v>64</v>
      </c>
      <c r="C224" s="412">
        <v>2027</v>
      </c>
      <c r="D224" s="412" t="s">
        <v>700</v>
      </c>
      <c r="E224" s="413">
        <v>361.90610043324642</v>
      </c>
      <c r="F224" s="17"/>
      <c r="G224" s="17"/>
      <c r="H224" s="17"/>
      <c r="I224" s="17"/>
    </row>
    <row r="225" spans="2:9" ht="15.75" x14ac:dyDescent="0.25">
      <c r="B225" s="411" t="s">
        <v>64</v>
      </c>
      <c r="C225" s="412">
        <v>2028</v>
      </c>
      <c r="D225" s="412" t="s">
        <v>701</v>
      </c>
      <c r="E225" s="413">
        <v>352.26495015717956</v>
      </c>
      <c r="F225" s="17"/>
      <c r="G225" s="17"/>
      <c r="H225" s="17"/>
      <c r="I225" s="17"/>
    </row>
    <row r="226" spans="2:9" ht="15.75" x14ac:dyDescent="0.25">
      <c r="B226" s="411" t="s">
        <v>64</v>
      </c>
      <c r="C226" s="412">
        <v>2029</v>
      </c>
      <c r="D226" s="412" t="s">
        <v>702</v>
      </c>
      <c r="E226" s="413">
        <v>343.64740152486223</v>
      </c>
      <c r="F226" s="17"/>
      <c r="G226" s="17"/>
      <c r="H226" s="17"/>
      <c r="I226" s="17"/>
    </row>
    <row r="227" spans="2:9" ht="15.75" x14ac:dyDescent="0.25">
      <c r="B227" s="411" t="s">
        <v>64</v>
      </c>
      <c r="C227" s="412">
        <v>2030</v>
      </c>
      <c r="D227" s="412" t="s">
        <v>703</v>
      </c>
      <c r="E227" s="413">
        <v>335.98146308753451</v>
      </c>
      <c r="F227" s="17"/>
      <c r="G227" s="17"/>
      <c r="H227" s="17"/>
      <c r="I227" s="17"/>
    </row>
    <row r="228" spans="2:9" ht="15.75" x14ac:dyDescent="0.25">
      <c r="B228" s="411" t="s">
        <v>64</v>
      </c>
      <c r="C228" s="412">
        <v>2031</v>
      </c>
      <c r="D228" s="412" t="s">
        <v>704</v>
      </c>
      <c r="E228" s="413">
        <v>329.20510384703999</v>
      </c>
      <c r="F228" s="17"/>
      <c r="G228" s="17"/>
      <c r="H228" s="17"/>
      <c r="I228" s="17"/>
    </row>
    <row r="229" spans="2:9" ht="15.75" x14ac:dyDescent="0.25">
      <c r="B229" s="411" t="s">
        <v>64</v>
      </c>
      <c r="C229" s="412">
        <v>2032</v>
      </c>
      <c r="D229" s="412" t="s">
        <v>705</v>
      </c>
      <c r="E229" s="413">
        <v>323.21585259988092</v>
      </c>
      <c r="F229" s="17"/>
      <c r="G229" s="17"/>
      <c r="H229" s="17"/>
      <c r="I229" s="17"/>
    </row>
    <row r="230" spans="2:9" ht="15.75" x14ac:dyDescent="0.25">
      <c r="B230" s="411" t="s">
        <v>64</v>
      </c>
      <c r="C230" s="412">
        <v>2033</v>
      </c>
      <c r="D230" s="412" t="s">
        <v>706</v>
      </c>
      <c r="E230" s="413">
        <v>317.94387827908292</v>
      </c>
      <c r="F230" s="17"/>
      <c r="G230" s="17"/>
      <c r="H230" s="17"/>
      <c r="I230" s="17"/>
    </row>
    <row r="231" spans="2:9" ht="15.75" x14ac:dyDescent="0.25">
      <c r="B231" s="411" t="s">
        <v>64</v>
      </c>
      <c r="C231" s="412">
        <v>2034</v>
      </c>
      <c r="D231" s="412" t="s">
        <v>707</v>
      </c>
      <c r="E231" s="413">
        <v>313.32671006533536</v>
      </c>
      <c r="F231" s="17"/>
      <c r="G231" s="17"/>
      <c r="H231" s="17"/>
      <c r="I231" s="17"/>
    </row>
    <row r="232" spans="2:9" ht="15.75" x14ac:dyDescent="0.25">
      <c r="B232" s="411" t="s">
        <v>64</v>
      </c>
      <c r="C232" s="412">
        <v>2035</v>
      </c>
      <c r="D232" s="412" t="s">
        <v>708</v>
      </c>
      <c r="E232" s="413">
        <v>309.31669586311421</v>
      </c>
      <c r="F232" s="17"/>
      <c r="G232" s="17"/>
      <c r="H232" s="17"/>
      <c r="I232" s="17"/>
    </row>
    <row r="233" spans="2:9" ht="15.75" x14ac:dyDescent="0.25">
      <c r="B233" s="411" t="s">
        <v>64</v>
      </c>
      <c r="C233" s="412">
        <v>2036</v>
      </c>
      <c r="D233" s="412" t="s">
        <v>709</v>
      </c>
      <c r="E233" s="413">
        <v>305.84612009390719</v>
      </c>
      <c r="F233" s="17"/>
      <c r="G233" s="17"/>
      <c r="H233" s="17"/>
      <c r="I233" s="17"/>
    </row>
    <row r="234" spans="2:9" ht="15.75" x14ac:dyDescent="0.25">
      <c r="B234" s="411" t="s">
        <v>64</v>
      </c>
      <c r="C234" s="412">
        <v>2037</v>
      </c>
      <c r="D234" s="412" t="s">
        <v>710</v>
      </c>
      <c r="E234" s="413">
        <v>302.87592126956247</v>
      </c>
      <c r="F234" s="17"/>
      <c r="G234" s="17"/>
      <c r="H234" s="17"/>
      <c r="I234" s="17"/>
    </row>
    <row r="235" spans="2:9" ht="15.75" x14ac:dyDescent="0.25">
      <c r="B235" s="411" t="s">
        <v>64</v>
      </c>
      <c r="C235" s="412">
        <v>2038</v>
      </c>
      <c r="D235" s="412" t="s">
        <v>711</v>
      </c>
      <c r="E235" s="413">
        <v>300.35245986842085</v>
      </c>
      <c r="F235" s="17"/>
      <c r="G235" s="17"/>
      <c r="H235" s="17"/>
      <c r="I235" s="17"/>
    </row>
    <row r="236" spans="2:9" ht="15.75" x14ac:dyDescent="0.25">
      <c r="B236" s="411" t="s">
        <v>64</v>
      </c>
      <c r="C236" s="412">
        <v>2039</v>
      </c>
      <c r="D236" s="412" t="s">
        <v>712</v>
      </c>
      <c r="E236" s="413">
        <v>298.22227677104729</v>
      </c>
      <c r="F236" s="17"/>
      <c r="G236" s="17"/>
      <c r="H236" s="17"/>
      <c r="I236" s="17"/>
    </row>
    <row r="237" spans="2:9" ht="15.75" x14ac:dyDescent="0.25">
      <c r="B237" s="411" t="s">
        <v>64</v>
      </c>
      <c r="C237" s="412">
        <v>2040</v>
      </c>
      <c r="D237" s="412" t="s">
        <v>713</v>
      </c>
      <c r="E237" s="413">
        <v>296.42767452054079</v>
      </c>
      <c r="F237" s="17"/>
      <c r="G237" s="17"/>
      <c r="H237" s="17"/>
      <c r="I237" s="17"/>
    </row>
    <row r="238" spans="2:9" ht="15.75" x14ac:dyDescent="0.25">
      <c r="B238" s="411" t="s">
        <v>64</v>
      </c>
      <c r="C238" s="412">
        <v>2041</v>
      </c>
      <c r="D238" s="412" t="s">
        <v>714</v>
      </c>
      <c r="E238" s="413">
        <v>294.95099431398432</v>
      </c>
      <c r="F238" s="17"/>
      <c r="G238" s="17"/>
      <c r="H238" s="17"/>
      <c r="I238" s="17"/>
    </row>
    <row r="239" spans="2:9" ht="15.75" x14ac:dyDescent="0.25">
      <c r="B239" s="411" t="s">
        <v>64</v>
      </c>
      <c r="C239" s="412">
        <v>2042</v>
      </c>
      <c r="D239" s="412" t="s">
        <v>715</v>
      </c>
      <c r="E239" s="413">
        <v>293.72506245233757</v>
      </c>
      <c r="F239" s="17"/>
      <c r="G239" s="17"/>
      <c r="H239" s="17"/>
      <c r="I239" s="17"/>
    </row>
    <row r="240" spans="2:9" ht="15.75" x14ac:dyDescent="0.25">
      <c r="B240" s="411" t="s">
        <v>64</v>
      </c>
      <c r="C240" s="412">
        <v>2043</v>
      </c>
      <c r="D240" s="412" t="s">
        <v>716</v>
      </c>
      <c r="E240" s="413">
        <v>292.72447189963879</v>
      </c>
      <c r="F240" s="17"/>
      <c r="G240" s="17"/>
      <c r="H240" s="17"/>
      <c r="I240" s="17"/>
    </row>
    <row r="241" spans="2:9" ht="15.75" x14ac:dyDescent="0.25">
      <c r="B241" s="411" t="s">
        <v>64</v>
      </c>
      <c r="C241" s="412">
        <v>2044</v>
      </c>
      <c r="D241" s="412" t="s">
        <v>717</v>
      </c>
      <c r="E241" s="413">
        <v>291.89558709236019</v>
      </c>
      <c r="F241" s="17"/>
      <c r="G241" s="17"/>
      <c r="H241" s="17"/>
      <c r="I241" s="17"/>
    </row>
    <row r="242" spans="2:9" ht="15.75" x14ac:dyDescent="0.25">
      <c r="B242" s="411" t="s">
        <v>64</v>
      </c>
      <c r="C242" s="412">
        <v>2045</v>
      </c>
      <c r="D242" s="412" t="s">
        <v>718</v>
      </c>
      <c r="E242" s="413">
        <v>291.19495583412811</v>
      </c>
      <c r="F242" s="17"/>
      <c r="G242" s="17"/>
      <c r="H242" s="17"/>
      <c r="I242" s="17"/>
    </row>
    <row r="243" spans="2:9" ht="15.75" x14ac:dyDescent="0.25">
      <c r="B243" s="411" t="s">
        <v>64</v>
      </c>
      <c r="C243" s="412">
        <v>2046</v>
      </c>
      <c r="D243" s="412" t="s">
        <v>719</v>
      </c>
      <c r="E243" s="413">
        <v>290.62048136861614</v>
      </c>
      <c r="F243" s="17"/>
      <c r="G243" s="17"/>
      <c r="H243" s="17"/>
      <c r="I243" s="17"/>
    </row>
    <row r="244" spans="2:9" ht="15.75" x14ac:dyDescent="0.25">
      <c r="B244" s="411" t="s">
        <v>64</v>
      </c>
      <c r="C244" s="412">
        <v>2047</v>
      </c>
      <c r="D244" s="412" t="s">
        <v>720</v>
      </c>
      <c r="E244" s="413">
        <v>290.14598998959588</v>
      </c>
      <c r="F244" s="17"/>
      <c r="G244" s="17"/>
      <c r="H244" s="17"/>
      <c r="I244" s="17"/>
    </row>
    <row r="245" spans="2:9" ht="15.75" x14ac:dyDescent="0.25">
      <c r="B245" s="411" t="s">
        <v>64</v>
      </c>
      <c r="C245" s="412">
        <v>2048</v>
      </c>
      <c r="D245" s="412" t="s">
        <v>721</v>
      </c>
      <c r="E245" s="413">
        <v>289.75616390515449</v>
      </c>
      <c r="F245" s="17"/>
      <c r="G245" s="17"/>
      <c r="H245" s="17"/>
      <c r="I245" s="17"/>
    </row>
    <row r="246" spans="2:9" ht="15.75" x14ac:dyDescent="0.25">
      <c r="B246" s="411" t="s">
        <v>64</v>
      </c>
      <c r="C246" s="412">
        <v>2049</v>
      </c>
      <c r="D246" s="412" t="s">
        <v>722</v>
      </c>
      <c r="E246" s="413">
        <v>289.42877433262782</v>
      </c>
      <c r="F246" s="17"/>
      <c r="G246" s="17"/>
      <c r="H246" s="17"/>
      <c r="I246" s="17"/>
    </row>
    <row r="247" spans="2:9" ht="15.75" x14ac:dyDescent="0.25">
      <c r="B247" s="411" t="s">
        <v>64</v>
      </c>
      <c r="C247" s="412">
        <v>2050</v>
      </c>
      <c r="D247" s="412" t="s">
        <v>723</v>
      </c>
      <c r="E247" s="413">
        <v>289.16408392812673</v>
      </c>
      <c r="F247" s="17"/>
      <c r="G247" s="17"/>
      <c r="H247" s="17"/>
      <c r="I247" s="17"/>
    </row>
    <row r="248" spans="2:9" ht="15.75" x14ac:dyDescent="0.25">
      <c r="B248" s="407" t="s">
        <v>65</v>
      </c>
      <c r="C248" s="408">
        <v>2015</v>
      </c>
      <c r="D248" s="409" t="s">
        <v>206</v>
      </c>
      <c r="E248" s="410">
        <v>494.26544839605759</v>
      </c>
      <c r="F248" s="17"/>
      <c r="G248" s="17"/>
      <c r="H248" s="17"/>
      <c r="I248" s="17"/>
    </row>
    <row r="249" spans="2:9" ht="15.75" x14ac:dyDescent="0.25">
      <c r="B249" s="407" t="s">
        <v>65</v>
      </c>
      <c r="C249" s="408">
        <v>2016</v>
      </c>
      <c r="D249" s="409" t="s">
        <v>207</v>
      </c>
      <c r="E249" s="410">
        <v>484.26850215430125</v>
      </c>
      <c r="F249" s="17"/>
      <c r="G249" s="17"/>
      <c r="H249" s="17"/>
      <c r="I249" s="17"/>
    </row>
    <row r="250" spans="2:9" ht="15.75" x14ac:dyDescent="0.25">
      <c r="B250" s="411" t="s">
        <v>65</v>
      </c>
      <c r="C250" s="412">
        <v>2017</v>
      </c>
      <c r="D250" s="412" t="s">
        <v>724</v>
      </c>
      <c r="E250" s="413">
        <v>473.23433308659872</v>
      </c>
      <c r="F250" s="17"/>
      <c r="G250" s="17"/>
      <c r="H250" s="17"/>
      <c r="I250" s="17"/>
    </row>
    <row r="251" spans="2:9" ht="15.75" x14ac:dyDescent="0.25">
      <c r="B251" s="411" t="s">
        <v>65</v>
      </c>
      <c r="C251" s="412">
        <v>2018</v>
      </c>
      <c r="D251" s="412" t="s">
        <v>725</v>
      </c>
      <c r="E251" s="413">
        <v>461.38507395322711</v>
      </c>
      <c r="F251" s="17"/>
      <c r="G251" s="17"/>
      <c r="H251" s="17"/>
      <c r="I251" s="17"/>
    </row>
    <row r="252" spans="2:9" ht="15.75" x14ac:dyDescent="0.25">
      <c r="B252" s="411" t="s">
        <v>65</v>
      </c>
      <c r="C252" s="412">
        <v>2019</v>
      </c>
      <c r="D252" s="412" t="s">
        <v>726</v>
      </c>
      <c r="E252" s="413">
        <v>449.09697710099556</v>
      </c>
      <c r="F252" s="17"/>
      <c r="G252" s="17"/>
      <c r="H252" s="17"/>
      <c r="I252" s="17"/>
    </row>
    <row r="253" spans="2:9" ht="15.75" x14ac:dyDescent="0.25">
      <c r="B253" s="411" t="s">
        <v>65</v>
      </c>
      <c r="C253" s="412">
        <v>2020</v>
      </c>
      <c r="D253" s="412" t="s">
        <v>727</v>
      </c>
      <c r="E253" s="413">
        <v>436.49534494579518</v>
      </c>
      <c r="F253" s="17"/>
      <c r="G253" s="17"/>
      <c r="H253" s="17"/>
      <c r="I253" s="17"/>
    </row>
    <row r="254" spans="2:9" ht="15.75" x14ac:dyDescent="0.25">
      <c r="B254" s="411" t="s">
        <v>65</v>
      </c>
      <c r="C254" s="412">
        <v>2021</v>
      </c>
      <c r="D254" s="412" t="s">
        <v>728</v>
      </c>
      <c r="E254" s="413">
        <v>423.69454705200491</v>
      </c>
      <c r="F254" s="17"/>
      <c r="G254" s="17"/>
      <c r="H254" s="17"/>
      <c r="I254" s="17"/>
    </row>
    <row r="255" spans="2:9" ht="15.75" x14ac:dyDescent="0.25">
      <c r="B255" s="411" t="s">
        <v>65</v>
      </c>
      <c r="C255" s="412">
        <v>2022</v>
      </c>
      <c r="D255" s="412" t="s">
        <v>729</v>
      </c>
      <c r="E255" s="413">
        <v>411.01709579976477</v>
      </c>
      <c r="F255" s="17"/>
      <c r="G255" s="17"/>
      <c r="H255" s="17"/>
      <c r="I255" s="17"/>
    </row>
    <row r="256" spans="2:9" ht="15.75" x14ac:dyDescent="0.25">
      <c r="B256" s="411" t="s">
        <v>65</v>
      </c>
      <c r="C256" s="412">
        <v>2023</v>
      </c>
      <c r="D256" s="412" t="s">
        <v>730</v>
      </c>
      <c r="E256" s="413">
        <v>398.4076009738647</v>
      </c>
      <c r="F256" s="17"/>
      <c r="G256" s="17"/>
      <c r="H256" s="17"/>
      <c r="I256" s="17"/>
    </row>
    <row r="257" spans="2:9" ht="15.75" x14ac:dyDescent="0.25">
      <c r="B257" s="411" t="s">
        <v>65</v>
      </c>
      <c r="C257" s="412">
        <v>2024</v>
      </c>
      <c r="D257" s="412" t="s">
        <v>731</v>
      </c>
      <c r="E257" s="413">
        <v>385.92004350412913</v>
      </c>
      <c r="F257" s="17"/>
      <c r="G257" s="17"/>
      <c r="H257" s="17"/>
      <c r="I257" s="17"/>
    </row>
    <row r="258" spans="2:9" ht="15.75" x14ac:dyDescent="0.25">
      <c r="B258" s="411" t="s">
        <v>65</v>
      </c>
      <c r="C258" s="412">
        <v>2025</v>
      </c>
      <c r="D258" s="412" t="s">
        <v>732</v>
      </c>
      <c r="E258" s="413">
        <v>373.5588133502597</v>
      </c>
      <c r="F258" s="17"/>
      <c r="G258" s="17"/>
      <c r="H258" s="17"/>
      <c r="I258" s="17"/>
    </row>
    <row r="259" spans="2:9" ht="15.75" x14ac:dyDescent="0.25">
      <c r="B259" s="411" t="s">
        <v>65</v>
      </c>
      <c r="C259" s="412">
        <v>2026</v>
      </c>
      <c r="D259" s="412" t="s">
        <v>733</v>
      </c>
      <c r="E259" s="413">
        <v>362.30165004465425</v>
      </c>
      <c r="F259" s="17"/>
      <c r="G259" s="17"/>
      <c r="H259" s="17"/>
      <c r="I259" s="17"/>
    </row>
    <row r="260" spans="2:9" ht="15.75" x14ac:dyDescent="0.25">
      <c r="B260" s="411" t="s">
        <v>65</v>
      </c>
      <c r="C260" s="412">
        <v>2027</v>
      </c>
      <c r="D260" s="412" t="s">
        <v>734</v>
      </c>
      <c r="E260" s="413">
        <v>352.02495962781398</v>
      </c>
      <c r="F260" s="17"/>
      <c r="G260" s="17"/>
      <c r="H260" s="17"/>
      <c r="I260" s="17"/>
    </row>
    <row r="261" spans="2:9" ht="15.75" x14ac:dyDescent="0.25">
      <c r="B261" s="411" t="s">
        <v>65</v>
      </c>
      <c r="C261" s="412">
        <v>2028</v>
      </c>
      <c r="D261" s="412" t="s">
        <v>735</v>
      </c>
      <c r="E261" s="413">
        <v>342.77941112784265</v>
      </c>
      <c r="F261" s="17"/>
      <c r="G261" s="17"/>
      <c r="H261" s="17"/>
      <c r="I261" s="17"/>
    </row>
    <row r="262" spans="2:9" ht="15.75" x14ac:dyDescent="0.25">
      <c r="B262" s="411" t="s">
        <v>65</v>
      </c>
      <c r="C262" s="412">
        <v>2029</v>
      </c>
      <c r="D262" s="412" t="s">
        <v>736</v>
      </c>
      <c r="E262" s="413">
        <v>334.50836953257431</v>
      </c>
      <c r="F262" s="17"/>
      <c r="G262" s="17"/>
      <c r="H262" s="17"/>
      <c r="I262" s="17"/>
    </row>
    <row r="263" spans="2:9" ht="15.75" x14ac:dyDescent="0.25">
      <c r="B263" s="411" t="s">
        <v>65</v>
      </c>
      <c r="C263" s="412">
        <v>2030</v>
      </c>
      <c r="D263" s="412" t="s">
        <v>737</v>
      </c>
      <c r="E263" s="413">
        <v>327.15683120262725</v>
      </c>
      <c r="F263" s="17"/>
      <c r="G263" s="17"/>
      <c r="H263" s="17"/>
      <c r="I263" s="17"/>
    </row>
    <row r="264" spans="2:9" ht="15.75" x14ac:dyDescent="0.25">
      <c r="B264" s="411" t="s">
        <v>65</v>
      </c>
      <c r="C264" s="412">
        <v>2031</v>
      </c>
      <c r="D264" s="412" t="s">
        <v>738</v>
      </c>
      <c r="E264" s="413">
        <v>320.64829348436746</v>
      </c>
      <c r="F264" s="17"/>
      <c r="G264" s="17"/>
      <c r="H264" s="17"/>
      <c r="I264" s="17"/>
    </row>
    <row r="265" spans="2:9" ht="15.75" x14ac:dyDescent="0.25">
      <c r="B265" s="411" t="s">
        <v>65</v>
      </c>
      <c r="C265" s="412">
        <v>2032</v>
      </c>
      <c r="D265" s="412" t="s">
        <v>739</v>
      </c>
      <c r="E265" s="413">
        <v>314.91995704107171</v>
      </c>
      <c r="F265" s="17"/>
      <c r="G265" s="17"/>
      <c r="H265" s="17"/>
      <c r="I265" s="17"/>
    </row>
    <row r="266" spans="2:9" ht="15.75" x14ac:dyDescent="0.25">
      <c r="B266" s="411" t="s">
        <v>65</v>
      </c>
      <c r="C266" s="412">
        <v>2033</v>
      </c>
      <c r="D266" s="412" t="s">
        <v>740</v>
      </c>
      <c r="E266" s="413">
        <v>309.91003333100429</v>
      </c>
      <c r="F266" s="17"/>
      <c r="G266" s="17"/>
      <c r="H266" s="17"/>
      <c r="I266" s="17"/>
    </row>
    <row r="267" spans="2:9" ht="15.75" x14ac:dyDescent="0.25">
      <c r="B267" s="411" t="s">
        <v>65</v>
      </c>
      <c r="C267" s="412">
        <v>2034</v>
      </c>
      <c r="D267" s="412" t="s">
        <v>741</v>
      </c>
      <c r="E267" s="413">
        <v>305.54729404270108</v>
      </c>
      <c r="F267" s="17"/>
      <c r="G267" s="17"/>
      <c r="H267" s="17"/>
      <c r="I267" s="17"/>
    </row>
    <row r="268" spans="2:9" ht="15.75" x14ac:dyDescent="0.25">
      <c r="B268" s="411" t="s">
        <v>65</v>
      </c>
      <c r="C268" s="412">
        <v>2035</v>
      </c>
      <c r="D268" s="412" t="s">
        <v>742</v>
      </c>
      <c r="E268" s="413">
        <v>301.7795143138207</v>
      </c>
      <c r="F268" s="17"/>
      <c r="G268" s="17"/>
      <c r="H268" s="17"/>
      <c r="I268" s="17"/>
    </row>
    <row r="269" spans="2:9" ht="15.75" x14ac:dyDescent="0.25">
      <c r="B269" s="411" t="s">
        <v>65</v>
      </c>
      <c r="C269" s="412">
        <v>2036</v>
      </c>
      <c r="D269" s="412" t="s">
        <v>743</v>
      </c>
      <c r="E269" s="413">
        <v>298.55417899015561</v>
      </c>
      <c r="F269" s="17"/>
      <c r="G269" s="17"/>
      <c r="H269" s="17"/>
      <c r="I269" s="17"/>
    </row>
    <row r="270" spans="2:9" ht="15.75" x14ac:dyDescent="0.25">
      <c r="B270" s="411" t="s">
        <v>65</v>
      </c>
      <c r="C270" s="412">
        <v>2037</v>
      </c>
      <c r="D270" s="412" t="s">
        <v>744</v>
      </c>
      <c r="E270" s="413">
        <v>295.81863905461535</v>
      </c>
      <c r="F270" s="17"/>
      <c r="G270" s="17"/>
      <c r="H270" s="17"/>
      <c r="I270" s="17"/>
    </row>
    <row r="271" spans="2:9" ht="15.75" x14ac:dyDescent="0.25">
      <c r="B271" s="411" t="s">
        <v>65</v>
      </c>
      <c r="C271" s="412">
        <v>2038</v>
      </c>
      <c r="D271" s="412" t="s">
        <v>745</v>
      </c>
      <c r="E271" s="413">
        <v>293.52167936909945</v>
      </c>
      <c r="F271" s="17"/>
      <c r="G271" s="17"/>
      <c r="H271" s="17"/>
      <c r="I271" s="17"/>
    </row>
    <row r="272" spans="2:9" ht="15.75" x14ac:dyDescent="0.25">
      <c r="B272" s="411" t="s">
        <v>65</v>
      </c>
      <c r="C272" s="412">
        <v>2039</v>
      </c>
      <c r="D272" s="412" t="s">
        <v>746</v>
      </c>
      <c r="E272" s="413">
        <v>291.6009774765563</v>
      </c>
      <c r="F272" s="17"/>
      <c r="G272" s="17"/>
      <c r="H272" s="17"/>
      <c r="I272" s="17"/>
    </row>
    <row r="273" spans="2:9" ht="15.75" x14ac:dyDescent="0.25">
      <c r="B273" s="411" t="s">
        <v>65</v>
      </c>
      <c r="C273" s="412">
        <v>2040</v>
      </c>
      <c r="D273" s="412" t="s">
        <v>747</v>
      </c>
      <c r="E273" s="413">
        <v>290.00459148168341</v>
      </c>
      <c r="F273" s="17"/>
      <c r="G273" s="17"/>
      <c r="H273" s="17"/>
      <c r="I273" s="17"/>
    </row>
    <row r="274" spans="2:9" ht="15.75" x14ac:dyDescent="0.25">
      <c r="B274" s="411" t="s">
        <v>65</v>
      </c>
      <c r="C274" s="412">
        <v>2041</v>
      </c>
      <c r="D274" s="412" t="s">
        <v>748</v>
      </c>
      <c r="E274" s="413">
        <v>288.70017668656811</v>
      </c>
      <c r="F274" s="17"/>
      <c r="G274" s="17"/>
      <c r="H274" s="17"/>
      <c r="I274" s="17"/>
    </row>
    <row r="275" spans="2:9" ht="15.75" x14ac:dyDescent="0.25">
      <c r="B275" s="411" t="s">
        <v>65</v>
      </c>
      <c r="C275" s="412">
        <v>2042</v>
      </c>
      <c r="D275" s="412" t="s">
        <v>749</v>
      </c>
      <c r="E275" s="413">
        <v>287.62284347636694</v>
      </c>
      <c r="F275" s="17"/>
      <c r="G275" s="17"/>
      <c r="H275" s="17"/>
      <c r="I275" s="17"/>
    </row>
    <row r="276" spans="2:9" ht="15.75" x14ac:dyDescent="0.25">
      <c r="B276" s="411" t="s">
        <v>65</v>
      </c>
      <c r="C276" s="412">
        <v>2043</v>
      </c>
      <c r="D276" s="412" t="s">
        <v>750</v>
      </c>
      <c r="E276" s="413">
        <v>286.7457077701261</v>
      </c>
      <c r="F276" s="17"/>
      <c r="G276" s="17"/>
      <c r="H276" s="17"/>
      <c r="I276" s="17"/>
    </row>
    <row r="277" spans="2:9" ht="15.75" x14ac:dyDescent="0.25">
      <c r="B277" s="411" t="s">
        <v>65</v>
      </c>
      <c r="C277" s="412">
        <v>2044</v>
      </c>
      <c r="D277" s="412" t="s">
        <v>751</v>
      </c>
      <c r="E277" s="413">
        <v>286.02490861131258</v>
      </c>
      <c r="F277" s="17"/>
      <c r="G277" s="17"/>
      <c r="H277" s="17"/>
      <c r="I277" s="17"/>
    </row>
    <row r="278" spans="2:9" ht="15.75" x14ac:dyDescent="0.25">
      <c r="B278" s="411" t="s">
        <v>65</v>
      </c>
      <c r="C278" s="412">
        <v>2045</v>
      </c>
      <c r="D278" s="412" t="s">
        <v>752</v>
      </c>
      <c r="E278" s="413">
        <v>285.42234683131062</v>
      </c>
      <c r="F278" s="17"/>
      <c r="G278" s="17"/>
      <c r="H278" s="17"/>
      <c r="I278" s="17"/>
    </row>
    <row r="279" spans="2:9" ht="15.75" x14ac:dyDescent="0.25">
      <c r="B279" s="411" t="s">
        <v>65</v>
      </c>
      <c r="C279" s="412">
        <v>2046</v>
      </c>
      <c r="D279" s="412" t="s">
        <v>753</v>
      </c>
      <c r="E279" s="413">
        <v>284.92056102602032</v>
      </c>
      <c r="F279" s="17"/>
      <c r="G279" s="17"/>
      <c r="H279" s="17"/>
      <c r="I279" s="17"/>
    </row>
    <row r="280" spans="2:9" ht="15.75" x14ac:dyDescent="0.25">
      <c r="B280" s="411" t="s">
        <v>65</v>
      </c>
      <c r="C280" s="412">
        <v>2047</v>
      </c>
      <c r="D280" s="412" t="s">
        <v>754</v>
      </c>
      <c r="E280" s="413">
        <v>284.50286509787958</v>
      </c>
      <c r="F280" s="17"/>
      <c r="G280" s="17"/>
      <c r="H280" s="17"/>
      <c r="I280" s="17"/>
    </row>
    <row r="281" spans="2:9" ht="15.75" x14ac:dyDescent="0.25">
      <c r="B281" s="411" t="s">
        <v>65</v>
      </c>
      <c r="C281" s="412">
        <v>2048</v>
      </c>
      <c r="D281" s="412" t="s">
        <v>755</v>
      </c>
      <c r="E281" s="413">
        <v>284.16227471042993</v>
      </c>
      <c r="F281" s="17"/>
      <c r="G281" s="17"/>
      <c r="H281" s="17"/>
      <c r="I281" s="17"/>
    </row>
    <row r="282" spans="2:9" ht="15.75" x14ac:dyDescent="0.25">
      <c r="B282" s="411" t="s">
        <v>65</v>
      </c>
      <c r="C282" s="412">
        <v>2049</v>
      </c>
      <c r="D282" s="412" t="s">
        <v>756</v>
      </c>
      <c r="E282" s="413">
        <v>283.8757349977314</v>
      </c>
      <c r="F282" s="17"/>
      <c r="G282" s="17"/>
      <c r="H282" s="17"/>
      <c r="I282" s="17"/>
    </row>
    <row r="283" spans="2:9" ht="15.75" x14ac:dyDescent="0.25">
      <c r="B283" s="411" t="s">
        <v>65</v>
      </c>
      <c r="C283" s="412">
        <v>2050</v>
      </c>
      <c r="D283" s="412" t="s">
        <v>757</v>
      </c>
      <c r="E283" s="413">
        <v>283.65058789839952</v>
      </c>
      <c r="F283" s="17"/>
      <c r="G283" s="17"/>
      <c r="H283" s="17"/>
      <c r="I283" s="17"/>
    </row>
    <row r="284" spans="2:9" ht="15.75" x14ac:dyDescent="0.25">
      <c r="B284" s="407" t="s">
        <v>66</v>
      </c>
      <c r="C284" s="408">
        <v>2015</v>
      </c>
      <c r="D284" s="409" t="s">
        <v>208</v>
      </c>
      <c r="E284" s="410">
        <v>545.23731075670412</v>
      </c>
      <c r="F284" s="17"/>
      <c r="G284" s="17"/>
      <c r="H284" s="17"/>
      <c r="I284" s="17"/>
    </row>
    <row r="285" spans="2:9" ht="15.75" x14ac:dyDescent="0.25">
      <c r="B285" s="407" t="s">
        <v>66</v>
      </c>
      <c r="C285" s="408">
        <v>2016</v>
      </c>
      <c r="D285" s="409" t="s">
        <v>209</v>
      </c>
      <c r="E285" s="410">
        <v>536.18352614124535</v>
      </c>
      <c r="F285" s="17"/>
      <c r="G285" s="17"/>
      <c r="H285" s="17"/>
      <c r="I285" s="17"/>
    </row>
    <row r="286" spans="2:9" ht="15.75" x14ac:dyDescent="0.25">
      <c r="B286" s="411" t="s">
        <v>66</v>
      </c>
      <c r="C286" s="412">
        <v>2017</v>
      </c>
      <c r="D286" s="412" t="s">
        <v>758</v>
      </c>
      <c r="E286" s="413">
        <v>525.6446471229923</v>
      </c>
      <c r="F286" s="17"/>
      <c r="G286" s="17"/>
      <c r="H286" s="17"/>
      <c r="I286" s="17"/>
    </row>
    <row r="287" spans="2:9" ht="15.75" x14ac:dyDescent="0.25">
      <c r="B287" s="411" t="s">
        <v>66</v>
      </c>
      <c r="C287" s="412">
        <v>2018</v>
      </c>
      <c r="D287" s="412" t="s">
        <v>759</v>
      </c>
      <c r="E287" s="413">
        <v>514.43274665044555</v>
      </c>
      <c r="F287" s="17"/>
      <c r="G287" s="17"/>
      <c r="H287" s="17"/>
      <c r="I287" s="17"/>
    </row>
    <row r="288" spans="2:9" ht="15.75" x14ac:dyDescent="0.25">
      <c r="B288" s="411" t="s">
        <v>66</v>
      </c>
      <c r="C288" s="412">
        <v>2019</v>
      </c>
      <c r="D288" s="412" t="s">
        <v>760</v>
      </c>
      <c r="E288" s="413">
        <v>502.26211835512714</v>
      </c>
      <c r="F288" s="17"/>
      <c r="G288" s="17"/>
      <c r="H288" s="17"/>
      <c r="I288" s="17"/>
    </row>
    <row r="289" spans="2:9" ht="15.75" x14ac:dyDescent="0.25">
      <c r="B289" s="411" t="s">
        <v>66</v>
      </c>
      <c r="C289" s="412">
        <v>2020</v>
      </c>
      <c r="D289" s="412" t="s">
        <v>761</v>
      </c>
      <c r="E289" s="413">
        <v>489.48325911688369</v>
      </c>
      <c r="F289" s="17"/>
      <c r="G289" s="17"/>
      <c r="H289" s="17"/>
      <c r="I289" s="17"/>
    </row>
    <row r="290" spans="2:9" ht="15.75" x14ac:dyDescent="0.25">
      <c r="B290" s="411" t="s">
        <v>66</v>
      </c>
      <c r="C290" s="412">
        <v>2021</v>
      </c>
      <c r="D290" s="412" t="s">
        <v>762</v>
      </c>
      <c r="E290" s="413">
        <v>476.16134928264273</v>
      </c>
      <c r="F290" s="17"/>
      <c r="G290" s="17"/>
      <c r="H290" s="17"/>
      <c r="I290" s="17"/>
    </row>
    <row r="291" spans="2:9" ht="15.75" x14ac:dyDescent="0.25">
      <c r="B291" s="411" t="s">
        <v>66</v>
      </c>
      <c r="C291" s="412">
        <v>2022</v>
      </c>
      <c r="D291" s="412" t="s">
        <v>763</v>
      </c>
      <c r="E291" s="413">
        <v>462.67931135312665</v>
      </c>
      <c r="F291" s="17"/>
      <c r="G291" s="17"/>
      <c r="H291" s="17"/>
      <c r="I291" s="17"/>
    </row>
    <row r="292" spans="2:9" ht="15.75" x14ac:dyDescent="0.25">
      <c r="B292" s="411" t="s">
        <v>66</v>
      </c>
      <c r="C292" s="412">
        <v>2023</v>
      </c>
      <c r="D292" s="412" t="s">
        <v>764</v>
      </c>
      <c r="E292" s="413">
        <v>449.02608587231009</v>
      </c>
      <c r="F292" s="17"/>
      <c r="G292" s="17"/>
      <c r="H292" s="17"/>
      <c r="I292" s="17"/>
    </row>
    <row r="293" spans="2:9" ht="15.75" x14ac:dyDescent="0.25">
      <c r="B293" s="411" t="s">
        <v>66</v>
      </c>
      <c r="C293" s="412">
        <v>2024</v>
      </c>
      <c r="D293" s="412" t="s">
        <v>765</v>
      </c>
      <c r="E293" s="413">
        <v>435.31774238973429</v>
      </c>
      <c r="F293" s="17"/>
      <c r="G293" s="17"/>
      <c r="H293" s="17"/>
      <c r="I293" s="17"/>
    </row>
    <row r="294" spans="2:9" ht="15.75" x14ac:dyDescent="0.25">
      <c r="B294" s="411" t="s">
        <v>66</v>
      </c>
      <c r="C294" s="412">
        <v>2025</v>
      </c>
      <c r="D294" s="412" t="s">
        <v>766</v>
      </c>
      <c r="E294" s="413">
        <v>421.62549017754998</v>
      </c>
      <c r="F294" s="17"/>
      <c r="G294" s="17"/>
      <c r="H294" s="17"/>
      <c r="I294" s="17"/>
    </row>
    <row r="295" spans="2:9" ht="15.75" x14ac:dyDescent="0.25">
      <c r="B295" s="411" t="s">
        <v>66</v>
      </c>
      <c r="C295" s="412">
        <v>2026</v>
      </c>
      <c r="D295" s="412" t="s">
        <v>767</v>
      </c>
      <c r="E295" s="413">
        <v>408.76101604535529</v>
      </c>
      <c r="F295" s="17"/>
      <c r="G295" s="17"/>
      <c r="H295" s="17"/>
      <c r="I295" s="17"/>
    </row>
    <row r="296" spans="2:9" ht="15.75" x14ac:dyDescent="0.25">
      <c r="B296" s="411" t="s">
        <v>66</v>
      </c>
      <c r="C296" s="412">
        <v>2027</v>
      </c>
      <c r="D296" s="412" t="s">
        <v>768</v>
      </c>
      <c r="E296" s="413">
        <v>396.65833570803858</v>
      </c>
      <c r="F296" s="17"/>
      <c r="G296" s="17"/>
      <c r="H296" s="17"/>
      <c r="I296" s="17"/>
    </row>
    <row r="297" spans="2:9" ht="15.75" x14ac:dyDescent="0.25">
      <c r="B297" s="411" t="s">
        <v>66</v>
      </c>
      <c r="C297" s="412">
        <v>2028</v>
      </c>
      <c r="D297" s="412" t="s">
        <v>769</v>
      </c>
      <c r="E297" s="413">
        <v>385.43841341169832</v>
      </c>
      <c r="F297" s="17"/>
      <c r="G297" s="17"/>
      <c r="H297" s="17"/>
      <c r="I297" s="17"/>
    </row>
    <row r="298" spans="2:9" ht="15.75" x14ac:dyDescent="0.25">
      <c r="B298" s="411" t="s">
        <v>66</v>
      </c>
      <c r="C298" s="412">
        <v>2029</v>
      </c>
      <c r="D298" s="412" t="s">
        <v>770</v>
      </c>
      <c r="E298" s="413">
        <v>375.07970421183745</v>
      </c>
      <c r="F298" s="17"/>
      <c r="G298" s="17"/>
      <c r="H298" s="17"/>
      <c r="I298" s="17"/>
    </row>
    <row r="299" spans="2:9" ht="15.75" x14ac:dyDescent="0.25">
      <c r="B299" s="411" t="s">
        <v>66</v>
      </c>
      <c r="C299" s="412">
        <v>2030</v>
      </c>
      <c r="D299" s="412" t="s">
        <v>771</v>
      </c>
      <c r="E299" s="413">
        <v>365.5582475597883</v>
      </c>
      <c r="F299" s="17"/>
      <c r="G299" s="17"/>
      <c r="H299" s="17"/>
      <c r="I299" s="17"/>
    </row>
    <row r="300" spans="2:9" ht="15.75" x14ac:dyDescent="0.25">
      <c r="B300" s="411" t="s">
        <v>66</v>
      </c>
      <c r="C300" s="412">
        <v>2031</v>
      </c>
      <c r="D300" s="412" t="s">
        <v>772</v>
      </c>
      <c r="E300" s="413">
        <v>356.86633247277956</v>
      </c>
      <c r="F300" s="17"/>
      <c r="G300" s="17"/>
      <c r="H300" s="17"/>
      <c r="I300" s="17"/>
    </row>
    <row r="301" spans="2:9" ht="15.75" x14ac:dyDescent="0.25">
      <c r="B301" s="411" t="s">
        <v>66</v>
      </c>
      <c r="C301" s="412">
        <v>2032</v>
      </c>
      <c r="D301" s="412" t="s">
        <v>773</v>
      </c>
      <c r="E301" s="413">
        <v>348.98668095794591</v>
      </c>
      <c r="F301" s="17"/>
      <c r="G301" s="17"/>
      <c r="H301" s="17"/>
      <c r="I301" s="17"/>
    </row>
    <row r="302" spans="2:9" ht="15.75" x14ac:dyDescent="0.25">
      <c r="B302" s="411" t="s">
        <v>66</v>
      </c>
      <c r="C302" s="412">
        <v>2033</v>
      </c>
      <c r="D302" s="412" t="s">
        <v>774</v>
      </c>
      <c r="E302" s="413">
        <v>341.900074506755</v>
      </c>
      <c r="F302" s="17"/>
      <c r="G302" s="17"/>
      <c r="H302" s="17"/>
      <c r="I302" s="17"/>
    </row>
    <row r="303" spans="2:9" ht="15.75" x14ac:dyDescent="0.25">
      <c r="B303" s="411" t="s">
        <v>66</v>
      </c>
      <c r="C303" s="412">
        <v>2034</v>
      </c>
      <c r="D303" s="412" t="s">
        <v>775</v>
      </c>
      <c r="E303" s="413">
        <v>335.51510776760341</v>
      </c>
      <c r="F303" s="17"/>
      <c r="G303" s="17"/>
      <c r="H303" s="17"/>
      <c r="I303" s="17"/>
    </row>
    <row r="304" spans="2:9" ht="15.75" x14ac:dyDescent="0.25">
      <c r="B304" s="411" t="s">
        <v>66</v>
      </c>
      <c r="C304" s="412">
        <v>2035</v>
      </c>
      <c r="D304" s="412" t="s">
        <v>776</v>
      </c>
      <c r="E304" s="413">
        <v>329.82129704591307</v>
      </c>
      <c r="F304" s="17"/>
      <c r="G304" s="17"/>
      <c r="H304" s="17"/>
      <c r="I304" s="17"/>
    </row>
    <row r="305" spans="2:9" ht="15.75" x14ac:dyDescent="0.25">
      <c r="B305" s="411" t="s">
        <v>66</v>
      </c>
      <c r="C305" s="412">
        <v>2036</v>
      </c>
      <c r="D305" s="412" t="s">
        <v>777</v>
      </c>
      <c r="E305" s="413">
        <v>324.77222106857892</v>
      </c>
      <c r="F305" s="17"/>
      <c r="G305" s="17"/>
      <c r="H305" s="17"/>
      <c r="I305" s="17"/>
    </row>
    <row r="306" spans="2:9" ht="15.75" x14ac:dyDescent="0.25">
      <c r="B306" s="411" t="s">
        <v>66</v>
      </c>
      <c r="C306" s="412">
        <v>2037</v>
      </c>
      <c r="D306" s="412" t="s">
        <v>778</v>
      </c>
      <c r="E306" s="413">
        <v>320.35670719314112</v>
      </c>
      <c r="F306" s="17"/>
      <c r="G306" s="17"/>
      <c r="H306" s="17"/>
      <c r="I306" s="17"/>
    </row>
    <row r="307" spans="2:9" ht="15.75" x14ac:dyDescent="0.25">
      <c r="B307" s="411" t="s">
        <v>66</v>
      </c>
      <c r="C307" s="412">
        <v>2038</v>
      </c>
      <c r="D307" s="412" t="s">
        <v>779</v>
      </c>
      <c r="E307" s="413">
        <v>316.4765264679142</v>
      </c>
      <c r="F307" s="17"/>
      <c r="G307" s="17"/>
      <c r="H307" s="17"/>
      <c r="I307" s="17"/>
    </row>
    <row r="308" spans="2:9" ht="15.75" x14ac:dyDescent="0.25">
      <c r="B308" s="411" t="s">
        <v>66</v>
      </c>
      <c r="C308" s="412">
        <v>2039</v>
      </c>
      <c r="D308" s="412" t="s">
        <v>780</v>
      </c>
      <c r="E308" s="413">
        <v>313.13158866948811</v>
      </c>
      <c r="F308" s="17"/>
      <c r="G308" s="17"/>
      <c r="H308" s="17"/>
      <c r="I308" s="17"/>
    </row>
    <row r="309" spans="2:9" ht="15.75" x14ac:dyDescent="0.25">
      <c r="B309" s="411" t="s">
        <v>66</v>
      </c>
      <c r="C309" s="412">
        <v>2040</v>
      </c>
      <c r="D309" s="412" t="s">
        <v>781</v>
      </c>
      <c r="E309" s="413">
        <v>310.21456922730277</v>
      </c>
      <c r="F309" s="17"/>
      <c r="G309" s="17"/>
      <c r="H309" s="17"/>
      <c r="I309" s="17"/>
    </row>
    <row r="310" spans="2:9" ht="15.75" x14ac:dyDescent="0.25">
      <c r="B310" s="411" t="s">
        <v>66</v>
      </c>
      <c r="C310" s="412">
        <v>2041</v>
      </c>
      <c r="D310" s="412" t="s">
        <v>782</v>
      </c>
      <c r="E310" s="413">
        <v>307.7477908295113</v>
      </c>
      <c r="F310" s="17"/>
      <c r="G310" s="17"/>
      <c r="H310" s="17"/>
      <c r="I310" s="17"/>
    </row>
    <row r="311" spans="2:9" ht="15.75" x14ac:dyDescent="0.25">
      <c r="B311" s="411" t="s">
        <v>66</v>
      </c>
      <c r="C311" s="412">
        <v>2042</v>
      </c>
      <c r="D311" s="412" t="s">
        <v>783</v>
      </c>
      <c r="E311" s="413">
        <v>305.64414509899143</v>
      </c>
      <c r="F311" s="17"/>
      <c r="G311" s="17"/>
      <c r="H311" s="17"/>
      <c r="I311" s="17"/>
    </row>
    <row r="312" spans="2:9" ht="15.75" x14ac:dyDescent="0.25">
      <c r="B312" s="411" t="s">
        <v>66</v>
      </c>
      <c r="C312" s="412">
        <v>2043</v>
      </c>
      <c r="D312" s="412" t="s">
        <v>784</v>
      </c>
      <c r="E312" s="413">
        <v>303.80907248731808</v>
      </c>
      <c r="F312" s="17"/>
      <c r="G312" s="17"/>
      <c r="H312" s="17"/>
      <c r="I312" s="17"/>
    </row>
    <row r="313" spans="2:9" ht="15.75" x14ac:dyDescent="0.25">
      <c r="B313" s="411" t="s">
        <v>66</v>
      </c>
      <c r="C313" s="412">
        <v>2044</v>
      </c>
      <c r="D313" s="412" t="s">
        <v>785</v>
      </c>
      <c r="E313" s="413">
        <v>302.26756348784897</v>
      </c>
      <c r="F313" s="17"/>
      <c r="G313" s="17"/>
      <c r="H313" s="17"/>
      <c r="I313" s="17"/>
    </row>
    <row r="314" spans="2:9" ht="15.75" x14ac:dyDescent="0.25">
      <c r="B314" s="411" t="s">
        <v>66</v>
      </c>
      <c r="C314" s="412">
        <v>2045</v>
      </c>
      <c r="D314" s="412" t="s">
        <v>786</v>
      </c>
      <c r="E314" s="413">
        <v>300.88189116069105</v>
      </c>
      <c r="F314" s="17"/>
      <c r="G314" s="17"/>
      <c r="H314" s="17"/>
      <c r="I314" s="17"/>
    </row>
    <row r="315" spans="2:9" ht="15.75" x14ac:dyDescent="0.25">
      <c r="B315" s="411" t="s">
        <v>66</v>
      </c>
      <c r="C315" s="412">
        <v>2046</v>
      </c>
      <c r="D315" s="412" t="s">
        <v>787</v>
      </c>
      <c r="E315" s="413">
        <v>299.7277376909625</v>
      </c>
      <c r="F315" s="17"/>
      <c r="G315" s="17"/>
      <c r="H315" s="17"/>
      <c r="I315" s="17"/>
    </row>
    <row r="316" spans="2:9" ht="15.75" x14ac:dyDescent="0.25">
      <c r="B316" s="411" t="s">
        <v>66</v>
      </c>
      <c r="C316" s="412">
        <v>2047</v>
      </c>
      <c r="D316" s="412" t="s">
        <v>788</v>
      </c>
      <c r="E316" s="413">
        <v>298.73533873715536</v>
      </c>
      <c r="F316" s="17"/>
      <c r="G316" s="17"/>
      <c r="H316" s="17"/>
      <c r="I316" s="17"/>
    </row>
    <row r="317" spans="2:9" ht="15.75" x14ac:dyDescent="0.25">
      <c r="B317" s="411" t="s">
        <v>66</v>
      </c>
      <c r="C317" s="412">
        <v>2048</v>
      </c>
      <c r="D317" s="412" t="s">
        <v>789</v>
      </c>
      <c r="E317" s="413">
        <v>297.85760415495179</v>
      </c>
      <c r="F317" s="17"/>
      <c r="G317" s="17"/>
      <c r="H317" s="17"/>
      <c r="I317" s="17"/>
    </row>
    <row r="318" spans="2:9" ht="15.75" x14ac:dyDescent="0.25">
      <c r="B318" s="411" t="s">
        <v>66</v>
      </c>
      <c r="C318" s="412">
        <v>2049</v>
      </c>
      <c r="D318" s="412" t="s">
        <v>790</v>
      </c>
      <c r="E318" s="413">
        <v>297.119539597337</v>
      </c>
      <c r="F318" s="17"/>
      <c r="G318" s="17"/>
      <c r="H318" s="17"/>
      <c r="I318" s="17"/>
    </row>
    <row r="319" spans="2:9" ht="15.75" x14ac:dyDescent="0.25">
      <c r="B319" s="411" t="s">
        <v>66</v>
      </c>
      <c r="C319" s="412">
        <v>2050</v>
      </c>
      <c r="D319" s="412" t="s">
        <v>791</v>
      </c>
      <c r="E319" s="413">
        <v>296.49181496043059</v>
      </c>
      <c r="F319" s="17"/>
      <c r="G319" s="17"/>
      <c r="H319" s="17"/>
      <c r="I319" s="17"/>
    </row>
    <row r="320" spans="2:9" ht="15.75" x14ac:dyDescent="0.25">
      <c r="B320" s="407" t="s">
        <v>4885</v>
      </c>
      <c r="C320" s="408">
        <v>2015</v>
      </c>
      <c r="D320" s="409" t="s">
        <v>4925</v>
      </c>
      <c r="E320" s="410">
        <v>526.49357057482064</v>
      </c>
      <c r="F320" s="17"/>
      <c r="G320" s="17"/>
      <c r="H320" s="17"/>
      <c r="I320" s="17"/>
    </row>
    <row r="321" spans="2:9" ht="15.75" x14ac:dyDescent="0.25">
      <c r="B321" s="407" t="s">
        <v>4885</v>
      </c>
      <c r="C321" s="408">
        <v>2016</v>
      </c>
      <c r="D321" s="409" t="s">
        <v>4926</v>
      </c>
      <c r="E321" s="410">
        <v>516.60949711735736</v>
      </c>
      <c r="F321" s="17"/>
      <c r="G321" s="17"/>
      <c r="H321" s="17"/>
      <c r="I321" s="17"/>
    </row>
    <row r="322" spans="2:9" ht="15.75" x14ac:dyDescent="0.25">
      <c r="B322" s="407" t="s">
        <v>4885</v>
      </c>
      <c r="C322" s="412">
        <v>2017</v>
      </c>
      <c r="D322" s="409" t="s">
        <v>4927</v>
      </c>
      <c r="E322" s="413">
        <v>504.4340032448759</v>
      </c>
      <c r="F322" s="17"/>
      <c r="G322" s="17"/>
      <c r="H322" s="17"/>
      <c r="I322" s="17"/>
    </row>
    <row r="323" spans="2:9" ht="15.75" x14ac:dyDescent="0.25">
      <c r="B323" s="407" t="s">
        <v>4885</v>
      </c>
      <c r="C323" s="412">
        <v>2018</v>
      </c>
      <c r="D323" s="409" t="s">
        <v>4928</v>
      </c>
      <c r="E323" s="413">
        <v>491.48292714280961</v>
      </c>
      <c r="F323" s="17"/>
      <c r="G323" s="17"/>
      <c r="H323" s="17"/>
      <c r="I323" s="17"/>
    </row>
    <row r="324" spans="2:9" ht="15.75" x14ac:dyDescent="0.25">
      <c r="B324" s="407" t="s">
        <v>4885</v>
      </c>
      <c r="C324" s="412">
        <v>2019</v>
      </c>
      <c r="D324" s="409" t="s">
        <v>4929</v>
      </c>
      <c r="E324" s="413">
        <v>474.72988458574628</v>
      </c>
      <c r="F324" s="17"/>
      <c r="G324" s="17"/>
      <c r="H324" s="17"/>
      <c r="I324" s="17"/>
    </row>
    <row r="325" spans="2:9" ht="15.75" x14ac:dyDescent="0.25">
      <c r="B325" s="407" t="s">
        <v>4885</v>
      </c>
      <c r="C325" s="412">
        <v>2020</v>
      </c>
      <c r="D325" s="409" t="s">
        <v>4930</v>
      </c>
      <c r="E325" s="413">
        <v>461.12902177984205</v>
      </c>
      <c r="F325" s="17"/>
      <c r="G325" s="17"/>
      <c r="H325" s="17"/>
      <c r="I325" s="17"/>
    </row>
    <row r="326" spans="2:9" ht="15.75" x14ac:dyDescent="0.25">
      <c r="B326" s="407" t="s">
        <v>4885</v>
      </c>
      <c r="C326" s="412">
        <v>2021</v>
      </c>
      <c r="D326" s="409" t="s">
        <v>4931</v>
      </c>
      <c r="E326" s="413">
        <v>447.38495335481463</v>
      </c>
      <c r="F326" s="17"/>
      <c r="G326" s="17"/>
      <c r="H326" s="17"/>
      <c r="I326" s="17"/>
    </row>
    <row r="327" spans="2:9" ht="15.75" x14ac:dyDescent="0.25">
      <c r="B327" s="407" t="s">
        <v>4885</v>
      </c>
      <c r="C327" s="412">
        <v>2022</v>
      </c>
      <c r="D327" s="409" t="s">
        <v>4932</v>
      </c>
      <c r="E327" s="413">
        <v>433.79158465691631</v>
      </c>
      <c r="F327" s="17"/>
      <c r="G327" s="17"/>
      <c r="H327" s="17"/>
      <c r="I327" s="17"/>
    </row>
    <row r="328" spans="2:9" ht="15.75" x14ac:dyDescent="0.25">
      <c r="B328" s="407" t="s">
        <v>4885</v>
      </c>
      <c r="C328" s="412">
        <v>2023</v>
      </c>
      <c r="D328" s="409" t="s">
        <v>4933</v>
      </c>
      <c r="E328" s="413">
        <v>420.30238480518273</v>
      </c>
      <c r="F328" s="17"/>
      <c r="G328" s="17"/>
      <c r="H328" s="17"/>
      <c r="I328" s="17"/>
    </row>
    <row r="329" spans="2:9" ht="15.75" x14ac:dyDescent="0.25">
      <c r="B329" s="407" t="s">
        <v>4885</v>
      </c>
      <c r="C329" s="412">
        <v>2024</v>
      </c>
      <c r="D329" s="409" t="s">
        <v>4934</v>
      </c>
      <c r="E329" s="413">
        <v>406.99756073933958</v>
      </c>
      <c r="F329" s="17"/>
      <c r="G329" s="17"/>
      <c r="H329" s="17"/>
      <c r="I329" s="17"/>
    </row>
    <row r="330" spans="2:9" ht="15.75" x14ac:dyDescent="0.25">
      <c r="B330" s="407" t="s">
        <v>4885</v>
      </c>
      <c r="C330" s="412">
        <v>2025</v>
      </c>
      <c r="D330" s="409" t="s">
        <v>4935</v>
      </c>
      <c r="E330" s="413">
        <v>393.89511255991766</v>
      </c>
      <c r="F330" s="17"/>
      <c r="G330" s="17"/>
      <c r="H330" s="17"/>
      <c r="I330" s="17"/>
    </row>
    <row r="331" spans="2:9" ht="15.75" x14ac:dyDescent="0.25">
      <c r="B331" s="407" t="s">
        <v>4885</v>
      </c>
      <c r="C331" s="412">
        <v>2026</v>
      </c>
      <c r="D331" s="409" t="s">
        <v>4936</v>
      </c>
      <c r="E331" s="413">
        <v>381.84989865658576</v>
      </c>
      <c r="F331" s="17"/>
      <c r="G331" s="17"/>
      <c r="H331" s="17"/>
      <c r="I331" s="17"/>
    </row>
    <row r="332" spans="2:9" ht="15.75" x14ac:dyDescent="0.25">
      <c r="B332" s="407" t="s">
        <v>4885</v>
      </c>
      <c r="C332" s="412">
        <v>2027</v>
      </c>
      <c r="D332" s="409" t="s">
        <v>4937</v>
      </c>
      <c r="E332" s="413">
        <v>370.76676941539046</v>
      </c>
      <c r="F332" s="17"/>
      <c r="G332" s="17"/>
      <c r="H332" s="17"/>
      <c r="I332" s="17"/>
    </row>
    <row r="333" spans="2:9" ht="15.75" x14ac:dyDescent="0.25">
      <c r="B333" s="407" t="s">
        <v>4885</v>
      </c>
      <c r="C333" s="412">
        <v>2028</v>
      </c>
      <c r="D333" s="409" t="s">
        <v>4938</v>
      </c>
      <c r="E333" s="413">
        <v>360.71704549071904</v>
      </c>
      <c r="F333" s="17"/>
      <c r="G333" s="17"/>
      <c r="H333" s="17"/>
      <c r="I333" s="17"/>
    </row>
    <row r="334" spans="2:9" ht="15.75" x14ac:dyDescent="0.25">
      <c r="B334" s="407" t="s">
        <v>4885</v>
      </c>
      <c r="C334" s="412">
        <v>2029</v>
      </c>
      <c r="D334" s="409" t="s">
        <v>4939</v>
      </c>
      <c r="E334" s="413">
        <v>351.65403860322095</v>
      </c>
      <c r="F334" s="17"/>
      <c r="G334" s="17"/>
      <c r="H334" s="17"/>
      <c r="I334" s="17"/>
    </row>
    <row r="335" spans="2:9" ht="15.75" x14ac:dyDescent="0.25">
      <c r="B335" s="407" t="s">
        <v>4885</v>
      </c>
      <c r="C335" s="412">
        <v>2030</v>
      </c>
      <c r="D335" s="409" t="s">
        <v>4940</v>
      </c>
      <c r="E335" s="413">
        <v>343.51706464766534</v>
      </c>
      <c r="F335" s="17"/>
      <c r="G335" s="17"/>
      <c r="H335" s="17"/>
      <c r="I335" s="17"/>
    </row>
    <row r="336" spans="2:9" ht="15.75" x14ac:dyDescent="0.25">
      <c r="B336" s="407" t="s">
        <v>4885</v>
      </c>
      <c r="C336" s="412">
        <v>2031</v>
      </c>
      <c r="D336" s="409" t="s">
        <v>4941</v>
      </c>
      <c r="E336" s="413">
        <v>336.26487307177234</v>
      </c>
      <c r="F336" s="17"/>
      <c r="G336" s="17"/>
      <c r="H336" s="17"/>
      <c r="I336" s="17"/>
    </row>
    <row r="337" spans="2:9" ht="15.75" x14ac:dyDescent="0.25">
      <c r="B337" s="407" t="s">
        <v>4885</v>
      </c>
      <c r="C337" s="412">
        <v>2032</v>
      </c>
      <c r="D337" s="409" t="s">
        <v>4942</v>
      </c>
      <c r="E337" s="413">
        <v>329.84440758883403</v>
      </c>
      <c r="F337" s="17"/>
      <c r="G337" s="17"/>
      <c r="H337" s="17"/>
      <c r="I337" s="17"/>
    </row>
    <row r="338" spans="2:9" ht="15.75" x14ac:dyDescent="0.25">
      <c r="B338" s="407" t="s">
        <v>4885</v>
      </c>
      <c r="C338" s="412">
        <v>2033</v>
      </c>
      <c r="D338" s="409" t="s">
        <v>4943</v>
      </c>
      <c r="E338" s="413">
        <v>324.18678533842296</v>
      </c>
      <c r="F338" s="17"/>
      <c r="G338" s="17"/>
      <c r="H338" s="17"/>
      <c r="I338" s="17"/>
    </row>
    <row r="339" spans="2:9" ht="15.75" x14ac:dyDescent="0.25">
      <c r="B339" s="407" t="s">
        <v>4885</v>
      </c>
      <c r="C339" s="412">
        <v>2034</v>
      </c>
      <c r="D339" s="409" t="s">
        <v>4944</v>
      </c>
      <c r="E339" s="413">
        <v>319.23292259945066</v>
      </c>
      <c r="F339" s="17"/>
      <c r="G339" s="17"/>
      <c r="H339" s="17"/>
      <c r="I339" s="17"/>
    </row>
    <row r="340" spans="2:9" ht="15.75" x14ac:dyDescent="0.25">
      <c r="B340" s="407" t="s">
        <v>4885</v>
      </c>
      <c r="C340" s="412">
        <v>2035</v>
      </c>
      <c r="D340" s="409" t="s">
        <v>4945</v>
      </c>
      <c r="E340" s="413">
        <v>314.90220175087791</v>
      </c>
      <c r="F340" s="17"/>
      <c r="G340" s="17"/>
      <c r="H340" s="17"/>
      <c r="I340" s="17"/>
    </row>
    <row r="341" spans="2:9" ht="15.75" x14ac:dyDescent="0.25">
      <c r="B341" s="407" t="s">
        <v>4885</v>
      </c>
      <c r="C341" s="412">
        <v>2036</v>
      </c>
      <c r="D341" s="409" t="s">
        <v>4946</v>
      </c>
      <c r="E341" s="413">
        <v>311.16885405078051</v>
      </c>
      <c r="F341" s="17"/>
      <c r="G341" s="17"/>
      <c r="H341" s="17"/>
      <c r="I341" s="17"/>
    </row>
    <row r="342" spans="2:9" ht="15.75" x14ac:dyDescent="0.25">
      <c r="B342" s="407" t="s">
        <v>4885</v>
      </c>
      <c r="C342" s="412">
        <v>2037</v>
      </c>
      <c r="D342" s="409" t="s">
        <v>4947</v>
      </c>
      <c r="E342" s="413">
        <v>307.96017846641507</v>
      </c>
      <c r="F342" s="17"/>
      <c r="G342" s="17"/>
      <c r="H342" s="17"/>
      <c r="I342" s="17"/>
    </row>
    <row r="343" spans="2:9" ht="15.75" x14ac:dyDescent="0.25">
      <c r="B343" s="407" t="s">
        <v>4885</v>
      </c>
      <c r="C343" s="412">
        <v>2038</v>
      </c>
      <c r="D343" s="409" t="s">
        <v>4948</v>
      </c>
      <c r="E343" s="413">
        <v>305.22644497960368</v>
      </c>
      <c r="F343" s="17"/>
      <c r="G343" s="17"/>
      <c r="H343" s="17"/>
      <c r="I343" s="17"/>
    </row>
    <row r="344" spans="2:9" ht="15.75" x14ac:dyDescent="0.25">
      <c r="B344" s="407" t="s">
        <v>4885</v>
      </c>
      <c r="C344" s="412">
        <v>2039</v>
      </c>
      <c r="D344" s="409" t="s">
        <v>4949</v>
      </c>
      <c r="E344" s="413">
        <v>302.88747099419413</v>
      </c>
      <c r="F344" s="17"/>
      <c r="G344" s="17"/>
      <c r="H344" s="17"/>
      <c r="I344" s="17"/>
    </row>
    <row r="345" spans="2:9" ht="15.75" x14ac:dyDescent="0.25">
      <c r="B345" s="407" t="s">
        <v>4885</v>
      </c>
      <c r="C345" s="412">
        <v>2040</v>
      </c>
      <c r="D345" s="409" t="s">
        <v>4950</v>
      </c>
      <c r="E345" s="413">
        <v>300.89297717782847</v>
      </c>
      <c r="F345" s="17"/>
      <c r="G345" s="17"/>
      <c r="H345" s="17"/>
      <c r="I345" s="17"/>
    </row>
    <row r="346" spans="2:9" ht="15.75" x14ac:dyDescent="0.25">
      <c r="B346" s="407" t="s">
        <v>4885</v>
      </c>
      <c r="C346" s="412">
        <v>2041</v>
      </c>
      <c r="D346" s="409" t="s">
        <v>4951</v>
      </c>
      <c r="E346" s="413">
        <v>299.2128498695543</v>
      </c>
      <c r="F346" s="17"/>
      <c r="G346" s="17"/>
      <c r="H346" s="17"/>
      <c r="I346" s="17"/>
    </row>
    <row r="347" spans="2:9" ht="15.75" x14ac:dyDescent="0.25">
      <c r="B347" s="407" t="s">
        <v>4885</v>
      </c>
      <c r="C347" s="412">
        <v>2042</v>
      </c>
      <c r="D347" s="409" t="s">
        <v>4952</v>
      </c>
      <c r="E347" s="413">
        <v>297.77834628704119</v>
      </c>
      <c r="F347" s="17"/>
      <c r="G347" s="17"/>
      <c r="H347" s="17"/>
      <c r="I347" s="17"/>
    </row>
    <row r="348" spans="2:9" ht="15.75" x14ac:dyDescent="0.25">
      <c r="B348" s="407" t="s">
        <v>4885</v>
      </c>
      <c r="C348" s="412">
        <v>2043</v>
      </c>
      <c r="D348" s="409" t="s">
        <v>4953</v>
      </c>
      <c r="E348" s="413">
        <v>296.5703618733221</v>
      </c>
      <c r="F348" s="17"/>
      <c r="G348" s="17"/>
      <c r="H348" s="17"/>
      <c r="I348" s="17"/>
    </row>
    <row r="349" spans="2:9" ht="15.75" x14ac:dyDescent="0.25">
      <c r="B349" s="407" t="s">
        <v>4885</v>
      </c>
      <c r="C349" s="412">
        <v>2044</v>
      </c>
      <c r="D349" s="409" t="s">
        <v>4954</v>
      </c>
      <c r="E349" s="413">
        <v>295.5385026117271</v>
      </c>
      <c r="F349" s="17"/>
      <c r="G349" s="17"/>
      <c r="H349" s="17"/>
      <c r="I349" s="17"/>
    </row>
    <row r="350" spans="2:9" ht="15.75" x14ac:dyDescent="0.25">
      <c r="B350" s="407" t="s">
        <v>4885</v>
      </c>
      <c r="C350" s="412">
        <v>2045</v>
      </c>
      <c r="D350" s="409" t="s">
        <v>4955</v>
      </c>
      <c r="E350" s="413">
        <v>294.6382125788366</v>
      </c>
      <c r="F350" s="17"/>
      <c r="G350" s="17"/>
      <c r="H350" s="17"/>
      <c r="I350" s="17"/>
    </row>
    <row r="351" spans="2:9" ht="15.75" x14ac:dyDescent="0.25">
      <c r="B351" s="407" t="s">
        <v>4885</v>
      </c>
      <c r="C351" s="412">
        <v>2046</v>
      </c>
      <c r="D351" s="409" t="s">
        <v>4956</v>
      </c>
      <c r="E351" s="413">
        <v>293.86461365133039</v>
      </c>
      <c r="F351" s="17"/>
      <c r="G351" s="17"/>
      <c r="H351" s="17"/>
      <c r="I351" s="17"/>
    </row>
    <row r="352" spans="2:9" ht="15.75" x14ac:dyDescent="0.25">
      <c r="B352" s="407" t="s">
        <v>4885</v>
      </c>
      <c r="C352" s="412">
        <v>2047</v>
      </c>
      <c r="D352" s="409" t="s">
        <v>4957</v>
      </c>
      <c r="E352" s="413">
        <v>293.20935287182448</v>
      </c>
      <c r="F352" s="17"/>
      <c r="G352" s="17"/>
      <c r="H352" s="17"/>
      <c r="I352" s="17"/>
    </row>
    <row r="353" spans="2:9" ht="15.75" x14ac:dyDescent="0.25">
      <c r="B353" s="407" t="s">
        <v>4885</v>
      </c>
      <c r="C353" s="412">
        <v>2048</v>
      </c>
      <c r="D353" s="409" t="s">
        <v>4958</v>
      </c>
      <c r="E353" s="413">
        <v>292.66044654398416</v>
      </c>
      <c r="F353" s="17"/>
      <c r="G353" s="17"/>
      <c r="H353" s="17"/>
      <c r="I353" s="17"/>
    </row>
    <row r="354" spans="2:9" ht="15.75" x14ac:dyDescent="0.25">
      <c r="B354" s="407" t="s">
        <v>4885</v>
      </c>
      <c r="C354" s="412">
        <v>2049</v>
      </c>
      <c r="D354" s="409" t="s">
        <v>4959</v>
      </c>
      <c r="E354" s="413">
        <v>292.1823696896281</v>
      </c>
      <c r="F354" s="17"/>
      <c r="G354" s="17"/>
      <c r="H354" s="17"/>
      <c r="I354" s="17"/>
    </row>
    <row r="355" spans="2:9" ht="15.75" x14ac:dyDescent="0.25">
      <c r="B355" s="407" t="s">
        <v>4885</v>
      </c>
      <c r="C355" s="412">
        <v>2050</v>
      </c>
      <c r="D355" s="409" t="s">
        <v>4960</v>
      </c>
      <c r="E355" s="413">
        <v>291.77648220515459</v>
      </c>
      <c r="F355" s="17"/>
      <c r="G355" s="17"/>
      <c r="H355" s="17"/>
      <c r="I355" s="17"/>
    </row>
    <row r="356" spans="2:9" ht="15.75" x14ac:dyDescent="0.25">
      <c r="B356" s="407" t="s">
        <v>4886</v>
      </c>
      <c r="C356" s="408">
        <v>2015</v>
      </c>
      <c r="D356" s="409" t="s">
        <v>4889</v>
      </c>
      <c r="E356" s="410">
        <v>526.49357057482064</v>
      </c>
      <c r="F356" s="17"/>
      <c r="G356" s="17"/>
      <c r="H356" s="17"/>
      <c r="I356" s="17"/>
    </row>
    <row r="357" spans="2:9" ht="15.75" x14ac:dyDescent="0.25">
      <c r="B357" s="407" t="s">
        <v>4886</v>
      </c>
      <c r="C357" s="408">
        <v>2016</v>
      </c>
      <c r="D357" s="409" t="s">
        <v>4890</v>
      </c>
      <c r="E357" s="410">
        <v>516.60949711735736</v>
      </c>
      <c r="F357" s="17"/>
      <c r="G357" s="17"/>
      <c r="H357" s="17"/>
      <c r="I357" s="17"/>
    </row>
    <row r="358" spans="2:9" ht="15.75" x14ac:dyDescent="0.25">
      <c r="B358" s="407" t="s">
        <v>4886</v>
      </c>
      <c r="C358" s="412">
        <v>2017</v>
      </c>
      <c r="D358" s="409" t="s">
        <v>4891</v>
      </c>
      <c r="E358" s="413">
        <v>504.4340032448759</v>
      </c>
      <c r="F358" s="17"/>
      <c r="G358" s="17"/>
      <c r="H358" s="17"/>
      <c r="I358" s="17"/>
    </row>
    <row r="359" spans="2:9" ht="15.75" x14ac:dyDescent="0.25">
      <c r="B359" s="407" t="s">
        <v>4886</v>
      </c>
      <c r="C359" s="412">
        <v>2018</v>
      </c>
      <c r="D359" s="409" t="s">
        <v>4892</v>
      </c>
      <c r="E359" s="413">
        <v>491.48292714280961</v>
      </c>
      <c r="F359" s="17"/>
      <c r="G359" s="17"/>
      <c r="H359" s="17"/>
      <c r="I359" s="17"/>
    </row>
    <row r="360" spans="2:9" ht="15.75" x14ac:dyDescent="0.25">
      <c r="B360" s="407" t="s">
        <v>4886</v>
      </c>
      <c r="C360" s="412">
        <v>2019</v>
      </c>
      <c r="D360" s="409" t="s">
        <v>4893</v>
      </c>
      <c r="E360" s="413">
        <v>474.72988458574628</v>
      </c>
      <c r="F360" s="17"/>
      <c r="G360" s="17"/>
      <c r="H360" s="17"/>
      <c r="I360" s="17"/>
    </row>
    <row r="361" spans="2:9" ht="15.75" x14ac:dyDescent="0.25">
      <c r="B361" s="407" t="s">
        <v>4886</v>
      </c>
      <c r="C361" s="412">
        <v>2020</v>
      </c>
      <c r="D361" s="409" t="s">
        <v>4894</v>
      </c>
      <c r="E361" s="413">
        <v>461.12902177984205</v>
      </c>
      <c r="F361" s="17"/>
      <c r="G361" s="17"/>
      <c r="H361" s="17"/>
      <c r="I361" s="17"/>
    </row>
    <row r="362" spans="2:9" ht="15.75" x14ac:dyDescent="0.25">
      <c r="B362" s="407" t="s">
        <v>4886</v>
      </c>
      <c r="C362" s="412">
        <v>2021</v>
      </c>
      <c r="D362" s="409" t="s">
        <v>4895</v>
      </c>
      <c r="E362" s="413">
        <v>447.38495335481463</v>
      </c>
      <c r="F362" s="17"/>
      <c r="G362" s="17"/>
      <c r="H362" s="17"/>
      <c r="I362" s="17"/>
    </row>
    <row r="363" spans="2:9" ht="15.75" x14ac:dyDescent="0.25">
      <c r="B363" s="407" t="s">
        <v>4886</v>
      </c>
      <c r="C363" s="412">
        <v>2022</v>
      </c>
      <c r="D363" s="409" t="s">
        <v>4896</v>
      </c>
      <c r="E363" s="413">
        <v>433.79158465691631</v>
      </c>
      <c r="F363" s="17"/>
      <c r="G363" s="17"/>
      <c r="H363" s="17"/>
      <c r="I363" s="17"/>
    </row>
    <row r="364" spans="2:9" ht="15.75" x14ac:dyDescent="0.25">
      <c r="B364" s="407" t="s">
        <v>4886</v>
      </c>
      <c r="C364" s="412">
        <v>2023</v>
      </c>
      <c r="D364" s="409" t="s">
        <v>4897</v>
      </c>
      <c r="E364" s="413">
        <v>420.30238480518273</v>
      </c>
      <c r="F364" s="17"/>
      <c r="G364" s="17"/>
      <c r="H364" s="17"/>
      <c r="I364" s="17"/>
    </row>
    <row r="365" spans="2:9" ht="15.75" x14ac:dyDescent="0.25">
      <c r="B365" s="407" t="s">
        <v>4886</v>
      </c>
      <c r="C365" s="412">
        <v>2024</v>
      </c>
      <c r="D365" s="409" t="s">
        <v>4898</v>
      </c>
      <c r="E365" s="413">
        <v>406.99756073933958</v>
      </c>
      <c r="F365" s="17"/>
      <c r="G365" s="17"/>
      <c r="H365" s="17"/>
      <c r="I365" s="17"/>
    </row>
    <row r="366" spans="2:9" ht="15.75" x14ac:dyDescent="0.25">
      <c r="B366" s="407" t="s">
        <v>4886</v>
      </c>
      <c r="C366" s="412">
        <v>2025</v>
      </c>
      <c r="D366" s="409" t="s">
        <v>4899</v>
      </c>
      <c r="E366" s="413">
        <v>393.89511255991766</v>
      </c>
      <c r="F366" s="17"/>
      <c r="G366" s="17"/>
      <c r="H366" s="17"/>
      <c r="I366" s="17"/>
    </row>
    <row r="367" spans="2:9" ht="15.75" x14ac:dyDescent="0.25">
      <c r="B367" s="407" t="s">
        <v>4886</v>
      </c>
      <c r="C367" s="412">
        <v>2026</v>
      </c>
      <c r="D367" s="409" t="s">
        <v>4900</v>
      </c>
      <c r="E367" s="413">
        <v>381.84989865658576</v>
      </c>
      <c r="F367" s="17"/>
      <c r="G367" s="17"/>
      <c r="H367" s="17"/>
      <c r="I367" s="17"/>
    </row>
    <row r="368" spans="2:9" ht="15.75" x14ac:dyDescent="0.25">
      <c r="B368" s="407" t="s">
        <v>4886</v>
      </c>
      <c r="C368" s="412">
        <v>2027</v>
      </c>
      <c r="D368" s="409" t="s">
        <v>4901</v>
      </c>
      <c r="E368" s="413">
        <v>370.76676941539046</v>
      </c>
      <c r="F368" s="17"/>
      <c r="G368" s="17"/>
      <c r="H368" s="17"/>
      <c r="I368" s="17"/>
    </row>
    <row r="369" spans="2:9" ht="15.75" x14ac:dyDescent="0.25">
      <c r="B369" s="407" t="s">
        <v>4886</v>
      </c>
      <c r="C369" s="412">
        <v>2028</v>
      </c>
      <c r="D369" s="409" t="s">
        <v>4902</v>
      </c>
      <c r="E369" s="413">
        <v>360.71704549071904</v>
      </c>
      <c r="F369" s="17"/>
      <c r="G369" s="17"/>
      <c r="H369" s="17"/>
      <c r="I369" s="17"/>
    </row>
    <row r="370" spans="2:9" ht="15.75" x14ac:dyDescent="0.25">
      <c r="B370" s="407" t="s">
        <v>4886</v>
      </c>
      <c r="C370" s="412">
        <v>2029</v>
      </c>
      <c r="D370" s="409" t="s">
        <v>4903</v>
      </c>
      <c r="E370" s="413">
        <v>351.65403860322095</v>
      </c>
      <c r="F370" s="17"/>
      <c r="G370" s="17"/>
      <c r="H370" s="17"/>
      <c r="I370" s="17"/>
    </row>
    <row r="371" spans="2:9" ht="15.75" x14ac:dyDescent="0.25">
      <c r="B371" s="407" t="s">
        <v>4886</v>
      </c>
      <c r="C371" s="412">
        <v>2030</v>
      </c>
      <c r="D371" s="409" t="s">
        <v>4904</v>
      </c>
      <c r="E371" s="413">
        <v>343.51706464766534</v>
      </c>
      <c r="F371" s="17"/>
      <c r="G371" s="17"/>
      <c r="H371" s="17"/>
      <c r="I371" s="17"/>
    </row>
    <row r="372" spans="2:9" ht="15.75" x14ac:dyDescent="0.25">
      <c r="B372" s="407" t="s">
        <v>4886</v>
      </c>
      <c r="C372" s="412">
        <v>2031</v>
      </c>
      <c r="D372" s="409" t="s">
        <v>4905</v>
      </c>
      <c r="E372" s="413">
        <v>336.26487307177234</v>
      </c>
      <c r="F372" s="17"/>
      <c r="G372" s="17"/>
      <c r="H372" s="17"/>
      <c r="I372" s="17"/>
    </row>
    <row r="373" spans="2:9" ht="15.75" x14ac:dyDescent="0.25">
      <c r="B373" s="407" t="s">
        <v>4886</v>
      </c>
      <c r="C373" s="412">
        <v>2032</v>
      </c>
      <c r="D373" s="409" t="s">
        <v>4906</v>
      </c>
      <c r="E373" s="413">
        <v>329.84440758883403</v>
      </c>
      <c r="F373" s="17"/>
      <c r="G373" s="17"/>
      <c r="H373" s="17"/>
      <c r="I373" s="17"/>
    </row>
    <row r="374" spans="2:9" ht="15.75" x14ac:dyDescent="0.25">
      <c r="B374" s="407" t="s">
        <v>4886</v>
      </c>
      <c r="C374" s="412">
        <v>2033</v>
      </c>
      <c r="D374" s="409" t="s">
        <v>4907</v>
      </c>
      <c r="E374" s="413">
        <v>324.18678533842296</v>
      </c>
      <c r="F374" s="17"/>
      <c r="G374" s="17"/>
      <c r="H374" s="17"/>
      <c r="I374" s="17"/>
    </row>
    <row r="375" spans="2:9" ht="15.75" x14ac:dyDescent="0.25">
      <c r="B375" s="407" t="s">
        <v>4886</v>
      </c>
      <c r="C375" s="412">
        <v>2034</v>
      </c>
      <c r="D375" s="409" t="s">
        <v>4908</v>
      </c>
      <c r="E375" s="413">
        <v>319.23292259945066</v>
      </c>
      <c r="F375" s="17"/>
      <c r="G375" s="17"/>
      <c r="H375" s="17"/>
      <c r="I375" s="17"/>
    </row>
    <row r="376" spans="2:9" ht="15.75" x14ac:dyDescent="0.25">
      <c r="B376" s="407" t="s">
        <v>4886</v>
      </c>
      <c r="C376" s="412">
        <v>2035</v>
      </c>
      <c r="D376" s="409" t="s">
        <v>4909</v>
      </c>
      <c r="E376" s="413">
        <v>314.90220175087791</v>
      </c>
      <c r="F376" s="17"/>
      <c r="G376" s="17"/>
      <c r="H376" s="17"/>
      <c r="I376" s="17"/>
    </row>
    <row r="377" spans="2:9" ht="15.75" x14ac:dyDescent="0.25">
      <c r="B377" s="407" t="s">
        <v>4886</v>
      </c>
      <c r="C377" s="412">
        <v>2036</v>
      </c>
      <c r="D377" s="409" t="s">
        <v>4910</v>
      </c>
      <c r="E377" s="413">
        <v>311.16885405078051</v>
      </c>
      <c r="F377" s="17"/>
      <c r="G377" s="17"/>
      <c r="H377" s="17"/>
      <c r="I377" s="17"/>
    </row>
    <row r="378" spans="2:9" ht="15.75" x14ac:dyDescent="0.25">
      <c r="B378" s="407" t="s">
        <v>4886</v>
      </c>
      <c r="C378" s="412">
        <v>2037</v>
      </c>
      <c r="D378" s="409" t="s">
        <v>4911</v>
      </c>
      <c r="E378" s="413">
        <v>307.96017846641507</v>
      </c>
      <c r="F378" s="17"/>
      <c r="G378" s="17"/>
      <c r="H378" s="17"/>
      <c r="I378" s="17"/>
    </row>
    <row r="379" spans="2:9" ht="15.75" x14ac:dyDescent="0.25">
      <c r="B379" s="407" t="s">
        <v>4886</v>
      </c>
      <c r="C379" s="412">
        <v>2038</v>
      </c>
      <c r="D379" s="409" t="s">
        <v>4912</v>
      </c>
      <c r="E379" s="413">
        <v>305.22644497960368</v>
      </c>
      <c r="F379" s="17"/>
      <c r="G379" s="17"/>
      <c r="H379" s="17"/>
      <c r="I379" s="17"/>
    </row>
    <row r="380" spans="2:9" ht="15.75" x14ac:dyDescent="0.25">
      <c r="B380" s="407" t="s">
        <v>4886</v>
      </c>
      <c r="C380" s="412">
        <v>2039</v>
      </c>
      <c r="D380" s="409" t="s">
        <v>4913</v>
      </c>
      <c r="E380" s="413">
        <v>302.88747099419413</v>
      </c>
      <c r="F380" s="17"/>
      <c r="G380" s="17"/>
      <c r="H380" s="17"/>
      <c r="I380" s="17"/>
    </row>
    <row r="381" spans="2:9" ht="15.75" x14ac:dyDescent="0.25">
      <c r="B381" s="407" t="s">
        <v>4886</v>
      </c>
      <c r="C381" s="412">
        <v>2040</v>
      </c>
      <c r="D381" s="409" t="s">
        <v>4914</v>
      </c>
      <c r="E381" s="413">
        <v>300.89297717782847</v>
      </c>
      <c r="F381" s="17"/>
      <c r="G381" s="17"/>
      <c r="H381" s="17"/>
      <c r="I381" s="17"/>
    </row>
    <row r="382" spans="2:9" ht="15.75" x14ac:dyDescent="0.25">
      <c r="B382" s="407" t="s">
        <v>4886</v>
      </c>
      <c r="C382" s="412">
        <v>2041</v>
      </c>
      <c r="D382" s="409" t="s">
        <v>4915</v>
      </c>
      <c r="E382" s="413">
        <v>299.2128498695543</v>
      </c>
      <c r="F382" s="17"/>
      <c r="G382" s="17"/>
      <c r="H382" s="17"/>
      <c r="I382" s="17"/>
    </row>
    <row r="383" spans="2:9" ht="15.75" x14ac:dyDescent="0.25">
      <c r="B383" s="407" t="s">
        <v>4886</v>
      </c>
      <c r="C383" s="412">
        <v>2042</v>
      </c>
      <c r="D383" s="409" t="s">
        <v>4916</v>
      </c>
      <c r="E383" s="413">
        <v>297.77834628704119</v>
      </c>
      <c r="F383" s="17"/>
      <c r="G383" s="17"/>
      <c r="H383" s="17"/>
      <c r="I383" s="17"/>
    </row>
    <row r="384" spans="2:9" ht="15.75" x14ac:dyDescent="0.25">
      <c r="B384" s="407" t="s">
        <v>4886</v>
      </c>
      <c r="C384" s="412">
        <v>2043</v>
      </c>
      <c r="D384" s="409" t="s">
        <v>4917</v>
      </c>
      <c r="E384" s="413">
        <v>296.5703618733221</v>
      </c>
      <c r="F384" s="17"/>
      <c r="G384" s="17"/>
      <c r="H384" s="17"/>
      <c r="I384" s="17"/>
    </row>
    <row r="385" spans="2:9" ht="15.75" x14ac:dyDescent="0.25">
      <c r="B385" s="407" t="s">
        <v>4886</v>
      </c>
      <c r="C385" s="412">
        <v>2044</v>
      </c>
      <c r="D385" s="409" t="s">
        <v>4918</v>
      </c>
      <c r="E385" s="413">
        <v>295.5385026117271</v>
      </c>
      <c r="F385" s="17"/>
      <c r="G385" s="17"/>
      <c r="H385" s="17"/>
      <c r="I385" s="17"/>
    </row>
    <row r="386" spans="2:9" ht="15.75" x14ac:dyDescent="0.25">
      <c r="B386" s="407" t="s">
        <v>4886</v>
      </c>
      <c r="C386" s="412">
        <v>2045</v>
      </c>
      <c r="D386" s="409" t="s">
        <v>4919</v>
      </c>
      <c r="E386" s="413">
        <v>294.6382125788366</v>
      </c>
      <c r="F386" s="17"/>
      <c r="G386" s="17"/>
      <c r="H386" s="17"/>
      <c r="I386" s="17"/>
    </row>
    <row r="387" spans="2:9" ht="15.75" x14ac:dyDescent="0.25">
      <c r="B387" s="407" t="s">
        <v>4886</v>
      </c>
      <c r="C387" s="412">
        <v>2046</v>
      </c>
      <c r="D387" s="409" t="s">
        <v>4920</v>
      </c>
      <c r="E387" s="413">
        <v>293.86461365133039</v>
      </c>
      <c r="F387" s="17"/>
      <c r="G387" s="17"/>
      <c r="H387" s="17"/>
      <c r="I387" s="17"/>
    </row>
    <row r="388" spans="2:9" ht="15.75" x14ac:dyDescent="0.25">
      <c r="B388" s="407" t="s">
        <v>4886</v>
      </c>
      <c r="C388" s="412">
        <v>2047</v>
      </c>
      <c r="D388" s="409" t="s">
        <v>4921</v>
      </c>
      <c r="E388" s="413">
        <v>293.20935287182448</v>
      </c>
      <c r="F388" s="17"/>
      <c r="G388" s="17"/>
      <c r="H388" s="17"/>
      <c r="I388" s="17"/>
    </row>
    <row r="389" spans="2:9" ht="15.75" x14ac:dyDescent="0.25">
      <c r="B389" s="407" t="s">
        <v>4886</v>
      </c>
      <c r="C389" s="412">
        <v>2048</v>
      </c>
      <c r="D389" s="409" t="s">
        <v>4922</v>
      </c>
      <c r="E389" s="413">
        <v>292.66044654398416</v>
      </c>
      <c r="F389" s="17"/>
      <c r="G389" s="17"/>
      <c r="H389" s="17"/>
      <c r="I389" s="17"/>
    </row>
    <row r="390" spans="2:9" ht="15.75" x14ac:dyDescent="0.25">
      <c r="B390" s="407" t="s">
        <v>4886</v>
      </c>
      <c r="C390" s="412">
        <v>2049</v>
      </c>
      <c r="D390" s="409" t="s">
        <v>4923</v>
      </c>
      <c r="E390" s="413">
        <v>292.1823696896281</v>
      </c>
      <c r="F390" s="17"/>
      <c r="G390" s="17"/>
      <c r="H390" s="17"/>
      <c r="I390" s="17"/>
    </row>
    <row r="391" spans="2:9" ht="15.75" x14ac:dyDescent="0.25">
      <c r="B391" s="407" t="s">
        <v>4886</v>
      </c>
      <c r="C391" s="412">
        <v>2050</v>
      </c>
      <c r="D391" s="409" t="s">
        <v>4924</v>
      </c>
      <c r="E391" s="413">
        <v>291.77648220515459</v>
      </c>
      <c r="F391" s="17"/>
      <c r="G391" s="17"/>
      <c r="H391" s="17"/>
      <c r="I391" s="17"/>
    </row>
    <row r="392" spans="2:9" ht="15.75" x14ac:dyDescent="0.25">
      <c r="B392" s="407" t="s">
        <v>67</v>
      </c>
      <c r="C392" s="408">
        <v>2015</v>
      </c>
      <c r="D392" s="409" t="s">
        <v>210</v>
      </c>
      <c r="E392" s="410">
        <v>514.50301852094663</v>
      </c>
      <c r="F392" s="17"/>
      <c r="G392" s="17"/>
      <c r="H392" s="17"/>
      <c r="I392" s="17"/>
    </row>
    <row r="393" spans="2:9" ht="15.75" x14ac:dyDescent="0.25">
      <c r="B393" s="407" t="s">
        <v>67</v>
      </c>
      <c r="C393" s="408">
        <v>2016</v>
      </c>
      <c r="D393" s="409" t="s">
        <v>211</v>
      </c>
      <c r="E393" s="410">
        <v>503.77516814939753</v>
      </c>
      <c r="F393" s="17"/>
      <c r="G393" s="17"/>
      <c r="H393" s="17"/>
      <c r="I393" s="17"/>
    </row>
    <row r="394" spans="2:9" ht="15.75" x14ac:dyDescent="0.25">
      <c r="B394" s="411" t="s">
        <v>67</v>
      </c>
      <c r="C394" s="412">
        <v>2017</v>
      </c>
      <c r="D394" s="412" t="s">
        <v>792</v>
      </c>
      <c r="E394" s="413">
        <v>491.62716138546148</v>
      </c>
      <c r="F394" s="17"/>
      <c r="G394" s="17"/>
      <c r="H394" s="17"/>
      <c r="I394" s="17"/>
    </row>
    <row r="395" spans="2:9" ht="15.75" x14ac:dyDescent="0.25">
      <c r="B395" s="411" t="s">
        <v>67</v>
      </c>
      <c r="C395" s="412">
        <v>2018</v>
      </c>
      <c r="D395" s="412" t="s">
        <v>793</v>
      </c>
      <c r="E395" s="413">
        <v>479.30022167529728</v>
      </c>
      <c r="F395" s="17"/>
      <c r="G395" s="17"/>
      <c r="H395" s="17"/>
      <c r="I395" s="17"/>
    </row>
    <row r="396" spans="2:9" ht="15.75" x14ac:dyDescent="0.25">
      <c r="B396" s="411" t="s">
        <v>67</v>
      </c>
      <c r="C396" s="412">
        <v>2019</v>
      </c>
      <c r="D396" s="412" t="s">
        <v>794</v>
      </c>
      <c r="E396" s="413">
        <v>465.81103466956313</v>
      </c>
      <c r="F396" s="17"/>
      <c r="G396" s="17"/>
      <c r="H396" s="17"/>
      <c r="I396" s="17"/>
    </row>
    <row r="397" spans="2:9" ht="15.75" x14ac:dyDescent="0.25">
      <c r="B397" s="411" t="s">
        <v>67</v>
      </c>
      <c r="C397" s="412">
        <v>2020</v>
      </c>
      <c r="D397" s="412" t="s">
        <v>795</v>
      </c>
      <c r="E397" s="413">
        <v>452.08739974650803</v>
      </c>
      <c r="F397" s="17"/>
      <c r="G397" s="17"/>
      <c r="H397" s="17"/>
      <c r="I397" s="17"/>
    </row>
    <row r="398" spans="2:9" ht="15.75" x14ac:dyDescent="0.25">
      <c r="B398" s="411" t="s">
        <v>67</v>
      </c>
      <c r="C398" s="412">
        <v>2021</v>
      </c>
      <c r="D398" s="412" t="s">
        <v>796</v>
      </c>
      <c r="E398" s="413">
        <v>438.26474817603417</v>
      </c>
      <c r="F398" s="17"/>
      <c r="G398" s="17"/>
      <c r="H398" s="17"/>
      <c r="I398" s="17"/>
    </row>
    <row r="399" spans="2:9" ht="15.75" x14ac:dyDescent="0.25">
      <c r="B399" s="411" t="s">
        <v>67</v>
      </c>
      <c r="C399" s="412">
        <v>2022</v>
      </c>
      <c r="D399" s="412" t="s">
        <v>797</v>
      </c>
      <c r="E399" s="413">
        <v>424.63898153605061</v>
      </c>
      <c r="F399" s="17"/>
      <c r="G399" s="17"/>
      <c r="H399" s="17"/>
      <c r="I399" s="17"/>
    </row>
    <row r="400" spans="2:9" ht="15.75" x14ac:dyDescent="0.25">
      <c r="B400" s="411" t="s">
        <v>67</v>
      </c>
      <c r="C400" s="412">
        <v>2023</v>
      </c>
      <c r="D400" s="412" t="s">
        <v>798</v>
      </c>
      <c r="E400" s="413">
        <v>411.16714755638191</v>
      </c>
      <c r="F400" s="17"/>
      <c r="G400" s="17"/>
      <c r="H400" s="17"/>
      <c r="I400" s="17"/>
    </row>
    <row r="401" spans="2:9" ht="15.75" x14ac:dyDescent="0.25">
      <c r="B401" s="411" t="s">
        <v>67</v>
      </c>
      <c r="C401" s="412">
        <v>2024</v>
      </c>
      <c r="D401" s="412" t="s">
        <v>799</v>
      </c>
      <c r="E401" s="413">
        <v>397.84090304047612</v>
      </c>
      <c r="F401" s="17"/>
      <c r="G401" s="17"/>
      <c r="H401" s="17"/>
      <c r="I401" s="17"/>
    </row>
    <row r="402" spans="2:9" ht="15.75" x14ac:dyDescent="0.25">
      <c r="B402" s="411" t="s">
        <v>67</v>
      </c>
      <c r="C402" s="412">
        <v>2025</v>
      </c>
      <c r="D402" s="412" t="s">
        <v>800</v>
      </c>
      <c r="E402" s="413">
        <v>384.81487850678326</v>
      </c>
      <c r="F402" s="17"/>
      <c r="G402" s="17"/>
      <c r="H402" s="17"/>
      <c r="I402" s="17"/>
    </row>
    <row r="403" spans="2:9" ht="15.75" x14ac:dyDescent="0.25">
      <c r="B403" s="411" t="s">
        <v>67</v>
      </c>
      <c r="C403" s="412">
        <v>2026</v>
      </c>
      <c r="D403" s="412" t="s">
        <v>801</v>
      </c>
      <c r="E403" s="413">
        <v>373.76226542496607</v>
      </c>
      <c r="F403" s="17"/>
      <c r="G403" s="17"/>
      <c r="H403" s="17"/>
      <c r="I403" s="17"/>
    </row>
    <row r="404" spans="2:9" ht="15.75" x14ac:dyDescent="0.25">
      <c r="B404" s="411" t="s">
        <v>67</v>
      </c>
      <c r="C404" s="412">
        <v>2027</v>
      </c>
      <c r="D404" s="412" t="s">
        <v>802</v>
      </c>
      <c r="E404" s="413">
        <v>362.78170194741909</v>
      </c>
      <c r="F404" s="17"/>
      <c r="G404" s="17"/>
      <c r="H404" s="17"/>
      <c r="I404" s="17"/>
    </row>
    <row r="405" spans="2:9" ht="15.75" x14ac:dyDescent="0.25">
      <c r="B405" s="411" t="s">
        <v>67</v>
      </c>
      <c r="C405" s="412">
        <v>2028</v>
      </c>
      <c r="D405" s="412" t="s">
        <v>803</v>
      </c>
      <c r="E405" s="413">
        <v>352.87758144190121</v>
      </c>
      <c r="F405" s="17"/>
      <c r="G405" s="17"/>
      <c r="H405" s="17"/>
      <c r="I405" s="17"/>
    </row>
    <row r="406" spans="2:9" ht="15.75" x14ac:dyDescent="0.25">
      <c r="B406" s="411" t="s">
        <v>67</v>
      </c>
      <c r="C406" s="412">
        <v>2029</v>
      </c>
      <c r="D406" s="412" t="s">
        <v>804</v>
      </c>
      <c r="E406" s="413">
        <v>343.98070208102359</v>
      </c>
      <c r="F406" s="17"/>
      <c r="G406" s="17"/>
      <c r="H406" s="17"/>
      <c r="I406" s="17"/>
    </row>
    <row r="407" spans="2:9" ht="15.75" x14ac:dyDescent="0.25">
      <c r="B407" s="411" t="s">
        <v>67</v>
      </c>
      <c r="C407" s="412">
        <v>2030</v>
      </c>
      <c r="D407" s="412" t="s">
        <v>805</v>
      </c>
      <c r="E407" s="413">
        <v>336.03242620508485</v>
      </c>
      <c r="F407" s="17"/>
      <c r="G407" s="17"/>
      <c r="H407" s="17"/>
      <c r="I407" s="17"/>
    </row>
    <row r="408" spans="2:9" ht="15.75" x14ac:dyDescent="0.25">
      <c r="B408" s="411" t="s">
        <v>67</v>
      </c>
      <c r="C408" s="412">
        <v>2031</v>
      </c>
      <c r="D408" s="412" t="s">
        <v>806</v>
      </c>
      <c r="E408" s="413">
        <v>328.97465916980553</v>
      </c>
      <c r="F408" s="17"/>
      <c r="G408" s="17"/>
      <c r="H408" s="17"/>
      <c r="I408" s="17"/>
    </row>
    <row r="409" spans="2:9" ht="15.75" x14ac:dyDescent="0.25">
      <c r="B409" s="411" t="s">
        <v>67</v>
      </c>
      <c r="C409" s="412">
        <v>2032</v>
      </c>
      <c r="D409" s="412" t="s">
        <v>807</v>
      </c>
      <c r="E409" s="413">
        <v>322.73841969866504</v>
      </c>
      <c r="F409" s="17"/>
      <c r="G409" s="17"/>
      <c r="H409" s="17"/>
      <c r="I409" s="17"/>
    </row>
    <row r="410" spans="2:9" ht="15.75" x14ac:dyDescent="0.25">
      <c r="B410" s="411" t="s">
        <v>67</v>
      </c>
      <c r="C410" s="412">
        <v>2033</v>
      </c>
      <c r="D410" s="412" t="s">
        <v>808</v>
      </c>
      <c r="E410" s="413">
        <v>317.25006776635621</v>
      </c>
      <c r="F410" s="17"/>
      <c r="G410" s="17"/>
      <c r="H410" s="17"/>
      <c r="I410" s="17"/>
    </row>
    <row r="411" spans="2:9" ht="15.75" x14ac:dyDescent="0.25">
      <c r="B411" s="411" t="s">
        <v>67</v>
      </c>
      <c r="C411" s="412">
        <v>2034</v>
      </c>
      <c r="D411" s="412" t="s">
        <v>809</v>
      </c>
      <c r="E411" s="413">
        <v>312.45537270593309</v>
      </c>
      <c r="F411" s="17"/>
      <c r="G411" s="17"/>
      <c r="H411" s="17"/>
      <c r="I411" s="17"/>
    </row>
    <row r="412" spans="2:9" ht="15.75" x14ac:dyDescent="0.25">
      <c r="B412" s="411" t="s">
        <v>67</v>
      </c>
      <c r="C412" s="412">
        <v>2035</v>
      </c>
      <c r="D412" s="412" t="s">
        <v>810</v>
      </c>
      <c r="E412" s="413">
        <v>308.29325895978246</v>
      </c>
      <c r="F412" s="17"/>
      <c r="G412" s="17"/>
      <c r="H412" s="17"/>
      <c r="I412" s="17"/>
    </row>
    <row r="413" spans="2:9" ht="15.75" x14ac:dyDescent="0.25">
      <c r="B413" s="411" t="s">
        <v>67</v>
      </c>
      <c r="C413" s="412">
        <v>2036</v>
      </c>
      <c r="D413" s="412" t="s">
        <v>811</v>
      </c>
      <c r="E413" s="413">
        <v>304.69862299270295</v>
      </c>
      <c r="F413" s="17"/>
      <c r="G413" s="17"/>
      <c r="H413" s="17"/>
      <c r="I413" s="17"/>
    </row>
    <row r="414" spans="2:9" ht="15.75" x14ac:dyDescent="0.25">
      <c r="B414" s="411" t="s">
        <v>67</v>
      </c>
      <c r="C414" s="412">
        <v>2037</v>
      </c>
      <c r="D414" s="412" t="s">
        <v>812</v>
      </c>
      <c r="E414" s="413">
        <v>301.63047929566977</v>
      </c>
      <c r="F414" s="17"/>
      <c r="G414" s="17"/>
      <c r="H414" s="17"/>
      <c r="I414" s="17"/>
    </row>
    <row r="415" spans="2:9" ht="15.75" x14ac:dyDescent="0.25">
      <c r="B415" s="411" t="s">
        <v>67</v>
      </c>
      <c r="C415" s="412">
        <v>2038</v>
      </c>
      <c r="D415" s="412" t="s">
        <v>813</v>
      </c>
      <c r="E415" s="413">
        <v>299.03438580993532</v>
      </c>
      <c r="F415" s="17"/>
      <c r="G415" s="17"/>
      <c r="H415" s="17"/>
      <c r="I415" s="17"/>
    </row>
    <row r="416" spans="2:9" ht="15.75" x14ac:dyDescent="0.25">
      <c r="B416" s="411" t="s">
        <v>67</v>
      </c>
      <c r="C416" s="412">
        <v>2039</v>
      </c>
      <c r="D416" s="412" t="s">
        <v>814</v>
      </c>
      <c r="E416" s="413">
        <v>296.85083415166611</v>
      </c>
      <c r="F416" s="17"/>
      <c r="G416" s="17"/>
      <c r="H416" s="17"/>
      <c r="I416" s="17"/>
    </row>
    <row r="417" spans="2:9" ht="15.75" x14ac:dyDescent="0.25">
      <c r="B417" s="411" t="s">
        <v>67</v>
      </c>
      <c r="C417" s="412">
        <v>2040</v>
      </c>
      <c r="D417" s="412" t="s">
        <v>815</v>
      </c>
      <c r="E417" s="413">
        <v>295.02957035017738</v>
      </c>
      <c r="F417" s="17"/>
      <c r="G417" s="17"/>
      <c r="H417" s="17"/>
      <c r="I417" s="17"/>
    </row>
    <row r="418" spans="2:9" ht="15.75" x14ac:dyDescent="0.25">
      <c r="B418" s="411" t="s">
        <v>67</v>
      </c>
      <c r="C418" s="412">
        <v>2041</v>
      </c>
      <c r="D418" s="412" t="s">
        <v>816</v>
      </c>
      <c r="E418" s="413">
        <v>293.53761829624943</v>
      </c>
      <c r="F418" s="17"/>
      <c r="G418" s="17"/>
      <c r="H418" s="17"/>
      <c r="I418" s="17"/>
    </row>
    <row r="419" spans="2:9" ht="15.75" x14ac:dyDescent="0.25">
      <c r="B419" s="411" t="s">
        <v>67</v>
      </c>
      <c r="C419" s="412">
        <v>2042</v>
      </c>
      <c r="D419" s="412" t="s">
        <v>817</v>
      </c>
      <c r="E419" s="413">
        <v>292.30551774042982</v>
      </c>
      <c r="F419" s="17"/>
      <c r="G419" s="17"/>
      <c r="H419" s="17"/>
      <c r="I419" s="17"/>
    </row>
    <row r="420" spans="2:9" ht="15.75" x14ac:dyDescent="0.25">
      <c r="B420" s="411" t="s">
        <v>67</v>
      </c>
      <c r="C420" s="412">
        <v>2043</v>
      </c>
      <c r="D420" s="412" t="s">
        <v>818</v>
      </c>
      <c r="E420" s="413">
        <v>291.30251946266969</v>
      </c>
      <c r="F420" s="17"/>
      <c r="G420" s="17"/>
      <c r="H420" s="17"/>
      <c r="I420" s="17"/>
    </row>
    <row r="421" spans="2:9" ht="15.75" x14ac:dyDescent="0.25">
      <c r="B421" s="411" t="s">
        <v>67</v>
      </c>
      <c r="C421" s="412">
        <v>2044</v>
      </c>
      <c r="D421" s="412" t="s">
        <v>819</v>
      </c>
      <c r="E421" s="413">
        <v>290.4794608102012</v>
      </c>
      <c r="F421" s="17"/>
      <c r="G421" s="17"/>
      <c r="H421" s="17"/>
      <c r="I421" s="17"/>
    </row>
    <row r="422" spans="2:9" ht="15.75" x14ac:dyDescent="0.25">
      <c r="B422" s="411" t="s">
        <v>67</v>
      </c>
      <c r="C422" s="412">
        <v>2045</v>
      </c>
      <c r="D422" s="412" t="s">
        <v>820</v>
      </c>
      <c r="E422" s="413">
        <v>289.79614662297888</v>
      </c>
      <c r="F422" s="17"/>
      <c r="G422" s="17"/>
      <c r="H422" s="17"/>
      <c r="I422" s="17"/>
    </row>
    <row r="423" spans="2:9" ht="15.75" x14ac:dyDescent="0.25">
      <c r="B423" s="411" t="s">
        <v>67</v>
      </c>
      <c r="C423" s="412">
        <v>2046</v>
      </c>
      <c r="D423" s="412" t="s">
        <v>821</v>
      </c>
      <c r="E423" s="413">
        <v>289.2384212116865</v>
      </c>
      <c r="F423" s="17"/>
      <c r="G423" s="17"/>
      <c r="H423" s="17"/>
      <c r="I423" s="17"/>
    </row>
    <row r="424" spans="2:9" ht="15.75" x14ac:dyDescent="0.25">
      <c r="B424" s="411" t="s">
        <v>67</v>
      </c>
      <c r="C424" s="412">
        <v>2047</v>
      </c>
      <c r="D424" s="412" t="s">
        <v>822</v>
      </c>
      <c r="E424" s="413">
        <v>288.78295599076324</v>
      </c>
      <c r="F424" s="17"/>
      <c r="G424" s="17"/>
      <c r="H424" s="17"/>
      <c r="I424" s="17"/>
    </row>
    <row r="425" spans="2:9" ht="15.75" x14ac:dyDescent="0.25">
      <c r="B425" s="411" t="s">
        <v>67</v>
      </c>
      <c r="C425" s="412">
        <v>2048</v>
      </c>
      <c r="D425" s="412" t="s">
        <v>823</v>
      </c>
      <c r="E425" s="413">
        <v>288.41051535982103</v>
      </c>
      <c r="F425" s="17"/>
      <c r="G425" s="17"/>
      <c r="H425" s="17"/>
      <c r="I425" s="17"/>
    </row>
    <row r="426" spans="2:9" ht="15.75" x14ac:dyDescent="0.25">
      <c r="B426" s="411" t="s">
        <v>67</v>
      </c>
      <c r="C426" s="412">
        <v>2049</v>
      </c>
      <c r="D426" s="412" t="s">
        <v>824</v>
      </c>
      <c r="E426" s="413">
        <v>288.10529407259304</v>
      </c>
      <c r="F426" s="17"/>
      <c r="G426" s="17"/>
      <c r="H426" s="17"/>
      <c r="I426" s="17"/>
    </row>
    <row r="427" spans="2:9" ht="15.75" x14ac:dyDescent="0.25">
      <c r="B427" s="411" t="s">
        <v>67</v>
      </c>
      <c r="C427" s="412">
        <v>2050</v>
      </c>
      <c r="D427" s="412" t="s">
        <v>825</v>
      </c>
      <c r="E427" s="413">
        <v>287.85905397521009</v>
      </c>
      <c r="F427" s="17"/>
      <c r="G427" s="17"/>
      <c r="H427" s="17"/>
      <c r="I427" s="17"/>
    </row>
    <row r="428" spans="2:9" ht="15.75" x14ac:dyDescent="0.25">
      <c r="B428" s="407" t="s">
        <v>68</v>
      </c>
      <c r="C428" s="408">
        <v>2015</v>
      </c>
      <c r="D428" s="409" t="s">
        <v>212</v>
      </c>
      <c r="E428" s="410">
        <v>527.89876608447332</v>
      </c>
      <c r="F428" s="17"/>
      <c r="G428" s="17"/>
      <c r="H428" s="17"/>
      <c r="I428" s="17"/>
    </row>
    <row r="429" spans="2:9" ht="15.75" x14ac:dyDescent="0.25">
      <c r="B429" s="407" t="s">
        <v>68</v>
      </c>
      <c r="C429" s="408">
        <v>2016</v>
      </c>
      <c r="D429" s="409" t="s">
        <v>213</v>
      </c>
      <c r="E429" s="410">
        <v>517.58047119055925</v>
      </c>
      <c r="F429" s="17"/>
      <c r="G429" s="17"/>
      <c r="H429" s="17"/>
      <c r="I429" s="17"/>
    </row>
    <row r="430" spans="2:9" ht="15.75" x14ac:dyDescent="0.25">
      <c r="B430" s="411" t="s">
        <v>68</v>
      </c>
      <c r="C430" s="412">
        <v>2017</v>
      </c>
      <c r="D430" s="412" t="s">
        <v>826</v>
      </c>
      <c r="E430" s="413">
        <v>504.29764149710775</v>
      </c>
      <c r="F430" s="17"/>
      <c r="G430" s="17"/>
      <c r="H430" s="17"/>
      <c r="I430" s="17"/>
    </row>
    <row r="431" spans="2:9" ht="15.75" x14ac:dyDescent="0.25">
      <c r="B431" s="411" t="s">
        <v>68</v>
      </c>
      <c r="C431" s="412">
        <v>2018</v>
      </c>
      <c r="D431" s="412" t="s">
        <v>827</v>
      </c>
      <c r="E431" s="413">
        <v>490.34124047800009</v>
      </c>
      <c r="F431" s="17"/>
      <c r="G431" s="17"/>
      <c r="H431" s="17"/>
      <c r="I431" s="17"/>
    </row>
    <row r="432" spans="2:9" ht="15.75" x14ac:dyDescent="0.25">
      <c r="B432" s="411" t="s">
        <v>68</v>
      </c>
      <c r="C432" s="412">
        <v>2019</v>
      </c>
      <c r="D432" s="412" t="s">
        <v>828</v>
      </c>
      <c r="E432" s="413">
        <v>475.91136945569508</v>
      </c>
      <c r="F432" s="17"/>
      <c r="G432" s="17"/>
      <c r="H432" s="17"/>
      <c r="I432" s="17"/>
    </row>
    <row r="433" spans="2:9" ht="15.75" x14ac:dyDescent="0.25">
      <c r="B433" s="411" t="s">
        <v>68</v>
      </c>
      <c r="C433" s="412">
        <v>2020</v>
      </c>
      <c r="D433" s="412" t="s">
        <v>829</v>
      </c>
      <c r="E433" s="413">
        <v>461.28589750347601</v>
      </c>
      <c r="F433" s="17"/>
      <c r="G433" s="17"/>
      <c r="H433" s="17"/>
      <c r="I433" s="17"/>
    </row>
    <row r="434" spans="2:9" ht="15.75" x14ac:dyDescent="0.25">
      <c r="B434" s="411" t="s">
        <v>68</v>
      </c>
      <c r="C434" s="412">
        <v>2021</v>
      </c>
      <c r="D434" s="412" t="s">
        <v>830</v>
      </c>
      <c r="E434" s="413">
        <v>446.56778868459185</v>
      </c>
      <c r="F434" s="17"/>
      <c r="G434" s="17"/>
      <c r="H434" s="17"/>
      <c r="I434" s="17"/>
    </row>
    <row r="435" spans="2:9" ht="15.75" x14ac:dyDescent="0.25">
      <c r="B435" s="411" t="s">
        <v>68</v>
      </c>
      <c r="C435" s="412">
        <v>2022</v>
      </c>
      <c r="D435" s="412" t="s">
        <v>831</v>
      </c>
      <c r="E435" s="413">
        <v>432.15737962956393</v>
      </c>
      <c r="F435" s="17"/>
      <c r="G435" s="17"/>
      <c r="H435" s="17"/>
      <c r="I435" s="17"/>
    </row>
    <row r="436" spans="2:9" ht="15.75" x14ac:dyDescent="0.25">
      <c r="B436" s="411" t="s">
        <v>68</v>
      </c>
      <c r="C436" s="412">
        <v>2023</v>
      </c>
      <c r="D436" s="412" t="s">
        <v>832</v>
      </c>
      <c r="E436" s="413">
        <v>417.99344200181497</v>
      </c>
      <c r="F436" s="17"/>
      <c r="G436" s="17"/>
      <c r="H436" s="17"/>
      <c r="I436" s="17"/>
    </row>
    <row r="437" spans="2:9" ht="15.75" x14ac:dyDescent="0.25">
      <c r="B437" s="411" t="s">
        <v>68</v>
      </c>
      <c r="C437" s="412">
        <v>2024</v>
      </c>
      <c r="D437" s="412" t="s">
        <v>833</v>
      </c>
      <c r="E437" s="413">
        <v>404.13920340448249</v>
      </c>
      <c r="F437" s="17"/>
      <c r="G437" s="17"/>
      <c r="H437" s="17"/>
      <c r="I437" s="17"/>
    </row>
    <row r="438" spans="2:9" ht="15.75" x14ac:dyDescent="0.25">
      <c r="B438" s="411" t="s">
        <v>68</v>
      </c>
      <c r="C438" s="412">
        <v>2025</v>
      </c>
      <c r="D438" s="412" t="s">
        <v>834</v>
      </c>
      <c r="E438" s="413">
        <v>390.59795779616036</v>
      </c>
      <c r="F438" s="17"/>
      <c r="G438" s="17"/>
      <c r="H438" s="17"/>
      <c r="I438" s="17"/>
    </row>
    <row r="439" spans="2:9" ht="15.75" x14ac:dyDescent="0.25">
      <c r="B439" s="411" t="s">
        <v>68</v>
      </c>
      <c r="C439" s="412">
        <v>2026</v>
      </c>
      <c r="D439" s="412" t="s">
        <v>835</v>
      </c>
      <c r="E439" s="413">
        <v>378.30084748863305</v>
      </c>
      <c r="F439" s="17"/>
      <c r="G439" s="17"/>
      <c r="H439" s="17"/>
      <c r="I439" s="17"/>
    </row>
    <row r="440" spans="2:9" ht="15.75" x14ac:dyDescent="0.25">
      <c r="B440" s="411" t="s">
        <v>68</v>
      </c>
      <c r="C440" s="412">
        <v>2027</v>
      </c>
      <c r="D440" s="412" t="s">
        <v>836</v>
      </c>
      <c r="E440" s="413">
        <v>367.10851840878064</v>
      </c>
      <c r="F440" s="17"/>
      <c r="G440" s="17"/>
      <c r="H440" s="17"/>
      <c r="I440" s="17"/>
    </row>
    <row r="441" spans="2:9" ht="15.75" x14ac:dyDescent="0.25">
      <c r="B441" s="411" t="s">
        <v>68</v>
      </c>
      <c r="C441" s="412">
        <v>2028</v>
      </c>
      <c r="D441" s="412" t="s">
        <v>837</v>
      </c>
      <c r="E441" s="413">
        <v>357.0739516737591</v>
      </c>
      <c r="F441" s="17"/>
      <c r="G441" s="17"/>
      <c r="H441" s="17"/>
      <c r="I441" s="17"/>
    </row>
    <row r="442" spans="2:9" ht="15.75" x14ac:dyDescent="0.25">
      <c r="B442" s="411" t="s">
        <v>68</v>
      </c>
      <c r="C442" s="412">
        <v>2029</v>
      </c>
      <c r="D442" s="412" t="s">
        <v>838</v>
      </c>
      <c r="E442" s="413">
        <v>348.09784549801373</v>
      </c>
      <c r="F442" s="17"/>
      <c r="G442" s="17"/>
      <c r="H442" s="17"/>
      <c r="I442" s="17"/>
    </row>
    <row r="443" spans="2:9" ht="15.75" x14ac:dyDescent="0.25">
      <c r="B443" s="411" t="s">
        <v>68</v>
      </c>
      <c r="C443" s="412">
        <v>2030</v>
      </c>
      <c r="D443" s="412" t="s">
        <v>839</v>
      </c>
      <c r="E443" s="413">
        <v>340.12543133377187</v>
      </c>
      <c r="F443" s="17"/>
      <c r="G443" s="17"/>
      <c r="H443" s="17"/>
      <c r="I443" s="17"/>
    </row>
    <row r="444" spans="2:9" ht="15.75" x14ac:dyDescent="0.25">
      <c r="B444" s="411" t="s">
        <v>68</v>
      </c>
      <c r="C444" s="412">
        <v>2031</v>
      </c>
      <c r="D444" s="412" t="s">
        <v>840</v>
      </c>
      <c r="E444" s="413">
        <v>333.07292591306515</v>
      </c>
      <c r="F444" s="17"/>
      <c r="G444" s="17"/>
      <c r="H444" s="17"/>
      <c r="I444" s="17"/>
    </row>
    <row r="445" spans="2:9" ht="15.75" x14ac:dyDescent="0.25">
      <c r="B445" s="411" t="s">
        <v>68</v>
      </c>
      <c r="C445" s="412">
        <v>2032</v>
      </c>
      <c r="D445" s="412" t="s">
        <v>841</v>
      </c>
      <c r="E445" s="413">
        <v>326.85436732840321</v>
      </c>
      <c r="F445" s="17"/>
      <c r="G445" s="17"/>
      <c r="H445" s="17"/>
      <c r="I445" s="17"/>
    </row>
    <row r="446" spans="2:9" ht="15.75" x14ac:dyDescent="0.25">
      <c r="B446" s="411" t="s">
        <v>68</v>
      </c>
      <c r="C446" s="412">
        <v>2033</v>
      </c>
      <c r="D446" s="412" t="s">
        <v>842</v>
      </c>
      <c r="E446" s="413">
        <v>321.41008371242208</v>
      </c>
      <c r="F446" s="17"/>
      <c r="G446" s="17"/>
      <c r="H446" s="17"/>
      <c r="I446" s="17"/>
    </row>
    <row r="447" spans="2:9" ht="15.75" x14ac:dyDescent="0.25">
      <c r="B447" s="411" t="s">
        <v>68</v>
      </c>
      <c r="C447" s="412">
        <v>2034</v>
      </c>
      <c r="D447" s="412" t="s">
        <v>843</v>
      </c>
      <c r="E447" s="413">
        <v>316.64945340846253</v>
      </c>
      <c r="F447" s="17"/>
      <c r="G447" s="17"/>
      <c r="H447" s="17"/>
      <c r="I447" s="17"/>
    </row>
    <row r="448" spans="2:9" ht="15.75" x14ac:dyDescent="0.25">
      <c r="B448" s="411" t="s">
        <v>68</v>
      </c>
      <c r="C448" s="412">
        <v>2035</v>
      </c>
      <c r="D448" s="412" t="s">
        <v>844</v>
      </c>
      <c r="E448" s="413">
        <v>312.52565400907082</v>
      </c>
      <c r="F448" s="17"/>
      <c r="G448" s="17"/>
      <c r="H448" s="17"/>
      <c r="I448" s="17"/>
    </row>
    <row r="449" spans="2:9" ht="15.75" x14ac:dyDescent="0.25">
      <c r="B449" s="411" t="s">
        <v>68</v>
      </c>
      <c r="C449" s="412">
        <v>2036</v>
      </c>
      <c r="D449" s="412" t="s">
        <v>845</v>
      </c>
      <c r="E449" s="413">
        <v>308.96097581072877</v>
      </c>
      <c r="F449" s="17"/>
      <c r="G449" s="17"/>
      <c r="H449" s="17"/>
      <c r="I449" s="17"/>
    </row>
    <row r="450" spans="2:9" ht="15.75" x14ac:dyDescent="0.25">
      <c r="B450" s="411" t="s">
        <v>68</v>
      </c>
      <c r="C450" s="412">
        <v>2037</v>
      </c>
      <c r="D450" s="412" t="s">
        <v>846</v>
      </c>
      <c r="E450" s="413">
        <v>305.91197528798915</v>
      </c>
      <c r="F450" s="17"/>
      <c r="G450" s="17"/>
      <c r="H450" s="17"/>
      <c r="I450" s="17"/>
    </row>
    <row r="451" spans="2:9" ht="15.75" x14ac:dyDescent="0.25">
      <c r="B451" s="411" t="s">
        <v>68</v>
      </c>
      <c r="C451" s="412">
        <v>2038</v>
      </c>
      <c r="D451" s="412" t="s">
        <v>847</v>
      </c>
      <c r="E451" s="413">
        <v>303.33144860591625</v>
      </c>
      <c r="F451" s="17"/>
      <c r="G451" s="17"/>
      <c r="H451" s="17"/>
      <c r="I451" s="17"/>
    </row>
    <row r="452" spans="2:9" ht="15.75" x14ac:dyDescent="0.25">
      <c r="B452" s="411" t="s">
        <v>68</v>
      </c>
      <c r="C452" s="412">
        <v>2039</v>
      </c>
      <c r="D452" s="412" t="s">
        <v>848</v>
      </c>
      <c r="E452" s="413">
        <v>301.14531906795736</v>
      </c>
      <c r="F452" s="17"/>
      <c r="G452" s="17"/>
      <c r="H452" s="17"/>
      <c r="I452" s="17"/>
    </row>
    <row r="453" spans="2:9" ht="15.75" x14ac:dyDescent="0.25">
      <c r="B453" s="411" t="s">
        <v>68</v>
      </c>
      <c r="C453" s="412">
        <v>2040</v>
      </c>
      <c r="D453" s="412" t="s">
        <v>849</v>
      </c>
      <c r="E453" s="413">
        <v>299.32007256838284</v>
      </c>
      <c r="F453" s="17"/>
      <c r="G453" s="17"/>
      <c r="H453" s="17"/>
      <c r="I453" s="17"/>
    </row>
    <row r="454" spans="2:9" ht="15.75" x14ac:dyDescent="0.25">
      <c r="B454" s="411" t="s">
        <v>68</v>
      </c>
      <c r="C454" s="412">
        <v>2041</v>
      </c>
      <c r="D454" s="412" t="s">
        <v>850</v>
      </c>
      <c r="E454" s="413">
        <v>297.81446298032466</v>
      </c>
      <c r="F454" s="17"/>
      <c r="G454" s="17"/>
      <c r="H454" s="17"/>
      <c r="I454" s="17"/>
    </row>
    <row r="455" spans="2:9" ht="15.75" x14ac:dyDescent="0.25">
      <c r="B455" s="411" t="s">
        <v>68</v>
      </c>
      <c r="C455" s="412">
        <v>2042</v>
      </c>
      <c r="D455" s="412" t="s">
        <v>851</v>
      </c>
      <c r="E455" s="413">
        <v>296.56528894299532</v>
      </c>
      <c r="F455" s="17"/>
      <c r="G455" s="17"/>
      <c r="H455" s="17"/>
      <c r="I455" s="17"/>
    </row>
    <row r="456" spans="2:9" ht="15.75" x14ac:dyDescent="0.25">
      <c r="B456" s="411" t="s">
        <v>68</v>
      </c>
      <c r="C456" s="412">
        <v>2043</v>
      </c>
      <c r="D456" s="412" t="s">
        <v>852</v>
      </c>
      <c r="E456" s="413">
        <v>295.54252329798959</v>
      </c>
      <c r="F456" s="17"/>
      <c r="G456" s="17"/>
      <c r="H456" s="17"/>
      <c r="I456" s="17"/>
    </row>
    <row r="457" spans="2:9" ht="15.75" x14ac:dyDescent="0.25">
      <c r="B457" s="411" t="s">
        <v>68</v>
      </c>
      <c r="C457" s="412">
        <v>2044</v>
      </c>
      <c r="D457" s="412" t="s">
        <v>853</v>
      </c>
      <c r="E457" s="413">
        <v>294.70446092031227</v>
      </c>
      <c r="F457" s="17"/>
      <c r="G457" s="17"/>
      <c r="H457" s="17"/>
      <c r="I457" s="17"/>
    </row>
    <row r="458" spans="2:9" ht="15.75" x14ac:dyDescent="0.25">
      <c r="B458" s="411" t="s">
        <v>68</v>
      </c>
      <c r="C458" s="412">
        <v>2045</v>
      </c>
      <c r="D458" s="412" t="s">
        <v>854</v>
      </c>
      <c r="E458" s="413">
        <v>294.00653951677975</v>
      </c>
      <c r="F458" s="17"/>
      <c r="G458" s="17"/>
      <c r="H458" s="17"/>
      <c r="I458" s="17"/>
    </row>
    <row r="459" spans="2:9" ht="15.75" x14ac:dyDescent="0.25">
      <c r="B459" s="411" t="s">
        <v>68</v>
      </c>
      <c r="C459" s="412">
        <v>2046</v>
      </c>
      <c r="D459" s="412" t="s">
        <v>855</v>
      </c>
      <c r="E459" s="413">
        <v>293.43400339118506</v>
      </c>
      <c r="F459" s="17"/>
      <c r="G459" s="17"/>
      <c r="H459" s="17"/>
      <c r="I459" s="17"/>
    </row>
    <row r="460" spans="2:9" ht="15.75" x14ac:dyDescent="0.25">
      <c r="B460" s="411" t="s">
        <v>68</v>
      </c>
      <c r="C460" s="412">
        <v>2047</v>
      </c>
      <c r="D460" s="412" t="s">
        <v>856</v>
      </c>
      <c r="E460" s="413">
        <v>292.96363216999407</v>
      </c>
      <c r="F460" s="17"/>
      <c r="G460" s="17"/>
      <c r="H460" s="17"/>
      <c r="I460" s="17"/>
    </row>
    <row r="461" spans="2:9" ht="15.75" x14ac:dyDescent="0.25">
      <c r="B461" s="411" t="s">
        <v>68</v>
      </c>
      <c r="C461" s="412">
        <v>2048</v>
      </c>
      <c r="D461" s="412" t="s">
        <v>857</v>
      </c>
      <c r="E461" s="413">
        <v>292.58052012900134</v>
      </c>
      <c r="F461" s="17"/>
      <c r="G461" s="17"/>
      <c r="H461" s="17"/>
      <c r="I461" s="17"/>
    </row>
    <row r="462" spans="2:9" ht="15.75" x14ac:dyDescent="0.25">
      <c r="B462" s="411" t="s">
        <v>68</v>
      </c>
      <c r="C462" s="412">
        <v>2049</v>
      </c>
      <c r="D462" s="412" t="s">
        <v>858</v>
      </c>
      <c r="E462" s="413">
        <v>292.26471216133791</v>
      </c>
      <c r="F462" s="17"/>
      <c r="G462" s="17"/>
      <c r="H462" s="17"/>
      <c r="I462" s="17"/>
    </row>
    <row r="463" spans="2:9" ht="15.75" x14ac:dyDescent="0.25">
      <c r="B463" s="411" t="s">
        <v>68</v>
      </c>
      <c r="C463" s="412">
        <v>2050</v>
      </c>
      <c r="D463" s="412" t="s">
        <v>859</v>
      </c>
      <c r="E463" s="413">
        <v>292.01621084805362</v>
      </c>
      <c r="F463" s="17"/>
      <c r="G463" s="17"/>
      <c r="H463" s="17"/>
      <c r="I463" s="17"/>
    </row>
    <row r="464" spans="2:9" ht="15.75" x14ac:dyDescent="0.25">
      <c r="B464" s="414" t="s">
        <v>214</v>
      </c>
      <c r="C464" s="415">
        <v>2015</v>
      </c>
      <c r="D464" s="415" t="s">
        <v>860</v>
      </c>
      <c r="E464" s="410">
        <v>527.83008145773044</v>
      </c>
      <c r="F464" s="17"/>
      <c r="G464" s="17"/>
      <c r="H464" s="17"/>
      <c r="I464" s="17"/>
    </row>
    <row r="465" spans="2:9" ht="15.75" x14ac:dyDescent="0.25">
      <c r="B465" s="414" t="s">
        <v>214</v>
      </c>
      <c r="C465" s="415">
        <v>2016</v>
      </c>
      <c r="D465" s="415" t="s">
        <v>861</v>
      </c>
      <c r="E465" s="410">
        <v>517.14757065570552</v>
      </c>
      <c r="F465" s="17"/>
      <c r="G465" s="17"/>
      <c r="H465" s="17"/>
      <c r="I465" s="17"/>
    </row>
    <row r="466" spans="2:9" ht="15.75" x14ac:dyDescent="0.25">
      <c r="B466" s="416" t="s">
        <v>214</v>
      </c>
      <c r="C466" s="417">
        <v>2017</v>
      </c>
      <c r="D466" s="417" t="s">
        <v>862</v>
      </c>
      <c r="E466" s="413">
        <v>504.53252155960962</v>
      </c>
      <c r="F466" s="17"/>
      <c r="G466" s="17"/>
      <c r="H466" s="17"/>
      <c r="I466" s="17"/>
    </row>
    <row r="467" spans="2:9" ht="15.75" x14ac:dyDescent="0.25">
      <c r="B467" s="416" t="s">
        <v>214</v>
      </c>
      <c r="C467" s="417">
        <v>2018</v>
      </c>
      <c r="D467" s="417" t="s">
        <v>863</v>
      </c>
      <c r="E467" s="413">
        <v>491.53140968750813</v>
      </c>
      <c r="F467" s="17"/>
      <c r="G467" s="17"/>
      <c r="H467" s="17"/>
      <c r="I467" s="17"/>
    </row>
    <row r="468" spans="2:9" ht="15.75" x14ac:dyDescent="0.25">
      <c r="B468" s="416" t="s">
        <v>214</v>
      </c>
      <c r="C468" s="417">
        <v>2019</v>
      </c>
      <c r="D468" s="417" t="s">
        <v>864</v>
      </c>
      <c r="E468" s="413">
        <v>478.07804988744761</v>
      </c>
      <c r="F468" s="17"/>
      <c r="G468" s="17"/>
      <c r="H468" s="17"/>
      <c r="I468" s="17"/>
    </row>
    <row r="469" spans="2:9" ht="15.75" x14ac:dyDescent="0.25">
      <c r="B469" s="416" t="s">
        <v>214</v>
      </c>
      <c r="C469" s="417">
        <v>2020</v>
      </c>
      <c r="D469" s="417" t="s">
        <v>865</v>
      </c>
      <c r="E469" s="413">
        <v>464.38212365547503</v>
      </c>
      <c r="F469" s="17"/>
      <c r="G469" s="17"/>
      <c r="H469" s="17"/>
      <c r="I469" s="17"/>
    </row>
    <row r="470" spans="2:9" ht="15.75" x14ac:dyDescent="0.25">
      <c r="B470" s="416" t="s">
        <v>214</v>
      </c>
      <c r="C470" s="417">
        <v>2021</v>
      </c>
      <c r="D470" s="417" t="s">
        <v>866</v>
      </c>
      <c r="E470" s="413">
        <v>450.49017859638565</v>
      </c>
      <c r="F470" s="17"/>
      <c r="G470" s="17"/>
      <c r="H470" s="17"/>
      <c r="I470" s="17"/>
    </row>
    <row r="471" spans="2:9" ht="15.75" x14ac:dyDescent="0.25">
      <c r="B471" s="416" t="s">
        <v>214</v>
      </c>
      <c r="C471" s="417">
        <v>2022</v>
      </c>
      <c r="D471" s="417" t="s">
        <v>867</v>
      </c>
      <c r="E471" s="413">
        <v>436.76425002961383</v>
      </c>
      <c r="F471" s="17"/>
      <c r="G471" s="17"/>
      <c r="H471" s="17"/>
      <c r="I471" s="17"/>
    </row>
    <row r="472" spans="2:9" ht="15.75" x14ac:dyDescent="0.25">
      <c r="B472" s="416" t="s">
        <v>214</v>
      </c>
      <c r="C472" s="417">
        <v>2023</v>
      </c>
      <c r="D472" s="417" t="s">
        <v>868</v>
      </c>
      <c r="E472" s="413">
        <v>423.2100813132534</v>
      </c>
      <c r="F472" s="17"/>
      <c r="G472" s="17"/>
      <c r="H472" s="17"/>
      <c r="I472" s="17"/>
    </row>
    <row r="473" spans="2:9" ht="15.75" x14ac:dyDescent="0.25">
      <c r="B473" s="416" t="s">
        <v>214</v>
      </c>
      <c r="C473" s="417">
        <v>2024</v>
      </c>
      <c r="D473" s="417" t="s">
        <v>869</v>
      </c>
      <c r="E473" s="413">
        <v>409.83807873234878</v>
      </c>
      <c r="F473" s="17"/>
      <c r="G473" s="17"/>
      <c r="H473" s="17"/>
      <c r="I473" s="17"/>
    </row>
    <row r="474" spans="2:9" ht="15.75" x14ac:dyDescent="0.25">
      <c r="B474" s="416" t="s">
        <v>214</v>
      </c>
      <c r="C474" s="417">
        <v>2025</v>
      </c>
      <c r="D474" s="417" t="s">
        <v>870</v>
      </c>
      <c r="E474" s="413">
        <v>396.70193001890442</v>
      </c>
      <c r="F474" s="17"/>
      <c r="G474" s="17"/>
      <c r="H474" s="17"/>
      <c r="I474" s="17"/>
    </row>
    <row r="475" spans="2:9" ht="15.75" x14ac:dyDescent="0.25">
      <c r="B475" s="416" t="s">
        <v>214</v>
      </c>
      <c r="C475" s="417">
        <v>2026</v>
      </c>
      <c r="D475" s="417" t="s">
        <v>871</v>
      </c>
      <c r="E475" s="413">
        <v>384.80604948052343</v>
      </c>
      <c r="F475" s="17"/>
      <c r="G475" s="17"/>
      <c r="H475" s="17"/>
      <c r="I475" s="17"/>
    </row>
    <row r="476" spans="2:9" ht="15.75" x14ac:dyDescent="0.25">
      <c r="B476" s="416" t="s">
        <v>214</v>
      </c>
      <c r="C476" s="417">
        <v>2027</v>
      </c>
      <c r="D476" s="417" t="s">
        <v>872</v>
      </c>
      <c r="E476" s="413">
        <v>373.95612736225547</v>
      </c>
      <c r="F476" s="17"/>
      <c r="G476" s="17"/>
      <c r="H476" s="17"/>
      <c r="I476" s="17"/>
    </row>
    <row r="477" spans="2:9" ht="15.75" x14ac:dyDescent="0.25">
      <c r="B477" s="416" t="s">
        <v>214</v>
      </c>
      <c r="C477" s="417">
        <v>2028</v>
      </c>
      <c r="D477" s="417" t="s">
        <v>873</v>
      </c>
      <c r="E477" s="413">
        <v>364.18970339124297</v>
      </c>
      <c r="F477" s="17"/>
      <c r="G477" s="17"/>
      <c r="H477" s="17"/>
      <c r="I477" s="17"/>
    </row>
    <row r="478" spans="2:9" ht="15.75" x14ac:dyDescent="0.25">
      <c r="B478" s="416" t="s">
        <v>214</v>
      </c>
      <c r="C478" s="417">
        <v>2029</v>
      </c>
      <c r="D478" s="417" t="s">
        <v>874</v>
      </c>
      <c r="E478" s="413">
        <v>355.39520506460184</v>
      </c>
      <c r="F478" s="17"/>
      <c r="G478" s="17"/>
      <c r="H478" s="17"/>
      <c r="I478" s="17"/>
    </row>
    <row r="479" spans="2:9" ht="15.75" x14ac:dyDescent="0.25">
      <c r="B479" s="416" t="s">
        <v>214</v>
      </c>
      <c r="C479" s="417">
        <v>2030</v>
      </c>
      <c r="D479" s="417" t="s">
        <v>875</v>
      </c>
      <c r="E479" s="413">
        <v>347.54222272778759</v>
      </c>
      <c r="F479" s="17"/>
      <c r="G479" s="17"/>
      <c r="H479" s="17"/>
      <c r="I479" s="17"/>
    </row>
    <row r="480" spans="2:9" ht="15.75" x14ac:dyDescent="0.25">
      <c r="B480" s="416" t="s">
        <v>214</v>
      </c>
      <c r="C480" s="417">
        <v>2031</v>
      </c>
      <c r="D480" s="417" t="s">
        <v>876</v>
      </c>
      <c r="E480" s="413">
        <v>340.54329585346341</v>
      </c>
      <c r="F480" s="17"/>
      <c r="G480" s="17"/>
      <c r="H480" s="17"/>
      <c r="I480" s="17"/>
    </row>
    <row r="481" spans="2:9" ht="15.75" x14ac:dyDescent="0.25">
      <c r="B481" s="416" t="s">
        <v>214</v>
      </c>
      <c r="C481" s="417">
        <v>2032</v>
      </c>
      <c r="D481" s="417" t="s">
        <v>877</v>
      </c>
      <c r="E481" s="413">
        <v>334.33453960761159</v>
      </c>
      <c r="F481" s="17"/>
      <c r="G481" s="17"/>
      <c r="H481" s="17"/>
      <c r="I481" s="17"/>
    </row>
    <row r="482" spans="2:9" ht="15.75" x14ac:dyDescent="0.25">
      <c r="B482" s="416" t="s">
        <v>214</v>
      </c>
      <c r="C482" s="417">
        <v>2033</v>
      </c>
      <c r="D482" s="417" t="s">
        <v>878</v>
      </c>
      <c r="E482" s="413">
        <v>328.85657740029131</v>
      </c>
      <c r="F482" s="17"/>
      <c r="G482" s="17"/>
      <c r="H482" s="17"/>
      <c r="I482" s="17"/>
    </row>
    <row r="483" spans="2:9" ht="15.75" x14ac:dyDescent="0.25">
      <c r="B483" s="416" t="s">
        <v>214</v>
      </c>
      <c r="C483" s="417">
        <v>2034</v>
      </c>
      <c r="D483" s="417" t="s">
        <v>879</v>
      </c>
      <c r="E483" s="413">
        <v>324.04463830736478</v>
      </c>
      <c r="F483" s="17"/>
      <c r="G483" s="17"/>
      <c r="H483" s="17"/>
      <c r="I483" s="17"/>
    </row>
    <row r="484" spans="2:9" ht="15.75" x14ac:dyDescent="0.25">
      <c r="B484" s="416" t="s">
        <v>214</v>
      </c>
      <c r="C484" s="417">
        <v>2035</v>
      </c>
      <c r="D484" s="417" t="s">
        <v>880</v>
      </c>
      <c r="E484" s="413">
        <v>319.85681493538578</v>
      </c>
      <c r="F484" s="17"/>
      <c r="G484" s="17"/>
      <c r="H484" s="17"/>
      <c r="I484" s="17"/>
    </row>
    <row r="485" spans="2:9" ht="15.75" x14ac:dyDescent="0.25">
      <c r="B485" s="416" t="s">
        <v>214</v>
      </c>
      <c r="C485" s="417">
        <v>2036</v>
      </c>
      <c r="D485" s="417" t="s">
        <v>881</v>
      </c>
      <c r="E485" s="413">
        <v>316.22985307791072</v>
      </c>
      <c r="F485" s="17"/>
      <c r="G485" s="17"/>
      <c r="H485" s="17"/>
      <c r="I485" s="17"/>
    </row>
    <row r="486" spans="2:9" ht="15.75" x14ac:dyDescent="0.25">
      <c r="B486" s="416" t="s">
        <v>214</v>
      </c>
      <c r="C486" s="417">
        <v>2037</v>
      </c>
      <c r="D486" s="417" t="s">
        <v>882</v>
      </c>
      <c r="E486" s="413">
        <v>313.11469299764366</v>
      </c>
      <c r="F486" s="17"/>
      <c r="G486" s="17"/>
      <c r="H486" s="17"/>
      <c r="I486" s="17"/>
    </row>
    <row r="487" spans="2:9" ht="15.75" x14ac:dyDescent="0.25">
      <c r="B487" s="416" t="s">
        <v>214</v>
      </c>
      <c r="C487" s="417">
        <v>2038</v>
      </c>
      <c r="D487" s="417" t="s">
        <v>883</v>
      </c>
      <c r="E487" s="413">
        <v>310.46335335223216</v>
      </c>
      <c r="F487" s="17"/>
      <c r="G487" s="17"/>
      <c r="H487" s="17"/>
      <c r="I487" s="17"/>
    </row>
    <row r="488" spans="2:9" ht="15.75" x14ac:dyDescent="0.25">
      <c r="B488" s="416" t="s">
        <v>214</v>
      </c>
      <c r="C488" s="417">
        <v>2039</v>
      </c>
      <c r="D488" s="417" t="s">
        <v>884</v>
      </c>
      <c r="E488" s="413">
        <v>308.21182461888731</v>
      </c>
      <c r="F488" s="17"/>
      <c r="G488" s="17"/>
      <c r="H488" s="17"/>
      <c r="I488" s="17"/>
    </row>
    <row r="489" spans="2:9" ht="15.75" x14ac:dyDescent="0.25">
      <c r="B489" s="416" t="s">
        <v>214</v>
      </c>
      <c r="C489" s="417">
        <v>2040</v>
      </c>
      <c r="D489" s="417" t="s">
        <v>885</v>
      </c>
      <c r="E489" s="413">
        <v>306.31237653325024</v>
      </c>
      <c r="F489" s="17"/>
      <c r="G489" s="17"/>
      <c r="H489" s="17"/>
      <c r="I489" s="17"/>
    </row>
    <row r="490" spans="2:9" ht="15.75" x14ac:dyDescent="0.25">
      <c r="B490" s="416" t="s">
        <v>214</v>
      </c>
      <c r="C490" s="417">
        <v>2041</v>
      </c>
      <c r="D490" s="417" t="s">
        <v>886</v>
      </c>
      <c r="E490" s="413">
        <v>304.72564510762953</v>
      </c>
      <c r="F490" s="17"/>
      <c r="G490" s="17"/>
      <c r="H490" s="17"/>
      <c r="I490" s="17"/>
    </row>
    <row r="491" spans="2:9" ht="15.75" x14ac:dyDescent="0.25">
      <c r="B491" s="416" t="s">
        <v>214</v>
      </c>
      <c r="C491" s="417">
        <v>2042</v>
      </c>
      <c r="D491" s="417" t="s">
        <v>887</v>
      </c>
      <c r="E491" s="413">
        <v>303.38971416598224</v>
      </c>
      <c r="F491" s="17"/>
      <c r="G491" s="17"/>
      <c r="H491" s="17"/>
      <c r="I491" s="17"/>
    </row>
    <row r="492" spans="2:9" ht="15.75" x14ac:dyDescent="0.25">
      <c r="B492" s="416" t="s">
        <v>214</v>
      </c>
      <c r="C492" s="417">
        <v>2043</v>
      </c>
      <c r="D492" s="417" t="s">
        <v>888</v>
      </c>
      <c r="E492" s="413">
        <v>302.28153820715653</v>
      </c>
      <c r="F492" s="17"/>
      <c r="G492" s="17"/>
      <c r="H492" s="17"/>
      <c r="I492" s="17"/>
    </row>
    <row r="493" spans="2:9" ht="15.75" x14ac:dyDescent="0.25">
      <c r="B493" s="416" t="s">
        <v>214</v>
      </c>
      <c r="C493" s="417">
        <v>2044</v>
      </c>
      <c r="D493" s="417" t="s">
        <v>889</v>
      </c>
      <c r="E493" s="413">
        <v>301.34776435389131</v>
      </c>
      <c r="F493" s="17"/>
      <c r="G493" s="17"/>
      <c r="H493" s="17"/>
      <c r="I493" s="17"/>
    </row>
    <row r="494" spans="2:9" ht="15.75" x14ac:dyDescent="0.25">
      <c r="B494" s="416" t="s">
        <v>214</v>
      </c>
      <c r="C494" s="417">
        <v>2045</v>
      </c>
      <c r="D494" s="417" t="s">
        <v>890</v>
      </c>
      <c r="E494" s="413">
        <v>300.55579355150229</v>
      </c>
      <c r="F494" s="17"/>
      <c r="G494" s="17"/>
      <c r="H494" s="17"/>
      <c r="I494" s="17"/>
    </row>
    <row r="495" spans="2:9" ht="15.75" x14ac:dyDescent="0.25">
      <c r="B495" s="416" t="s">
        <v>214</v>
      </c>
      <c r="C495" s="417">
        <v>2046</v>
      </c>
      <c r="D495" s="417" t="s">
        <v>891</v>
      </c>
      <c r="E495" s="413">
        <v>299.8918030995427</v>
      </c>
      <c r="F495" s="17"/>
      <c r="G495" s="17"/>
      <c r="H495" s="17"/>
      <c r="I495" s="17"/>
    </row>
    <row r="496" spans="2:9" ht="15.75" x14ac:dyDescent="0.25">
      <c r="B496" s="416" t="s">
        <v>214</v>
      </c>
      <c r="C496" s="417">
        <v>2047</v>
      </c>
      <c r="D496" s="417" t="s">
        <v>892</v>
      </c>
      <c r="E496" s="413">
        <v>299.33873972979006</v>
      </c>
      <c r="F496" s="17"/>
      <c r="G496" s="17"/>
      <c r="H496" s="17"/>
      <c r="I496" s="17"/>
    </row>
    <row r="497" spans="2:9" ht="15.75" x14ac:dyDescent="0.25">
      <c r="B497" s="416" t="s">
        <v>214</v>
      </c>
      <c r="C497" s="417">
        <v>2048</v>
      </c>
      <c r="D497" s="417" t="s">
        <v>893</v>
      </c>
      <c r="E497" s="413">
        <v>298.88235383476257</v>
      </c>
      <c r="F497" s="17"/>
      <c r="G497" s="17"/>
      <c r="H497" s="17"/>
      <c r="I497" s="17"/>
    </row>
    <row r="498" spans="2:9" ht="15.75" x14ac:dyDescent="0.25">
      <c r="B498" s="416" t="s">
        <v>214</v>
      </c>
      <c r="C498" s="417">
        <v>2049</v>
      </c>
      <c r="D498" s="417" t="s">
        <v>894</v>
      </c>
      <c r="E498" s="413">
        <v>298.48788488197152</v>
      </c>
      <c r="F498" s="17"/>
      <c r="G498" s="17"/>
      <c r="H498" s="17"/>
      <c r="I498" s="17"/>
    </row>
    <row r="499" spans="2:9" ht="15.75" x14ac:dyDescent="0.25">
      <c r="B499" s="416" t="s">
        <v>214</v>
      </c>
      <c r="C499" s="417">
        <v>2050</v>
      </c>
      <c r="D499" s="417" t="s">
        <v>895</v>
      </c>
      <c r="E499" s="413">
        <v>298.18886332387905</v>
      </c>
      <c r="F499" s="17"/>
      <c r="G499" s="17"/>
      <c r="H499" s="17"/>
      <c r="I499" s="17"/>
    </row>
    <row r="500" spans="2:9" ht="15.75" x14ac:dyDescent="0.25">
      <c r="B500" s="407" t="s">
        <v>69</v>
      </c>
      <c r="C500" s="408">
        <v>2015</v>
      </c>
      <c r="D500" s="409" t="s">
        <v>215</v>
      </c>
      <c r="E500" s="410">
        <v>518.68455752316027</v>
      </c>
      <c r="F500" s="17"/>
      <c r="G500" s="17"/>
      <c r="H500" s="17"/>
      <c r="I500" s="17"/>
    </row>
    <row r="501" spans="2:9" ht="15.75" x14ac:dyDescent="0.25">
      <c r="B501" s="407" t="s">
        <v>69</v>
      </c>
      <c r="C501" s="408">
        <v>2016</v>
      </c>
      <c r="D501" s="409" t="s">
        <v>216</v>
      </c>
      <c r="E501" s="410">
        <v>510.37543981164345</v>
      </c>
      <c r="F501" s="17"/>
      <c r="G501" s="17"/>
      <c r="H501" s="17"/>
      <c r="I501" s="17"/>
    </row>
    <row r="502" spans="2:9" ht="15.75" x14ac:dyDescent="0.25">
      <c r="B502" s="411" t="s">
        <v>69</v>
      </c>
      <c r="C502" s="412">
        <v>2017</v>
      </c>
      <c r="D502" s="412" t="s">
        <v>896</v>
      </c>
      <c r="E502" s="413">
        <v>499.92322749115658</v>
      </c>
      <c r="F502" s="17"/>
      <c r="G502" s="17"/>
      <c r="H502" s="17"/>
      <c r="I502" s="17"/>
    </row>
    <row r="503" spans="2:9" ht="15.75" x14ac:dyDescent="0.25">
      <c r="B503" s="411" t="s">
        <v>69</v>
      </c>
      <c r="C503" s="412">
        <v>2018</v>
      </c>
      <c r="D503" s="412" t="s">
        <v>897</v>
      </c>
      <c r="E503" s="413">
        <v>488.61714183892639</v>
      </c>
      <c r="F503" s="17"/>
      <c r="G503" s="17"/>
      <c r="H503" s="17"/>
      <c r="I503" s="17"/>
    </row>
    <row r="504" spans="2:9" ht="15.75" x14ac:dyDescent="0.25">
      <c r="B504" s="411" t="s">
        <v>69</v>
      </c>
      <c r="C504" s="412">
        <v>2019</v>
      </c>
      <c r="D504" s="412" t="s">
        <v>898</v>
      </c>
      <c r="E504" s="413">
        <v>476.53465105120301</v>
      </c>
      <c r="F504" s="17"/>
      <c r="G504" s="17"/>
      <c r="H504" s="17"/>
      <c r="I504" s="17"/>
    </row>
    <row r="505" spans="2:9" ht="15.75" x14ac:dyDescent="0.25">
      <c r="B505" s="411" t="s">
        <v>69</v>
      </c>
      <c r="C505" s="412">
        <v>2020</v>
      </c>
      <c r="D505" s="412" t="s">
        <v>899</v>
      </c>
      <c r="E505" s="413">
        <v>463.91918801514356</v>
      </c>
      <c r="F505" s="17"/>
      <c r="G505" s="17"/>
      <c r="H505" s="17"/>
      <c r="I505" s="17"/>
    </row>
    <row r="506" spans="2:9" ht="15.75" x14ac:dyDescent="0.25">
      <c r="B506" s="411" t="s">
        <v>69</v>
      </c>
      <c r="C506" s="412">
        <v>2021</v>
      </c>
      <c r="D506" s="412" t="s">
        <v>900</v>
      </c>
      <c r="E506" s="413">
        <v>450.88438602176433</v>
      </c>
      <c r="F506" s="17"/>
      <c r="G506" s="17"/>
      <c r="H506" s="17"/>
      <c r="I506" s="17"/>
    </row>
    <row r="507" spans="2:9" ht="15.75" x14ac:dyDescent="0.25">
      <c r="B507" s="411" t="s">
        <v>69</v>
      </c>
      <c r="C507" s="412">
        <v>2022</v>
      </c>
      <c r="D507" s="412" t="s">
        <v>901</v>
      </c>
      <c r="E507" s="413">
        <v>437.81296387081591</v>
      </c>
      <c r="F507" s="17"/>
      <c r="G507" s="17"/>
      <c r="H507" s="17"/>
      <c r="I507" s="17"/>
    </row>
    <row r="508" spans="2:9" ht="15.75" x14ac:dyDescent="0.25">
      <c r="B508" s="411" t="s">
        <v>69</v>
      </c>
      <c r="C508" s="412">
        <v>2023</v>
      </c>
      <c r="D508" s="412" t="s">
        <v>902</v>
      </c>
      <c r="E508" s="413">
        <v>424.71334583588066</v>
      </c>
      <c r="F508" s="17"/>
      <c r="G508" s="17"/>
      <c r="H508" s="17"/>
      <c r="I508" s="17"/>
    </row>
    <row r="509" spans="2:9" ht="15.75" x14ac:dyDescent="0.25">
      <c r="B509" s="411" t="s">
        <v>69</v>
      </c>
      <c r="C509" s="412">
        <v>2024</v>
      </c>
      <c r="D509" s="412" t="s">
        <v>903</v>
      </c>
      <c r="E509" s="413">
        <v>411.70002880068489</v>
      </c>
      <c r="F509" s="17"/>
      <c r="G509" s="17"/>
      <c r="H509" s="17"/>
      <c r="I509" s="17"/>
    </row>
    <row r="510" spans="2:9" ht="15.75" x14ac:dyDescent="0.25">
      <c r="B510" s="411" t="s">
        <v>69</v>
      </c>
      <c r="C510" s="412">
        <v>2025</v>
      </c>
      <c r="D510" s="412" t="s">
        <v>904</v>
      </c>
      <c r="E510" s="413">
        <v>398.87655144789829</v>
      </c>
      <c r="F510" s="17"/>
      <c r="G510" s="17"/>
      <c r="H510" s="17"/>
      <c r="I510" s="17"/>
    </row>
    <row r="511" spans="2:9" ht="15.75" x14ac:dyDescent="0.25">
      <c r="B511" s="411" t="s">
        <v>69</v>
      </c>
      <c r="C511" s="412">
        <v>2026</v>
      </c>
      <c r="D511" s="412" t="s">
        <v>905</v>
      </c>
      <c r="E511" s="413">
        <v>386.91586567643014</v>
      </c>
      <c r="F511" s="17"/>
      <c r="G511" s="17"/>
      <c r="H511" s="17"/>
      <c r="I511" s="17"/>
    </row>
    <row r="512" spans="2:9" ht="15.75" x14ac:dyDescent="0.25">
      <c r="B512" s="411" t="s">
        <v>69</v>
      </c>
      <c r="C512" s="412">
        <v>2027</v>
      </c>
      <c r="D512" s="412" t="s">
        <v>906</v>
      </c>
      <c r="E512" s="413">
        <v>375.73751521343513</v>
      </c>
      <c r="F512" s="17"/>
      <c r="G512" s="17"/>
      <c r="H512" s="17"/>
      <c r="I512" s="17"/>
    </row>
    <row r="513" spans="2:9" ht="15.75" x14ac:dyDescent="0.25">
      <c r="B513" s="411" t="s">
        <v>69</v>
      </c>
      <c r="C513" s="412">
        <v>2028</v>
      </c>
      <c r="D513" s="412" t="s">
        <v>907</v>
      </c>
      <c r="E513" s="413">
        <v>365.43155357239505</v>
      </c>
      <c r="F513" s="17"/>
      <c r="G513" s="17"/>
      <c r="H513" s="17"/>
      <c r="I513" s="17"/>
    </row>
    <row r="514" spans="2:9" ht="15.75" x14ac:dyDescent="0.25">
      <c r="B514" s="411" t="s">
        <v>69</v>
      </c>
      <c r="C514" s="412">
        <v>2029</v>
      </c>
      <c r="D514" s="412" t="s">
        <v>908</v>
      </c>
      <c r="E514" s="413">
        <v>356.00619819427334</v>
      </c>
      <c r="F514" s="17"/>
      <c r="G514" s="17"/>
      <c r="H514" s="17"/>
      <c r="I514" s="17"/>
    </row>
    <row r="515" spans="2:9" ht="15.75" x14ac:dyDescent="0.25">
      <c r="B515" s="411" t="s">
        <v>69</v>
      </c>
      <c r="C515" s="412">
        <v>2030</v>
      </c>
      <c r="D515" s="412" t="s">
        <v>909</v>
      </c>
      <c r="E515" s="413">
        <v>347.38656841835439</v>
      </c>
      <c r="F515" s="17"/>
      <c r="G515" s="17"/>
      <c r="H515" s="17"/>
      <c r="I515" s="17"/>
    </row>
    <row r="516" spans="2:9" ht="15.75" x14ac:dyDescent="0.25">
      <c r="B516" s="411" t="s">
        <v>69</v>
      </c>
      <c r="C516" s="412">
        <v>2031</v>
      </c>
      <c r="D516" s="412" t="s">
        <v>910</v>
      </c>
      <c r="E516" s="413">
        <v>339.56305670735924</v>
      </c>
      <c r="F516" s="17"/>
      <c r="G516" s="17"/>
      <c r="H516" s="17"/>
      <c r="I516" s="17"/>
    </row>
    <row r="517" spans="2:9" ht="15.75" x14ac:dyDescent="0.25">
      <c r="B517" s="411" t="s">
        <v>69</v>
      </c>
      <c r="C517" s="412">
        <v>2032</v>
      </c>
      <c r="D517" s="412" t="s">
        <v>911</v>
      </c>
      <c r="E517" s="413">
        <v>332.48594195196512</v>
      </c>
      <c r="F517" s="17"/>
      <c r="G517" s="17"/>
      <c r="H517" s="17"/>
      <c r="I517" s="17"/>
    </row>
    <row r="518" spans="2:9" ht="15.75" x14ac:dyDescent="0.25">
      <c r="B518" s="411" t="s">
        <v>69</v>
      </c>
      <c r="C518" s="412">
        <v>2033</v>
      </c>
      <c r="D518" s="412" t="s">
        <v>912</v>
      </c>
      <c r="E518" s="413">
        <v>326.14675681491957</v>
      </c>
      <c r="F518" s="17"/>
      <c r="G518" s="17"/>
      <c r="H518" s="17"/>
      <c r="I518" s="17"/>
    </row>
    <row r="519" spans="2:9" ht="15.75" x14ac:dyDescent="0.25">
      <c r="B519" s="411" t="s">
        <v>69</v>
      </c>
      <c r="C519" s="412">
        <v>2034</v>
      </c>
      <c r="D519" s="412" t="s">
        <v>913</v>
      </c>
      <c r="E519" s="413">
        <v>320.44016419600769</v>
      </c>
      <c r="F519" s="17"/>
      <c r="G519" s="17"/>
      <c r="H519" s="17"/>
      <c r="I519" s="17"/>
    </row>
    <row r="520" spans="2:9" ht="15.75" x14ac:dyDescent="0.25">
      <c r="B520" s="411" t="s">
        <v>69</v>
      </c>
      <c r="C520" s="412">
        <v>2035</v>
      </c>
      <c r="D520" s="412" t="s">
        <v>914</v>
      </c>
      <c r="E520" s="413">
        <v>315.37777200181461</v>
      </c>
      <c r="F520" s="17"/>
      <c r="G520" s="17"/>
      <c r="H520" s="17"/>
      <c r="I520" s="17"/>
    </row>
    <row r="521" spans="2:9" ht="15.75" x14ac:dyDescent="0.25">
      <c r="B521" s="411" t="s">
        <v>69</v>
      </c>
      <c r="C521" s="412">
        <v>2036</v>
      </c>
      <c r="D521" s="412" t="s">
        <v>915</v>
      </c>
      <c r="E521" s="413">
        <v>310.87881086919981</v>
      </c>
      <c r="F521" s="17"/>
      <c r="G521" s="17"/>
      <c r="H521" s="17"/>
      <c r="I521" s="17"/>
    </row>
    <row r="522" spans="2:9" ht="15.75" x14ac:dyDescent="0.25">
      <c r="B522" s="411" t="s">
        <v>69</v>
      </c>
      <c r="C522" s="412">
        <v>2037</v>
      </c>
      <c r="D522" s="412" t="s">
        <v>916</v>
      </c>
      <c r="E522" s="413">
        <v>306.9529021557218</v>
      </c>
      <c r="F522" s="17"/>
      <c r="G522" s="17"/>
      <c r="H522" s="17"/>
      <c r="I522" s="17"/>
    </row>
    <row r="523" spans="2:9" ht="15.75" x14ac:dyDescent="0.25">
      <c r="B523" s="411" t="s">
        <v>69</v>
      </c>
      <c r="C523" s="412">
        <v>2038</v>
      </c>
      <c r="D523" s="412" t="s">
        <v>917</v>
      </c>
      <c r="E523" s="413">
        <v>303.51679447536128</v>
      </c>
      <c r="F523" s="17"/>
      <c r="G523" s="17"/>
      <c r="H523" s="17"/>
      <c r="I523" s="17"/>
    </row>
    <row r="524" spans="2:9" ht="15.75" x14ac:dyDescent="0.25">
      <c r="B524" s="411" t="s">
        <v>69</v>
      </c>
      <c r="C524" s="412">
        <v>2039</v>
      </c>
      <c r="D524" s="412" t="s">
        <v>918</v>
      </c>
      <c r="E524" s="413">
        <v>300.52709242169692</v>
      </c>
      <c r="F524" s="17"/>
      <c r="G524" s="17"/>
      <c r="H524" s="17"/>
      <c r="I524" s="17"/>
    </row>
    <row r="525" spans="2:9" ht="15.75" x14ac:dyDescent="0.25">
      <c r="B525" s="411" t="s">
        <v>69</v>
      </c>
      <c r="C525" s="412">
        <v>2040</v>
      </c>
      <c r="D525" s="412" t="s">
        <v>919</v>
      </c>
      <c r="E525" s="413">
        <v>297.94462656881279</v>
      </c>
      <c r="F525" s="17"/>
      <c r="G525" s="17"/>
      <c r="H525" s="17"/>
      <c r="I525" s="17"/>
    </row>
    <row r="526" spans="2:9" ht="15.75" x14ac:dyDescent="0.25">
      <c r="B526" s="411" t="s">
        <v>69</v>
      </c>
      <c r="C526" s="412">
        <v>2041</v>
      </c>
      <c r="D526" s="412" t="s">
        <v>920</v>
      </c>
      <c r="E526" s="413">
        <v>295.73335579006539</v>
      </c>
      <c r="F526" s="17"/>
      <c r="G526" s="17"/>
      <c r="H526" s="17"/>
      <c r="I526" s="17"/>
    </row>
    <row r="527" spans="2:9" ht="15.75" x14ac:dyDescent="0.25">
      <c r="B527" s="411" t="s">
        <v>69</v>
      </c>
      <c r="C527" s="412">
        <v>2042</v>
      </c>
      <c r="D527" s="412" t="s">
        <v>921</v>
      </c>
      <c r="E527" s="413">
        <v>293.80604327458343</v>
      </c>
      <c r="F527" s="17"/>
      <c r="G527" s="17"/>
      <c r="H527" s="17"/>
      <c r="I527" s="17"/>
    </row>
    <row r="528" spans="2:9" ht="15.75" x14ac:dyDescent="0.25">
      <c r="B528" s="411" t="s">
        <v>69</v>
      </c>
      <c r="C528" s="412">
        <v>2043</v>
      </c>
      <c r="D528" s="412" t="s">
        <v>922</v>
      </c>
      <c r="E528" s="413">
        <v>292.17699987810965</v>
      </c>
      <c r="F528" s="17"/>
      <c r="G528" s="17"/>
      <c r="H528" s="17"/>
      <c r="I528" s="17"/>
    </row>
    <row r="529" spans="2:9" ht="15.75" x14ac:dyDescent="0.25">
      <c r="B529" s="411" t="s">
        <v>69</v>
      </c>
      <c r="C529" s="412">
        <v>2044</v>
      </c>
      <c r="D529" s="412" t="s">
        <v>923</v>
      </c>
      <c r="E529" s="413">
        <v>290.78666141772186</v>
      </c>
      <c r="F529" s="17"/>
      <c r="G529" s="17"/>
      <c r="H529" s="17"/>
      <c r="I529" s="17"/>
    </row>
    <row r="530" spans="2:9" ht="15.75" x14ac:dyDescent="0.25">
      <c r="B530" s="411" t="s">
        <v>69</v>
      </c>
      <c r="C530" s="412">
        <v>2045</v>
      </c>
      <c r="D530" s="412" t="s">
        <v>924</v>
      </c>
      <c r="E530" s="413">
        <v>289.55604395614642</v>
      </c>
      <c r="F530" s="17"/>
      <c r="G530" s="17"/>
      <c r="H530" s="17"/>
      <c r="I530" s="17"/>
    </row>
    <row r="531" spans="2:9" ht="15.75" x14ac:dyDescent="0.25">
      <c r="B531" s="411" t="s">
        <v>69</v>
      </c>
      <c r="C531" s="412">
        <v>2046</v>
      </c>
      <c r="D531" s="412" t="s">
        <v>925</v>
      </c>
      <c r="E531" s="413">
        <v>288.51787069775338</v>
      </c>
      <c r="F531" s="17"/>
      <c r="G531" s="17"/>
      <c r="H531" s="17"/>
      <c r="I531" s="17"/>
    </row>
    <row r="532" spans="2:9" ht="15.75" x14ac:dyDescent="0.25">
      <c r="B532" s="411" t="s">
        <v>69</v>
      </c>
      <c r="C532" s="412">
        <v>2047</v>
      </c>
      <c r="D532" s="412" t="s">
        <v>926</v>
      </c>
      <c r="E532" s="413">
        <v>287.61909711231471</v>
      </c>
      <c r="F532" s="17"/>
      <c r="G532" s="17"/>
      <c r="H532" s="17"/>
      <c r="I532" s="17"/>
    </row>
    <row r="533" spans="2:9" ht="15.75" x14ac:dyDescent="0.25">
      <c r="B533" s="411" t="s">
        <v>69</v>
      </c>
      <c r="C533" s="412">
        <v>2048</v>
      </c>
      <c r="D533" s="412" t="s">
        <v>927</v>
      </c>
      <c r="E533" s="413">
        <v>286.8433773759275</v>
      </c>
      <c r="F533" s="17"/>
      <c r="G533" s="17"/>
      <c r="H533" s="17"/>
      <c r="I533" s="17"/>
    </row>
    <row r="534" spans="2:9" ht="15.75" x14ac:dyDescent="0.25">
      <c r="B534" s="411" t="s">
        <v>69</v>
      </c>
      <c r="C534" s="412">
        <v>2049</v>
      </c>
      <c r="D534" s="412" t="s">
        <v>928</v>
      </c>
      <c r="E534" s="413">
        <v>286.16943480805656</v>
      </c>
      <c r="F534" s="17"/>
      <c r="G534" s="17"/>
      <c r="H534" s="17"/>
      <c r="I534" s="17"/>
    </row>
    <row r="535" spans="2:9" ht="15.75" x14ac:dyDescent="0.25">
      <c r="B535" s="411" t="s">
        <v>69</v>
      </c>
      <c r="C535" s="412">
        <v>2050</v>
      </c>
      <c r="D535" s="412" t="s">
        <v>929</v>
      </c>
      <c r="E535" s="413">
        <v>285.60817775047991</v>
      </c>
      <c r="F535" s="17"/>
      <c r="G535" s="17"/>
      <c r="H535" s="17"/>
      <c r="I535" s="17"/>
    </row>
    <row r="536" spans="2:9" ht="15.75" x14ac:dyDescent="0.25">
      <c r="B536" s="407" t="s">
        <v>70</v>
      </c>
      <c r="C536" s="408">
        <v>2015</v>
      </c>
      <c r="D536" s="409" t="s">
        <v>217</v>
      </c>
      <c r="E536" s="410">
        <v>517.6463979260003</v>
      </c>
      <c r="F536" s="17"/>
      <c r="G536" s="17"/>
      <c r="H536" s="17"/>
      <c r="I536" s="17"/>
    </row>
    <row r="537" spans="2:9" ht="15.75" x14ac:dyDescent="0.25">
      <c r="B537" s="407" t="s">
        <v>70</v>
      </c>
      <c r="C537" s="408">
        <v>2016</v>
      </c>
      <c r="D537" s="409" t="s">
        <v>218</v>
      </c>
      <c r="E537" s="410">
        <v>507.29363028123021</v>
      </c>
      <c r="F537" s="17"/>
      <c r="G537" s="17"/>
      <c r="H537" s="17"/>
      <c r="I537" s="17"/>
    </row>
    <row r="538" spans="2:9" ht="15.75" x14ac:dyDescent="0.25">
      <c r="B538" s="411" t="s">
        <v>70</v>
      </c>
      <c r="C538" s="412">
        <v>2017</v>
      </c>
      <c r="D538" s="412" t="s">
        <v>930</v>
      </c>
      <c r="E538" s="413">
        <v>495.02058101446505</v>
      </c>
      <c r="F538" s="17"/>
      <c r="G538" s="17"/>
      <c r="H538" s="17"/>
      <c r="I538" s="17"/>
    </row>
    <row r="539" spans="2:9" ht="15.75" x14ac:dyDescent="0.25">
      <c r="B539" s="411" t="s">
        <v>70</v>
      </c>
      <c r="C539" s="412">
        <v>2018</v>
      </c>
      <c r="D539" s="412" t="s">
        <v>931</v>
      </c>
      <c r="E539" s="413">
        <v>481.90581703896891</v>
      </c>
      <c r="F539" s="17"/>
      <c r="G539" s="17"/>
      <c r="H539" s="17"/>
      <c r="I539" s="17"/>
    </row>
    <row r="540" spans="2:9" ht="15.75" x14ac:dyDescent="0.25">
      <c r="B540" s="411" t="s">
        <v>70</v>
      </c>
      <c r="C540" s="412">
        <v>2019</v>
      </c>
      <c r="D540" s="412" t="s">
        <v>932</v>
      </c>
      <c r="E540" s="413">
        <v>467.91938968577341</v>
      </c>
      <c r="F540" s="17"/>
      <c r="G540" s="17"/>
      <c r="H540" s="17"/>
      <c r="I540" s="17"/>
    </row>
    <row r="541" spans="2:9" ht="15.75" x14ac:dyDescent="0.25">
      <c r="B541" s="411" t="s">
        <v>70</v>
      </c>
      <c r="C541" s="412">
        <v>2020</v>
      </c>
      <c r="D541" s="412" t="s">
        <v>933</v>
      </c>
      <c r="E541" s="413">
        <v>454.34623696921125</v>
      </c>
      <c r="F541" s="17"/>
      <c r="G541" s="17"/>
      <c r="H541" s="17"/>
      <c r="I541" s="17"/>
    </row>
    <row r="542" spans="2:9" ht="15.75" x14ac:dyDescent="0.25">
      <c r="B542" s="411" t="s">
        <v>70</v>
      </c>
      <c r="C542" s="412">
        <v>2021</v>
      </c>
      <c r="D542" s="412" t="s">
        <v>934</v>
      </c>
      <c r="E542" s="413">
        <v>440.29536959085772</v>
      </c>
      <c r="F542" s="17"/>
      <c r="G542" s="17"/>
      <c r="H542" s="17"/>
      <c r="I542" s="17"/>
    </row>
    <row r="543" spans="2:9" ht="15.75" x14ac:dyDescent="0.25">
      <c r="B543" s="411" t="s">
        <v>70</v>
      </c>
      <c r="C543" s="412">
        <v>2022</v>
      </c>
      <c r="D543" s="412" t="s">
        <v>935</v>
      </c>
      <c r="E543" s="413">
        <v>426.74041747221662</v>
      </c>
      <c r="F543" s="17"/>
      <c r="G543" s="17"/>
      <c r="H543" s="17"/>
      <c r="I543" s="17"/>
    </row>
    <row r="544" spans="2:9" ht="15.75" x14ac:dyDescent="0.25">
      <c r="B544" s="411" t="s">
        <v>70</v>
      </c>
      <c r="C544" s="412">
        <v>2023</v>
      </c>
      <c r="D544" s="412" t="s">
        <v>936</v>
      </c>
      <c r="E544" s="413">
        <v>413.36882506019651</v>
      </c>
      <c r="F544" s="17"/>
      <c r="G544" s="17"/>
      <c r="H544" s="17"/>
      <c r="I544" s="17"/>
    </row>
    <row r="545" spans="2:9" ht="15.75" x14ac:dyDescent="0.25">
      <c r="B545" s="411" t="s">
        <v>70</v>
      </c>
      <c r="C545" s="412">
        <v>2024</v>
      </c>
      <c r="D545" s="412" t="s">
        <v>937</v>
      </c>
      <c r="E545" s="413">
        <v>401.58997525354147</v>
      </c>
      <c r="F545" s="17"/>
      <c r="G545" s="17"/>
      <c r="H545" s="17"/>
      <c r="I545" s="17"/>
    </row>
    <row r="546" spans="2:9" ht="15.75" x14ac:dyDescent="0.25">
      <c r="B546" s="411" t="s">
        <v>70</v>
      </c>
      <c r="C546" s="412">
        <v>2025</v>
      </c>
      <c r="D546" s="412" t="s">
        <v>938</v>
      </c>
      <c r="E546" s="413">
        <v>388.6374576606683</v>
      </c>
      <c r="F546" s="17"/>
      <c r="G546" s="17"/>
      <c r="H546" s="17"/>
      <c r="I546" s="17"/>
    </row>
    <row r="547" spans="2:9" ht="15.75" x14ac:dyDescent="0.25">
      <c r="B547" s="411" t="s">
        <v>70</v>
      </c>
      <c r="C547" s="412">
        <v>2026</v>
      </c>
      <c r="D547" s="412" t="s">
        <v>939</v>
      </c>
      <c r="E547" s="413">
        <v>376.92587450738307</v>
      </c>
      <c r="F547" s="17"/>
      <c r="G547" s="17"/>
      <c r="H547" s="17"/>
      <c r="I547" s="17"/>
    </row>
    <row r="548" spans="2:9" ht="15.75" x14ac:dyDescent="0.25">
      <c r="B548" s="411" t="s">
        <v>70</v>
      </c>
      <c r="C548" s="412">
        <v>2027</v>
      </c>
      <c r="D548" s="412" t="s">
        <v>940</v>
      </c>
      <c r="E548" s="413">
        <v>366.30291253211709</v>
      </c>
      <c r="F548" s="17"/>
      <c r="G548" s="17"/>
      <c r="H548" s="17"/>
      <c r="I548" s="17"/>
    </row>
    <row r="549" spans="2:9" ht="15.75" x14ac:dyDescent="0.25">
      <c r="B549" s="411" t="s">
        <v>70</v>
      </c>
      <c r="C549" s="412">
        <v>2028</v>
      </c>
      <c r="D549" s="412" t="s">
        <v>941</v>
      </c>
      <c r="E549" s="413">
        <v>356.78729710834028</v>
      </c>
      <c r="F549" s="17"/>
      <c r="G549" s="17"/>
      <c r="H549" s="17"/>
      <c r="I549" s="17"/>
    </row>
    <row r="550" spans="2:9" ht="15.75" x14ac:dyDescent="0.25">
      <c r="B550" s="411" t="s">
        <v>70</v>
      </c>
      <c r="C550" s="412">
        <v>2029</v>
      </c>
      <c r="D550" s="412" t="s">
        <v>942</v>
      </c>
      <c r="E550" s="413">
        <v>348.23608468746801</v>
      </c>
      <c r="F550" s="17"/>
      <c r="G550" s="17"/>
      <c r="H550" s="17"/>
      <c r="I550" s="17"/>
    </row>
    <row r="551" spans="2:9" ht="15.75" x14ac:dyDescent="0.25">
      <c r="B551" s="411" t="s">
        <v>70</v>
      </c>
      <c r="C551" s="412">
        <v>2030</v>
      </c>
      <c r="D551" s="412" t="s">
        <v>943</v>
      </c>
      <c r="E551" s="413">
        <v>340.61281951248338</v>
      </c>
      <c r="F551" s="17"/>
      <c r="G551" s="17"/>
      <c r="H551" s="17"/>
      <c r="I551" s="17"/>
    </row>
    <row r="552" spans="2:9" ht="15.75" x14ac:dyDescent="0.25">
      <c r="B552" s="411" t="s">
        <v>70</v>
      </c>
      <c r="C552" s="412">
        <v>2031</v>
      </c>
      <c r="D552" s="412" t="s">
        <v>944</v>
      </c>
      <c r="E552" s="413">
        <v>333.89714146456026</v>
      </c>
      <c r="F552" s="17"/>
      <c r="G552" s="17"/>
      <c r="H552" s="17"/>
      <c r="I552" s="17"/>
    </row>
    <row r="553" spans="2:9" ht="15.75" x14ac:dyDescent="0.25">
      <c r="B553" s="411" t="s">
        <v>70</v>
      </c>
      <c r="C553" s="412">
        <v>2032</v>
      </c>
      <c r="D553" s="412" t="s">
        <v>945</v>
      </c>
      <c r="E553" s="413">
        <v>327.8890132974837</v>
      </c>
      <c r="F553" s="17"/>
      <c r="G553" s="17"/>
      <c r="H553" s="17"/>
      <c r="I553" s="17"/>
    </row>
    <row r="554" spans="2:9" ht="15.75" x14ac:dyDescent="0.25">
      <c r="B554" s="411" t="s">
        <v>70</v>
      </c>
      <c r="C554" s="412">
        <v>2033</v>
      </c>
      <c r="D554" s="412" t="s">
        <v>946</v>
      </c>
      <c r="E554" s="413">
        <v>322.58236207568808</v>
      </c>
      <c r="F554" s="17"/>
      <c r="G554" s="17"/>
      <c r="H554" s="17"/>
      <c r="I554" s="17"/>
    </row>
    <row r="555" spans="2:9" ht="15.75" x14ac:dyDescent="0.25">
      <c r="B555" s="411" t="s">
        <v>70</v>
      </c>
      <c r="C555" s="412">
        <v>2034</v>
      </c>
      <c r="D555" s="412" t="s">
        <v>947</v>
      </c>
      <c r="E555" s="413">
        <v>317.89242215299703</v>
      </c>
      <c r="F555" s="17"/>
      <c r="G555" s="17"/>
      <c r="H555" s="17"/>
      <c r="I555" s="17"/>
    </row>
    <row r="556" spans="2:9" ht="15.75" x14ac:dyDescent="0.25">
      <c r="B556" s="411" t="s">
        <v>70</v>
      </c>
      <c r="C556" s="412">
        <v>2035</v>
      </c>
      <c r="D556" s="412" t="s">
        <v>948</v>
      </c>
      <c r="E556" s="413">
        <v>313.79318423564428</v>
      </c>
      <c r="F556" s="17"/>
      <c r="G556" s="17"/>
      <c r="H556" s="17"/>
      <c r="I556" s="17"/>
    </row>
    <row r="557" spans="2:9" ht="15.75" x14ac:dyDescent="0.25">
      <c r="B557" s="411" t="s">
        <v>70</v>
      </c>
      <c r="C557" s="412">
        <v>2036</v>
      </c>
      <c r="D557" s="412" t="s">
        <v>949</v>
      </c>
      <c r="E557" s="413">
        <v>310.21874840914171</v>
      </c>
      <c r="F557" s="17"/>
      <c r="G557" s="17"/>
      <c r="H557" s="17"/>
      <c r="I557" s="17"/>
    </row>
    <row r="558" spans="2:9" ht="15.75" x14ac:dyDescent="0.25">
      <c r="B558" s="411" t="s">
        <v>70</v>
      </c>
      <c r="C558" s="412">
        <v>2037</v>
      </c>
      <c r="D558" s="412" t="s">
        <v>950</v>
      </c>
      <c r="E558" s="413">
        <v>307.13892250944394</v>
      </c>
      <c r="F558" s="17"/>
      <c r="G558" s="17"/>
      <c r="H558" s="17"/>
      <c r="I558" s="17"/>
    </row>
    <row r="559" spans="2:9" ht="15.75" x14ac:dyDescent="0.25">
      <c r="B559" s="411" t="s">
        <v>70</v>
      </c>
      <c r="C559" s="412">
        <v>2038</v>
      </c>
      <c r="D559" s="412" t="s">
        <v>951</v>
      </c>
      <c r="E559" s="413">
        <v>304.49839074104619</v>
      </c>
      <c r="F559" s="17"/>
      <c r="G559" s="17"/>
      <c r="H559" s="17"/>
      <c r="I559" s="17"/>
    </row>
    <row r="560" spans="2:9" ht="15.75" x14ac:dyDescent="0.25">
      <c r="B560" s="411" t="s">
        <v>70</v>
      </c>
      <c r="C560" s="412">
        <v>2039</v>
      </c>
      <c r="D560" s="412" t="s">
        <v>952</v>
      </c>
      <c r="E560" s="413">
        <v>302.22459473732556</v>
      </c>
      <c r="F560" s="17"/>
      <c r="G560" s="17"/>
      <c r="H560" s="17"/>
      <c r="I560" s="17"/>
    </row>
    <row r="561" spans="2:9" ht="15.75" x14ac:dyDescent="0.25">
      <c r="B561" s="411" t="s">
        <v>70</v>
      </c>
      <c r="C561" s="412">
        <v>2040</v>
      </c>
      <c r="D561" s="412" t="s">
        <v>953</v>
      </c>
      <c r="E561" s="413">
        <v>300.30148487640702</v>
      </c>
      <c r="F561" s="17"/>
      <c r="G561" s="17"/>
      <c r="H561" s="17"/>
      <c r="I561" s="17"/>
    </row>
    <row r="562" spans="2:9" ht="15.75" x14ac:dyDescent="0.25">
      <c r="B562" s="411" t="s">
        <v>70</v>
      </c>
      <c r="C562" s="412">
        <v>2041</v>
      </c>
      <c r="D562" s="412" t="s">
        <v>954</v>
      </c>
      <c r="E562" s="413">
        <v>298.69759466249559</v>
      </c>
      <c r="F562" s="17"/>
      <c r="G562" s="17"/>
      <c r="H562" s="17"/>
      <c r="I562" s="17"/>
    </row>
    <row r="563" spans="2:9" ht="15.75" x14ac:dyDescent="0.25">
      <c r="B563" s="411" t="s">
        <v>70</v>
      </c>
      <c r="C563" s="412">
        <v>2042</v>
      </c>
      <c r="D563" s="412" t="s">
        <v>955</v>
      </c>
      <c r="E563" s="413">
        <v>297.33155316774014</v>
      </c>
      <c r="F563" s="17"/>
      <c r="G563" s="17"/>
      <c r="H563" s="17"/>
      <c r="I563" s="17"/>
    </row>
    <row r="564" spans="2:9" ht="15.75" x14ac:dyDescent="0.25">
      <c r="B564" s="411" t="s">
        <v>70</v>
      </c>
      <c r="C564" s="412">
        <v>2043</v>
      </c>
      <c r="D564" s="412" t="s">
        <v>956</v>
      </c>
      <c r="E564" s="413">
        <v>296.19886025913456</v>
      </c>
      <c r="F564" s="17"/>
      <c r="G564" s="17"/>
      <c r="H564" s="17"/>
      <c r="I564" s="17"/>
    </row>
    <row r="565" spans="2:9" ht="15.75" x14ac:dyDescent="0.25">
      <c r="B565" s="411" t="s">
        <v>70</v>
      </c>
      <c r="C565" s="412">
        <v>2044</v>
      </c>
      <c r="D565" s="412" t="s">
        <v>957</v>
      </c>
      <c r="E565" s="413">
        <v>295.24657242159361</v>
      </c>
      <c r="F565" s="17"/>
      <c r="G565" s="17"/>
      <c r="H565" s="17"/>
      <c r="I565" s="17"/>
    </row>
    <row r="566" spans="2:9" ht="15.75" x14ac:dyDescent="0.25">
      <c r="B566" s="411" t="s">
        <v>70</v>
      </c>
      <c r="C566" s="412">
        <v>2045</v>
      </c>
      <c r="D566" s="412" t="s">
        <v>958</v>
      </c>
      <c r="E566" s="413">
        <v>294.41267585723398</v>
      </c>
      <c r="F566" s="17"/>
      <c r="G566" s="17"/>
      <c r="H566" s="17"/>
      <c r="I566" s="17"/>
    </row>
    <row r="567" spans="2:9" ht="15.75" x14ac:dyDescent="0.25">
      <c r="B567" s="411" t="s">
        <v>70</v>
      </c>
      <c r="C567" s="412">
        <v>2046</v>
      </c>
      <c r="D567" s="412" t="s">
        <v>959</v>
      </c>
      <c r="E567" s="413">
        <v>293.70066083082071</v>
      </c>
      <c r="F567" s="17"/>
      <c r="G567" s="17"/>
      <c r="H567" s="17"/>
      <c r="I567" s="17"/>
    </row>
    <row r="568" spans="2:9" ht="15.75" x14ac:dyDescent="0.25">
      <c r="B568" s="411" t="s">
        <v>70</v>
      </c>
      <c r="C568" s="412">
        <v>2047</v>
      </c>
      <c r="D568" s="412" t="s">
        <v>960</v>
      </c>
      <c r="E568" s="413">
        <v>293.10894290111145</v>
      </c>
      <c r="F568" s="17"/>
      <c r="G568" s="17"/>
      <c r="H568" s="17"/>
      <c r="I568" s="17"/>
    </row>
    <row r="569" spans="2:9" ht="15.75" x14ac:dyDescent="0.25">
      <c r="B569" s="411" t="s">
        <v>70</v>
      </c>
      <c r="C569" s="412">
        <v>2048</v>
      </c>
      <c r="D569" s="412" t="s">
        <v>961</v>
      </c>
      <c r="E569" s="413">
        <v>292.60355769853612</v>
      </c>
      <c r="F569" s="17"/>
      <c r="G569" s="17"/>
      <c r="H569" s="17"/>
      <c r="I569" s="17"/>
    </row>
    <row r="570" spans="2:9" ht="15.75" x14ac:dyDescent="0.25">
      <c r="B570" s="411" t="s">
        <v>70</v>
      </c>
      <c r="C570" s="412">
        <v>2049</v>
      </c>
      <c r="D570" s="412" t="s">
        <v>962</v>
      </c>
      <c r="E570" s="413">
        <v>292.17361583900612</v>
      </c>
      <c r="F570" s="17"/>
      <c r="G570" s="17"/>
      <c r="H570" s="17"/>
      <c r="I570" s="17"/>
    </row>
    <row r="571" spans="2:9" ht="15.75" x14ac:dyDescent="0.25">
      <c r="B571" s="411" t="s">
        <v>70</v>
      </c>
      <c r="C571" s="412">
        <v>2050</v>
      </c>
      <c r="D571" s="412" t="s">
        <v>963</v>
      </c>
      <c r="E571" s="413">
        <v>291.81038402111466</v>
      </c>
      <c r="F571" s="17"/>
      <c r="G571" s="17"/>
      <c r="H571" s="17"/>
      <c r="I571" s="17"/>
    </row>
    <row r="572" spans="2:9" ht="15.75" x14ac:dyDescent="0.25">
      <c r="B572" s="407" t="s">
        <v>71</v>
      </c>
      <c r="C572" s="408">
        <v>2015</v>
      </c>
      <c r="D572" s="409" t="s">
        <v>219</v>
      </c>
      <c r="E572" s="410">
        <v>532.36931487631853</v>
      </c>
      <c r="F572" s="17"/>
      <c r="G572" s="17"/>
      <c r="H572" s="17"/>
      <c r="I572" s="17"/>
    </row>
    <row r="573" spans="2:9" ht="15.75" x14ac:dyDescent="0.25">
      <c r="B573" s="407" t="s">
        <v>71</v>
      </c>
      <c r="C573" s="408">
        <v>2016</v>
      </c>
      <c r="D573" s="409" t="s">
        <v>220</v>
      </c>
      <c r="E573" s="410">
        <v>521.60274982129738</v>
      </c>
      <c r="F573" s="17"/>
      <c r="G573" s="17"/>
      <c r="H573" s="17"/>
      <c r="I573" s="17"/>
    </row>
    <row r="574" spans="2:9" ht="15.75" x14ac:dyDescent="0.25">
      <c r="B574" s="411" t="s">
        <v>71</v>
      </c>
      <c r="C574" s="412">
        <v>2017</v>
      </c>
      <c r="D574" s="412" t="s">
        <v>964</v>
      </c>
      <c r="E574" s="413">
        <v>509.00549327162406</v>
      </c>
      <c r="F574" s="17"/>
      <c r="G574" s="17"/>
      <c r="H574" s="17"/>
      <c r="I574" s="17"/>
    </row>
    <row r="575" spans="2:9" ht="15.75" x14ac:dyDescent="0.25">
      <c r="B575" s="411" t="s">
        <v>71</v>
      </c>
      <c r="C575" s="412">
        <v>2018</v>
      </c>
      <c r="D575" s="412" t="s">
        <v>965</v>
      </c>
      <c r="E575" s="413">
        <v>496.02214429109353</v>
      </c>
      <c r="F575" s="17"/>
      <c r="G575" s="17"/>
      <c r="H575" s="17"/>
      <c r="I575" s="17"/>
    </row>
    <row r="576" spans="2:9" ht="15.75" x14ac:dyDescent="0.25">
      <c r="B576" s="411" t="s">
        <v>71</v>
      </c>
      <c r="C576" s="412">
        <v>2019</v>
      </c>
      <c r="D576" s="412" t="s">
        <v>966</v>
      </c>
      <c r="E576" s="413">
        <v>482.57522632045101</v>
      </c>
      <c r="F576" s="17"/>
      <c r="G576" s="17"/>
      <c r="H576" s="17"/>
      <c r="I576" s="17"/>
    </row>
    <row r="577" spans="2:9" ht="15.75" x14ac:dyDescent="0.25">
      <c r="B577" s="411" t="s">
        <v>71</v>
      </c>
      <c r="C577" s="412">
        <v>2020</v>
      </c>
      <c r="D577" s="412" t="s">
        <v>967</v>
      </c>
      <c r="E577" s="413">
        <v>468.88737176656383</v>
      </c>
      <c r="F577" s="17"/>
      <c r="G577" s="17"/>
      <c r="H577" s="17"/>
      <c r="I577" s="17"/>
    </row>
    <row r="578" spans="2:9" ht="15.75" x14ac:dyDescent="0.25">
      <c r="B578" s="411" t="s">
        <v>71</v>
      </c>
      <c r="C578" s="412">
        <v>2021</v>
      </c>
      <c r="D578" s="412" t="s">
        <v>968</v>
      </c>
      <c r="E578" s="413">
        <v>454.98297367164832</v>
      </c>
      <c r="F578" s="17"/>
      <c r="G578" s="17"/>
      <c r="H578" s="17"/>
      <c r="I578" s="17"/>
    </row>
    <row r="579" spans="2:9" ht="15.75" x14ac:dyDescent="0.25">
      <c r="B579" s="411" t="s">
        <v>71</v>
      </c>
      <c r="C579" s="412">
        <v>2022</v>
      </c>
      <c r="D579" s="412" t="s">
        <v>969</v>
      </c>
      <c r="E579" s="413">
        <v>441.23045635378696</v>
      </c>
      <c r="F579" s="17"/>
      <c r="G579" s="17"/>
      <c r="H579" s="17"/>
      <c r="I579" s="17"/>
    </row>
    <row r="580" spans="2:9" ht="15.75" x14ac:dyDescent="0.25">
      <c r="B580" s="411" t="s">
        <v>71</v>
      </c>
      <c r="C580" s="412">
        <v>2023</v>
      </c>
      <c r="D580" s="412" t="s">
        <v>970</v>
      </c>
      <c r="E580" s="413">
        <v>427.64981347222857</v>
      </c>
      <c r="F580" s="17"/>
      <c r="G580" s="17"/>
      <c r="H580" s="17"/>
      <c r="I580" s="17"/>
    </row>
    <row r="581" spans="2:9" ht="15.75" x14ac:dyDescent="0.25">
      <c r="B581" s="411" t="s">
        <v>71</v>
      </c>
      <c r="C581" s="412">
        <v>2024</v>
      </c>
      <c r="D581" s="412" t="s">
        <v>971</v>
      </c>
      <c r="E581" s="413">
        <v>414.24069703701252</v>
      </c>
      <c r="F581" s="17"/>
      <c r="G581" s="17"/>
      <c r="H581" s="17"/>
      <c r="I581" s="17"/>
    </row>
    <row r="582" spans="2:9" ht="15.75" x14ac:dyDescent="0.25">
      <c r="B582" s="411" t="s">
        <v>71</v>
      </c>
      <c r="C582" s="412">
        <v>2025</v>
      </c>
      <c r="D582" s="412" t="s">
        <v>972</v>
      </c>
      <c r="E582" s="413">
        <v>401.05088098484828</v>
      </c>
      <c r="F582" s="17"/>
      <c r="G582" s="17"/>
      <c r="H582" s="17"/>
      <c r="I582" s="17"/>
    </row>
    <row r="583" spans="2:9" ht="15.75" x14ac:dyDescent="0.25">
      <c r="B583" s="411" t="s">
        <v>71</v>
      </c>
      <c r="C583" s="412">
        <v>2026</v>
      </c>
      <c r="D583" s="412" t="s">
        <v>973</v>
      </c>
      <c r="E583" s="413">
        <v>389.11452664786941</v>
      </c>
      <c r="F583" s="17"/>
      <c r="G583" s="17"/>
      <c r="H583" s="17"/>
      <c r="I583" s="17"/>
    </row>
    <row r="584" spans="2:9" ht="15.75" x14ac:dyDescent="0.25">
      <c r="B584" s="411" t="s">
        <v>71</v>
      </c>
      <c r="C584" s="412">
        <v>2027</v>
      </c>
      <c r="D584" s="412" t="s">
        <v>974</v>
      </c>
      <c r="E584" s="413">
        <v>378.21642099526071</v>
      </c>
      <c r="F584" s="17"/>
      <c r="G584" s="17"/>
      <c r="H584" s="17"/>
      <c r="I584" s="17"/>
    </row>
    <row r="585" spans="2:9" ht="15.75" x14ac:dyDescent="0.25">
      <c r="B585" s="411" t="s">
        <v>71</v>
      </c>
      <c r="C585" s="412">
        <v>2028</v>
      </c>
      <c r="D585" s="412" t="s">
        <v>975</v>
      </c>
      <c r="E585" s="413">
        <v>368.40998740860022</v>
      </c>
      <c r="F585" s="17"/>
      <c r="G585" s="17"/>
      <c r="H585" s="17"/>
      <c r="I585" s="17"/>
    </row>
    <row r="586" spans="2:9" ht="15.75" x14ac:dyDescent="0.25">
      <c r="B586" s="411" t="s">
        <v>71</v>
      </c>
      <c r="C586" s="412">
        <v>2029</v>
      </c>
      <c r="D586" s="412" t="s">
        <v>976</v>
      </c>
      <c r="E586" s="413">
        <v>359.5770593282208</v>
      </c>
      <c r="F586" s="17"/>
      <c r="G586" s="17"/>
      <c r="H586" s="17"/>
      <c r="I586" s="17"/>
    </row>
    <row r="587" spans="2:9" ht="15.75" x14ac:dyDescent="0.25">
      <c r="B587" s="411" t="s">
        <v>71</v>
      </c>
      <c r="C587" s="412">
        <v>2030</v>
      </c>
      <c r="D587" s="412" t="s">
        <v>977</v>
      </c>
      <c r="E587" s="413">
        <v>351.69072021445578</v>
      </c>
      <c r="F587" s="17"/>
      <c r="G587" s="17"/>
      <c r="H587" s="17"/>
      <c r="I587" s="17"/>
    </row>
    <row r="588" spans="2:9" ht="15.75" x14ac:dyDescent="0.25">
      <c r="B588" s="411" t="s">
        <v>71</v>
      </c>
      <c r="C588" s="412">
        <v>2031</v>
      </c>
      <c r="D588" s="412" t="s">
        <v>978</v>
      </c>
      <c r="E588" s="413">
        <v>344.66697918824991</v>
      </c>
      <c r="F588" s="17"/>
      <c r="G588" s="17"/>
      <c r="H588" s="17"/>
      <c r="I588" s="17"/>
    </row>
    <row r="589" spans="2:9" ht="15.75" x14ac:dyDescent="0.25">
      <c r="B589" s="411" t="s">
        <v>71</v>
      </c>
      <c r="C589" s="412">
        <v>2032</v>
      </c>
      <c r="D589" s="412" t="s">
        <v>979</v>
      </c>
      <c r="E589" s="413">
        <v>338.42768308284172</v>
      </c>
      <c r="F589" s="17"/>
      <c r="G589" s="17"/>
      <c r="H589" s="17"/>
      <c r="I589" s="17"/>
    </row>
    <row r="590" spans="2:9" ht="15.75" x14ac:dyDescent="0.25">
      <c r="B590" s="411" t="s">
        <v>71</v>
      </c>
      <c r="C590" s="412">
        <v>2033</v>
      </c>
      <c r="D590" s="412" t="s">
        <v>980</v>
      </c>
      <c r="E590" s="413">
        <v>332.91574507680781</v>
      </c>
      <c r="F590" s="17"/>
      <c r="G590" s="17"/>
      <c r="H590" s="17"/>
      <c r="I590" s="17"/>
    </row>
    <row r="591" spans="2:9" ht="15.75" x14ac:dyDescent="0.25">
      <c r="B591" s="411" t="s">
        <v>71</v>
      </c>
      <c r="C591" s="412">
        <v>2034</v>
      </c>
      <c r="D591" s="412" t="s">
        <v>981</v>
      </c>
      <c r="E591" s="413">
        <v>328.07431196272125</v>
      </c>
      <c r="F591" s="17"/>
      <c r="G591" s="17"/>
      <c r="H591" s="17"/>
      <c r="I591" s="17"/>
    </row>
    <row r="592" spans="2:9" ht="15.75" x14ac:dyDescent="0.25">
      <c r="B592" s="411" t="s">
        <v>71</v>
      </c>
      <c r="C592" s="412">
        <v>2035</v>
      </c>
      <c r="D592" s="412" t="s">
        <v>982</v>
      </c>
      <c r="E592" s="413">
        <v>323.86206474831806</v>
      </c>
      <c r="F592" s="17"/>
      <c r="G592" s="17"/>
      <c r="H592" s="17"/>
      <c r="I592" s="17"/>
    </row>
    <row r="593" spans="2:9" ht="15.75" x14ac:dyDescent="0.25">
      <c r="B593" s="411" t="s">
        <v>71</v>
      </c>
      <c r="C593" s="412">
        <v>2036</v>
      </c>
      <c r="D593" s="412" t="s">
        <v>983</v>
      </c>
      <c r="E593" s="413">
        <v>320.21250284458199</v>
      </c>
      <c r="F593" s="17"/>
      <c r="G593" s="17"/>
      <c r="H593" s="17"/>
      <c r="I593" s="17"/>
    </row>
    <row r="594" spans="2:9" ht="15.75" x14ac:dyDescent="0.25">
      <c r="B594" s="411" t="s">
        <v>71</v>
      </c>
      <c r="C594" s="412">
        <v>2037</v>
      </c>
      <c r="D594" s="412" t="s">
        <v>984</v>
      </c>
      <c r="E594" s="413">
        <v>317.08366730054809</v>
      </c>
      <c r="F594" s="17"/>
      <c r="G594" s="17"/>
      <c r="H594" s="17"/>
      <c r="I594" s="17"/>
    </row>
    <row r="595" spans="2:9" ht="15.75" x14ac:dyDescent="0.25">
      <c r="B595" s="411" t="s">
        <v>71</v>
      </c>
      <c r="C595" s="412">
        <v>2038</v>
      </c>
      <c r="D595" s="412" t="s">
        <v>985</v>
      </c>
      <c r="E595" s="413">
        <v>314.41009729250607</v>
      </c>
      <c r="F595" s="17"/>
      <c r="G595" s="17"/>
      <c r="H595" s="17"/>
      <c r="I595" s="17"/>
    </row>
    <row r="596" spans="2:9" ht="15.75" x14ac:dyDescent="0.25">
      <c r="B596" s="411" t="s">
        <v>71</v>
      </c>
      <c r="C596" s="412">
        <v>2039</v>
      </c>
      <c r="D596" s="412" t="s">
        <v>986</v>
      </c>
      <c r="E596" s="413">
        <v>312.14121408287389</v>
      </c>
      <c r="F596" s="17"/>
      <c r="G596" s="17"/>
      <c r="H596" s="17"/>
      <c r="I596" s="17"/>
    </row>
    <row r="597" spans="2:9" ht="15.75" x14ac:dyDescent="0.25">
      <c r="B597" s="411" t="s">
        <v>71</v>
      </c>
      <c r="C597" s="412">
        <v>2040</v>
      </c>
      <c r="D597" s="412" t="s">
        <v>987</v>
      </c>
      <c r="E597" s="413">
        <v>310.22430036916927</v>
      </c>
      <c r="F597" s="17"/>
      <c r="G597" s="17"/>
      <c r="H597" s="17"/>
      <c r="I597" s="17"/>
    </row>
    <row r="598" spans="2:9" ht="15.75" x14ac:dyDescent="0.25">
      <c r="B598" s="411" t="s">
        <v>71</v>
      </c>
      <c r="C598" s="412">
        <v>2041</v>
      </c>
      <c r="D598" s="412" t="s">
        <v>988</v>
      </c>
      <c r="E598" s="413">
        <v>308.62498103897036</v>
      </c>
      <c r="F598" s="17"/>
      <c r="G598" s="17"/>
      <c r="H598" s="17"/>
      <c r="I598" s="17"/>
    </row>
    <row r="599" spans="2:9" ht="15.75" x14ac:dyDescent="0.25">
      <c r="B599" s="411" t="s">
        <v>71</v>
      </c>
      <c r="C599" s="412">
        <v>2042</v>
      </c>
      <c r="D599" s="412" t="s">
        <v>989</v>
      </c>
      <c r="E599" s="413">
        <v>307.27823441361892</v>
      </c>
      <c r="F599" s="17"/>
      <c r="G599" s="17"/>
      <c r="H599" s="17"/>
      <c r="I599" s="17"/>
    </row>
    <row r="600" spans="2:9" ht="15.75" x14ac:dyDescent="0.25">
      <c r="B600" s="411" t="s">
        <v>71</v>
      </c>
      <c r="C600" s="412">
        <v>2043</v>
      </c>
      <c r="D600" s="412" t="s">
        <v>990</v>
      </c>
      <c r="E600" s="413">
        <v>306.16325237960916</v>
      </c>
      <c r="F600" s="17"/>
      <c r="G600" s="17"/>
      <c r="H600" s="17"/>
      <c r="I600" s="17"/>
    </row>
    <row r="601" spans="2:9" ht="15.75" x14ac:dyDescent="0.25">
      <c r="B601" s="411" t="s">
        <v>71</v>
      </c>
      <c r="C601" s="412">
        <v>2044</v>
      </c>
      <c r="D601" s="412" t="s">
        <v>991</v>
      </c>
      <c r="E601" s="413">
        <v>305.21613144295708</v>
      </c>
      <c r="F601" s="17"/>
      <c r="G601" s="17"/>
      <c r="H601" s="17"/>
      <c r="I601" s="17"/>
    </row>
    <row r="602" spans="2:9" ht="15.75" x14ac:dyDescent="0.25">
      <c r="B602" s="411" t="s">
        <v>71</v>
      </c>
      <c r="C602" s="412">
        <v>2045</v>
      </c>
      <c r="D602" s="412" t="s">
        <v>992</v>
      </c>
      <c r="E602" s="413">
        <v>304.41394484709809</v>
      </c>
      <c r="F602" s="17"/>
      <c r="G602" s="17"/>
      <c r="H602" s="17"/>
      <c r="I602" s="17"/>
    </row>
    <row r="603" spans="2:9" ht="15.75" x14ac:dyDescent="0.25">
      <c r="B603" s="411" t="s">
        <v>71</v>
      </c>
      <c r="C603" s="412">
        <v>2046</v>
      </c>
      <c r="D603" s="412" t="s">
        <v>993</v>
      </c>
      <c r="E603" s="413">
        <v>303.73880443589809</v>
      </c>
      <c r="F603" s="17"/>
      <c r="G603" s="17"/>
      <c r="H603" s="17"/>
      <c r="I603" s="17"/>
    </row>
    <row r="604" spans="2:9" ht="15.75" x14ac:dyDescent="0.25">
      <c r="B604" s="411" t="s">
        <v>71</v>
      </c>
      <c r="C604" s="412">
        <v>2047</v>
      </c>
      <c r="D604" s="412" t="s">
        <v>994</v>
      </c>
      <c r="E604" s="413">
        <v>303.17604456938369</v>
      </c>
      <c r="F604" s="17"/>
      <c r="G604" s="17"/>
      <c r="H604" s="17"/>
      <c r="I604" s="17"/>
    </row>
    <row r="605" spans="2:9" ht="15.75" x14ac:dyDescent="0.25">
      <c r="B605" s="411" t="s">
        <v>71</v>
      </c>
      <c r="C605" s="412">
        <v>2048</v>
      </c>
      <c r="D605" s="412" t="s">
        <v>995</v>
      </c>
      <c r="E605" s="413">
        <v>302.70419501498577</v>
      </c>
      <c r="F605" s="17"/>
      <c r="G605" s="17"/>
      <c r="H605" s="17"/>
      <c r="I605" s="17"/>
    </row>
    <row r="606" spans="2:9" ht="15.75" x14ac:dyDescent="0.25">
      <c r="B606" s="411" t="s">
        <v>71</v>
      </c>
      <c r="C606" s="412">
        <v>2049</v>
      </c>
      <c r="D606" s="412" t="s">
        <v>996</v>
      </c>
      <c r="E606" s="413">
        <v>302.30613969451258</v>
      </c>
      <c r="F606" s="17"/>
      <c r="G606" s="17"/>
      <c r="H606" s="17"/>
      <c r="I606" s="17"/>
    </row>
    <row r="607" spans="2:9" ht="15.75" x14ac:dyDescent="0.25">
      <c r="B607" s="411" t="s">
        <v>71</v>
      </c>
      <c r="C607" s="412">
        <v>2050</v>
      </c>
      <c r="D607" s="412" t="s">
        <v>997</v>
      </c>
      <c r="E607" s="413">
        <v>301.99848670690602</v>
      </c>
      <c r="F607" s="17"/>
      <c r="G607" s="17"/>
      <c r="H607" s="17"/>
      <c r="I607" s="17"/>
    </row>
    <row r="608" spans="2:9" ht="15.75" x14ac:dyDescent="0.25">
      <c r="B608" s="407" t="s">
        <v>221</v>
      </c>
      <c r="C608" s="408">
        <v>2015</v>
      </c>
      <c r="D608" s="409" t="s">
        <v>222</v>
      </c>
      <c r="E608" s="410">
        <v>536.04273092051403</v>
      </c>
      <c r="F608" s="17"/>
      <c r="G608" s="17"/>
      <c r="H608" s="17"/>
      <c r="I608" s="17"/>
    </row>
    <row r="609" spans="2:9" ht="15.75" x14ac:dyDescent="0.25">
      <c r="B609" s="407" t="s">
        <v>221</v>
      </c>
      <c r="C609" s="408">
        <v>2016</v>
      </c>
      <c r="D609" s="409" t="s">
        <v>223</v>
      </c>
      <c r="E609" s="410">
        <v>525.30245728358864</v>
      </c>
      <c r="F609" s="17"/>
      <c r="G609" s="17"/>
      <c r="H609" s="17"/>
      <c r="I609" s="17"/>
    </row>
    <row r="610" spans="2:9" ht="15.75" x14ac:dyDescent="0.25">
      <c r="B610" s="411" t="s">
        <v>221</v>
      </c>
      <c r="C610" s="412">
        <v>2017</v>
      </c>
      <c r="D610" s="412" t="s">
        <v>998</v>
      </c>
      <c r="E610" s="413">
        <v>513.07682307053358</v>
      </c>
      <c r="F610" s="17"/>
      <c r="G610" s="17"/>
      <c r="H610" s="17"/>
      <c r="I610" s="17"/>
    </row>
    <row r="611" spans="2:9" ht="15.75" x14ac:dyDescent="0.25">
      <c r="B611" s="411" t="s">
        <v>221</v>
      </c>
      <c r="C611" s="412">
        <v>2018</v>
      </c>
      <c r="D611" s="412" t="s">
        <v>999</v>
      </c>
      <c r="E611" s="413">
        <v>499.34263119612262</v>
      </c>
      <c r="F611" s="17"/>
      <c r="G611" s="17"/>
      <c r="H611" s="17"/>
      <c r="I611" s="17"/>
    </row>
    <row r="612" spans="2:9" ht="15.75" x14ac:dyDescent="0.25">
      <c r="B612" s="411" t="s">
        <v>221</v>
      </c>
      <c r="C612" s="412">
        <v>2019</v>
      </c>
      <c r="D612" s="412" t="s">
        <v>1000</v>
      </c>
      <c r="E612" s="413">
        <v>485.75470551009744</v>
      </c>
      <c r="F612" s="17"/>
      <c r="G612" s="17"/>
      <c r="H612" s="17"/>
      <c r="I612" s="17"/>
    </row>
    <row r="613" spans="2:9" ht="15.75" x14ac:dyDescent="0.25">
      <c r="B613" s="411" t="s">
        <v>221</v>
      </c>
      <c r="C613" s="412">
        <v>2020</v>
      </c>
      <c r="D613" s="412" t="s">
        <v>1001</v>
      </c>
      <c r="E613" s="413">
        <v>471.89693504805723</v>
      </c>
      <c r="F613" s="17"/>
      <c r="G613" s="17"/>
      <c r="H613" s="17"/>
      <c r="I613" s="17"/>
    </row>
    <row r="614" spans="2:9" ht="15.75" x14ac:dyDescent="0.25">
      <c r="B614" s="411" t="s">
        <v>221</v>
      </c>
      <c r="C614" s="412">
        <v>2021</v>
      </c>
      <c r="D614" s="412" t="s">
        <v>1002</v>
      </c>
      <c r="E614" s="413">
        <v>457.70216797993697</v>
      </c>
      <c r="F614" s="17"/>
      <c r="G614" s="17"/>
      <c r="H614" s="17"/>
      <c r="I614" s="17"/>
    </row>
    <row r="615" spans="2:9" ht="15.75" x14ac:dyDescent="0.25">
      <c r="B615" s="411" t="s">
        <v>221</v>
      </c>
      <c r="C615" s="412">
        <v>2022</v>
      </c>
      <c r="D615" s="412" t="s">
        <v>1003</v>
      </c>
      <c r="E615" s="413">
        <v>443.79279024632206</v>
      </c>
      <c r="F615" s="17"/>
      <c r="G615" s="17"/>
      <c r="H615" s="17"/>
      <c r="I615" s="17"/>
    </row>
    <row r="616" spans="2:9" ht="15.75" x14ac:dyDescent="0.25">
      <c r="B616" s="411" t="s">
        <v>221</v>
      </c>
      <c r="C616" s="412">
        <v>2023</v>
      </c>
      <c r="D616" s="412" t="s">
        <v>1004</v>
      </c>
      <c r="E616" s="413">
        <v>429.9660362328259</v>
      </c>
      <c r="F616" s="17"/>
      <c r="G616" s="17"/>
      <c r="H616" s="17"/>
      <c r="I616" s="17"/>
    </row>
    <row r="617" spans="2:9" ht="15.75" x14ac:dyDescent="0.25">
      <c r="B617" s="411" t="s">
        <v>221</v>
      </c>
      <c r="C617" s="412">
        <v>2024</v>
      </c>
      <c r="D617" s="412" t="s">
        <v>1005</v>
      </c>
      <c r="E617" s="413">
        <v>416.38362413995759</v>
      </c>
      <c r="F617" s="17"/>
      <c r="G617" s="17"/>
      <c r="H617" s="17"/>
      <c r="I617" s="17"/>
    </row>
    <row r="618" spans="2:9" ht="15.75" x14ac:dyDescent="0.25">
      <c r="B618" s="411" t="s">
        <v>221</v>
      </c>
      <c r="C618" s="412">
        <v>2025</v>
      </c>
      <c r="D618" s="412" t="s">
        <v>1006</v>
      </c>
      <c r="E618" s="413">
        <v>402.85812731046332</v>
      </c>
      <c r="F618" s="17"/>
      <c r="G618" s="17"/>
      <c r="H618" s="17"/>
      <c r="I618" s="17"/>
    </row>
    <row r="619" spans="2:9" ht="15.75" x14ac:dyDescent="0.25">
      <c r="B619" s="411" t="s">
        <v>221</v>
      </c>
      <c r="C619" s="412">
        <v>2026</v>
      </c>
      <c r="D619" s="412" t="s">
        <v>1007</v>
      </c>
      <c r="E619" s="413">
        <v>389.6419234181854</v>
      </c>
      <c r="F619" s="17"/>
      <c r="G619" s="17"/>
      <c r="H619" s="17"/>
      <c r="I619" s="17"/>
    </row>
    <row r="620" spans="2:9" ht="15.75" x14ac:dyDescent="0.25">
      <c r="B620" s="411" t="s">
        <v>221</v>
      </c>
      <c r="C620" s="412">
        <v>2027</v>
      </c>
      <c r="D620" s="412" t="s">
        <v>1008</v>
      </c>
      <c r="E620" s="413">
        <v>378.32702344466901</v>
      </c>
      <c r="F620" s="17"/>
      <c r="G620" s="17"/>
      <c r="H620" s="17"/>
      <c r="I620" s="17"/>
    </row>
    <row r="621" spans="2:9" ht="15.75" x14ac:dyDescent="0.25">
      <c r="B621" s="411" t="s">
        <v>221</v>
      </c>
      <c r="C621" s="412">
        <v>2028</v>
      </c>
      <c r="D621" s="412" t="s">
        <v>1009</v>
      </c>
      <c r="E621" s="413">
        <v>368.13133668292897</v>
      </c>
      <c r="F621" s="17"/>
      <c r="G621" s="17"/>
      <c r="H621" s="17"/>
      <c r="I621" s="17"/>
    </row>
    <row r="622" spans="2:9" ht="15.75" x14ac:dyDescent="0.25">
      <c r="B622" s="411" t="s">
        <v>221</v>
      </c>
      <c r="C622" s="412">
        <v>2029</v>
      </c>
      <c r="D622" s="412" t="s">
        <v>1010</v>
      </c>
      <c r="E622" s="413">
        <v>358.97194030829246</v>
      </c>
      <c r="F622" s="17"/>
      <c r="G622" s="17"/>
      <c r="H622" s="17"/>
      <c r="I622" s="17"/>
    </row>
    <row r="623" spans="2:9" ht="15.75" x14ac:dyDescent="0.25">
      <c r="B623" s="411" t="s">
        <v>221</v>
      </c>
      <c r="C623" s="412">
        <v>2030</v>
      </c>
      <c r="D623" s="412" t="s">
        <v>1011</v>
      </c>
      <c r="E623" s="413">
        <v>350.79373462066707</v>
      </c>
      <c r="F623" s="17"/>
      <c r="G623" s="17"/>
      <c r="H623" s="17"/>
      <c r="I623" s="17"/>
    </row>
    <row r="624" spans="2:9" ht="15.75" x14ac:dyDescent="0.25">
      <c r="B624" s="411" t="s">
        <v>221</v>
      </c>
      <c r="C624" s="412">
        <v>2031</v>
      </c>
      <c r="D624" s="412" t="s">
        <v>1012</v>
      </c>
      <c r="E624" s="413">
        <v>343.52835858654248</v>
      </c>
      <c r="F624" s="17"/>
      <c r="G624" s="17"/>
      <c r="H624" s="17"/>
      <c r="I624" s="17"/>
    </row>
    <row r="625" spans="2:9" ht="15.75" x14ac:dyDescent="0.25">
      <c r="B625" s="411" t="s">
        <v>221</v>
      </c>
      <c r="C625" s="412">
        <v>2032</v>
      </c>
      <c r="D625" s="412" t="s">
        <v>1013</v>
      </c>
      <c r="E625" s="413">
        <v>337.10144696667953</v>
      </c>
      <c r="F625" s="17"/>
      <c r="G625" s="17"/>
      <c r="H625" s="17"/>
      <c r="I625" s="17"/>
    </row>
    <row r="626" spans="2:9" ht="15.75" x14ac:dyDescent="0.25">
      <c r="B626" s="411" t="s">
        <v>221</v>
      </c>
      <c r="C626" s="412">
        <v>2033</v>
      </c>
      <c r="D626" s="412" t="s">
        <v>1014</v>
      </c>
      <c r="E626" s="413">
        <v>331.4484780448463</v>
      </c>
      <c r="F626" s="17"/>
      <c r="G626" s="17"/>
      <c r="H626" s="17"/>
      <c r="I626" s="17"/>
    </row>
    <row r="627" spans="2:9" ht="15.75" x14ac:dyDescent="0.25">
      <c r="B627" s="411" t="s">
        <v>221</v>
      </c>
      <c r="C627" s="412">
        <v>2034</v>
      </c>
      <c r="D627" s="412" t="s">
        <v>1015</v>
      </c>
      <c r="E627" s="413">
        <v>326.4953716086323</v>
      </c>
      <c r="F627" s="17"/>
      <c r="G627" s="17"/>
      <c r="H627" s="17"/>
      <c r="I627" s="17"/>
    </row>
    <row r="628" spans="2:9" ht="15.75" x14ac:dyDescent="0.25">
      <c r="B628" s="411" t="s">
        <v>221</v>
      </c>
      <c r="C628" s="412">
        <v>2035</v>
      </c>
      <c r="D628" s="412" t="s">
        <v>1016</v>
      </c>
      <c r="E628" s="413">
        <v>322.19084161961263</v>
      </c>
      <c r="F628" s="17"/>
      <c r="G628" s="17"/>
      <c r="H628" s="17"/>
      <c r="I628" s="17"/>
    </row>
    <row r="629" spans="2:9" ht="15.75" x14ac:dyDescent="0.25">
      <c r="B629" s="411" t="s">
        <v>221</v>
      </c>
      <c r="C629" s="412">
        <v>2036</v>
      </c>
      <c r="D629" s="412" t="s">
        <v>1017</v>
      </c>
      <c r="E629" s="413">
        <v>318.46183642999114</v>
      </c>
      <c r="F629" s="17"/>
      <c r="G629" s="17"/>
      <c r="H629" s="17"/>
      <c r="I629" s="17"/>
    </row>
    <row r="630" spans="2:9" ht="15.75" x14ac:dyDescent="0.25">
      <c r="B630" s="411" t="s">
        <v>221</v>
      </c>
      <c r="C630" s="412">
        <v>2037</v>
      </c>
      <c r="D630" s="412" t="s">
        <v>1018</v>
      </c>
      <c r="E630" s="413">
        <v>315.27288916849301</v>
      </c>
      <c r="F630" s="17"/>
      <c r="G630" s="17"/>
      <c r="H630" s="17"/>
      <c r="I630" s="17"/>
    </row>
    <row r="631" spans="2:9" ht="15.75" x14ac:dyDescent="0.25">
      <c r="B631" s="411" t="s">
        <v>221</v>
      </c>
      <c r="C631" s="412">
        <v>2038</v>
      </c>
      <c r="D631" s="412" t="s">
        <v>1019</v>
      </c>
      <c r="E631" s="413">
        <v>312.56906627791273</v>
      </c>
      <c r="F631" s="17"/>
      <c r="G631" s="17"/>
      <c r="H631" s="17"/>
      <c r="I631" s="17"/>
    </row>
    <row r="632" spans="2:9" ht="15.75" x14ac:dyDescent="0.25">
      <c r="B632" s="411" t="s">
        <v>221</v>
      </c>
      <c r="C632" s="412">
        <v>2039</v>
      </c>
      <c r="D632" s="412" t="s">
        <v>1020</v>
      </c>
      <c r="E632" s="413">
        <v>310.27888925164314</v>
      </c>
      <c r="F632" s="17"/>
      <c r="G632" s="17"/>
      <c r="H632" s="17"/>
      <c r="I632" s="17"/>
    </row>
    <row r="633" spans="2:9" ht="15.75" x14ac:dyDescent="0.25">
      <c r="B633" s="411" t="s">
        <v>221</v>
      </c>
      <c r="C633" s="412">
        <v>2040</v>
      </c>
      <c r="D633" s="412" t="s">
        <v>1021</v>
      </c>
      <c r="E633" s="413">
        <v>308.36267460436966</v>
      </c>
      <c r="F633" s="17"/>
      <c r="G633" s="17"/>
      <c r="H633" s="17"/>
      <c r="I633" s="17"/>
    </row>
    <row r="634" spans="2:9" ht="15.75" x14ac:dyDescent="0.25">
      <c r="B634" s="411" t="s">
        <v>221</v>
      </c>
      <c r="C634" s="412">
        <v>2041</v>
      </c>
      <c r="D634" s="412" t="s">
        <v>1022</v>
      </c>
      <c r="E634" s="413">
        <v>306.78146645219152</v>
      </c>
      <c r="F634" s="17"/>
      <c r="G634" s="17"/>
      <c r="H634" s="17"/>
      <c r="I634" s="17"/>
    </row>
    <row r="635" spans="2:9" ht="15.75" x14ac:dyDescent="0.25">
      <c r="B635" s="411" t="s">
        <v>221</v>
      </c>
      <c r="C635" s="412">
        <v>2042</v>
      </c>
      <c r="D635" s="412" t="s">
        <v>1023</v>
      </c>
      <c r="E635" s="413">
        <v>305.46356325159752</v>
      </c>
      <c r="F635" s="17"/>
      <c r="G635" s="17"/>
      <c r="H635" s="17"/>
      <c r="I635" s="17"/>
    </row>
    <row r="636" spans="2:9" ht="15.75" x14ac:dyDescent="0.25">
      <c r="B636" s="411" t="s">
        <v>221</v>
      </c>
      <c r="C636" s="412">
        <v>2043</v>
      </c>
      <c r="D636" s="412" t="s">
        <v>1024</v>
      </c>
      <c r="E636" s="413">
        <v>304.38140390724851</v>
      </c>
      <c r="F636" s="17"/>
      <c r="G636" s="17"/>
      <c r="H636" s="17"/>
      <c r="I636" s="17"/>
    </row>
    <row r="637" spans="2:9" ht="15.75" x14ac:dyDescent="0.25">
      <c r="B637" s="411" t="s">
        <v>221</v>
      </c>
      <c r="C637" s="412">
        <v>2044</v>
      </c>
      <c r="D637" s="412" t="s">
        <v>1025</v>
      </c>
      <c r="E637" s="413">
        <v>303.48385398851201</v>
      </c>
      <c r="F637" s="17"/>
      <c r="G637" s="17"/>
      <c r="H637" s="17"/>
      <c r="I637" s="17"/>
    </row>
    <row r="638" spans="2:9" ht="15.75" x14ac:dyDescent="0.25">
      <c r="B638" s="411" t="s">
        <v>221</v>
      </c>
      <c r="C638" s="412">
        <v>2045</v>
      </c>
      <c r="D638" s="412" t="s">
        <v>1026</v>
      </c>
      <c r="E638" s="413">
        <v>302.72348372760041</v>
      </c>
      <c r="F638" s="17"/>
      <c r="G638" s="17"/>
      <c r="H638" s="17"/>
      <c r="I638" s="17"/>
    </row>
    <row r="639" spans="2:9" ht="15.75" x14ac:dyDescent="0.25">
      <c r="B639" s="411" t="s">
        <v>221</v>
      </c>
      <c r="C639" s="412">
        <v>2046</v>
      </c>
      <c r="D639" s="412" t="s">
        <v>1027</v>
      </c>
      <c r="E639" s="413">
        <v>302.08518261845052</v>
      </c>
      <c r="F639" s="17"/>
      <c r="G639" s="17"/>
      <c r="H639" s="17"/>
      <c r="I639" s="17"/>
    </row>
    <row r="640" spans="2:9" ht="15.75" x14ac:dyDescent="0.25">
      <c r="B640" s="411" t="s">
        <v>221</v>
      </c>
      <c r="C640" s="412">
        <v>2047</v>
      </c>
      <c r="D640" s="412" t="s">
        <v>1028</v>
      </c>
      <c r="E640" s="413">
        <v>301.55849008003878</v>
      </c>
      <c r="F640" s="17"/>
      <c r="G640" s="17"/>
      <c r="H640" s="17"/>
      <c r="I640" s="17"/>
    </row>
    <row r="641" spans="2:9" ht="15.75" x14ac:dyDescent="0.25">
      <c r="B641" s="411" t="s">
        <v>221</v>
      </c>
      <c r="C641" s="412">
        <v>2048</v>
      </c>
      <c r="D641" s="412" t="s">
        <v>1029</v>
      </c>
      <c r="E641" s="413">
        <v>301.11909525756676</v>
      </c>
      <c r="F641" s="17"/>
      <c r="G641" s="17"/>
      <c r="H641" s="17"/>
      <c r="I641" s="17"/>
    </row>
    <row r="642" spans="2:9" ht="15.75" x14ac:dyDescent="0.25">
      <c r="B642" s="411" t="s">
        <v>221</v>
      </c>
      <c r="C642" s="412">
        <v>2049</v>
      </c>
      <c r="D642" s="412" t="s">
        <v>1030</v>
      </c>
      <c r="E642" s="413">
        <v>300.74888374843152</v>
      </c>
      <c r="F642" s="17"/>
      <c r="G642" s="17"/>
      <c r="H642" s="17"/>
      <c r="I642" s="17"/>
    </row>
    <row r="643" spans="2:9" ht="15.75" x14ac:dyDescent="0.25">
      <c r="B643" s="411" t="s">
        <v>221</v>
      </c>
      <c r="C643" s="412">
        <v>2050</v>
      </c>
      <c r="D643" s="412" t="s">
        <v>1031</v>
      </c>
      <c r="E643" s="413">
        <v>300.44320024688102</v>
      </c>
      <c r="F643" s="17"/>
      <c r="G643" s="17"/>
      <c r="H643" s="17"/>
      <c r="I643" s="17"/>
    </row>
    <row r="644" spans="2:9" ht="15.75" x14ac:dyDescent="0.25">
      <c r="B644" s="407" t="s">
        <v>72</v>
      </c>
      <c r="C644" s="408">
        <v>2015</v>
      </c>
      <c r="D644" s="409" t="s">
        <v>224</v>
      </c>
      <c r="E644" s="410">
        <v>518.56535457229586</v>
      </c>
      <c r="F644" s="17"/>
      <c r="G644" s="17"/>
      <c r="H644" s="17"/>
      <c r="I644" s="17"/>
    </row>
    <row r="645" spans="2:9" ht="15.75" x14ac:dyDescent="0.25">
      <c r="B645" s="407" t="s">
        <v>72</v>
      </c>
      <c r="C645" s="408">
        <v>2016</v>
      </c>
      <c r="D645" s="409" t="s">
        <v>225</v>
      </c>
      <c r="E645" s="410">
        <v>507.3701754240692</v>
      </c>
      <c r="F645" s="17"/>
      <c r="G645" s="17"/>
      <c r="H645" s="17"/>
      <c r="I645" s="17"/>
    </row>
    <row r="646" spans="2:9" ht="15.75" x14ac:dyDescent="0.25">
      <c r="B646" s="411" t="s">
        <v>72</v>
      </c>
      <c r="C646" s="412">
        <v>2017</v>
      </c>
      <c r="D646" s="412" t="s">
        <v>1032</v>
      </c>
      <c r="E646" s="413">
        <v>494.84165643594309</v>
      </c>
      <c r="F646" s="17"/>
      <c r="G646" s="17"/>
      <c r="H646" s="17"/>
      <c r="I646" s="17"/>
    </row>
    <row r="647" spans="2:9" ht="15.75" x14ac:dyDescent="0.25">
      <c r="B647" s="411" t="s">
        <v>72</v>
      </c>
      <c r="C647" s="412">
        <v>2018</v>
      </c>
      <c r="D647" s="412" t="s">
        <v>1033</v>
      </c>
      <c r="E647" s="413">
        <v>480.335203145636</v>
      </c>
      <c r="F647" s="17"/>
      <c r="G647" s="17"/>
      <c r="H647" s="17"/>
      <c r="I647" s="17"/>
    </row>
    <row r="648" spans="2:9" ht="15.75" x14ac:dyDescent="0.25">
      <c r="B648" s="411" t="s">
        <v>72</v>
      </c>
      <c r="C648" s="412">
        <v>2019</v>
      </c>
      <c r="D648" s="412" t="s">
        <v>1034</v>
      </c>
      <c r="E648" s="413">
        <v>466.74330908538337</v>
      </c>
      <c r="F648" s="17"/>
      <c r="G648" s="17"/>
      <c r="H648" s="17"/>
      <c r="I648" s="17"/>
    </row>
    <row r="649" spans="2:9" ht="15.75" x14ac:dyDescent="0.25">
      <c r="B649" s="411" t="s">
        <v>72</v>
      </c>
      <c r="C649" s="412">
        <v>2020</v>
      </c>
      <c r="D649" s="412" t="s">
        <v>1035</v>
      </c>
      <c r="E649" s="413">
        <v>452.97467108568071</v>
      </c>
      <c r="F649" s="17"/>
      <c r="G649" s="17"/>
      <c r="H649" s="17"/>
      <c r="I649" s="17"/>
    </row>
    <row r="650" spans="2:9" ht="15.75" x14ac:dyDescent="0.25">
      <c r="B650" s="411" t="s">
        <v>72</v>
      </c>
      <c r="C650" s="412">
        <v>2021</v>
      </c>
      <c r="D650" s="412" t="s">
        <v>1036</v>
      </c>
      <c r="E650" s="413">
        <v>440.05786022601296</v>
      </c>
      <c r="F650" s="17"/>
      <c r="G650" s="17"/>
      <c r="H650" s="17"/>
      <c r="I650" s="17"/>
    </row>
    <row r="651" spans="2:9" ht="15.75" x14ac:dyDescent="0.25">
      <c r="B651" s="411" t="s">
        <v>72</v>
      </c>
      <c r="C651" s="412">
        <v>2022</v>
      </c>
      <c r="D651" s="412" t="s">
        <v>1037</v>
      </c>
      <c r="E651" s="413">
        <v>426.47106575050248</v>
      </c>
      <c r="F651" s="17"/>
      <c r="G651" s="17"/>
      <c r="H651" s="17"/>
      <c r="I651" s="17"/>
    </row>
    <row r="652" spans="2:9" ht="15.75" x14ac:dyDescent="0.25">
      <c r="B652" s="411" t="s">
        <v>72</v>
      </c>
      <c r="C652" s="412">
        <v>2023</v>
      </c>
      <c r="D652" s="412" t="s">
        <v>1038</v>
      </c>
      <c r="E652" s="413">
        <v>413.02125206034191</v>
      </c>
      <c r="F652" s="17"/>
      <c r="G652" s="17"/>
      <c r="H652" s="17"/>
      <c r="I652" s="17"/>
    </row>
    <row r="653" spans="2:9" ht="15.75" x14ac:dyDescent="0.25">
      <c r="B653" s="411" t="s">
        <v>72</v>
      </c>
      <c r="C653" s="412">
        <v>2024</v>
      </c>
      <c r="D653" s="412" t="s">
        <v>1039</v>
      </c>
      <c r="E653" s="413">
        <v>400.2324615217841</v>
      </c>
      <c r="F653" s="17"/>
      <c r="G653" s="17"/>
      <c r="H653" s="17"/>
      <c r="I653" s="17"/>
    </row>
    <row r="654" spans="2:9" ht="15.75" x14ac:dyDescent="0.25">
      <c r="B654" s="411" t="s">
        <v>72</v>
      </c>
      <c r="C654" s="412">
        <v>2025</v>
      </c>
      <c r="D654" s="412" t="s">
        <v>1040</v>
      </c>
      <c r="E654" s="413">
        <v>387.23725182998317</v>
      </c>
      <c r="F654" s="17"/>
      <c r="G654" s="17"/>
      <c r="H654" s="17"/>
      <c r="I654" s="17"/>
    </row>
    <row r="655" spans="2:9" ht="15.75" x14ac:dyDescent="0.25">
      <c r="B655" s="411" t="s">
        <v>72</v>
      </c>
      <c r="C655" s="412">
        <v>2026</v>
      </c>
      <c r="D655" s="412" t="s">
        <v>1041</v>
      </c>
      <c r="E655" s="413">
        <v>376.77257689533224</v>
      </c>
      <c r="F655" s="17"/>
      <c r="G655" s="17"/>
      <c r="H655" s="17"/>
      <c r="I655" s="17"/>
    </row>
    <row r="656" spans="2:9" ht="15.75" x14ac:dyDescent="0.25">
      <c r="B656" s="411" t="s">
        <v>72</v>
      </c>
      <c r="C656" s="412">
        <v>2027</v>
      </c>
      <c r="D656" s="412" t="s">
        <v>1042</v>
      </c>
      <c r="E656" s="413">
        <v>365.90655395984203</v>
      </c>
      <c r="F656" s="17"/>
      <c r="G656" s="17"/>
      <c r="H656" s="17"/>
      <c r="I656" s="17"/>
    </row>
    <row r="657" spans="2:9" ht="15.75" x14ac:dyDescent="0.25">
      <c r="B657" s="411" t="s">
        <v>72</v>
      </c>
      <c r="C657" s="412">
        <v>2028</v>
      </c>
      <c r="D657" s="412" t="s">
        <v>1043</v>
      </c>
      <c r="E657" s="413">
        <v>356.14322225661078</v>
      </c>
      <c r="F657" s="17"/>
      <c r="G657" s="17"/>
      <c r="H657" s="17"/>
      <c r="I657" s="17"/>
    </row>
    <row r="658" spans="2:9" ht="15.75" x14ac:dyDescent="0.25">
      <c r="B658" s="411" t="s">
        <v>72</v>
      </c>
      <c r="C658" s="412">
        <v>2029</v>
      </c>
      <c r="D658" s="412" t="s">
        <v>1044</v>
      </c>
      <c r="E658" s="413">
        <v>347.38785741823426</v>
      </c>
      <c r="F658" s="17"/>
      <c r="G658" s="17"/>
      <c r="H658" s="17"/>
      <c r="I658" s="17"/>
    </row>
    <row r="659" spans="2:9" ht="15.75" x14ac:dyDescent="0.25">
      <c r="B659" s="411" t="s">
        <v>72</v>
      </c>
      <c r="C659" s="412">
        <v>2030</v>
      </c>
      <c r="D659" s="412" t="s">
        <v>1045</v>
      </c>
      <c r="E659" s="413">
        <v>339.57580229961758</v>
      </c>
      <c r="F659" s="17"/>
      <c r="G659" s="17"/>
      <c r="H659" s="17"/>
      <c r="I659" s="17"/>
    </row>
    <row r="660" spans="2:9" ht="15.75" x14ac:dyDescent="0.25">
      <c r="B660" s="411" t="s">
        <v>72</v>
      </c>
      <c r="C660" s="412">
        <v>2031</v>
      </c>
      <c r="D660" s="412" t="s">
        <v>1046</v>
      </c>
      <c r="E660" s="413">
        <v>332.64073307133003</v>
      </c>
      <c r="F660" s="17"/>
      <c r="G660" s="17"/>
      <c r="H660" s="17"/>
      <c r="I660" s="17"/>
    </row>
    <row r="661" spans="2:9" ht="15.75" x14ac:dyDescent="0.25">
      <c r="B661" s="411" t="s">
        <v>72</v>
      </c>
      <c r="C661" s="412">
        <v>2032</v>
      </c>
      <c r="D661" s="412" t="s">
        <v>1047</v>
      </c>
      <c r="E661" s="413">
        <v>326.5069809120763</v>
      </c>
      <c r="F661" s="17"/>
      <c r="G661" s="17"/>
      <c r="H661" s="17"/>
      <c r="I661" s="17"/>
    </row>
    <row r="662" spans="2:9" ht="15.75" x14ac:dyDescent="0.25">
      <c r="B662" s="411" t="s">
        <v>72</v>
      </c>
      <c r="C662" s="412">
        <v>2033</v>
      </c>
      <c r="D662" s="412" t="s">
        <v>1048</v>
      </c>
      <c r="E662" s="413">
        <v>321.10570274556767</v>
      </c>
      <c r="F662" s="17"/>
      <c r="G662" s="17"/>
      <c r="H662" s="17"/>
      <c r="I662" s="17"/>
    </row>
    <row r="663" spans="2:9" ht="15.75" x14ac:dyDescent="0.25">
      <c r="B663" s="411" t="s">
        <v>72</v>
      </c>
      <c r="C663" s="412">
        <v>2034</v>
      </c>
      <c r="D663" s="412" t="s">
        <v>1049</v>
      </c>
      <c r="E663" s="413">
        <v>316.37424349827177</v>
      </c>
      <c r="F663" s="17"/>
      <c r="G663" s="17"/>
      <c r="H663" s="17"/>
      <c r="I663" s="17"/>
    </row>
    <row r="664" spans="2:9" ht="15.75" x14ac:dyDescent="0.25">
      <c r="B664" s="411" t="s">
        <v>72</v>
      </c>
      <c r="C664" s="412">
        <v>2035</v>
      </c>
      <c r="D664" s="412" t="s">
        <v>1050</v>
      </c>
      <c r="E664" s="413">
        <v>312.26528328128177</v>
      </c>
      <c r="F664" s="17"/>
      <c r="G664" s="17"/>
      <c r="H664" s="17"/>
      <c r="I664" s="17"/>
    </row>
    <row r="665" spans="2:9" ht="15.75" x14ac:dyDescent="0.25">
      <c r="B665" s="411" t="s">
        <v>72</v>
      </c>
      <c r="C665" s="412">
        <v>2036</v>
      </c>
      <c r="D665" s="412" t="s">
        <v>1051</v>
      </c>
      <c r="E665" s="413">
        <v>308.72129198375353</v>
      </c>
      <c r="F665" s="17"/>
      <c r="G665" s="17"/>
      <c r="H665" s="17"/>
      <c r="I665" s="17"/>
    </row>
    <row r="666" spans="2:9" ht="15.75" x14ac:dyDescent="0.25">
      <c r="B666" s="411" t="s">
        <v>72</v>
      </c>
      <c r="C666" s="412">
        <v>2037</v>
      </c>
      <c r="D666" s="412" t="s">
        <v>1052</v>
      </c>
      <c r="E666" s="413">
        <v>305.70141203563605</v>
      </c>
      <c r="F666" s="17"/>
      <c r="G666" s="17"/>
      <c r="H666" s="17"/>
      <c r="I666" s="17"/>
    </row>
    <row r="667" spans="2:9" ht="15.75" x14ac:dyDescent="0.25">
      <c r="B667" s="411" t="s">
        <v>72</v>
      </c>
      <c r="C667" s="412">
        <v>2038</v>
      </c>
      <c r="D667" s="412" t="s">
        <v>1053</v>
      </c>
      <c r="E667" s="413">
        <v>303.14718922478625</v>
      </c>
      <c r="F667" s="17"/>
      <c r="G667" s="17"/>
      <c r="H667" s="17"/>
      <c r="I667" s="17"/>
    </row>
    <row r="668" spans="2:9" ht="15.75" x14ac:dyDescent="0.25">
      <c r="B668" s="411" t="s">
        <v>72</v>
      </c>
      <c r="C668" s="412">
        <v>2039</v>
      </c>
      <c r="D668" s="412" t="s">
        <v>1054</v>
      </c>
      <c r="E668" s="413">
        <v>300.99517138735757</v>
      </c>
      <c r="F668" s="17"/>
      <c r="G668" s="17"/>
      <c r="H668" s="17"/>
      <c r="I668" s="17"/>
    </row>
    <row r="669" spans="2:9" ht="15.75" x14ac:dyDescent="0.25">
      <c r="B669" s="411" t="s">
        <v>72</v>
      </c>
      <c r="C669" s="412">
        <v>2040</v>
      </c>
      <c r="D669" s="412" t="s">
        <v>1055</v>
      </c>
      <c r="E669" s="413">
        <v>299.20359039797177</v>
      </c>
      <c r="F669" s="17"/>
      <c r="G669" s="17"/>
      <c r="H669" s="17"/>
      <c r="I669" s="17"/>
    </row>
    <row r="670" spans="2:9" ht="15.75" x14ac:dyDescent="0.25">
      <c r="B670" s="411" t="s">
        <v>72</v>
      </c>
      <c r="C670" s="412">
        <v>2041</v>
      </c>
      <c r="D670" s="412" t="s">
        <v>1056</v>
      </c>
      <c r="E670" s="413">
        <v>297.73425745133619</v>
      </c>
      <c r="F670" s="17"/>
      <c r="G670" s="17"/>
      <c r="H670" s="17"/>
      <c r="I670" s="17"/>
    </row>
    <row r="671" spans="2:9" ht="15.75" x14ac:dyDescent="0.25">
      <c r="B671" s="411" t="s">
        <v>72</v>
      </c>
      <c r="C671" s="412">
        <v>2042</v>
      </c>
      <c r="D671" s="412" t="s">
        <v>1057</v>
      </c>
      <c r="E671" s="413">
        <v>296.51068061021351</v>
      </c>
      <c r="F671" s="17"/>
      <c r="G671" s="17"/>
      <c r="H671" s="17"/>
      <c r="I671" s="17"/>
    </row>
    <row r="672" spans="2:9" ht="15.75" x14ac:dyDescent="0.25">
      <c r="B672" s="411" t="s">
        <v>72</v>
      </c>
      <c r="C672" s="412">
        <v>2043</v>
      </c>
      <c r="D672" s="412" t="s">
        <v>1058</v>
      </c>
      <c r="E672" s="413">
        <v>295.51550065622655</v>
      </c>
      <c r="F672" s="17"/>
      <c r="G672" s="17"/>
      <c r="H672" s="17"/>
      <c r="I672" s="17"/>
    </row>
    <row r="673" spans="2:9" ht="15.75" x14ac:dyDescent="0.25">
      <c r="B673" s="411" t="s">
        <v>72</v>
      </c>
      <c r="C673" s="412">
        <v>2044</v>
      </c>
      <c r="D673" s="412" t="s">
        <v>1059</v>
      </c>
      <c r="E673" s="413">
        <v>294.70080154546196</v>
      </c>
      <c r="F673" s="17"/>
      <c r="G673" s="17"/>
      <c r="H673" s="17"/>
      <c r="I673" s="17"/>
    </row>
    <row r="674" spans="2:9" ht="15.75" x14ac:dyDescent="0.25">
      <c r="B674" s="411" t="s">
        <v>72</v>
      </c>
      <c r="C674" s="412">
        <v>2045</v>
      </c>
      <c r="D674" s="412" t="s">
        <v>1060</v>
      </c>
      <c r="E674" s="413">
        <v>294.01847032503565</v>
      </c>
      <c r="F674" s="17"/>
      <c r="G674" s="17"/>
      <c r="H674" s="17"/>
      <c r="I674" s="17"/>
    </row>
    <row r="675" spans="2:9" ht="15.75" x14ac:dyDescent="0.25">
      <c r="B675" s="411" t="s">
        <v>72</v>
      </c>
      <c r="C675" s="412">
        <v>2046</v>
      </c>
      <c r="D675" s="412" t="s">
        <v>1061</v>
      </c>
      <c r="E675" s="413">
        <v>293.44708014687626</v>
      </c>
      <c r="F675" s="17"/>
      <c r="G675" s="17"/>
      <c r="H675" s="17"/>
      <c r="I675" s="17"/>
    </row>
    <row r="676" spans="2:9" ht="15.75" x14ac:dyDescent="0.25">
      <c r="B676" s="411" t="s">
        <v>72</v>
      </c>
      <c r="C676" s="412">
        <v>2047</v>
      </c>
      <c r="D676" s="412" t="s">
        <v>1062</v>
      </c>
      <c r="E676" s="413">
        <v>292.98031172515965</v>
      </c>
      <c r="F676" s="17"/>
      <c r="G676" s="17"/>
      <c r="H676" s="17"/>
      <c r="I676" s="17"/>
    </row>
    <row r="677" spans="2:9" ht="15.75" x14ac:dyDescent="0.25">
      <c r="B677" s="411" t="s">
        <v>72</v>
      </c>
      <c r="C677" s="412">
        <v>2048</v>
      </c>
      <c r="D677" s="412" t="s">
        <v>1063</v>
      </c>
      <c r="E677" s="413">
        <v>292.59261848723531</v>
      </c>
      <c r="F677" s="17"/>
      <c r="G677" s="17"/>
      <c r="H677" s="17"/>
      <c r="I677" s="17"/>
    </row>
    <row r="678" spans="2:9" ht="15.75" x14ac:dyDescent="0.25">
      <c r="B678" s="411" t="s">
        <v>72</v>
      </c>
      <c r="C678" s="412">
        <v>2049</v>
      </c>
      <c r="D678" s="412" t="s">
        <v>1064</v>
      </c>
      <c r="E678" s="413">
        <v>292.27344349507791</v>
      </c>
      <c r="F678" s="17"/>
      <c r="G678" s="17"/>
      <c r="H678" s="17"/>
      <c r="I678" s="17"/>
    </row>
    <row r="679" spans="2:9" ht="15.75" x14ac:dyDescent="0.25">
      <c r="B679" s="411" t="s">
        <v>72</v>
      </c>
      <c r="C679" s="412">
        <v>2050</v>
      </c>
      <c r="D679" s="412" t="s">
        <v>1065</v>
      </c>
      <c r="E679" s="413">
        <v>292.01155418163785</v>
      </c>
      <c r="F679" s="17"/>
      <c r="G679" s="17"/>
      <c r="H679" s="17"/>
      <c r="I679" s="17"/>
    </row>
    <row r="680" spans="2:9" ht="15.75" x14ac:dyDescent="0.25">
      <c r="B680" s="416" t="s">
        <v>226</v>
      </c>
      <c r="C680" s="415">
        <v>2015</v>
      </c>
      <c r="D680" s="415" t="s">
        <v>1066</v>
      </c>
      <c r="E680" s="410">
        <v>538.30387802502617</v>
      </c>
      <c r="F680" s="17"/>
      <c r="G680" s="17"/>
      <c r="H680" s="17"/>
      <c r="I680" s="17"/>
    </row>
    <row r="681" spans="2:9" ht="15.75" x14ac:dyDescent="0.25">
      <c r="B681" s="414" t="s">
        <v>226</v>
      </c>
      <c r="C681" s="415">
        <v>2016</v>
      </c>
      <c r="D681" s="415" t="s">
        <v>1067</v>
      </c>
      <c r="E681" s="410">
        <v>530.05453820249409</v>
      </c>
      <c r="F681" s="17"/>
      <c r="G681" s="17"/>
      <c r="H681" s="17"/>
      <c r="I681" s="17"/>
    </row>
    <row r="682" spans="2:9" ht="15.75" x14ac:dyDescent="0.25">
      <c r="B682" s="416" t="s">
        <v>226</v>
      </c>
      <c r="C682" s="417">
        <v>2017</v>
      </c>
      <c r="D682" s="417" t="s">
        <v>1068</v>
      </c>
      <c r="E682" s="413">
        <v>518.56838061808776</v>
      </c>
      <c r="F682" s="17"/>
      <c r="G682" s="17"/>
      <c r="H682" s="17"/>
      <c r="I682" s="17"/>
    </row>
    <row r="683" spans="2:9" ht="15.75" x14ac:dyDescent="0.25">
      <c r="B683" s="416" t="s">
        <v>226</v>
      </c>
      <c r="C683" s="417">
        <v>2018</v>
      </c>
      <c r="D683" s="417" t="s">
        <v>1069</v>
      </c>
      <c r="E683" s="413">
        <v>506.46219495482342</v>
      </c>
      <c r="F683" s="17"/>
      <c r="G683" s="17"/>
      <c r="H683" s="17"/>
      <c r="I683" s="17"/>
    </row>
    <row r="684" spans="2:9" ht="15.75" x14ac:dyDescent="0.25">
      <c r="B684" s="416" t="s">
        <v>226</v>
      </c>
      <c r="C684" s="417">
        <v>2019</v>
      </c>
      <c r="D684" s="417" t="s">
        <v>1070</v>
      </c>
      <c r="E684" s="413">
        <v>493.69629331683552</v>
      </c>
      <c r="F684" s="17"/>
      <c r="G684" s="17"/>
      <c r="H684" s="17"/>
      <c r="I684" s="17"/>
    </row>
    <row r="685" spans="2:9" ht="15.75" x14ac:dyDescent="0.25">
      <c r="B685" s="416" t="s">
        <v>226</v>
      </c>
      <c r="C685" s="417">
        <v>2020</v>
      </c>
      <c r="D685" s="417" t="s">
        <v>1071</v>
      </c>
      <c r="E685" s="413">
        <v>480.50183717686878</v>
      </c>
      <c r="F685" s="17"/>
      <c r="G685" s="17"/>
      <c r="H685" s="17"/>
      <c r="I685" s="17"/>
    </row>
    <row r="686" spans="2:9" ht="15.75" x14ac:dyDescent="0.25">
      <c r="B686" s="416" t="s">
        <v>226</v>
      </c>
      <c r="C686" s="417">
        <v>2021</v>
      </c>
      <c r="D686" s="417" t="s">
        <v>1072</v>
      </c>
      <c r="E686" s="413">
        <v>466.81420413196588</v>
      </c>
      <c r="F686" s="17"/>
      <c r="G686" s="17"/>
      <c r="H686" s="17"/>
      <c r="I686" s="17"/>
    </row>
    <row r="687" spans="2:9" ht="15.75" x14ac:dyDescent="0.25">
      <c r="B687" s="416" t="s">
        <v>226</v>
      </c>
      <c r="C687" s="417">
        <v>2022</v>
      </c>
      <c r="D687" s="417" t="s">
        <v>1073</v>
      </c>
      <c r="E687" s="413">
        <v>453.09239738743105</v>
      </c>
      <c r="F687" s="17"/>
      <c r="G687" s="17"/>
      <c r="H687" s="17"/>
      <c r="I687" s="17"/>
    </row>
    <row r="688" spans="2:9" ht="15.75" x14ac:dyDescent="0.25">
      <c r="B688" s="416" t="s">
        <v>226</v>
      </c>
      <c r="C688" s="417">
        <v>2023</v>
      </c>
      <c r="D688" s="417" t="s">
        <v>1074</v>
      </c>
      <c r="E688" s="413">
        <v>439.37093140294036</v>
      </c>
      <c r="F688" s="17"/>
      <c r="G688" s="17"/>
      <c r="H688" s="17"/>
      <c r="I688" s="17"/>
    </row>
    <row r="689" spans="2:9" ht="15.75" x14ac:dyDescent="0.25">
      <c r="B689" s="416" t="s">
        <v>226</v>
      </c>
      <c r="C689" s="417">
        <v>2024</v>
      </c>
      <c r="D689" s="417" t="s">
        <v>1075</v>
      </c>
      <c r="E689" s="413">
        <v>425.70501090578625</v>
      </c>
      <c r="F689" s="17"/>
      <c r="G689" s="17"/>
      <c r="H689" s="17"/>
      <c r="I689" s="17"/>
    </row>
    <row r="690" spans="2:9" ht="15.75" x14ac:dyDescent="0.25">
      <c r="B690" s="416" t="s">
        <v>226</v>
      </c>
      <c r="C690" s="417">
        <v>2025</v>
      </c>
      <c r="D690" s="417" t="s">
        <v>1076</v>
      </c>
      <c r="E690" s="413">
        <v>412.30587050940414</v>
      </c>
      <c r="F690" s="17"/>
      <c r="G690" s="17"/>
      <c r="H690" s="17"/>
      <c r="I690" s="17"/>
    </row>
    <row r="691" spans="2:9" ht="15.75" x14ac:dyDescent="0.25">
      <c r="B691" s="416" t="s">
        <v>226</v>
      </c>
      <c r="C691" s="417">
        <v>2026</v>
      </c>
      <c r="D691" s="417" t="s">
        <v>1077</v>
      </c>
      <c r="E691" s="413">
        <v>399.82995028358715</v>
      </c>
      <c r="F691" s="17"/>
      <c r="G691" s="17"/>
      <c r="H691" s="17"/>
      <c r="I691" s="17"/>
    </row>
    <row r="692" spans="2:9" ht="15.75" x14ac:dyDescent="0.25">
      <c r="B692" s="416" t="s">
        <v>226</v>
      </c>
      <c r="C692" s="417">
        <v>2027</v>
      </c>
      <c r="D692" s="417" t="s">
        <v>1078</v>
      </c>
      <c r="E692" s="413">
        <v>388.13368083531265</v>
      </c>
      <c r="F692" s="17"/>
      <c r="G692" s="17"/>
      <c r="H692" s="17"/>
      <c r="I692" s="17"/>
    </row>
    <row r="693" spans="2:9" ht="15.75" x14ac:dyDescent="0.25">
      <c r="B693" s="416" t="s">
        <v>226</v>
      </c>
      <c r="C693" s="417">
        <v>2028</v>
      </c>
      <c r="D693" s="417" t="s">
        <v>1079</v>
      </c>
      <c r="E693" s="413">
        <v>377.35234430467449</v>
      </c>
      <c r="F693" s="17"/>
      <c r="G693" s="17"/>
      <c r="H693" s="17"/>
      <c r="I693" s="17"/>
    </row>
    <row r="694" spans="2:9" ht="15.75" x14ac:dyDescent="0.25">
      <c r="B694" s="416" t="s">
        <v>226</v>
      </c>
      <c r="C694" s="417">
        <v>2029</v>
      </c>
      <c r="D694" s="417" t="s">
        <v>1080</v>
      </c>
      <c r="E694" s="413">
        <v>367.42439605498362</v>
      </c>
      <c r="F694" s="17"/>
      <c r="G694" s="17"/>
      <c r="H694" s="17"/>
      <c r="I694" s="17"/>
    </row>
    <row r="695" spans="2:9" ht="15.75" x14ac:dyDescent="0.25">
      <c r="B695" s="416" t="s">
        <v>226</v>
      </c>
      <c r="C695" s="417">
        <v>2030</v>
      </c>
      <c r="D695" s="417" t="s">
        <v>1081</v>
      </c>
      <c r="E695" s="413">
        <v>358.34600840526252</v>
      </c>
      <c r="F695" s="17"/>
      <c r="G695" s="17"/>
      <c r="H695" s="17"/>
      <c r="I695" s="17"/>
    </row>
    <row r="696" spans="2:9" ht="15.75" x14ac:dyDescent="0.25">
      <c r="B696" s="416" t="s">
        <v>226</v>
      </c>
      <c r="C696" s="417">
        <v>2031</v>
      </c>
      <c r="D696" s="417" t="s">
        <v>1082</v>
      </c>
      <c r="E696" s="413">
        <v>350.08522805478123</v>
      </c>
      <c r="F696" s="17"/>
      <c r="G696" s="17"/>
      <c r="H696" s="17"/>
      <c r="I696" s="17"/>
    </row>
    <row r="697" spans="2:9" ht="15.75" x14ac:dyDescent="0.25">
      <c r="B697" s="416" t="s">
        <v>226</v>
      </c>
      <c r="C697" s="417">
        <v>2032</v>
      </c>
      <c r="D697" s="417" t="s">
        <v>1083</v>
      </c>
      <c r="E697" s="413">
        <v>342.62587811398436</v>
      </c>
      <c r="F697" s="17"/>
      <c r="G697" s="17"/>
      <c r="H697" s="17"/>
      <c r="I697" s="17"/>
    </row>
    <row r="698" spans="2:9" ht="15.75" x14ac:dyDescent="0.25">
      <c r="B698" s="416" t="s">
        <v>226</v>
      </c>
      <c r="C698" s="417">
        <v>2033</v>
      </c>
      <c r="D698" s="417" t="s">
        <v>1084</v>
      </c>
      <c r="E698" s="413">
        <v>335.91314209206973</v>
      </c>
      <c r="F698" s="17"/>
      <c r="G698" s="17"/>
      <c r="H698" s="17"/>
      <c r="I698" s="17"/>
    </row>
    <row r="699" spans="2:9" ht="15.75" x14ac:dyDescent="0.25">
      <c r="B699" s="416" t="s">
        <v>226</v>
      </c>
      <c r="C699" s="417">
        <v>2034</v>
      </c>
      <c r="D699" s="417" t="s">
        <v>1085</v>
      </c>
      <c r="E699" s="413">
        <v>329.87198658490763</v>
      </c>
      <c r="F699" s="17"/>
      <c r="G699" s="17"/>
      <c r="H699" s="17"/>
      <c r="I699" s="17"/>
    </row>
    <row r="700" spans="2:9" ht="15.75" x14ac:dyDescent="0.25">
      <c r="B700" s="416" t="s">
        <v>226</v>
      </c>
      <c r="C700" s="417">
        <v>2035</v>
      </c>
      <c r="D700" s="417" t="s">
        <v>1086</v>
      </c>
      <c r="E700" s="413">
        <v>324.46484022867895</v>
      </c>
      <c r="F700" s="17"/>
      <c r="G700" s="17"/>
      <c r="H700" s="17"/>
      <c r="I700" s="17"/>
    </row>
    <row r="701" spans="2:9" ht="15.75" x14ac:dyDescent="0.25">
      <c r="B701" s="416" t="s">
        <v>226</v>
      </c>
      <c r="C701" s="417">
        <v>2036</v>
      </c>
      <c r="D701" s="417" t="s">
        <v>1087</v>
      </c>
      <c r="E701" s="413">
        <v>319.65559873220053</v>
      </c>
      <c r="F701" s="17"/>
      <c r="G701" s="17"/>
      <c r="H701" s="17"/>
      <c r="I701" s="17"/>
    </row>
    <row r="702" spans="2:9" ht="15.75" x14ac:dyDescent="0.25">
      <c r="B702" s="416" t="s">
        <v>226</v>
      </c>
      <c r="C702" s="417">
        <v>2037</v>
      </c>
      <c r="D702" s="417" t="s">
        <v>1088</v>
      </c>
      <c r="E702" s="413">
        <v>315.41351824357633</v>
      </c>
      <c r="F702" s="17"/>
      <c r="G702" s="17"/>
      <c r="H702" s="17"/>
      <c r="I702" s="17"/>
    </row>
    <row r="703" spans="2:9" ht="15.75" x14ac:dyDescent="0.25">
      <c r="B703" s="416" t="s">
        <v>226</v>
      </c>
      <c r="C703" s="417">
        <v>2038</v>
      </c>
      <c r="D703" s="417" t="s">
        <v>1089</v>
      </c>
      <c r="E703" s="413">
        <v>311.6999753825549</v>
      </c>
      <c r="F703" s="17"/>
      <c r="G703" s="17"/>
      <c r="H703" s="17"/>
      <c r="I703" s="17"/>
    </row>
    <row r="704" spans="2:9" ht="15.75" x14ac:dyDescent="0.25">
      <c r="B704" s="416" t="s">
        <v>226</v>
      </c>
      <c r="C704" s="417">
        <v>2039</v>
      </c>
      <c r="D704" s="417" t="s">
        <v>1090</v>
      </c>
      <c r="E704" s="413">
        <v>308.42535411547175</v>
      </c>
      <c r="F704" s="17"/>
      <c r="G704" s="17"/>
      <c r="H704" s="17"/>
      <c r="I704" s="17"/>
    </row>
    <row r="705" spans="2:9" ht="15.75" x14ac:dyDescent="0.25">
      <c r="B705" s="416" t="s">
        <v>226</v>
      </c>
      <c r="C705" s="417">
        <v>2040</v>
      </c>
      <c r="D705" s="417" t="s">
        <v>1091</v>
      </c>
      <c r="E705" s="413">
        <v>305.55601604908435</v>
      </c>
      <c r="F705" s="17"/>
      <c r="G705" s="17"/>
      <c r="H705" s="17"/>
      <c r="I705" s="17"/>
    </row>
    <row r="706" spans="2:9" ht="15.75" x14ac:dyDescent="0.25">
      <c r="B706" s="416" t="s">
        <v>226</v>
      </c>
      <c r="C706" s="417">
        <v>2041</v>
      </c>
      <c r="D706" s="417" t="s">
        <v>1092</v>
      </c>
      <c r="E706" s="413">
        <v>303.09374658473979</v>
      </c>
      <c r="F706" s="17"/>
      <c r="G706" s="17"/>
      <c r="H706" s="17"/>
      <c r="I706" s="17"/>
    </row>
    <row r="707" spans="2:9" ht="15.75" x14ac:dyDescent="0.25">
      <c r="B707" s="416" t="s">
        <v>226</v>
      </c>
      <c r="C707" s="417">
        <v>2042</v>
      </c>
      <c r="D707" s="417" t="s">
        <v>1093</v>
      </c>
      <c r="E707" s="413">
        <v>300.9372041269196</v>
      </c>
      <c r="F707" s="17"/>
      <c r="G707" s="17"/>
      <c r="H707" s="17"/>
      <c r="I707" s="17"/>
    </row>
    <row r="708" spans="2:9" ht="15.75" x14ac:dyDescent="0.25">
      <c r="B708" s="416" t="s">
        <v>226</v>
      </c>
      <c r="C708" s="417">
        <v>2043</v>
      </c>
      <c r="D708" s="417" t="s">
        <v>1094</v>
      </c>
      <c r="E708" s="413">
        <v>299.08290724934665</v>
      </c>
      <c r="F708" s="17"/>
      <c r="G708" s="17"/>
      <c r="H708" s="17"/>
      <c r="I708" s="17"/>
    </row>
    <row r="709" spans="2:9" ht="15.75" x14ac:dyDescent="0.25">
      <c r="B709" s="416" t="s">
        <v>226</v>
      </c>
      <c r="C709" s="417">
        <v>2044</v>
      </c>
      <c r="D709" s="417" t="s">
        <v>1095</v>
      </c>
      <c r="E709" s="413">
        <v>297.47070993206984</v>
      </c>
      <c r="F709" s="17"/>
      <c r="G709" s="17"/>
      <c r="H709" s="17"/>
      <c r="I709" s="17"/>
    </row>
    <row r="710" spans="2:9" ht="15.75" x14ac:dyDescent="0.25">
      <c r="B710" s="416" t="s">
        <v>226</v>
      </c>
      <c r="C710" s="417">
        <v>2045</v>
      </c>
      <c r="D710" s="417" t="s">
        <v>1096</v>
      </c>
      <c r="E710" s="413">
        <v>296.04787070176275</v>
      </c>
      <c r="F710" s="17"/>
      <c r="G710" s="17"/>
      <c r="H710" s="17"/>
      <c r="I710" s="17"/>
    </row>
    <row r="711" spans="2:9" ht="15.75" x14ac:dyDescent="0.25">
      <c r="B711" s="416" t="s">
        <v>226</v>
      </c>
      <c r="C711" s="417">
        <v>2046</v>
      </c>
      <c r="D711" s="417" t="s">
        <v>1097</v>
      </c>
      <c r="E711" s="413">
        <v>294.81791745746716</v>
      </c>
      <c r="F711" s="17"/>
      <c r="G711" s="17"/>
      <c r="H711" s="17"/>
      <c r="I711" s="17"/>
    </row>
    <row r="712" spans="2:9" ht="15.75" x14ac:dyDescent="0.25">
      <c r="B712" s="416" t="s">
        <v>226</v>
      </c>
      <c r="C712" s="417">
        <v>2047</v>
      </c>
      <c r="D712" s="417" t="s">
        <v>1098</v>
      </c>
      <c r="E712" s="413">
        <v>293.77608413024677</v>
      </c>
      <c r="F712" s="17"/>
      <c r="G712" s="17"/>
      <c r="H712" s="17"/>
      <c r="I712" s="17"/>
    </row>
    <row r="713" spans="2:9" ht="15.75" x14ac:dyDescent="0.25">
      <c r="B713" s="416" t="s">
        <v>226</v>
      </c>
      <c r="C713" s="417">
        <v>2048</v>
      </c>
      <c r="D713" s="417" t="s">
        <v>1099</v>
      </c>
      <c r="E713" s="413">
        <v>292.87788116038422</v>
      </c>
      <c r="F713" s="17"/>
      <c r="G713" s="17"/>
      <c r="H713" s="17"/>
      <c r="I713" s="17"/>
    </row>
    <row r="714" spans="2:9" ht="15.75" x14ac:dyDescent="0.25">
      <c r="B714" s="416" t="s">
        <v>226</v>
      </c>
      <c r="C714" s="417">
        <v>2049</v>
      </c>
      <c r="D714" s="417" t="s">
        <v>1100</v>
      </c>
      <c r="E714" s="413">
        <v>292.10817359837313</v>
      </c>
      <c r="F714" s="17"/>
      <c r="G714" s="17"/>
      <c r="H714" s="17"/>
      <c r="I714" s="17"/>
    </row>
    <row r="715" spans="2:9" ht="15.75" x14ac:dyDescent="0.25">
      <c r="B715" s="416" t="s">
        <v>226</v>
      </c>
      <c r="C715" s="417">
        <v>2050</v>
      </c>
      <c r="D715" s="417" t="s">
        <v>1101</v>
      </c>
      <c r="E715" s="413">
        <v>291.45908632857555</v>
      </c>
      <c r="F715" s="17"/>
      <c r="G715" s="17"/>
      <c r="H715" s="17"/>
      <c r="I715" s="17"/>
    </row>
    <row r="716" spans="2:9" ht="15.75" x14ac:dyDescent="0.25">
      <c r="B716" s="414" t="s">
        <v>227</v>
      </c>
      <c r="C716" s="415">
        <v>2015</v>
      </c>
      <c r="D716" s="415" t="s">
        <v>1102</v>
      </c>
      <c r="E716" s="410">
        <v>559.49027648523827</v>
      </c>
      <c r="F716" s="17"/>
      <c r="G716" s="17"/>
      <c r="H716" s="17"/>
      <c r="I716" s="17"/>
    </row>
    <row r="717" spans="2:9" ht="15.75" x14ac:dyDescent="0.25">
      <c r="B717" s="414" t="s">
        <v>227</v>
      </c>
      <c r="C717" s="415">
        <v>2016</v>
      </c>
      <c r="D717" s="415" t="s">
        <v>1103</v>
      </c>
      <c r="E717" s="410">
        <v>549.69710151584457</v>
      </c>
      <c r="F717" s="17"/>
      <c r="G717" s="17"/>
      <c r="H717" s="17"/>
      <c r="I717" s="17"/>
    </row>
    <row r="718" spans="2:9" ht="15.75" x14ac:dyDescent="0.25">
      <c r="B718" s="416" t="s">
        <v>227</v>
      </c>
      <c r="C718" s="417">
        <v>2017</v>
      </c>
      <c r="D718" s="417" t="s">
        <v>1104</v>
      </c>
      <c r="E718" s="413">
        <v>537.10417359994415</v>
      </c>
      <c r="F718" s="17"/>
      <c r="G718" s="17"/>
      <c r="H718" s="17"/>
      <c r="I718" s="17"/>
    </row>
    <row r="719" spans="2:9" ht="15.75" x14ac:dyDescent="0.25">
      <c r="B719" s="416" t="s">
        <v>227</v>
      </c>
      <c r="C719" s="417">
        <v>2018</v>
      </c>
      <c r="D719" s="417" t="s">
        <v>1105</v>
      </c>
      <c r="E719" s="413">
        <v>522.79936844872452</v>
      </c>
      <c r="F719" s="17"/>
      <c r="G719" s="17"/>
      <c r="H719" s="17"/>
      <c r="I719" s="17"/>
    </row>
    <row r="720" spans="2:9" ht="15.75" x14ac:dyDescent="0.25">
      <c r="B720" s="416" t="s">
        <v>227</v>
      </c>
      <c r="C720" s="417">
        <v>2019</v>
      </c>
      <c r="D720" s="417" t="s">
        <v>1106</v>
      </c>
      <c r="E720" s="413">
        <v>507.67965614617236</v>
      </c>
      <c r="F720" s="17"/>
      <c r="G720" s="17"/>
      <c r="H720" s="17"/>
      <c r="I720" s="17"/>
    </row>
    <row r="721" spans="2:9" ht="15.75" x14ac:dyDescent="0.25">
      <c r="B721" s="416" t="s">
        <v>227</v>
      </c>
      <c r="C721" s="417">
        <v>2020</v>
      </c>
      <c r="D721" s="417" t="s">
        <v>1107</v>
      </c>
      <c r="E721" s="413">
        <v>492.02007076324446</v>
      </c>
      <c r="F721" s="17"/>
      <c r="G721" s="17"/>
      <c r="H721" s="17"/>
      <c r="I721" s="17"/>
    </row>
    <row r="722" spans="2:9" ht="15.75" x14ac:dyDescent="0.25">
      <c r="B722" s="416" t="s">
        <v>227</v>
      </c>
      <c r="C722" s="417">
        <v>2021</v>
      </c>
      <c r="D722" s="417" t="s">
        <v>1108</v>
      </c>
      <c r="E722" s="413">
        <v>475.91227212363452</v>
      </c>
      <c r="F722" s="17"/>
      <c r="G722" s="17"/>
      <c r="H722" s="17"/>
      <c r="I722" s="17"/>
    </row>
    <row r="723" spans="2:9" ht="15.75" x14ac:dyDescent="0.25">
      <c r="B723" s="416" t="s">
        <v>227</v>
      </c>
      <c r="C723" s="417">
        <v>2022</v>
      </c>
      <c r="D723" s="417" t="s">
        <v>1109</v>
      </c>
      <c r="E723" s="413">
        <v>459.89278750319863</v>
      </c>
      <c r="F723" s="17"/>
      <c r="G723" s="17"/>
      <c r="H723" s="17"/>
      <c r="I723" s="17"/>
    </row>
    <row r="724" spans="2:9" ht="15.75" x14ac:dyDescent="0.25">
      <c r="B724" s="416" t="s">
        <v>227</v>
      </c>
      <c r="C724" s="417">
        <v>2023</v>
      </c>
      <c r="D724" s="417" t="s">
        <v>1110</v>
      </c>
      <c r="E724" s="413">
        <v>443.95497219611838</v>
      </c>
      <c r="F724" s="17"/>
      <c r="G724" s="17"/>
      <c r="H724" s="17"/>
      <c r="I724" s="17"/>
    </row>
    <row r="725" spans="2:9" ht="15.75" x14ac:dyDescent="0.25">
      <c r="B725" s="416" t="s">
        <v>227</v>
      </c>
      <c r="C725" s="417">
        <v>2024</v>
      </c>
      <c r="D725" s="417" t="s">
        <v>1111</v>
      </c>
      <c r="E725" s="413">
        <v>428.20045166786014</v>
      </c>
      <c r="F725" s="17"/>
      <c r="G725" s="17"/>
      <c r="H725" s="17"/>
      <c r="I725" s="17"/>
    </row>
    <row r="726" spans="2:9" ht="15.75" x14ac:dyDescent="0.25">
      <c r="B726" s="416" t="s">
        <v>227</v>
      </c>
      <c r="C726" s="417">
        <v>2025</v>
      </c>
      <c r="D726" s="417" t="s">
        <v>1112</v>
      </c>
      <c r="E726" s="413">
        <v>412.87652344672364</v>
      </c>
      <c r="F726" s="17"/>
      <c r="G726" s="17"/>
      <c r="H726" s="17"/>
      <c r="I726" s="17"/>
    </row>
    <row r="727" spans="2:9" ht="15.75" x14ac:dyDescent="0.25">
      <c r="B727" s="416" t="s">
        <v>227</v>
      </c>
      <c r="C727" s="417">
        <v>2026</v>
      </c>
      <c r="D727" s="417" t="s">
        <v>1113</v>
      </c>
      <c r="E727" s="413">
        <v>398.72834166027354</v>
      </c>
      <c r="F727" s="17"/>
      <c r="G727" s="17"/>
      <c r="H727" s="17"/>
      <c r="I727" s="17"/>
    </row>
    <row r="728" spans="2:9" ht="15.75" x14ac:dyDescent="0.25">
      <c r="B728" s="416" t="s">
        <v>227</v>
      </c>
      <c r="C728" s="417">
        <v>2027</v>
      </c>
      <c r="D728" s="417" t="s">
        <v>1114</v>
      </c>
      <c r="E728" s="413">
        <v>385.62028428009899</v>
      </c>
      <c r="F728" s="17"/>
      <c r="G728" s="17"/>
      <c r="H728" s="17"/>
      <c r="I728" s="17"/>
    </row>
    <row r="729" spans="2:9" ht="15.75" x14ac:dyDescent="0.25">
      <c r="B729" s="416" t="s">
        <v>227</v>
      </c>
      <c r="C729" s="417">
        <v>2028</v>
      </c>
      <c r="D729" s="417" t="s">
        <v>1115</v>
      </c>
      <c r="E729" s="413">
        <v>373.65640662034883</v>
      </c>
      <c r="F729" s="17"/>
      <c r="G729" s="17"/>
      <c r="H729" s="17"/>
      <c r="I729" s="17"/>
    </row>
    <row r="730" spans="2:9" ht="15.75" x14ac:dyDescent="0.25">
      <c r="B730" s="416" t="s">
        <v>227</v>
      </c>
      <c r="C730" s="417">
        <v>2029</v>
      </c>
      <c r="D730" s="417" t="s">
        <v>1116</v>
      </c>
      <c r="E730" s="413">
        <v>362.78688925004661</v>
      </c>
      <c r="F730" s="17"/>
      <c r="G730" s="17"/>
      <c r="H730" s="17"/>
      <c r="I730" s="17"/>
    </row>
    <row r="731" spans="2:9" ht="15.75" x14ac:dyDescent="0.25">
      <c r="B731" s="416" t="s">
        <v>227</v>
      </c>
      <c r="C731" s="417">
        <v>2030</v>
      </c>
      <c r="D731" s="417" t="s">
        <v>1117</v>
      </c>
      <c r="E731" s="413">
        <v>352.97650034542283</v>
      </c>
      <c r="F731" s="17"/>
      <c r="G731" s="17"/>
      <c r="H731" s="17"/>
      <c r="I731" s="17"/>
    </row>
    <row r="732" spans="2:9" ht="15.75" x14ac:dyDescent="0.25">
      <c r="B732" s="416" t="s">
        <v>227</v>
      </c>
      <c r="C732" s="417">
        <v>2031</v>
      </c>
      <c r="D732" s="417" t="s">
        <v>1118</v>
      </c>
      <c r="E732" s="413">
        <v>344.18086888786286</v>
      </c>
      <c r="F732" s="17"/>
      <c r="G732" s="17"/>
      <c r="H732" s="17"/>
      <c r="I732" s="17"/>
    </row>
    <row r="733" spans="2:9" ht="15.75" x14ac:dyDescent="0.25">
      <c r="B733" s="416" t="s">
        <v>227</v>
      </c>
      <c r="C733" s="417">
        <v>2032</v>
      </c>
      <c r="D733" s="417" t="s">
        <v>1119</v>
      </c>
      <c r="E733" s="413">
        <v>336.33665350954209</v>
      </c>
      <c r="F733" s="17"/>
      <c r="G733" s="17"/>
      <c r="H733" s="17"/>
      <c r="I733" s="17"/>
    </row>
    <row r="734" spans="2:9" ht="15.75" x14ac:dyDescent="0.25">
      <c r="B734" s="416" t="s">
        <v>227</v>
      </c>
      <c r="C734" s="417">
        <v>2033</v>
      </c>
      <c r="D734" s="417" t="s">
        <v>1120</v>
      </c>
      <c r="E734" s="413">
        <v>329.37817944347853</v>
      </c>
      <c r="F734" s="17"/>
      <c r="G734" s="17"/>
      <c r="H734" s="17"/>
      <c r="I734" s="17"/>
    </row>
    <row r="735" spans="2:9" ht="15.75" x14ac:dyDescent="0.25">
      <c r="B735" s="416" t="s">
        <v>227</v>
      </c>
      <c r="C735" s="417">
        <v>2034</v>
      </c>
      <c r="D735" s="417" t="s">
        <v>1121</v>
      </c>
      <c r="E735" s="413">
        <v>323.25916544756274</v>
      </c>
      <c r="F735" s="17"/>
      <c r="G735" s="17"/>
      <c r="H735" s="17"/>
      <c r="I735" s="17"/>
    </row>
    <row r="736" spans="2:9" ht="15.75" x14ac:dyDescent="0.25">
      <c r="B736" s="416" t="s">
        <v>227</v>
      </c>
      <c r="C736" s="417">
        <v>2035</v>
      </c>
      <c r="D736" s="417" t="s">
        <v>1122</v>
      </c>
      <c r="E736" s="413">
        <v>317.85924817351253</v>
      </c>
      <c r="F736" s="17"/>
      <c r="G736" s="17"/>
      <c r="H736" s="17"/>
      <c r="I736" s="17"/>
    </row>
    <row r="737" spans="2:9" ht="15.75" x14ac:dyDescent="0.25">
      <c r="B737" s="416" t="s">
        <v>227</v>
      </c>
      <c r="C737" s="417">
        <v>2036</v>
      </c>
      <c r="D737" s="417" t="s">
        <v>1123</v>
      </c>
      <c r="E737" s="413">
        <v>313.17054375862745</v>
      </c>
      <c r="F737" s="17"/>
      <c r="G737" s="17"/>
      <c r="H737" s="17"/>
      <c r="I737" s="17"/>
    </row>
    <row r="738" spans="2:9" ht="15.75" x14ac:dyDescent="0.25">
      <c r="B738" s="416" t="s">
        <v>227</v>
      </c>
      <c r="C738" s="417">
        <v>2037</v>
      </c>
      <c r="D738" s="417" t="s">
        <v>1124</v>
      </c>
      <c r="E738" s="413">
        <v>309.10740235914039</v>
      </c>
      <c r="F738" s="17"/>
      <c r="G738" s="17"/>
      <c r="H738" s="17"/>
      <c r="I738" s="17"/>
    </row>
    <row r="739" spans="2:9" ht="15.75" x14ac:dyDescent="0.25">
      <c r="B739" s="416" t="s">
        <v>227</v>
      </c>
      <c r="C739" s="417">
        <v>2038</v>
      </c>
      <c r="D739" s="417" t="s">
        <v>1125</v>
      </c>
      <c r="E739" s="413">
        <v>305.62603214854937</v>
      </c>
      <c r="F739" s="17"/>
      <c r="G739" s="17"/>
      <c r="H739" s="17"/>
      <c r="I739" s="17"/>
    </row>
    <row r="740" spans="2:9" ht="15.75" x14ac:dyDescent="0.25">
      <c r="B740" s="416" t="s">
        <v>227</v>
      </c>
      <c r="C740" s="417">
        <v>2039</v>
      </c>
      <c r="D740" s="417" t="s">
        <v>1126</v>
      </c>
      <c r="E740" s="413">
        <v>302.63688896191348</v>
      </c>
      <c r="F740" s="17"/>
      <c r="G740" s="17"/>
      <c r="H740" s="17"/>
      <c r="I740" s="17"/>
    </row>
    <row r="741" spans="2:9" ht="15.75" x14ac:dyDescent="0.25">
      <c r="B741" s="416" t="s">
        <v>227</v>
      </c>
      <c r="C741" s="417">
        <v>2040</v>
      </c>
      <c r="D741" s="417" t="s">
        <v>1127</v>
      </c>
      <c r="E741" s="413">
        <v>300.06007963430903</v>
      </c>
      <c r="F741" s="17"/>
      <c r="G741" s="17"/>
      <c r="H741" s="17"/>
      <c r="I741" s="17"/>
    </row>
    <row r="742" spans="2:9" ht="15.75" x14ac:dyDescent="0.25">
      <c r="B742" s="416" t="s">
        <v>227</v>
      </c>
      <c r="C742" s="417">
        <v>2041</v>
      </c>
      <c r="D742" s="417" t="s">
        <v>1128</v>
      </c>
      <c r="E742" s="413">
        <v>297.86375433261088</v>
      </c>
      <c r="F742" s="17"/>
      <c r="G742" s="17"/>
      <c r="H742" s="17"/>
      <c r="I742" s="17"/>
    </row>
    <row r="743" spans="2:9" ht="15.75" x14ac:dyDescent="0.25">
      <c r="B743" s="416" t="s">
        <v>227</v>
      </c>
      <c r="C743" s="417">
        <v>2042</v>
      </c>
      <c r="D743" s="417" t="s">
        <v>1129</v>
      </c>
      <c r="E743" s="413">
        <v>295.9740540341586</v>
      </c>
      <c r="F743" s="17"/>
      <c r="G743" s="17"/>
      <c r="H743" s="17"/>
      <c r="I743" s="17"/>
    </row>
    <row r="744" spans="2:9" ht="15.75" x14ac:dyDescent="0.25">
      <c r="B744" s="416" t="s">
        <v>227</v>
      </c>
      <c r="C744" s="417">
        <v>2043</v>
      </c>
      <c r="D744" s="417" t="s">
        <v>1130</v>
      </c>
      <c r="E744" s="413">
        <v>294.37063232610097</v>
      </c>
      <c r="F744" s="17"/>
      <c r="G744" s="17"/>
      <c r="H744" s="17"/>
      <c r="I744" s="17"/>
    </row>
    <row r="745" spans="2:9" ht="15.75" x14ac:dyDescent="0.25">
      <c r="B745" s="416" t="s">
        <v>227</v>
      </c>
      <c r="C745" s="417">
        <v>2044</v>
      </c>
      <c r="D745" s="417" t="s">
        <v>1131</v>
      </c>
      <c r="E745" s="413">
        <v>292.99203588385143</v>
      </c>
      <c r="F745" s="17"/>
      <c r="G745" s="17"/>
      <c r="H745" s="17"/>
      <c r="I745" s="17"/>
    </row>
    <row r="746" spans="2:9" ht="15.75" x14ac:dyDescent="0.25">
      <c r="B746" s="416" t="s">
        <v>227</v>
      </c>
      <c r="C746" s="417">
        <v>2045</v>
      </c>
      <c r="D746" s="417" t="s">
        <v>1132</v>
      </c>
      <c r="E746" s="413">
        <v>291.78501926589121</v>
      </c>
      <c r="F746" s="17"/>
      <c r="G746" s="17"/>
      <c r="H746" s="17"/>
      <c r="I746" s="17"/>
    </row>
    <row r="747" spans="2:9" ht="15.75" x14ac:dyDescent="0.25">
      <c r="B747" s="416" t="s">
        <v>227</v>
      </c>
      <c r="C747" s="417">
        <v>2046</v>
      </c>
      <c r="D747" s="417" t="s">
        <v>1133</v>
      </c>
      <c r="E747" s="413">
        <v>290.76334894047409</v>
      </c>
      <c r="F747" s="17"/>
      <c r="G747" s="17"/>
      <c r="H747" s="17"/>
      <c r="I747" s="17"/>
    </row>
    <row r="748" spans="2:9" ht="15.75" x14ac:dyDescent="0.25">
      <c r="B748" s="416" t="s">
        <v>227</v>
      </c>
      <c r="C748" s="417">
        <v>2047</v>
      </c>
      <c r="D748" s="417" t="s">
        <v>1134</v>
      </c>
      <c r="E748" s="413">
        <v>289.87971123482043</v>
      </c>
      <c r="F748" s="17"/>
      <c r="G748" s="17"/>
      <c r="H748" s="17"/>
      <c r="I748" s="17"/>
    </row>
    <row r="749" spans="2:9" ht="15.75" x14ac:dyDescent="0.25">
      <c r="B749" s="416" t="s">
        <v>227</v>
      </c>
      <c r="C749" s="417">
        <v>2048</v>
      </c>
      <c r="D749" s="417" t="s">
        <v>1135</v>
      </c>
      <c r="E749" s="413">
        <v>289.13234839596913</v>
      </c>
      <c r="F749" s="17"/>
      <c r="G749" s="17"/>
      <c r="H749" s="17"/>
      <c r="I749" s="17"/>
    </row>
    <row r="750" spans="2:9" ht="15.75" x14ac:dyDescent="0.25">
      <c r="B750" s="416" t="s">
        <v>227</v>
      </c>
      <c r="C750" s="417">
        <v>2049</v>
      </c>
      <c r="D750" s="417" t="s">
        <v>1136</v>
      </c>
      <c r="E750" s="413">
        <v>288.49692034911629</v>
      </c>
      <c r="F750" s="17"/>
      <c r="G750" s="17"/>
      <c r="H750" s="17"/>
      <c r="I750" s="17"/>
    </row>
    <row r="751" spans="2:9" ht="15.75" x14ac:dyDescent="0.25">
      <c r="B751" s="416" t="s">
        <v>227</v>
      </c>
      <c r="C751" s="417">
        <v>2050</v>
      </c>
      <c r="D751" s="417" t="s">
        <v>1137</v>
      </c>
      <c r="E751" s="413">
        <v>287.9510644301198</v>
      </c>
      <c r="F751" s="17"/>
      <c r="G751" s="17"/>
      <c r="H751" s="17"/>
      <c r="I751" s="17"/>
    </row>
    <row r="752" spans="2:9" ht="15.75" x14ac:dyDescent="0.25">
      <c r="B752" s="407" t="s">
        <v>73</v>
      </c>
      <c r="C752" s="408">
        <v>2015</v>
      </c>
      <c r="D752" s="409" t="s">
        <v>228</v>
      </c>
      <c r="E752" s="410">
        <v>538.3038780435545</v>
      </c>
      <c r="F752" s="17"/>
      <c r="G752" s="17"/>
      <c r="H752" s="17"/>
      <c r="I752" s="17"/>
    </row>
    <row r="753" spans="2:9" ht="15.75" x14ac:dyDescent="0.25">
      <c r="B753" s="407" t="s">
        <v>73</v>
      </c>
      <c r="C753" s="408">
        <v>2016</v>
      </c>
      <c r="D753" s="409" t="s">
        <v>229</v>
      </c>
      <c r="E753" s="410">
        <v>530.05453821101958</v>
      </c>
      <c r="F753" s="17"/>
      <c r="G753" s="17"/>
      <c r="H753" s="17"/>
      <c r="I753" s="17"/>
    </row>
    <row r="754" spans="2:9" ht="15.75" x14ac:dyDescent="0.25">
      <c r="B754" s="411" t="s">
        <v>73</v>
      </c>
      <c r="C754" s="412">
        <v>2017</v>
      </c>
      <c r="D754" s="412" t="s">
        <v>1138</v>
      </c>
      <c r="E754" s="413">
        <v>518.56838063911823</v>
      </c>
      <c r="F754" s="17"/>
      <c r="G754" s="17"/>
      <c r="H754" s="17"/>
      <c r="I754" s="17"/>
    </row>
    <row r="755" spans="2:9" ht="15.75" x14ac:dyDescent="0.25">
      <c r="B755" s="411" t="s">
        <v>73</v>
      </c>
      <c r="C755" s="412">
        <v>2018</v>
      </c>
      <c r="D755" s="412" t="s">
        <v>1139</v>
      </c>
      <c r="E755" s="413">
        <v>506.4621949088052</v>
      </c>
      <c r="F755" s="17"/>
      <c r="G755" s="17"/>
      <c r="H755" s="17"/>
      <c r="I755" s="17"/>
    </row>
    <row r="756" spans="2:9" ht="15.75" x14ac:dyDescent="0.25">
      <c r="B756" s="411" t="s">
        <v>73</v>
      </c>
      <c r="C756" s="412">
        <v>2019</v>
      </c>
      <c r="D756" s="412" t="s">
        <v>1140</v>
      </c>
      <c r="E756" s="413">
        <v>493.69629338520394</v>
      </c>
      <c r="F756" s="17"/>
      <c r="G756" s="17"/>
      <c r="H756" s="17"/>
      <c r="I756" s="17"/>
    </row>
    <row r="757" spans="2:9" ht="15.75" x14ac:dyDescent="0.25">
      <c r="B757" s="411" t="s">
        <v>73</v>
      </c>
      <c r="C757" s="412">
        <v>2020</v>
      </c>
      <c r="D757" s="412" t="s">
        <v>1141</v>
      </c>
      <c r="E757" s="413">
        <v>480.50183718412939</v>
      </c>
      <c r="F757" s="17"/>
      <c r="G757" s="17"/>
      <c r="H757" s="17"/>
      <c r="I757" s="17"/>
    </row>
    <row r="758" spans="2:9" ht="15.75" x14ac:dyDescent="0.25">
      <c r="B758" s="411" t="s">
        <v>73</v>
      </c>
      <c r="C758" s="412">
        <v>2021</v>
      </c>
      <c r="D758" s="412" t="s">
        <v>1142</v>
      </c>
      <c r="E758" s="413">
        <v>466.81420414529282</v>
      </c>
      <c r="F758" s="17"/>
      <c r="G758" s="17"/>
      <c r="H758" s="17"/>
      <c r="I758" s="17"/>
    </row>
    <row r="759" spans="2:9" ht="15.75" x14ac:dyDescent="0.25">
      <c r="B759" s="411" t="s">
        <v>73</v>
      </c>
      <c r="C759" s="412">
        <v>2022</v>
      </c>
      <c r="D759" s="412" t="s">
        <v>1143</v>
      </c>
      <c r="E759" s="413">
        <v>453.09239734147877</v>
      </c>
      <c r="F759" s="17"/>
      <c r="G759" s="17"/>
      <c r="H759" s="17"/>
      <c r="I759" s="17"/>
    </row>
    <row r="760" spans="2:9" ht="15.75" x14ac:dyDescent="0.25">
      <c r="B760" s="411" t="s">
        <v>73</v>
      </c>
      <c r="C760" s="412">
        <v>2023</v>
      </c>
      <c r="D760" s="412" t="s">
        <v>1144</v>
      </c>
      <c r="E760" s="413">
        <v>439.37093143854395</v>
      </c>
      <c r="F760" s="17"/>
      <c r="G760" s="17"/>
      <c r="H760" s="17"/>
      <c r="I760" s="17"/>
    </row>
    <row r="761" spans="2:9" ht="15.75" x14ac:dyDescent="0.25">
      <c r="B761" s="411" t="s">
        <v>73</v>
      </c>
      <c r="C761" s="412">
        <v>2024</v>
      </c>
      <c r="D761" s="412" t="s">
        <v>1145</v>
      </c>
      <c r="E761" s="413">
        <v>425.70501083669416</v>
      </c>
      <c r="F761" s="17"/>
      <c r="G761" s="17"/>
      <c r="H761" s="17"/>
      <c r="I761" s="17"/>
    </row>
    <row r="762" spans="2:9" ht="15.75" x14ac:dyDescent="0.25">
      <c r="B762" s="411" t="s">
        <v>73</v>
      </c>
      <c r="C762" s="412">
        <v>2025</v>
      </c>
      <c r="D762" s="412" t="s">
        <v>1146</v>
      </c>
      <c r="E762" s="413">
        <v>412.30587049822179</v>
      </c>
      <c r="F762" s="17"/>
      <c r="G762" s="17"/>
      <c r="H762" s="17"/>
      <c r="I762" s="17"/>
    </row>
    <row r="763" spans="2:9" ht="15.75" x14ac:dyDescent="0.25">
      <c r="B763" s="411" t="s">
        <v>73</v>
      </c>
      <c r="C763" s="412">
        <v>2026</v>
      </c>
      <c r="D763" s="412" t="s">
        <v>1147</v>
      </c>
      <c r="E763" s="413">
        <v>399.82995019748529</v>
      </c>
      <c r="F763" s="17"/>
      <c r="G763" s="17"/>
      <c r="H763" s="17"/>
      <c r="I763" s="17"/>
    </row>
    <row r="764" spans="2:9" ht="15.75" x14ac:dyDescent="0.25">
      <c r="B764" s="411" t="s">
        <v>73</v>
      </c>
      <c r="C764" s="412">
        <v>2027</v>
      </c>
      <c r="D764" s="412" t="s">
        <v>1148</v>
      </c>
      <c r="E764" s="413">
        <v>388.1336807820021</v>
      </c>
      <c r="F764" s="17"/>
      <c r="G764" s="17"/>
      <c r="H764" s="17"/>
      <c r="I764" s="17"/>
    </row>
    <row r="765" spans="2:9" ht="15.75" x14ac:dyDescent="0.25">
      <c r="B765" s="411" t="s">
        <v>73</v>
      </c>
      <c r="C765" s="412">
        <v>2028</v>
      </c>
      <c r="D765" s="412" t="s">
        <v>1149</v>
      </c>
      <c r="E765" s="413">
        <v>377.35234436183424</v>
      </c>
      <c r="F765" s="17"/>
      <c r="G765" s="17"/>
      <c r="H765" s="17"/>
      <c r="I765" s="17"/>
    </row>
    <row r="766" spans="2:9" ht="15.75" x14ac:dyDescent="0.25">
      <c r="B766" s="411" t="s">
        <v>73</v>
      </c>
      <c r="C766" s="412">
        <v>2029</v>
      </c>
      <c r="D766" s="412" t="s">
        <v>1150</v>
      </c>
      <c r="E766" s="413">
        <v>367.42439607059765</v>
      </c>
      <c r="F766" s="17"/>
      <c r="G766" s="17"/>
      <c r="H766" s="17"/>
      <c r="I766" s="17"/>
    </row>
    <row r="767" spans="2:9" ht="15.75" x14ac:dyDescent="0.25">
      <c r="B767" s="411" t="s">
        <v>73</v>
      </c>
      <c r="C767" s="412">
        <v>2030</v>
      </c>
      <c r="D767" s="412" t="s">
        <v>1151</v>
      </c>
      <c r="E767" s="413">
        <v>358.34600833408979</v>
      </c>
      <c r="F767" s="17"/>
      <c r="G767" s="17"/>
      <c r="H767" s="17"/>
      <c r="I767" s="17"/>
    </row>
    <row r="768" spans="2:9" ht="15.75" x14ac:dyDescent="0.25">
      <c r="B768" s="411" t="s">
        <v>73</v>
      </c>
      <c r="C768" s="412">
        <v>2031</v>
      </c>
      <c r="D768" s="412" t="s">
        <v>1152</v>
      </c>
      <c r="E768" s="413">
        <v>350.08522811157053</v>
      </c>
      <c r="F768" s="17"/>
      <c r="G768" s="17"/>
      <c r="H768" s="17"/>
      <c r="I768" s="17"/>
    </row>
    <row r="769" spans="2:9" ht="15.75" x14ac:dyDescent="0.25">
      <c r="B769" s="411" t="s">
        <v>73</v>
      </c>
      <c r="C769" s="412">
        <v>2032</v>
      </c>
      <c r="D769" s="412" t="s">
        <v>1153</v>
      </c>
      <c r="E769" s="413">
        <v>342.62587816809776</v>
      </c>
      <c r="F769" s="17"/>
      <c r="G769" s="17"/>
      <c r="H769" s="17"/>
      <c r="I769" s="17"/>
    </row>
    <row r="770" spans="2:9" ht="15.75" x14ac:dyDescent="0.25">
      <c r="B770" s="411" t="s">
        <v>73</v>
      </c>
      <c r="C770" s="412">
        <v>2033</v>
      </c>
      <c r="D770" s="412" t="s">
        <v>1154</v>
      </c>
      <c r="E770" s="413">
        <v>335.91314203515145</v>
      </c>
      <c r="F770" s="17"/>
      <c r="G770" s="17"/>
      <c r="H770" s="17"/>
      <c r="I770" s="17"/>
    </row>
    <row r="771" spans="2:9" ht="15.75" x14ac:dyDescent="0.25">
      <c r="B771" s="411" t="s">
        <v>73</v>
      </c>
      <c r="C771" s="412">
        <v>2034</v>
      </c>
      <c r="D771" s="412" t="s">
        <v>1155</v>
      </c>
      <c r="E771" s="413">
        <v>329.87198664348551</v>
      </c>
      <c r="F771" s="17"/>
      <c r="G771" s="17"/>
      <c r="H771" s="17"/>
      <c r="I771" s="17"/>
    </row>
    <row r="772" spans="2:9" ht="15.75" x14ac:dyDescent="0.25">
      <c r="B772" s="411" t="s">
        <v>73</v>
      </c>
      <c r="C772" s="412">
        <v>2035</v>
      </c>
      <c r="D772" s="412" t="s">
        <v>1156</v>
      </c>
      <c r="E772" s="413">
        <v>324.46484019271418</v>
      </c>
      <c r="F772" s="17"/>
      <c r="G772" s="17"/>
      <c r="H772" s="17"/>
      <c r="I772" s="17"/>
    </row>
    <row r="773" spans="2:9" ht="15.75" x14ac:dyDescent="0.25">
      <c r="B773" s="411" t="s">
        <v>73</v>
      </c>
      <c r="C773" s="412">
        <v>2036</v>
      </c>
      <c r="D773" s="412" t="s">
        <v>1157</v>
      </c>
      <c r="E773" s="413">
        <v>319.65559876333549</v>
      </c>
      <c r="F773" s="17"/>
      <c r="G773" s="17"/>
      <c r="H773" s="17"/>
      <c r="I773" s="17"/>
    </row>
    <row r="774" spans="2:9" ht="15.75" x14ac:dyDescent="0.25">
      <c r="B774" s="411" t="s">
        <v>73</v>
      </c>
      <c r="C774" s="412">
        <v>2037</v>
      </c>
      <c r="D774" s="412" t="s">
        <v>1158</v>
      </c>
      <c r="E774" s="413">
        <v>315.41351828832723</v>
      </c>
      <c r="F774" s="17"/>
      <c r="G774" s="17"/>
      <c r="H774" s="17"/>
      <c r="I774" s="17"/>
    </row>
    <row r="775" spans="2:9" ht="15.75" x14ac:dyDescent="0.25">
      <c r="B775" s="411" t="s">
        <v>73</v>
      </c>
      <c r="C775" s="412">
        <v>2038</v>
      </c>
      <c r="D775" s="412" t="s">
        <v>1159</v>
      </c>
      <c r="E775" s="413">
        <v>311.69997533206515</v>
      </c>
      <c r="F775" s="17"/>
      <c r="G775" s="17"/>
      <c r="H775" s="17"/>
      <c r="I775" s="17"/>
    </row>
    <row r="776" spans="2:9" ht="15.75" x14ac:dyDescent="0.25">
      <c r="B776" s="411" t="s">
        <v>73</v>
      </c>
      <c r="C776" s="412">
        <v>2039</v>
      </c>
      <c r="D776" s="412" t="s">
        <v>1160</v>
      </c>
      <c r="E776" s="413">
        <v>308.42535411197986</v>
      </c>
      <c r="F776" s="17"/>
      <c r="G776" s="17"/>
      <c r="H776" s="17"/>
      <c r="I776" s="17"/>
    </row>
    <row r="777" spans="2:9" ht="15.75" x14ac:dyDescent="0.25">
      <c r="B777" s="411" t="s">
        <v>73</v>
      </c>
      <c r="C777" s="412">
        <v>2040</v>
      </c>
      <c r="D777" s="412" t="s">
        <v>1161</v>
      </c>
      <c r="E777" s="413">
        <v>305.55601604912141</v>
      </c>
      <c r="F777" s="17"/>
      <c r="G777" s="17"/>
      <c r="H777" s="17"/>
      <c r="I777" s="17"/>
    </row>
    <row r="778" spans="2:9" ht="15.75" x14ac:dyDescent="0.25">
      <c r="B778" s="411" t="s">
        <v>73</v>
      </c>
      <c r="C778" s="412">
        <v>2041</v>
      </c>
      <c r="D778" s="412" t="s">
        <v>1162</v>
      </c>
      <c r="E778" s="413">
        <v>303.09374652075826</v>
      </c>
      <c r="F778" s="17"/>
      <c r="G778" s="17"/>
      <c r="H778" s="17"/>
      <c r="I778" s="17"/>
    </row>
    <row r="779" spans="2:9" ht="15.75" x14ac:dyDescent="0.25">
      <c r="B779" s="411" t="s">
        <v>73</v>
      </c>
      <c r="C779" s="412">
        <v>2042</v>
      </c>
      <c r="D779" s="412" t="s">
        <v>1163</v>
      </c>
      <c r="E779" s="413">
        <v>300.93720409125501</v>
      </c>
      <c r="F779" s="17"/>
      <c r="G779" s="17"/>
      <c r="H779" s="17"/>
      <c r="I779" s="17"/>
    </row>
    <row r="780" spans="2:9" ht="15.75" x14ac:dyDescent="0.25">
      <c r="B780" s="411" t="s">
        <v>73</v>
      </c>
      <c r="C780" s="412">
        <v>2043</v>
      </c>
      <c r="D780" s="412" t="s">
        <v>1164</v>
      </c>
      <c r="E780" s="413">
        <v>299.08290729795226</v>
      </c>
      <c r="F780" s="17"/>
      <c r="G780" s="17"/>
      <c r="H780" s="17"/>
      <c r="I780" s="17"/>
    </row>
    <row r="781" spans="2:9" ht="15.75" x14ac:dyDescent="0.25">
      <c r="B781" s="411" t="s">
        <v>73</v>
      </c>
      <c r="C781" s="412">
        <v>2044</v>
      </c>
      <c r="D781" s="412" t="s">
        <v>1165</v>
      </c>
      <c r="E781" s="413">
        <v>297.47070991215554</v>
      </c>
      <c r="F781" s="17"/>
      <c r="G781" s="17"/>
      <c r="H781" s="17"/>
      <c r="I781" s="17"/>
    </row>
    <row r="782" spans="2:9" ht="15.75" x14ac:dyDescent="0.25">
      <c r="B782" s="411" t="s">
        <v>73</v>
      </c>
      <c r="C782" s="412">
        <v>2045</v>
      </c>
      <c r="D782" s="412" t="s">
        <v>1166</v>
      </c>
      <c r="E782" s="413">
        <v>296.04787067478458</v>
      </c>
      <c r="F782" s="17"/>
      <c r="G782" s="17"/>
      <c r="H782" s="17"/>
      <c r="I782" s="17"/>
    </row>
    <row r="783" spans="2:9" ht="15.75" x14ac:dyDescent="0.25">
      <c r="B783" s="411" t="s">
        <v>73</v>
      </c>
      <c r="C783" s="412">
        <v>2046</v>
      </c>
      <c r="D783" s="412" t="s">
        <v>1167</v>
      </c>
      <c r="E783" s="413">
        <v>294.81791741655371</v>
      </c>
      <c r="F783" s="17"/>
      <c r="G783" s="17"/>
      <c r="H783" s="17"/>
      <c r="I783" s="17"/>
    </row>
    <row r="784" spans="2:9" ht="15.75" x14ac:dyDescent="0.25">
      <c r="B784" s="411" t="s">
        <v>73</v>
      </c>
      <c r="C784" s="412">
        <v>2047</v>
      </c>
      <c r="D784" s="412" t="s">
        <v>1168</v>
      </c>
      <c r="E784" s="413">
        <v>293.77608408945815</v>
      </c>
      <c r="F784" s="17"/>
      <c r="G784" s="17"/>
      <c r="H784" s="17"/>
      <c r="I784" s="17"/>
    </row>
    <row r="785" spans="2:9" ht="15.75" x14ac:dyDescent="0.25">
      <c r="B785" s="411" t="s">
        <v>73</v>
      </c>
      <c r="C785" s="412">
        <v>2048</v>
      </c>
      <c r="D785" s="412" t="s">
        <v>1169</v>
      </c>
      <c r="E785" s="413">
        <v>292.87788117540447</v>
      </c>
      <c r="F785" s="17"/>
      <c r="G785" s="17"/>
      <c r="H785" s="17"/>
      <c r="I785" s="17"/>
    </row>
    <row r="786" spans="2:9" ht="15.75" x14ac:dyDescent="0.25">
      <c r="B786" s="411" t="s">
        <v>73</v>
      </c>
      <c r="C786" s="412">
        <v>2049</v>
      </c>
      <c r="D786" s="412" t="s">
        <v>1170</v>
      </c>
      <c r="E786" s="413">
        <v>292.10817358641771</v>
      </c>
      <c r="F786" s="17"/>
      <c r="G786" s="17"/>
      <c r="H786" s="17"/>
      <c r="I786" s="17"/>
    </row>
    <row r="787" spans="2:9" ht="15.75" x14ac:dyDescent="0.25">
      <c r="B787" s="411" t="s">
        <v>73</v>
      </c>
      <c r="C787" s="412">
        <v>2050</v>
      </c>
      <c r="D787" s="412" t="s">
        <v>1171</v>
      </c>
      <c r="E787" s="413">
        <v>291.45908628485734</v>
      </c>
      <c r="F787" s="17"/>
      <c r="G787" s="17"/>
      <c r="H787" s="17"/>
      <c r="I787" s="17"/>
    </row>
    <row r="788" spans="2:9" ht="15.75" x14ac:dyDescent="0.25">
      <c r="B788" s="407" t="s">
        <v>74</v>
      </c>
      <c r="C788" s="408">
        <v>2015</v>
      </c>
      <c r="D788" s="409" t="s">
        <v>230</v>
      </c>
      <c r="E788" s="410">
        <v>547.16668179707995</v>
      </c>
      <c r="F788" s="17"/>
      <c r="G788" s="17"/>
      <c r="H788" s="17"/>
      <c r="I788" s="17"/>
    </row>
    <row r="789" spans="2:9" ht="15.75" x14ac:dyDescent="0.25">
      <c r="B789" s="407" t="s">
        <v>74</v>
      </c>
      <c r="C789" s="408">
        <v>2016</v>
      </c>
      <c r="D789" s="409" t="s">
        <v>231</v>
      </c>
      <c r="E789" s="410">
        <v>536.63423545765818</v>
      </c>
      <c r="F789" s="17"/>
      <c r="G789" s="17"/>
      <c r="H789" s="17"/>
      <c r="I789" s="17"/>
    </row>
    <row r="790" spans="2:9" ht="15.75" x14ac:dyDescent="0.25">
      <c r="B790" s="411" t="s">
        <v>74</v>
      </c>
      <c r="C790" s="412">
        <v>2017</v>
      </c>
      <c r="D790" s="412" t="s">
        <v>1172</v>
      </c>
      <c r="E790" s="413">
        <v>523.72130186344521</v>
      </c>
      <c r="F790" s="17"/>
      <c r="G790" s="17"/>
      <c r="H790" s="17"/>
      <c r="I790" s="17"/>
    </row>
    <row r="791" spans="2:9" ht="15.75" x14ac:dyDescent="0.25">
      <c r="B791" s="411" t="s">
        <v>74</v>
      </c>
      <c r="C791" s="412">
        <v>2018</v>
      </c>
      <c r="D791" s="412" t="s">
        <v>1173</v>
      </c>
      <c r="E791" s="413">
        <v>510.34352565324696</v>
      </c>
      <c r="F791" s="17"/>
      <c r="G791" s="17"/>
      <c r="H791" s="17"/>
      <c r="I791" s="17"/>
    </row>
    <row r="792" spans="2:9" ht="15.75" x14ac:dyDescent="0.25">
      <c r="B792" s="411" t="s">
        <v>74</v>
      </c>
      <c r="C792" s="412">
        <v>2019</v>
      </c>
      <c r="D792" s="412" t="s">
        <v>1174</v>
      </c>
      <c r="E792" s="413">
        <v>496.36041283979552</v>
      </c>
      <c r="F792" s="17"/>
      <c r="G792" s="17"/>
      <c r="H792" s="17"/>
      <c r="I792" s="17"/>
    </row>
    <row r="793" spans="2:9" ht="15.75" x14ac:dyDescent="0.25">
      <c r="B793" s="411" t="s">
        <v>74</v>
      </c>
      <c r="C793" s="412">
        <v>2020</v>
      </c>
      <c r="D793" s="412" t="s">
        <v>1175</v>
      </c>
      <c r="E793" s="413">
        <v>482.19252458866293</v>
      </c>
      <c r="F793" s="17"/>
      <c r="G793" s="17"/>
      <c r="H793" s="17"/>
      <c r="I793" s="17"/>
    </row>
    <row r="794" spans="2:9" ht="15.75" x14ac:dyDescent="0.25">
      <c r="B794" s="411" t="s">
        <v>74</v>
      </c>
      <c r="C794" s="412">
        <v>2021</v>
      </c>
      <c r="D794" s="412" t="s">
        <v>1176</v>
      </c>
      <c r="E794" s="413">
        <v>467.80906129458413</v>
      </c>
      <c r="F794" s="17"/>
      <c r="G794" s="17"/>
      <c r="H794" s="17"/>
      <c r="I794" s="17"/>
    </row>
    <row r="795" spans="2:9" ht="15.75" x14ac:dyDescent="0.25">
      <c r="B795" s="411" t="s">
        <v>74</v>
      </c>
      <c r="C795" s="412">
        <v>2022</v>
      </c>
      <c r="D795" s="412" t="s">
        <v>1177</v>
      </c>
      <c r="E795" s="413">
        <v>453.50788286221831</v>
      </c>
      <c r="F795" s="17"/>
      <c r="G795" s="17"/>
      <c r="H795" s="17"/>
      <c r="I795" s="17"/>
    </row>
    <row r="796" spans="2:9" ht="15.75" x14ac:dyDescent="0.25">
      <c r="B796" s="411" t="s">
        <v>74</v>
      </c>
      <c r="C796" s="412">
        <v>2023</v>
      </c>
      <c r="D796" s="412" t="s">
        <v>1178</v>
      </c>
      <c r="E796" s="413">
        <v>439.47304619540387</v>
      </c>
      <c r="F796" s="17"/>
      <c r="G796" s="17"/>
      <c r="H796" s="17"/>
      <c r="I796" s="17"/>
    </row>
    <row r="797" spans="2:9" ht="15.75" x14ac:dyDescent="0.25">
      <c r="B797" s="411" t="s">
        <v>74</v>
      </c>
      <c r="C797" s="412">
        <v>2024</v>
      </c>
      <c r="D797" s="412" t="s">
        <v>1179</v>
      </c>
      <c r="E797" s="413">
        <v>425.60112669834854</v>
      </c>
      <c r="F797" s="17"/>
      <c r="G797" s="17"/>
      <c r="H797" s="17"/>
      <c r="I797" s="17"/>
    </row>
    <row r="798" spans="2:9" ht="15.75" x14ac:dyDescent="0.25">
      <c r="B798" s="411" t="s">
        <v>74</v>
      </c>
      <c r="C798" s="412">
        <v>2025</v>
      </c>
      <c r="D798" s="412" t="s">
        <v>1180</v>
      </c>
      <c r="E798" s="413">
        <v>412.03888694067956</v>
      </c>
      <c r="F798" s="17"/>
      <c r="G798" s="17"/>
      <c r="H798" s="17"/>
      <c r="I798" s="17"/>
    </row>
    <row r="799" spans="2:9" ht="15.75" x14ac:dyDescent="0.25">
      <c r="B799" s="411" t="s">
        <v>74</v>
      </c>
      <c r="C799" s="412">
        <v>2026</v>
      </c>
      <c r="D799" s="412" t="s">
        <v>1181</v>
      </c>
      <c r="E799" s="413">
        <v>399.65221724391466</v>
      </c>
      <c r="F799" s="17"/>
      <c r="G799" s="17"/>
      <c r="H799" s="17"/>
      <c r="I799" s="17"/>
    </row>
    <row r="800" spans="2:9" ht="15.75" x14ac:dyDescent="0.25">
      <c r="B800" s="411" t="s">
        <v>74</v>
      </c>
      <c r="C800" s="412">
        <v>2027</v>
      </c>
      <c r="D800" s="412" t="s">
        <v>1182</v>
      </c>
      <c r="E800" s="413">
        <v>388.26835053419012</v>
      </c>
      <c r="F800" s="17"/>
      <c r="G800" s="17"/>
      <c r="H800" s="17"/>
      <c r="I800" s="17"/>
    </row>
    <row r="801" spans="2:9" ht="15.75" x14ac:dyDescent="0.25">
      <c r="B801" s="411" t="s">
        <v>74</v>
      </c>
      <c r="C801" s="412">
        <v>2028</v>
      </c>
      <c r="D801" s="412" t="s">
        <v>1183</v>
      </c>
      <c r="E801" s="413">
        <v>377.9350483215556</v>
      </c>
      <c r="F801" s="17"/>
      <c r="G801" s="17"/>
      <c r="H801" s="17"/>
      <c r="I801" s="17"/>
    </row>
    <row r="802" spans="2:9" ht="15.75" x14ac:dyDescent="0.25">
      <c r="B802" s="411" t="s">
        <v>74</v>
      </c>
      <c r="C802" s="412">
        <v>2029</v>
      </c>
      <c r="D802" s="412" t="s">
        <v>1184</v>
      </c>
      <c r="E802" s="413">
        <v>368.56127370547131</v>
      </c>
      <c r="F802" s="17"/>
      <c r="G802" s="17"/>
      <c r="H802" s="17"/>
      <c r="I802" s="17"/>
    </row>
    <row r="803" spans="2:9" ht="15.75" x14ac:dyDescent="0.25">
      <c r="B803" s="411" t="s">
        <v>74</v>
      </c>
      <c r="C803" s="412">
        <v>2030</v>
      </c>
      <c r="D803" s="412" t="s">
        <v>1185</v>
      </c>
      <c r="E803" s="413">
        <v>360.09968115546224</v>
      </c>
      <c r="F803" s="17"/>
      <c r="G803" s="17"/>
      <c r="H803" s="17"/>
      <c r="I803" s="17"/>
    </row>
    <row r="804" spans="2:9" ht="15.75" x14ac:dyDescent="0.25">
      <c r="B804" s="411" t="s">
        <v>74</v>
      </c>
      <c r="C804" s="412">
        <v>2031</v>
      </c>
      <c r="D804" s="412" t="s">
        <v>1186</v>
      </c>
      <c r="E804" s="413">
        <v>352.52631919120023</v>
      </c>
      <c r="F804" s="17"/>
      <c r="G804" s="17"/>
      <c r="H804" s="17"/>
      <c r="I804" s="17"/>
    </row>
    <row r="805" spans="2:9" ht="15.75" x14ac:dyDescent="0.25">
      <c r="B805" s="411" t="s">
        <v>74</v>
      </c>
      <c r="C805" s="412">
        <v>2032</v>
      </c>
      <c r="D805" s="412" t="s">
        <v>1187</v>
      </c>
      <c r="E805" s="413">
        <v>345.75562621602074</v>
      </c>
      <c r="F805" s="17"/>
      <c r="G805" s="17"/>
      <c r="H805" s="17"/>
      <c r="I805" s="17"/>
    </row>
    <row r="806" spans="2:9" ht="15.75" x14ac:dyDescent="0.25">
      <c r="B806" s="411" t="s">
        <v>74</v>
      </c>
      <c r="C806" s="412">
        <v>2033</v>
      </c>
      <c r="D806" s="412" t="s">
        <v>1188</v>
      </c>
      <c r="E806" s="413">
        <v>339.72893623903013</v>
      </c>
      <c r="F806" s="17"/>
      <c r="G806" s="17"/>
      <c r="H806" s="17"/>
      <c r="I806" s="17"/>
    </row>
    <row r="807" spans="2:9" ht="15.75" x14ac:dyDescent="0.25">
      <c r="B807" s="411" t="s">
        <v>74</v>
      </c>
      <c r="C807" s="412">
        <v>2034</v>
      </c>
      <c r="D807" s="412" t="s">
        <v>1189</v>
      </c>
      <c r="E807" s="413">
        <v>334.37809198918802</v>
      </c>
      <c r="F807" s="17"/>
      <c r="G807" s="17"/>
      <c r="H807" s="17"/>
      <c r="I807" s="17"/>
    </row>
    <row r="808" spans="2:9" ht="15.75" x14ac:dyDescent="0.25">
      <c r="B808" s="411" t="s">
        <v>74</v>
      </c>
      <c r="C808" s="412">
        <v>2035</v>
      </c>
      <c r="D808" s="412" t="s">
        <v>1190</v>
      </c>
      <c r="E808" s="413">
        <v>329.68384857373644</v>
      </c>
      <c r="F808" s="17"/>
      <c r="G808" s="17"/>
      <c r="H808" s="17"/>
      <c r="I808" s="17"/>
    </row>
    <row r="809" spans="2:9" ht="15.75" x14ac:dyDescent="0.25">
      <c r="B809" s="411" t="s">
        <v>74</v>
      </c>
      <c r="C809" s="412">
        <v>2036</v>
      </c>
      <c r="D809" s="412" t="s">
        <v>1191</v>
      </c>
      <c r="E809" s="413">
        <v>325.58610195264021</v>
      </c>
      <c r="F809" s="17"/>
      <c r="G809" s="17"/>
      <c r="H809" s="17"/>
      <c r="I809" s="17"/>
    </row>
    <row r="810" spans="2:9" ht="15.75" x14ac:dyDescent="0.25">
      <c r="B810" s="411" t="s">
        <v>74</v>
      </c>
      <c r="C810" s="412">
        <v>2037</v>
      </c>
      <c r="D810" s="412" t="s">
        <v>1192</v>
      </c>
      <c r="E810" s="413">
        <v>322.02711864015879</v>
      </c>
      <c r="F810" s="17"/>
      <c r="G810" s="17"/>
      <c r="H810" s="17"/>
      <c r="I810" s="17"/>
    </row>
    <row r="811" spans="2:9" ht="15.75" x14ac:dyDescent="0.25">
      <c r="B811" s="411" t="s">
        <v>74</v>
      </c>
      <c r="C811" s="412">
        <v>2038</v>
      </c>
      <c r="D811" s="412" t="s">
        <v>1193</v>
      </c>
      <c r="E811" s="413">
        <v>318.97400463986997</v>
      </c>
      <c r="F811" s="17"/>
      <c r="G811" s="17"/>
      <c r="H811" s="17"/>
      <c r="I811" s="17"/>
    </row>
    <row r="812" spans="2:9" ht="15.75" x14ac:dyDescent="0.25">
      <c r="B812" s="411" t="s">
        <v>74</v>
      </c>
      <c r="C812" s="412">
        <v>2039</v>
      </c>
      <c r="D812" s="412" t="s">
        <v>1194</v>
      </c>
      <c r="E812" s="413">
        <v>316.34816527951796</v>
      </c>
      <c r="F812" s="17"/>
      <c r="G812" s="17"/>
      <c r="H812" s="17"/>
      <c r="I812" s="17"/>
    </row>
    <row r="813" spans="2:9" ht="15.75" x14ac:dyDescent="0.25">
      <c r="B813" s="411" t="s">
        <v>74</v>
      </c>
      <c r="C813" s="412">
        <v>2040</v>
      </c>
      <c r="D813" s="412" t="s">
        <v>1195</v>
      </c>
      <c r="E813" s="413">
        <v>314.10904927146328</v>
      </c>
      <c r="F813" s="17"/>
      <c r="G813" s="17"/>
      <c r="H813" s="17"/>
      <c r="I813" s="17"/>
    </row>
    <row r="814" spans="2:9" ht="15.75" x14ac:dyDescent="0.25">
      <c r="B814" s="411" t="s">
        <v>74</v>
      </c>
      <c r="C814" s="412">
        <v>2041</v>
      </c>
      <c r="D814" s="412" t="s">
        <v>1196</v>
      </c>
      <c r="E814" s="413">
        <v>312.23839681507235</v>
      </c>
      <c r="F814" s="17"/>
      <c r="G814" s="17"/>
      <c r="H814" s="17"/>
      <c r="I814" s="17"/>
    </row>
    <row r="815" spans="2:9" ht="15.75" x14ac:dyDescent="0.25">
      <c r="B815" s="411" t="s">
        <v>74</v>
      </c>
      <c r="C815" s="412">
        <v>2042</v>
      </c>
      <c r="D815" s="412" t="s">
        <v>1197</v>
      </c>
      <c r="E815" s="413">
        <v>310.64888683065431</v>
      </c>
      <c r="F815" s="17"/>
      <c r="G815" s="17"/>
      <c r="H815" s="17"/>
      <c r="I815" s="17"/>
    </row>
    <row r="816" spans="2:9" ht="15.75" x14ac:dyDescent="0.25">
      <c r="B816" s="411" t="s">
        <v>74</v>
      </c>
      <c r="C816" s="412">
        <v>2043</v>
      </c>
      <c r="D816" s="412" t="s">
        <v>1198</v>
      </c>
      <c r="E816" s="413">
        <v>309.31173697650502</v>
      </c>
      <c r="F816" s="17"/>
      <c r="G816" s="17"/>
      <c r="H816" s="17"/>
      <c r="I816" s="17"/>
    </row>
    <row r="817" spans="2:9" ht="15.75" x14ac:dyDescent="0.25">
      <c r="B817" s="411" t="s">
        <v>74</v>
      </c>
      <c r="C817" s="412">
        <v>2044</v>
      </c>
      <c r="D817" s="412" t="s">
        <v>1199</v>
      </c>
      <c r="E817" s="413">
        <v>308.17606018453432</v>
      </c>
      <c r="F817" s="17"/>
      <c r="G817" s="17"/>
      <c r="H817" s="17"/>
      <c r="I817" s="17"/>
    </row>
    <row r="818" spans="2:9" ht="15.75" x14ac:dyDescent="0.25">
      <c r="B818" s="411" t="s">
        <v>74</v>
      </c>
      <c r="C818" s="412">
        <v>2045</v>
      </c>
      <c r="D818" s="412" t="s">
        <v>1200</v>
      </c>
      <c r="E818" s="413">
        <v>307.19910868241971</v>
      </c>
      <c r="F818" s="17"/>
      <c r="G818" s="17"/>
      <c r="H818" s="17"/>
      <c r="I818" s="17"/>
    </row>
    <row r="819" spans="2:9" ht="15.75" x14ac:dyDescent="0.25">
      <c r="B819" s="411" t="s">
        <v>74</v>
      </c>
      <c r="C819" s="412">
        <v>2046</v>
      </c>
      <c r="D819" s="412" t="s">
        <v>1201</v>
      </c>
      <c r="E819" s="413">
        <v>306.36530488464552</v>
      </c>
      <c r="F819" s="17"/>
      <c r="G819" s="17"/>
      <c r="H819" s="17"/>
      <c r="I819" s="17"/>
    </row>
    <row r="820" spans="2:9" ht="15.75" x14ac:dyDescent="0.25">
      <c r="B820" s="411" t="s">
        <v>74</v>
      </c>
      <c r="C820" s="412">
        <v>2047</v>
      </c>
      <c r="D820" s="412" t="s">
        <v>1202</v>
      </c>
      <c r="E820" s="413">
        <v>305.67186906955328</v>
      </c>
      <c r="F820" s="17"/>
      <c r="G820" s="17"/>
      <c r="H820" s="17"/>
      <c r="I820" s="17"/>
    </row>
    <row r="821" spans="2:9" ht="15.75" x14ac:dyDescent="0.25">
      <c r="B821" s="411" t="s">
        <v>74</v>
      </c>
      <c r="C821" s="412">
        <v>2048</v>
      </c>
      <c r="D821" s="412" t="s">
        <v>1203</v>
      </c>
      <c r="E821" s="413">
        <v>305.10075603236999</v>
      </c>
      <c r="F821" s="17"/>
      <c r="G821" s="17"/>
      <c r="H821" s="17"/>
      <c r="I821" s="17"/>
    </row>
    <row r="822" spans="2:9" ht="15.75" x14ac:dyDescent="0.25">
      <c r="B822" s="411" t="s">
        <v>74</v>
      </c>
      <c r="C822" s="412">
        <v>2049</v>
      </c>
      <c r="D822" s="412" t="s">
        <v>1204</v>
      </c>
      <c r="E822" s="413">
        <v>304.59913324323452</v>
      </c>
      <c r="F822" s="17"/>
      <c r="G822" s="17"/>
      <c r="H822" s="17"/>
      <c r="I822" s="17"/>
    </row>
    <row r="823" spans="2:9" ht="15.75" x14ac:dyDescent="0.25">
      <c r="B823" s="411" t="s">
        <v>74</v>
      </c>
      <c r="C823" s="412">
        <v>2050</v>
      </c>
      <c r="D823" s="412" t="s">
        <v>1205</v>
      </c>
      <c r="E823" s="413">
        <v>304.17337397635526</v>
      </c>
      <c r="F823" s="17"/>
      <c r="G823" s="17"/>
      <c r="H823" s="17"/>
      <c r="I823" s="17"/>
    </row>
    <row r="824" spans="2:9" ht="15.75" x14ac:dyDescent="0.25">
      <c r="B824" s="407" t="s">
        <v>232</v>
      </c>
      <c r="C824" s="408">
        <v>2015</v>
      </c>
      <c r="D824" s="409" t="s">
        <v>233</v>
      </c>
      <c r="E824" s="410">
        <v>513.64196607043448</v>
      </c>
      <c r="F824" s="17"/>
      <c r="G824" s="17"/>
      <c r="H824" s="17"/>
      <c r="I824" s="17"/>
    </row>
    <row r="825" spans="2:9" ht="15.75" x14ac:dyDescent="0.25">
      <c r="B825" s="407" t="s">
        <v>232</v>
      </c>
      <c r="C825" s="408">
        <v>2016</v>
      </c>
      <c r="D825" s="409" t="s">
        <v>234</v>
      </c>
      <c r="E825" s="410">
        <v>502.81775977614973</v>
      </c>
      <c r="F825" s="17"/>
      <c r="G825" s="17"/>
      <c r="H825" s="17"/>
      <c r="I825" s="17"/>
    </row>
    <row r="826" spans="2:9" ht="15.75" x14ac:dyDescent="0.25">
      <c r="B826" s="411" t="s">
        <v>232</v>
      </c>
      <c r="C826" s="412">
        <v>2017</v>
      </c>
      <c r="D826" s="412" t="s">
        <v>1206</v>
      </c>
      <c r="E826" s="413">
        <v>491.4859292686603</v>
      </c>
      <c r="F826" s="17"/>
      <c r="G826" s="17"/>
      <c r="H826" s="17"/>
      <c r="I826" s="17"/>
    </row>
    <row r="827" spans="2:9" ht="15.75" x14ac:dyDescent="0.25">
      <c r="B827" s="411" t="s">
        <v>232</v>
      </c>
      <c r="C827" s="412">
        <v>2018</v>
      </c>
      <c r="D827" s="412" t="s">
        <v>1207</v>
      </c>
      <c r="E827" s="413">
        <v>479.67647909174292</v>
      </c>
      <c r="F827" s="17"/>
      <c r="G827" s="17"/>
      <c r="H827" s="17"/>
      <c r="I827" s="17"/>
    </row>
    <row r="828" spans="2:9" ht="15.75" x14ac:dyDescent="0.25">
      <c r="B828" s="411" t="s">
        <v>232</v>
      </c>
      <c r="C828" s="412">
        <v>2019</v>
      </c>
      <c r="D828" s="412" t="s">
        <v>1208</v>
      </c>
      <c r="E828" s="413">
        <v>466.40349075723401</v>
      </c>
      <c r="F828" s="17"/>
      <c r="G828" s="17"/>
      <c r="H828" s="17"/>
      <c r="I828" s="17"/>
    </row>
    <row r="829" spans="2:9" ht="15.75" x14ac:dyDescent="0.25">
      <c r="B829" s="411" t="s">
        <v>232</v>
      </c>
      <c r="C829" s="412">
        <v>2020</v>
      </c>
      <c r="D829" s="412" t="s">
        <v>1209</v>
      </c>
      <c r="E829" s="413">
        <v>453.84232779458199</v>
      </c>
      <c r="F829" s="17"/>
      <c r="G829" s="17"/>
      <c r="H829" s="17"/>
      <c r="I829" s="17"/>
    </row>
    <row r="830" spans="2:9" ht="15.75" x14ac:dyDescent="0.25">
      <c r="B830" s="411" t="s">
        <v>232</v>
      </c>
      <c r="C830" s="412">
        <v>2021</v>
      </c>
      <c r="D830" s="412" t="s">
        <v>1210</v>
      </c>
      <c r="E830" s="413">
        <v>441.61183105712956</v>
      </c>
      <c r="F830" s="17"/>
      <c r="G830" s="17"/>
      <c r="H830" s="17"/>
      <c r="I830" s="17"/>
    </row>
    <row r="831" spans="2:9" ht="15.75" x14ac:dyDescent="0.25">
      <c r="B831" s="411" t="s">
        <v>232</v>
      </c>
      <c r="C831" s="412">
        <v>2022</v>
      </c>
      <c r="D831" s="412" t="s">
        <v>1211</v>
      </c>
      <c r="E831" s="413">
        <v>428.98731531545371</v>
      </c>
      <c r="F831" s="17"/>
      <c r="G831" s="17"/>
      <c r="H831" s="17"/>
      <c r="I831" s="17"/>
    </row>
    <row r="832" spans="2:9" ht="15.75" x14ac:dyDescent="0.25">
      <c r="B832" s="411" t="s">
        <v>232</v>
      </c>
      <c r="C832" s="412">
        <v>2023</v>
      </c>
      <c r="D832" s="412" t="s">
        <v>1212</v>
      </c>
      <c r="E832" s="413">
        <v>416.43232000008976</v>
      </c>
      <c r="F832" s="17"/>
      <c r="G832" s="17"/>
      <c r="H832" s="17"/>
      <c r="I832" s="17"/>
    </row>
    <row r="833" spans="2:9" ht="15.75" x14ac:dyDescent="0.25">
      <c r="B833" s="411" t="s">
        <v>232</v>
      </c>
      <c r="C833" s="412">
        <v>2024</v>
      </c>
      <c r="D833" s="412" t="s">
        <v>1213</v>
      </c>
      <c r="E833" s="413">
        <v>405.94673746612563</v>
      </c>
      <c r="F833" s="17"/>
      <c r="G833" s="17"/>
      <c r="H833" s="17"/>
      <c r="I833" s="17"/>
    </row>
    <row r="834" spans="2:9" ht="15.75" x14ac:dyDescent="0.25">
      <c r="B834" s="411" t="s">
        <v>232</v>
      </c>
      <c r="C834" s="412">
        <v>2025</v>
      </c>
      <c r="D834" s="412" t="s">
        <v>1214</v>
      </c>
      <c r="E834" s="413">
        <v>393.54997965115319</v>
      </c>
      <c r="F834" s="17"/>
      <c r="G834" s="17"/>
      <c r="H834" s="17"/>
      <c r="I834" s="17"/>
    </row>
    <row r="835" spans="2:9" ht="15.75" x14ac:dyDescent="0.25">
      <c r="B835" s="411" t="s">
        <v>232</v>
      </c>
      <c r="C835" s="412">
        <v>2026</v>
      </c>
      <c r="D835" s="412" t="s">
        <v>1215</v>
      </c>
      <c r="E835" s="413">
        <v>382.59803561431579</v>
      </c>
      <c r="F835" s="17"/>
      <c r="G835" s="17"/>
      <c r="H835" s="17"/>
      <c r="I835" s="17"/>
    </row>
    <row r="836" spans="2:9" ht="15.75" x14ac:dyDescent="0.25">
      <c r="B836" s="411" t="s">
        <v>232</v>
      </c>
      <c r="C836" s="412">
        <v>2027</v>
      </c>
      <c r="D836" s="412" t="s">
        <v>1216</v>
      </c>
      <c r="E836" s="413">
        <v>372.81496387752117</v>
      </c>
      <c r="F836" s="17"/>
      <c r="G836" s="17"/>
      <c r="H836" s="17"/>
      <c r="I836" s="17"/>
    </row>
    <row r="837" spans="2:9" ht="15.75" x14ac:dyDescent="0.25">
      <c r="B837" s="411" t="s">
        <v>232</v>
      </c>
      <c r="C837" s="412">
        <v>2028</v>
      </c>
      <c r="D837" s="412" t="s">
        <v>1217</v>
      </c>
      <c r="E837" s="413">
        <v>364.11445912066415</v>
      </c>
      <c r="F837" s="17"/>
      <c r="G837" s="17"/>
      <c r="H837" s="17"/>
      <c r="I837" s="17"/>
    </row>
    <row r="838" spans="2:9" ht="15.75" x14ac:dyDescent="0.25">
      <c r="B838" s="411" t="s">
        <v>232</v>
      </c>
      <c r="C838" s="412">
        <v>2029</v>
      </c>
      <c r="D838" s="412" t="s">
        <v>1218</v>
      </c>
      <c r="E838" s="413">
        <v>356.33388826427102</v>
      </c>
      <c r="F838" s="17"/>
      <c r="G838" s="17"/>
      <c r="H838" s="17"/>
      <c r="I838" s="17"/>
    </row>
    <row r="839" spans="2:9" ht="15.75" x14ac:dyDescent="0.25">
      <c r="B839" s="411" t="s">
        <v>232</v>
      </c>
      <c r="C839" s="412">
        <v>2030</v>
      </c>
      <c r="D839" s="412" t="s">
        <v>1219</v>
      </c>
      <c r="E839" s="413">
        <v>349.39768557493744</v>
      </c>
      <c r="F839" s="17"/>
      <c r="G839" s="17"/>
      <c r="H839" s="17"/>
      <c r="I839" s="17"/>
    </row>
    <row r="840" spans="2:9" ht="15.75" x14ac:dyDescent="0.25">
      <c r="B840" s="411" t="s">
        <v>232</v>
      </c>
      <c r="C840" s="412">
        <v>2031</v>
      </c>
      <c r="D840" s="412" t="s">
        <v>1220</v>
      </c>
      <c r="E840" s="413">
        <v>343.66934489262763</v>
      </c>
      <c r="F840" s="17"/>
      <c r="G840" s="17"/>
      <c r="H840" s="17"/>
      <c r="I840" s="17"/>
    </row>
    <row r="841" spans="2:9" ht="15.75" x14ac:dyDescent="0.25">
      <c r="B841" s="411" t="s">
        <v>232</v>
      </c>
      <c r="C841" s="412">
        <v>2032</v>
      </c>
      <c r="D841" s="412" t="s">
        <v>1221</v>
      </c>
      <c r="E841" s="413">
        <v>338.19734506431149</v>
      </c>
      <c r="F841" s="17"/>
      <c r="G841" s="17"/>
      <c r="H841" s="17"/>
      <c r="I841" s="17"/>
    </row>
    <row r="842" spans="2:9" ht="15.75" x14ac:dyDescent="0.25">
      <c r="B842" s="411" t="s">
        <v>232</v>
      </c>
      <c r="C842" s="412">
        <v>2033</v>
      </c>
      <c r="D842" s="412" t="s">
        <v>1222</v>
      </c>
      <c r="E842" s="413">
        <v>333.36481771841585</v>
      </c>
      <c r="F842" s="17"/>
      <c r="G842" s="17"/>
      <c r="H842" s="17"/>
      <c r="I842" s="17"/>
    </row>
    <row r="843" spans="2:9" ht="15.75" x14ac:dyDescent="0.25">
      <c r="B843" s="411" t="s">
        <v>232</v>
      </c>
      <c r="C843" s="412">
        <v>2034</v>
      </c>
      <c r="D843" s="412" t="s">
        <v>1223</v>
      </c>
      <c r="E843" s="413">
        <v>329.10855163826346</v>
      </c>
      <c r="F843" s="17"/>
      <c r="G843" s="17"/>
      <c r="H843" s="17"/>
      <c r="I843" s="17"/>
    </row>
    <row r="844" spans="2:9" ht="15.75" x14ac:dyDescent="0.25">
      <c r="B844" s="411" t="s">
        <v>232</v>
      </c>
      <c r="C844" s="412">
        <v>2035</v>
      </c>
      <c r="D844" s="412" t="s">
        <v>1224</v>
      </c>
      <c r="E844" s="413">
        <v>325.40267508563358</v>
      </c>
      <c r="F844" s="17"/>
      <c r="G844" s="17"/>
      <c r="H844" s="17"/>
      <c r="I844" s="17"/>
    </row>
    <row r="845" spans="2:9" ht="15.75" x14ac:dyDescent="0.25">
      <c r="B845" s="411" t="s">
        <v>232</v>
      </c>
      <c r="C845" s="412">
        <v>2036</v>
      </c>
      <c r="D845" s="412" t="s">
        <v>1225</v>
      </c>
      <c r="E845" s="413">
        <v>322.18489855559272</v>
      </c>
      <c r="F845" s="17"/>
      <c r="G845" s="17"/>
      <c r="H845" s="17"/>
      <c r="I845" s="17"/>
    </row>
    <row r="846" spans="2:9" ht="15.75" x14ac:dyDescent="0.25">
      <c r="B846" s="411" t="s">
        <v>232</v>
      </c>
      <c r="C846" s="412">
        <v>2037</v>
      </c>
      <c r="D846" s="412" t="s">
        <v>1226</v>
      </c>
      <c r="E846" s="413">
        <v>319.42897380599089</v>
      </c>
      <c r="F846" s="17"/>
      <c r="G846" s="17"/>
      <c r="H846" s="17"/>
      <c r="I846" s="17"/>
    </row>
    <row r="847" spans="2:9" ht="15.75" x14ac:dyDescent="0.25">
      <c r="B847" s="411" t="s">
        <v>232</v>
      </c>
      <c r="C847" s="412">
        <v>2038</v>
      </c>
      <c r="D847" s="412" t="s">
        <v>1227</v>
      </c>
      <c r="E847" s="413">
        <v>317.08383853504733</v>
      </c>
      <c r="F847" s="17"/>
      <c r="G847" s="17"/>
      <c r="H847" s="17"/>
      <c r="I847" s="17"/>
    </row>
    <row r="848" spans="2:9" ht="15.75" x14ac:dyDescent="0.25">
      <c r="B848" s="411" t="s">
        <v>232</v>
      </c>
      <c r="C848" s="412">
        <v>2039</v>
      </c>
      <c r="D848" s="412" t="s">
        <v>1228</v>
      </c>
      <c r="E848" s="413">
        <v>315.0939874887008</v>
      </c>
      <c r="F848" s="17"/>
      <c r="G848" s="17"/>
      <c r="H848" s="17"/>
      <c r="I848" s="17"/>
    </row>
    <row r="849" spans="2:9" ht="15.75" x14ac:dyDescent="0.25">
      <c r="B849" s="411" t="s">
        <v>232</v>
      </c>
      <c r="C849" s="412">
        <v>2040</v>
      </c>
      <c r="D849" s="412" t="s">
        <v>1229</v>
      </c>
      <c r="E849" s="413">
        <v>313.41381846851846</v>
      </c>
      <c r="F849" s="17"/>
      <c r="G849" s="17"/>
      <c r="H849" s="17"/>
      <c r="I849" s="17"/>
    </row>
    <row r="850" spans="2:9" ht="15.75" x14ac:dyDescent="0.25">
      <c r="B850" s="411" t="s">
        <v>232</v>
      </c>
      <c r="C850" s="412">
        <v>2041</v>
      </c>
      <c r="D850" s="412" t="s">
        <v>1230</v>
      </c>
      <c r="E850" s="413">
        <v>312.0278648336398</v>
      </c>
      <c r="F850" s="17"/>
      <c r="G850" s="17"/>
      <c r="H850" s="17"/>
      <c r="I850" s="17"/>
    </row>
    <row r="851" spans="2:9" ht="15.75" x14ac:dyDescent="0.25">
      <c r="B851" s="411" t="s">
        <v>232</v>
      </c>
      <c r="C851" s="412">
        <v>2042</v>
      </c>
      <c r="D851" s="412" t="s">
        <v>1231</v>
      </c>
      <c r="E851" s="413">
        <v>310.85980787265993</v>
      </c>
      <c r="F851" s="17"/>
      <c r="G851" s="17"/>
      <c r="H851" s="17"/>
      <c r="I851" s="17"/>
    </row>
    <row r="852" spans="2:9" ht="15.75" x14ac:dyDescent="0.25">
      <c r="B852" s="411" t="s">
        <v>232</v>
      </c>
      <c r="C852" s="412">
        <v>2043</v>
      </c>
      <c r="D852" s="412" t="s">
        <v>1232</v>
      </c>
      <c r="E852" s="413">
        <v>309.89582515412729</v>
      </c>
      <c r="F852" s="17"/>
      <c r="G852" s="17"/>
      <c r="H852" s="17"/>
      <c r="I852" s="17"/>
    </row>
    <row r="853" spans="2:9" ht="15.75" x14ac:dyDescent="0.25">
      <c r="B853" s="411" t="s">
        <v>232</v>
      </c>
      <c r="C853" s="412">
        <v>2044</v>
      </c>
      <c r="D853" s="412" t="s">
        <v>1233</v>
      </c>
      <c r="E853" s="413">
        <v>309.08670224153695</v>
      </c>
      <c r="F853" s="17"/>
      <c r="G853" s="17"/>
      <c r="H853" s="17"/>
      <c r="I853" s="17"/>
    </row>
    <row r="854" spans="2:9" ht="15.75" x14ac:dyDescent="0.25">
      <c r="B854" s="411" t="s">
        <v>232</v>
      </c>
      <c r="C854" s="412">
        <v>2045</v>
      </c>
      <c r="D854" s="412" t="s">
        <v>1234</v>
      </c>
      <c r="E854" s="413">
        <v>308.38921010677325</v>
      </c>
      <c r="F854" s="17"/>
      <c r="G854" s="17"/>
      <c r="H854" s="17"/>
      <c r="I854" s="17"/>
    </row>
    <row r="855" spans="2:9" ht="15.75" x14ac:dyDescent="0.25">
      <c r="B855" s="411" t="s">
        <v>232</v>
      </c>
      <c r="C855" s="412">
        <v>2046</v>
      </c>
      <c r="D855" s="412" t="s">
        <v>1235</v>
      </c>
      <c r="E855" s="413">
        <v>307.80758722688529</v>
      </c>
      <c r="F855" s="17"/>
      <c r="G855" s="17"/>
      <c r="H855" s="17"/>
      <c r="I855" s="17"/>
    </row>
    <row r="856" spans="2:9" ht="15.75" x14ac:dyDescent="0.25">
      <c r="B856" s="411" t="s">
        <v>232</v>
      </c>
      <c r="C856" s="412">
        <v>2047</v>
      </c>
      <c r="D856" s="412" t="s">
        <v>1236</v>
      </c>
      <c r="E856" s="413">
        <v>307.31098830675711</v>
      </c>
      <c r="F856" s="17"/>
      <c r="G856" s="17"/>
      <c r="H856" s="17"/>
      <c r="I856" s="17"/>
    </row>
    <row r="857" spans="2:9" ht="15.75" x14ac:dyDescent="0.25">
      <c r="B857" s="411" t="s">
        <v>232</v>
      </c>
      <c r="C857" s="412">
        <v>2048</v>
      </c>
      <c r="D857" s="412" t="s">
        <v>1237</v>
      </c>
      <c r="E857" s="413">
        <v>306.8894400166925</v>
      </c>
      <c r="F857" s="17"/>
      <c r="G857" s="17"/>
      <c r="H857" s="17"/>
      <c r="I857" s="17"/>
    </row>
    <row r="858" spans="2:9" ht="15.75" x14ac:dyDescent="0.25">
      <c r="B858" s="411" t="s">
        <v>232</v>
      </c>
      <c r="C858" s="412">
        <v>2049</v>
      </c>
      <c r="D858" s="412" t="s">
        <v>1238</v>
      </c>
      <c r="E858" s="413">
        <v>306.5318389069572</v>
      </c>
      <c r="F858" s="17"/>
      <c r="G858" s="17"/>
      <c r="H858" s="17"/>
      <c r="I858" s="17"/>
    </row>
    <row r="859" spans="2:9" ht="15.75" x14ac:dyDescent="0.25">
      <c r="B859" s="411" t="s">
        <v>232</v>
      </c>
      <c r="C859" s="412">
        <v>2050</v>
      </c>
      <c r="D859" s="412" t="s">
        <v>1239</v>
      </c>
      <c r="E859" s="413">
        <v>306.2511246168969</v>
      </c>
      <c r="F859" s="17"/>
      <c r="G859" s="17"/>
      <c r="H859" s="17"/>
      <c r="I859" s="17"/>
    </row>
    <row r="860" spans="2:9" ht="15.75" x14ac:dyDescent="0.25">
      <c r="B860" s="407" t="s">
        <v>75</v>
      </c>
      <c r="C860" s="408">
        <v>2015</v>
      </c>
      <c r="D860" s="409" t="s">
        <v>235</v>
      </c>
      <c r="E860" s="410">
        <v>540.75037488514602</v>
      </c>
      <c r="F860" s="17"/>
      <c r="G860" s="17"/>
      <c r="H860" s="17"/>
      <c r="I860" s="17"/>
    </row>
    <row r="861" spans="2:9" ht="15.75" x14ac:dyDescent="0.25">
      <c r="B861" s="407" t="s">
        <v>75</v>
      </c>
      <c r="C861" s="408">
        <v>2016</v>
      </c>
      <c r="D861" s="409" t="s">
        <v>236</v>
      </c>
      <c r="E861" s="410">
        <v>530.07852958271428</v>
      </c>
      <c r="F861" s="17"/>
      <c r="G861" s="17"/>
      <c r="H861" s="17"/>
      <c r="I861" s="17"/>
    </row>
    <row r="862" spans="2:9" ht="15.75" x14ac:dyDescent="0.25">
      <c r="B862" s="411" t="s">
        <v>75</v>
      </c>
      <c r="C862" s="412">
        <v>2017</v>
      </c>
      <c r="D862" s="412" t="s">
        <v>1240</v>
      </c>
      <c r="E862" s="413">
        <v>517.13996865286708</v>
      </c>
      <c r="F862" s="17"/>
      <c r="G862" s="17"/>
      <c r="H862" s="17"/>
      <c r="I862" s="17"/>
    </row>
    <row r="863" spans="2:9" ht="15.75" x14ac:dyDescent="0.25">
      <c r="B863" s="411" t="s">
        <v>75</v>
      </c>
      <c r="C863" s="412">
        <v>2018</v>
      </c>
      <c r="D863" s="412" t="s">
        <v>1241</v>
      </c>
      <c r="E863" s="413">
        <v>508.61696477760393</v>
      </c>
      <c r="F863" s="17"/>
      <c r="G863" s="17"/>
      <c r="H863" s="17"/>
      <c r="I863" s="17"/>
    </row>
    <row r="864" spans="2:9" ht="15.75" x14ac:dyDescent="0.25">
      <c r="B864" s="411" t="s">
        <v>75</v>
      </c>
      <c r="C864" s="412">
        <v>2019</v>
      </c>
      <c r="D864" s="412" t="s">
        <v>1242</v>
      </c>
      <c r="E864" s="413">
        <v>493.90767038329932</v>
      </c>
      <c r="F864" s="17"/>
      <c r="G864" s="17"/>
      <c r="H864" s="17"/>
      <c r="I864" s="17"/>
    </row>
    <row r="865" spans="2:9" ht="15.75" x14ac:dyDescent="0.25">
      <c r="B865" s="411" t="s">
        <v>75</v>
      </c>
      <c r="C865" s="412">
        <v>2020</v>
      </c>
      <c r="D865" s="412" t="s">
        <v>1243</v>
      </c>
      <c r="E865" s="413">
        <v>478.87794042409649</v>
      </c>
      <c r="F865" s="17"/>
      <c r="G865" s="17"/>
      <c r="H865" s="17"/>
      <c r="I865" s="17"/>
    </row>
    <row r="866" spans="2:9" ht="15.75" x14ac:dyDescent="0.25">
      <c r="B866" s="411" t="s">
        <v>75</v>
      </c>
      <c r="C866" s="412">
        <v>2021</v>
      </c>
      <c r="D866" s="412" t="s">
        <v>1244</v>
      </c>
      <c r="E866" s="413">
        <v>461.74499168159952</v>
      </c>
      <c r="F866" s="17"/>
      <c r="G866" s="17"/>
      <c r="H866" s="17"/>
      <c r="I866" s="17"/>
    </row>
    <row r="867" spans="2:9" ht="15.75" x14ac:dyDescent="0.25">
      <c r="B867" s="411" t="s">
        <v>75</v>
      </c>
      <c r="C867" s="412">
        <v>2022</v>
      </c>
      <c r="D867" s="412" t="s">
        <v>1245</v>
      </c>
      <c r="E867" s="413">
        <v>446.85632243452153</v>
      </c>
      <c r="F867" s="17"/>
      <c r="G867" s="17"/>
      <c r="H867" s="17"/>
      <c r="I867" s="17"/>
    </row>
    <row r="868" spans="2:9" ht="15.75" x14ac:dyDescent="0.25">
      <c r="B868" s="411" t="s">
        <v>75</v>
      </c>
      <c r="C868" s="412">
        <v>2023</v>
      </c>
      <c r="D868" s="412" t="s">
        <v>1246</v>
      </c>
      <c r="E868" s="413">
        <v>432.13541884943641</v>
      </c>
      <c r="F868" s="17"/>
      <c r="G868" s="17"/>
      <c r="H868" s="17"/>
      <c r="I868" s="17"/>
    </row>
    <row r="869" spans="2:9" ht="15.75" x14ac:dyDescent="0.25">
      <c r="B869" s="411" t="s">
        <v>75</v>
      </c>
      <c r="C869" s="412">
        <v>2024</v>
      </c>
      <c r="D869" s="412" t="s">
        <v>1247</v>
      </c>
      <c r="E869" s="413">
        <v>421.44079540620845</v>
      </c>
      <c r="F869" s="17"/>
      <c r="G869" s="17"/>
      <c r="H869" s="17"/>
      <c r="I869" s="17"/>
    </row>
    <row r="870" spans="2:9" ht="15.75" x14ac:dyDescent="0.25">
      <c r="B870" s="411" t="s">
        <v>75</v>
      </c>
      <c r="C870" s="412">
        <v>2025</v>
      </c>
      <c r="D870" s="412" t="s">
        <v>1248</v>
      </c>
      <c r="E870" s="413">
        <v>407.13877749751202</v>
      </c>
      <c r="F870" s="17"/>
      <c r="G870" s="17"/>
      <c r="H870" s="17"/>
      <c r="I870" s="17"/>
    </row>
    <row r="871" spans="2:9" ht="15.75" x14ac:dyDescent="0.25">
      <c r="B871" s="411" t="s">
        <v>75</v>
      </c>
      <c r="C871" s="412">
        <v>2026</v>
      </c>
      <c r="D871" s="412" t="s">
        <v>1249</v>
      </c>
      <c r="E871" s="413">
        <v>399.94124719705337</v>
      </c>
      <c r="F871" s="17"/>
      <c r="G871" s="17"/>
      <c r="H871" s="17"/>
      <c r="I871" s="17"/>
    </row>
    <row r="872" spans="2:9" ht="15.75" x14ac:dyDescent="0.25">
      <c r="B872" s="411" t="s">
        <v>75</v>
      </c>
      <c r="C872" s="412">
        <v>2027</v>
      </c>
      <c r="D872" s="412" t="s">
        <v>1250</v>
      </c>
      <c r="E872" s="413">
        <v>387.72176717269605</v>
      </c>
      <c r="F872" s="17"/>
      <c r="G872" s="17"/>
      <c r="H872" s="17"/>
      <c r="I872" s="17"/>
    </row>
    <row r="873" spans="2:9" ht="15.75" x14ac:dyDescent="0.25">
      <c r="B873" s="411" t="s">
        <v>75</v>
      </c>
      <c r="C873" s="412">
        <v>2028</v>
      </c>
      <c r="D873" s="412" t="s">
        <v>1251</v>
      </c>
      <c r="E873" s="413">
        <v>376.68711881770702</v>
      </c>
      <c r="F873" s="17"/>
      <c r="G873" s="17"/>
      <c r="H873" s="17"/>
      <c r="I873" s="17"/>
    </row>
    <row r="874" spans="2:9" ht="15.75" x14ac:dyDescent="0.25">
      <c r="B874" s="411" t="s">
        <v>75</v>
      </c>
      <c r="C874" s="412">
        <v>2029</v>
      </c>
      <c r="D874" s="412" t="s">
        <v>1252</v>
      </c>
      <c r="E874" s="413">
        <v>366.7781278208646</v>
      </c>
      <c r="F874" s="17"/>
      <c r="G874" s="17"/>
      <c r="H874" s="17"/>
      <c r="I874" s="17"/>
    </row>
    <row r="875" spans="2:9" ht="15.75" x14ac:dyDescent="0.25">
      <c r="B875" s="411" t="s">
        <v>75</v>
      </c>
      <c r="C875" s="412">
        <v>2030</v>
      </c>
      <c r="D875" s="412" t="s">
        <v>1253</v>
      </c>
      <c r="E875" s="413">
        <v>357.94475903928645</v>
      </c>
      <c r="F875" s="17"/>
      <c r="G875" s="17"/>
      <c r="H875" s="17"/>
      <c r="I875" s="17"/>
    </row>
    <row r="876" spans="2:9" ht="15.75" x14ac:dyDescent="0.25">
      <c r="B876" s="411" t="s">
        <v>75</v>
      </c>
      <c r="C876" s="412">
        <v>2031</v>
      </c>
      <c r="D876" s="412" t="s">
        <v>1254</v>
      </c>
      <c r="E876" s="413">
        <v>350.09859431354448</v>
      </c>
      <c r="F876" s="17"/>
      <c r="G876" s="17"/>
      <c r="H876" s="17"/>
      <c r="I876" s="17"/>
    </row>
    <row r="877" spans="2:9" ht="15.75" x14ac:dyDescent="0.25">
      <c r="B877" s="411" t="s">
        <v>75</v>
      </c>
      <c r="C877" s="412">
        <v>2032</v>
      </c>
      <c r="D877" s="412" t="s">
        <v>1255</v>
      </c>
      <c r="E877" s="413">
        <v>343.17750203704873</v>
      </c>
      <c r="F877" s="17"/>
      <c r="G877" s="17"/>
      <c r="H877" s="17"/>
      <c r="I877" s="17"/>
    </row>
    <row r="878" spans="2:9" ht="15.75" x14ac:dyDescent="0.25">
      <c r="B878" s="411" t="s">
        <v>75</v>
      </c>
      <c r="C878" s="412">
        <v>2033</v>
      </c>
      <c r="D878" s="412" t="s">
        <v>1256</v>
      </c>
      <c r="E878" s="413">
        <v>337.08417174247649</v>
      </c>
      <c r="F878" s="17"/>
      <c r="G878" s="17"/>
      <c r="H878" s="17"/>
      <c r="I878" s="17"/>
    </row>
    <row r="879" spans="2:9" ht="15.75" x14ac:dyDescent="0.25">
      <c r="B879" s="411" t="s">
        <v>75</v>
      </c>
      <c r="C879" s="412">
        <v>2034</v>
      </c>
      <c r="D879" s="412" t="s">
        <v>1257</v>
      </c>
      <c r="E879" s="413">
        <v>331.76508364076233</v>
      </c>
      <c r="F879" s="17"/>
      <c r="G879" s="17"/>
      <c r="H879" s="17"/>
      <c r="I879" s="17"/>
    </row>
    <row r="880" spans="2:9" ht="15.75" x14ac:dyDescent="0.25">
      <c r="B880" s="411" t="s">
        <v>75</v>
      </c>
      <c r="C880" s="412">
        <v>2035</v>
      </c>
      <c r="D880" s="412" t="s">
        <v>1258</v>
      </c>
      <c r="E880" s="413">
        <v>327.14529323652602</v>
      </c>
      <c r="F880" s="17"/>
      <c r="G880" s="17"/>
      <c r="H880" s="17"/>
      <c r="I880" s="17"/>
    </row>
    <row r="881" spans="2:9" ht="15.75" x14ac:dyDescent="0.25">
      <c r="B881" s="411" t="s">
        <v>75</v>
      </c>
      <c r="C881" s="412">
        <v>2036</v>
      </c>
      <c r="D881" s="412" t="s">
        <v>1259</v>
      </c>
      <c r="E881" s="413">
        <v>323.14963184885812</v>
      </c>
      <c r="F881" s="17"/>
      <c r="G881" s="17"/>
      <c r="H881" s="17"/>
      <c r="I881" s="17"/>
    </row>
    <row r="882" spans="2:9" ht="15.75" x14ac:dyDescent="0.25">
      <c r="B882" s="411" t="s">
        <v>75</v>
      </c>
      <c r="C882" s="412">
        <v>2037</v>
      </c>
      <c r="D882" s="412" t="s">
        <v>1260</v>
      </c>
      <c r="E882" s="413">
        <v>319.73371737245822</v>
      </c>
      <c r="F882" s="17"/>
      <c r="G882" s="17"/>
      <c r="H882" s="17"/>
      <c r="I882" s="17"/>
    </row>
    <row r="883" spans="2:9" ht="15.75" x14ac:dyDescent="0.25">
      <c r="B883" s="411" t="s">
        <v>75</v>
      </c>
      <c r="C883" s="412">
        <v>2038</v>
      </c>
      <c r="D883" s="412" t="s">
        <v>1261</v>
      </c>
      <c r="E883" s="413">
        <v>316.83941285639338</v>
      </c>
      <c r="F883" s="17"/>
      <c r="G883" s="17"/>
      <c r="H883" s="17"/>
      <c r="I883" s="17"/>
    </row>
    <row r="884" spans="2:9" ht="15.75" x14ac:dyDescent="0.25">
      <c r="B884" s="411" t="s">
        <v>75</v>
      </c>
      <c r="C884" s="412">
        <v>2039</v>
      </c>
      <c r="D884" s="412" t="s">
        <v>1262</v>
      </c>
      <c r="E884" s="413">
        <v>314.40116473744672</v>
      </c>
      <c r="F884" s="17"/>
      <c r="G884" s="17"/>
      <c r="H884" s="17"/>
      <c r="I884" s="17"/>
    </row>
    <row r="885" spans="2:9" ht="15.75" x14ac:dyDescent="0.25">
      <c r="B885" s="411" t="s">
        <v>75</v>
      </c>
      <c r="C885" s="412">
        <v>2040</v>
      </c>
      <c r="D885" s="412" t="s">
        <v>1263</v>
      </c>
      <c r="E885" s="413">
        <v>312.37043230938519</v>
      </c>
      <c r="F885" s="17"/>
      <c r="G885" s="17"/>
      <c r="H885" s="17"/>
      <c r="I885" s="17"/>
    </row>
    <row r="886" spans="2:9" ht="15.75" x14ac:dyDescent="0.25">
      <c r="B886" s="411" t="s">
        <v>75</v>
      </c>
      <c r="C886" s="412">
        <v>2041</v>
      </c>
      <c r="D886" s="412" t="s">
        <v>1264</v>
      </c>
      <c r="E886" s="413">
        <v>310.70600944246274</v>
      </c>
      <c r="F886" s="17"/>
      <c r="G886" s="17"/>
      <c r="H886" s="17"/>
      <c r="I886" s="17"/>
    </row>
    <row r="887" spans="2:9" ht="15.75" x14ac:dyDescent="0.25">
      <c r="B887" s="411" t="s">
        <v>75</v>
      </c>
      <c r="C887" s="412">
        <v>2042</v>
      </c>
      <c r="D887" s="412" t="s">
        <v>1265</v>
      </c>
      <c r="E887" s="413">
        <v>309.33193810268705</v>
      </c>
      <c r="F887" s="17"/>
      <c r="G887" s="17"/>
      <c r="H887" s="17"/>
      <c r="I887" s="17"/>
    </row>
    <row r="888" spans="2:9" ht="15.75" x14ac:dyDescent="0.25">
      <c r="B888" s="411" t="s">
        <v>75</v>
      </c>
      <c r="C888" s="412">
        <v>2043</v>
      </c>
      <c r="D888" s="412" t="s">
        <v>1266</v>
      </c>
      <c r="E888" s="413">
        <v>308.20985863162264</v>
      </c>
      <c r="F888" s="17"/>
      <c r="G888" s="17"/>
      <c r="H888" s="17"/>
      <c r="I888" s="17"/>
    </row>
    <row r="889" spans="2:9" ht="15.75" x14ac:dyDescent="0.25">
      <c r="B889" s="411" t="s">
        <v>75</v>
      </c>
      <c r="C889" s="412">
        <v>2044</v>
      </c>
      <c r="D889" s="412" t="s">
        <v>1267</v>
      </c>
      <c r="E889" s="413">
        <v>307.28603962599095</v>
      </c>
      <c r="F889" s="17"/>
      <c r="G889" s="17"/>
      <c r="H889" s="17"/>
      <c r="I889" s="17"/>
    </row>
    <row r="890" spans="2:9" ht="15.75" x14ac:dyDescent="0.25">
      <c r="B890" s="411" t="s">
        <v>75</v>
      </c>
      <c r="C890" s="412">
        <v>2045</v>
      </c>
      <c r="D890" s="412" t="s">
        <v>1268</v>
      </c>
      <c r="E890" s="413">
        <v>306.52767536586333</v>
      </c>
      <c r="F890" s="17"/>
      <c r="G890" s="17"/>
      <c r="H890" s="17"/>
      <c r="I890" s="17"/>
    </row>
    <row r="891" spans="2:9" ht="15.75" x14ac:dyDescent="0.25">
      <c r="B891" s="411" t="s">
        <v>75</v>
      </c>
      <c r="C891" s="412">
        <v>2046</v>
      </c>
      <c r="D891" s="412" t="s">
        <v>1269</v>
      </c>
      <c r="E891" s="413">
        <v>305.90097453610508</v>
      </c>
      <c r="F891" s="17"/>
      <c r="G891" s="17"/>
      <c r="H891" s="17"/>
      <c r="I891" s="17"/>
    </row>
    <row r="892" spans="2:9" ht="15.75" x14ac:dyDescent="0.25">
      <c r="B892" s="411" t="s">
        <v>75</v>
      </c>
      <c r="C892" s="412">
        <v>2047</v>
      </c>
      <c r="D892" s="412" t="s">
        <v>1270</v>
      </c>
      <c r="E892" s="413">
        <v>305.39274627008695</v>
      </c>
      <c r="F892" s="17"/>
      <c r="G892" s="17"/>
      <c r="H892" s="17"/>
      <c r="I892" s="17"/>
    </row>
    <row r="893" spans="2:9" ht="15.75" x14ac:dyDescent="0.25">
      <c r="B893" s="411" t="s">
        <v>75</v>
      </c>
      <c r="C893" s="412">
        <v>2048</v>
      </c>
      <c r="D893" s="412" t="s">
        <v>1271</v>
      </c>
      <c r="E893" s="413">
        <v>304.97751456390694</v>
      </c>
      <c r="F893" s="17"/>
      <c r="G893" s="17"/>
      <c r="H893" s="17"/>
      <c r="I893" s="17"/>
    </row>
    <row r="894" spans="2:9" ht="15.75" x14ac:dyDescent="0.25">
      <c r="B894" s="411" t="s">
        <v>75</v>
      </c>
      <c r="C894" s="412">
        <v>2049</v>
      </c>
      <c r="D894" s="412" t="s">
        <v>1272</v>
      </c>
      <c r="E894" s="413">
        <v>304.63654159494121</v>
      </c>
      <c r="F894" s="17"/>
      <c r="G894" s="17"/>
      <c r="H894" s="17"/>
      <c r="I894" s="17"/>
    </row>
    <row r="895" spans="2:9" ht="15.75" x14ac:dyDescent="0.25">
      <c r="B895" s="411" t="s">
        <v>75</v>
      </c>
      <c r="C895" s="412">
        <v>2050</v>
      </c>
      <c r="D895" s="412" t="s">
        <v>1273</v>
      </c>
      <c r="E895" s="413">
        <v>304.35779028531772</v>
      </c>
      <c r="F895" s="17"/>
      <c r="G895" s="17"/>
      <c r="H895" s="17"/>
      <c r="I895" s="17"/>
    </row>
    <row r="896" spans="2:9" ht="15.75" x14ac:dyDescent="0.25">
      <c r="B896" s="407" t="s">
        <v>76</v>
      </c>
      <c r="C896" s="408">
        <v>2015</v>
      </c>
      <c r="D896" s="409" t="s">
        <v>237</v>
      </c>
      <c r="E896" s="410">
        <v>495.08096287040331</v>
      </c>
      <c r="F896" s="17"/>
      <c r="G896" s="17"/>
      <c r="H896" s="17"/>
      <c r="I896" s="17"/>
    </row>
    <row r="897" spans="2:9" ht="15.75" x14ac:dyDescent="0.25">
      <c r="B897" s="407" t="s">
        <v>76</v>
      </c>
      <c r="C897" s="408">
        <v>2016</v>
      </c>
      <c r="D897" s="409" t="s">
        <v>238</v>
      </c>
      <c r="E897" s="410">
        <v>486.1453719706916</v>
      </c>
      <c r="F897" s="17"/>
      <c r="G897" s="17"/>
      <c r="H897" s="17"/>
      <c r="I897" s="17"/>
    </row>
    <row r="898" spans="2:9" ht="15.75" x14ac:dyDescent="0.25">
      <c r="B898" s="411" t="s">
        <v>76</v>
      </c>
      <c r="C898" s="412">
        <v>2017</v>
      </c>
      <c r="D898" s="412" t="s">
        <v>1274</v>
      </c>
      <c r="E898" s="413">
        <v>475.10161134708585</v>
      </c>
      <c r="F898" s="17"/>
      <c r="G898" s="17"/>
      <c r="H898" s="17"/>
      <c r="I898" s="17"/>
    </row>
    <row r="899" spans="2:9" ht="15.75" x14ac:dyDescent="0.25">
      <c r="B899" s="411" t="s">
        <v>76</v>
      </c>
      <c r="C899" s="412">
        <v>2018</v>
      </c>
      <c r="D899" s="412" t="s">
        <v>1275</v>
      </c>
      <c r="E899" s="413">
        <v>463.69103494706292</v>
      </c>
      <c r="F899" s="17"/>
      <c r="G899" s="17"/>
      <c r="H899" s="17"/>
      <c r="I899" s="17"/>
    </row>
    <row r="900" spans="2:9" ht="15.75" x14ac:dyDescent="0.25">
      <c r="B900" s="411" t="s">
        <v>76</v>
      </c>
      <c r="C900" s="412">
        <v>2019</v>
      </c>
      <c r="D900" s="412" t="s">
        <v>1276</v>
      </c>
      <c r="E900" s="413">
        <v>451.83512262163708</v>
      </c>
      <c r="F900" s="17"/>
      <c r="G900" s="17"/>
      <c r="H900" s="17"/>
      <c r="I900" s="17"/>
    </row>
    <row r="901" spans="2:9" ht="15.75" x14ac:dyDescent="0.25">
      <c r="B901" s="411" t="s">
        <v>76</v>
      </c>
      <c r="C901" s="412">
        <v>2020</v>
      </c>
      <c r="D901" s="412" t="s">
        <v>1277</v>
      </c>
      <c r="E901" s="413">
        <v>439.70159473997086</v>
      </c>
      <c r="F901" s="17"/>
      <c r="G901" s="17"/>
      <c r="H901" s="17"/>
      <c r="I901" s="17"/>
    </row>
    <row r="902" spans="2:9" ht="15.75" x14ac:dyDescent="0.25">
      <c r="B902" s="411" t="s">
        <v>76</v>
      </c>
      <c r="C902" s="412">
        <v>2021</v>
      </c>
      <c r="D902" s="412" t="s">
        <v>1278</v>
      </c>
      <c r="E902" s="413">
        <v>427.35460649163974</v>
      </c>
      <c r="F902" s="17"/>
      <c r="G902" s="17"/>
      <c r="H902" s="17"/>
      <c r="I902" s="17"/>
    </row>
    <row r="903" spans="2:9" ht="15.75" x14ac:dyDescent="0.25">
      <c r="B903" s="411" t="s">
        <v>76</v>
      </c>
      <c r="C903" s="412">
        <v>2022</v>
      </c>
      <c r="D903" s="412" t="s">
        <v>1279</v>
      </c>
      <c r="E903" s="413">
        <v>415.15914578365039</v>
      </c>
      <c r="F903" s="17"/>
      <c r="G903" s="17"/>
      <c r="H903" s="17"/>
      <c r="I903" s="17"/>
    </row>
    <row r="904" spans="2:9" ht="15.75" x14ac:dyDescent="0.25">
      <c r="B904" s="411" t="s">
        <v>76</v>
      </c>
      <c r="C904" s="412">
        <v>2023</v>
      </c>
      <c r="D904" s="412" t="s">
        <v>1280</v>
      </c>
      <c r="E904" s="413">
        <v>402.98932964311962</v>
      </c>
      <c r="F904" s="17"/>
      <c r="G904" s="17"/>
      <c r="H904" s="17"/>
      <c r="I904" s="17"/>
    </row>
    <row r="905" spans="2:9" ht="15.75" x14ac:dyDescent="0.25">
      <c r="B905" s="411" t="s">
        <v>76</v>
      </c>
      <c r="C905" s="412">
        <v>2024</v>
      </c>
      <c r="D905" s="412" t="s">
        <v>1281</v>
      </c>
      <c r="E905" s="413">
        <v>390.91086378308563</v>
      </c>
      <c r="F905" s="17"/>
      <c r="G905" s="17"/>
      <c r="H905" s="17"/>
      <c r="I905" s="17"/>
    </row>
    <row r="906" spans="2:9" ht="15.75" x14ac:dyDescent="0.25">
      <c r="B906" s="411" t="s">
        <v>76</v>
      </c>
      <c r="C906" s="412">
        <v>2025</v>
      </c>
      <c r="D906" s="412" t="s">
        <v>1282</v>
      </c>
      <c r="E906" s="413">
        <v>378.90604144439072</v>
      </c>
      <c r="F906" s="17"/>
      <c r="G906" s="17"/>
      <c r="H906" s="17"/>
      <c r="I906" s="17"/>
    </row>
    <row r="907" spans="2:9" ht="15.75" x14ac:dyDescent="0.25">
      <c r="B907" s="411" t="s">
        <v>76</v>
      </c>
      <c r="C907" s="412">
        <v>2026</v>
      </c>
      <c r="D907" s="412" t="s">
        <v>1283</v>
      </c>
      <c r="E907" s="413">
        <v>368.00060285580548</v>
      </c>
      <c r="F907" s="17"/>
      <c r="G907" s="17"/>
      <c r="H907" s="17"/>
      <c r="I907" s="17"/>
    </row>
    <row r="908" spans="2:9" ht="15.75" x14ac:dyDescent="0.25">
      <c r="B908" s="411" t="s">
        <v>76</v>
      </c>
      <c r="C908" s="412">
        <v>2027</v>
      </c>
      <c r="D908" s="412" t="s">
        <v>1284</v>
      </c>
      <c r="E908" s="413">
        <v>358.04586734058523</v>
      </c>
      <c r="F908" s="17"/>
      <c r="G908" s="17"/>
      <c r="H908" s="17"/>
      <c r="I908" s="17"/>
    </row>
    <row r="909" spans="2:9" ht="15.75" x14ac:dyDescent="0.25">
      <c r="B909" s="411" t="s">
        <v>76</v>
      </c>
      <c r="C909" s="412">
        <v>2028</v>
      </c>
      <c r="D909" s="412" t="s">
        <v>1285</v>
      </c>
      <c r="E909" s="413">
        <v>349.07378618546545</v>
      </c>
      <c r="F909" s="17"/>
      <c r="G909" s="17"/>
      <c r="H909" s="17"/>
      <c r="I909" s="17"/>
    </row>
    <row r="910" spans="2:9" ht="15.75" x14ac:dyDescent="0.25">
      <c r="B910" s="411" t="s">
        <v>76</v>
      </c>
      <c r="C910" s="412">
        <v>2029</v>
      </c>
      <c r="D910" s="412" t="s">
        <v>1286</v>
      </c>
      <c r="E910" s="413">
        <v>341.00200102742252</v>
      </c>
      <c r="F910" s="17"/>
      <c r="G910" s="17"/>
      <c r="H910" s="17"/>
      <c r="I910" s="17"/>
    </row>
    <row r="911" spans="2:9" ht="15.75" x14ac:dyDescent="0.25">
      <c r="B911" s="411" t="s">
        <v>76</v>
      </c>
      <c r="C911" s="412">
        <v>2030</v>
      </c>
      <c r="D911" s="412" t="s">
        <v>1287</v>
      </c>
      <c r="E911" s="413">
        <v>333.7862714827894</v>
      </c>
      <c r="F911" s="17"/>
      <c r="G911" s="17"/>
      <c r="H911" s="17"/>
      <c r="I911" s="17"/>
    </row>
    <row r="912" spans="2:9" ht="15.75" x14ac:dyDescent="0.25">
      <c r="B912" s="411" t="s">
        <v>76</v>
      </c>
      <c r="C912" s="412">
        <v>2031</v>
      </c>
      <c r="D912" s="412" t="s">
        <v>1288</v>
      </c>
      <c r="E912" s="413">
        <v>327.35705940167031</v>
      </c>
      <c r="F912" s="17"/>
      <c r="G912" s="17"/>
      <c r="H912" s="17"/>
      <c r="I912" s="17"/>
    </row>
    <row r="913" spans="2:9" ht="15.75" x14ac:dyDescent="0.25">
      <c r="B913" s="411" t="s">
        <v>76</v>
      </c>
      <c r="C913" s="412">
        <v>2032</v>
      </c>
      <c r="D913" s="412" t="s">
        <v>1289</v>
      </c>
      <c r="E913" s="413">
        <v>321.66956757129753</v>
      </c>
      <c r="F913" s="17"/>
      <c r="G913" s="17"/>
      <c r="H913" s="17"/>
      <c r="I913" s="17"/>
    </row>
    <row r="914" spans="2:9" ht="15.75" x14ac:dyDescent="0.25">
      <c r="B914" s="411" t="s">
        <v>76</v>
      </c>
      <c r="C914" s="412">
        <v>2033</v>
      </c>
      <c r="D914" s="412" t="s">
        <v>1290</v>
      </c>
      <c r="E914" s="413">
        <v>316.67571114657204</v>
      </c>
      <c r="F914" s="17"/>
      <c r="G914" s="17"/>
      <c r="H914" s="17"/>
      <c r="I914" s="17"/>
    </row>
    <row r="915" spans="2:9" ht="15.75" x14ac:dyDescent="0.25">
      <c r="B915" s="411" t="s">
        <v>76</v>
      </c>
      <c r="C915" s="412">
        <v>2034</v>
      </c>
      <c r="D915" s="412" t="s">
        <v>1291</v>
      </c>
      <c r="E915" s="413">
        <v>312.30701249028158</v>
      </c>
      <c r="F915" s="17"/>
      <c r="G915" s="17"/>
      <c r="H915" s="17"/>
      <c r="I915" s="17"/>
    </row>
    <row r="916" spans="2:9" ht="15.75" x14ac:dyDescent="0.25">
      <c r="B916" s="411" t="s">
        <v>76</v>
      </c>
      <c r="C916" s="412">
        <v>2035</v>
      </c>
      <c r="D916" s="412" t="s">
        <v>1292</v>
      </c>
      <c r="E916" s="413">
        <v>308.51892507590435</v>
      </c>
      <c r="F916" s="17"/>
      <c r="G916" s="17"/>
      <c r="H916" s="17"/>
      <c r="I916" s="17"/>
    </row>
    <row r="917" spans="2:9" ht="15.75" x14ac:dyDescent="0.25">
      <c r="B917" s="411" t="s">
        <v>76</v>
      </c>
      <c r="C917" s="412">
        <v>2036</v>
      </c>
      <c r="D917" s="412" t="s">
        <v>1293</v>
      </c>
      <c r="E917" s="413">
        <v>305.25896474721833</v>
      </c>
      <c r="F917" s="17"/>
      <c r="G917" s="17"/>
      <c r="H917" s="17"/>
      <c r="I917" s="17"/>
    </row>
    <row r="918" spans="2:9" ht="15.75" x14ac:dyDescent="0.25">
      <c r="B918" s="411" t="s">
        <v>76</v>
      </c>
      <c r="C918" s="412">
        <v>2037</v>
      </c>
      <c r="D918" s="412" t="s">
        <v>1294</v>
      </c>
      <c r="E918" s="413">
        <v>302.49429438323529</v>
      </c>
      <c r="F918" s="17"/>
      <c r="G918" s="17"/>
      <c r="H918" s="17"/>
      <c r="I918" s="17"/>
    </row>
    <row r="919" spans="2:9" ht="15.75" x14ac:dyDescent="0.25">
      <c r="B919" s="411" t="s">
        <v>76</v>
      </c>
      <c r="C919" s="412">
        <v>2038</v>
      </c>
      <c r="D919" s="412" t="s">
        <v>1295</v>
      </c>
      <c r="E919" s="413">
        <v>300.16638768765972</v>
      </c>
      <c r="F919" s="17"/>
      <c r="G919" s="17"/>
      <c r="H919" s="17"/>
      <c r="I919" s="17"/>
    </row>
    <row r="920" spans="2:9" ht="15.75" x14ac:dyDescent="0.25">
      <c r="B920" s="411" t="s">
        <v>76</v>
      </c>
      <c r="C920" s="412">
        <v>2039</v>
      </c>
      <c r="D920" s="412" t="s">
        <v>1296</v>
      </c>
      <c r="E920" s="413">
        <v>298.2131721532661</v>
      </c>
      <c r="F920" s="17"/>
      <c r="G920" s="17"/>
      <c r="H920" s="17"/>
      <c r="I920" s="17"/>
    </row>
    <row r="921" spans="2:9" ht="15.75" x14ac:dyDescent="0.25">
      <c r="B921" s="411" t="s">
        <v>76</v>
      </c>
      <c r="C921" s="412">
        <v>2040</v>
      </c>
      <c r="D921" s="412" t="s">
        <v>1297</v>
      </c>
      <c r="E921" s="413">
        <v>296.58251572825719</v>
      </c>
      <c r="F921" s="17"/>
      <c r="G921" s="17"/>
      <c r="H921" s="17"/>
      <c r="I921" s="17"/>
    </row>
    <row r="922" spans="2:9" ht="15.75" x14ac:dyDescent="0.25">
      <c r="B922" s="411" t="s">
        <v>76</v>
      </c>
      <c r="C922" s="412">
        <v>2041</v>
      </c>
      <c r="D922" s="412" t="s">
        <v>1298</v>
      </c>
      <c r="E922" s="413">
        <v>295.24569144530011</v>
      </c>
      <c r="F922" s="17"/>
      <c r="G922" s="17"/>
      <c r="H922" s="17"/>
      <c r="I922" s="17"/>
    </row>
    <row r="923" spans="2:9" ht="15.75" x14ac:dyDescent="0.25">
      <c r="B923" s="411" t="s">
        <v>76</v>
      </c>
      <c r="C923" s="412">
        <v>2042</v>
      </c>
      <c r="D923" s="412" t="s">
        <v>1299</v>
      </c>
      <c r="E923" s="413">
        <v>294.14019464300907</v>
      </c>
      <c r="F923" s="17"/>
      <c r="G923" s="17"/>
      <c r="H923" s="17"/>
      <c r="I923" s="17"/>
    </row>
    <row r="924" spans="2:9" ht="15.75" x14ac:dyDescent="0.25">
      <c r="B924" s="411" t="s">
        <v>76</v>
      </c>
      <c r="C924" s="412">
        <v>2043</v>
      </c>
      <c r="D924" s="412" t="s">
        <v>1300</v>
      </c>
      <c r="E924" s="413">
        <v>293.24125066630603</v>
      </c>
      <c r="F924" s="17"/>
      <c r="G924" s="17"/>
      <c r="H924" s="17"/>
      <c r="I924" s="17"/>
    </row>
    <row r="925" spans="2:9" ht="15.75" x14ac:dyDescent="0.25">
      <c r="B925" s="411" t="s">
        <v>76</v>
      </c>
      <c r="C925" s="412">
        <v>2044</v>
      </c>
      <c r="D925" s="412" t="s">
        <v>1301</v>
      </c>
      <c r="E925" s="413">
        <v>292.49890363572729</v>
      </c>
      <c r="F925" s="17"/>
      <c r="G925" s="17"/>
      <c r="H925" s="17"/>
      <c r="I925" s="17"/>
    </row>
    <row r="926" spans="2:9" ht="15.75" x14ac:dyDescent="0.25">
      <c r="B926" s="411" t="s">
        <v>76</v>
      </c>
      <c r="C926" s="412">
        <v>2045</v>
      </c>
      <c r="D926" s="412" t="s">
        <v>1302</v>
      </c>
      <c r="E926" s="413">
        <v>291.88195322729041</v>
      </c>
      <c r="F926" s="17"/>
      <c r="G926" s="17"/>
      <c r="H926" s="17"/>
      <c r="I926" s="17"/>
    </row>
    <row r="927" spans="2:9" ht="15.75" x14ac:dyDescent="0.25">
      <c r="B927" s="411" t="s">
        <v>76</v>
      </c>
      <c r="C927" s="412">
        <v>2046</v>
      </c>
      <c r="D927" s="412" t="s">
        <v>1303</v>
      </c>
      <c r="E927" s="413">
        <v>291.38257243275518</v>
      </c>
      <c r="F927" s="17"/>
      <c r="G927" s="17"/>
      <c r="H927" s="17"/>
      <c r="I927" s="17"/>
    </row>
    <row r="928" spans="2:9" ht="15.75" x14ac:dyDescent="0.25">
      <c r="B928" s="411" t="s">
        <v>76</v>
      </c>
      <c r="C928" s="412">
        <v>2047</v>
      </c>
      <c r="D928" s="412" t="s">
        <v>1304</v>
      </c>
      <c r="E928" s="413">
        <v>290.9757543295255</v>
      </c>
      <c r="F928" s="17"/>
      <c r="G928" s="17"/>
      <c r="H928" s="17"/>
      <c r="I928" s="17"/>
    </row>
    <row r="929" spans="2:9" ht="15.75" x14ac:dyDescent="0.25">
      <c r="B929" s="411" t="s">
        <v>76</v>
      </c>
      <c r="C929" s="412">
        <v>2048</v>
      </c>
      <c r="D929" s="412" t="s">
        <v>1305</v>
      </c>
      <c r="E929" s="413">
        <v>290.64376939571008</v>
      </c>
      <c r="F929" s="17"/>
      <c r="G929" s="17"/>
      <c r="H929" s="17"/>
      <c r="I929" s="17"/>
    </row>
    <row r="930" spans="2:9" ht="15.75" x14ac:dyDescent="0.25">
      <c r="B930" s="411" t="s">
        <v>76</v>
      </c>
      <c r="C930" s="412">
        <v>2049</v>
      </c>
      <c r="D930" s="412" t="s">
        <v>1306</v>
      </c>
      <c r="E930" s="413">
        <v>290.3629548813546</v>
      </c>
      <c r="F930" s="17"/>
      <c r="G930" s="17"/>
      <c r="H930" s="17"/>
      <c r="I930" s="17"/>
    </row>
    <row r="931" spans="2:9" ht="15.75" x14ac:dyDescent="0.25">
      <c r="B931" s="411" t="s">
        <v>76</v>
      </c>
      <c r="C931" s="412">
        <v>2050</v>
      </c>
      <c r="D931" s="412" t="s">
        <v>1307</v>
      </c>
      <c r="E931" s="413">
        <v>290.13654687484058</v>
      </c>
      <c r="F931" s="17"/>
      <c r="G931" s="17"/>
      <c r="H931" s="17"/>
      <c r="I931" s="17"/>
    </row>
    <row r="932" spans="2:9" ht="15.75" x14ac:dyDescent="0.25">
      <c r="B932" s="407" t="s">
        <v>77</v>
      </c>
      <c r="C932" s="408">
        <v>2015</v>
      </c>
      <c r="D932" s="409" t="s">
        <v>239</v>
      </c>
      <c r="E932" s="410">
        <v>558.90220799596966</v>
      </c>
      <c r="F932" s="17"/>
      <c r="G932" s="17"/>
      <c r="H932" s="17"/>
      <c r="I932" s="17"/>
    </row>
    <row r="933" spans="2:9" ht="15.75" x14ac:dyDescent="0.25">
      <c r="B933" s="407" t="s">
        <v>77</v>
      </c>
      <c r="C933" s="408">
        <v>2016</v>
      </c>
      <c r="D933" s="409" t="s">
        <v>240</v>
      </c>
      <c r="E933" s="410">
        <v>550.54397583394359</v>
      </c>
      <c r="F933" s="17"/>
      <c r="G933" s="17"/>
      <c r="H933" s="17"/>
      <c r="I933" s="17"/>
    </row>
    <row r="934" spans="2:9" ht="15.75" x14ac:dyDescent="0.25">
      <c r="B934" s="411" t="s">
        <v>77</v>
      </c>
      <c r="C934" s="412">
        <v>2017</v>
      </c>
      <c r="D934" s="412" t="s">
        <v>1308</v>
      </c>
      <c r="E934" s="413">
        <v>538.94546996588338</v>
      </c>
      <c r="F934" s="17"/>
      <c r="G934" s="17"/>
      <c r="H934" s="17"/>
      <c r="I934" s="17"/>
    </row>
    <row r="935" spans="2:9" ht="15.75" x14ac:dyDescent="0.25">
      <c r="B935" s="411" t="s">
        <v>77</v>
      </c>
      <c r="C935" s="412">
        <v>2018</v>
      </c>
      <c r="D935" s="412" t="s">
        <v>1309</v>
      </c>
      <c r="E935" s="413">
        <v>526.72211328894434</v>
      </c>
      <c r="F935" s="17"/>
      <c r="G935" s="17"/>
      <c r="H935" s="17"/>
      <c r="I935" s="17"/>
    </row>
    <row r="936" spans="2:9" ht="15.75" x14ac:dyDescent="0.25">
      <c r="B936" s="411" t="s">
        <v>77</v>
      </c>
      <c r="C936" s="412">
        <v>2019</v>
      </c>
      <c r="D936" s="412" t="s">
        <v>1310</v>
      </c>
      <c r="E936" s="413">
        <v>513.60780505153048</v>
      </c>
      <c r="F936" s="17"/>
      <c r="G936" s="17"/>
      <c r="H936" s="17"/>
      <c r="I936" s="17"/>
    </row>
    <row r="937" spans="2:9" ht="15.75" x14ac:dyDescent="0.25">
      <c r="B937" s="411" t="s">
        <v>77</v>
      </c>
      <c r="C937" s="412">
        <v>2020</v>
      </c>
      <c r="D937" s="412" t="s">
        <v>1311</v>
      </c>
      <c r="E937" s="413">
        <v>499.82262686039752</v>
      </c>
      <c r="F937" s="17"/>
      <c r="G937" s="17"/>
      <c r="H937" s="17"/>
      <c r="I937" s="17"/>
    </row>
    <row r="938" spans="2:9" ht="15.75" x14ac:dyDescent="0.25">
      <c r="B938" s="411" t="s">
        <v>77</v>
      </c>
      <c r="C938" s="412">
        <v>2021</v>
      </c>
      <c r="D938" s="412" t="s">
        <v>1312</v>
      </c>
      <c r="E938" s="413">
        <v>485.21398429697081</v>
      </c>
      <c r="F938" s="17"/>
      <c r="G938" s="17"/>
      <c r="H938" s="17"/>
      <c r="I938" s="17"/>
    </row>
    <row r="939" spans="2:9" ht="15.75" x14ac:dyDescent="0.25">
      <c r="B939" s="411" t="s">
        <v>77</v>
      </c>
      <c r="C939" s="412">
        <v>2022</v>
      </c>
      <c r="D939" s="412" t="s">
        <v>1313</v>
      </c>
      <c r="E939" s="413">
        <v>470.34928435290891</v>
      </c>
      <c r="F939" s="17"/>
      <c r="G939" s="17"/>
      <c r="H939" s="17"/>
      <c r="I939" s="17"/>
    </row>
    <row r="940" spans="2:9" ht="15.75" x14ac:dyDescent="0.25">
      <c r="B940" s="411" t="s">
        <v>77</v>
      </c>
      <c r="C940" s="412">
        <v>2023</v>
      </c>
      <c r="D940" s="412" t="s">
        <v>1314</v>
      </c>
      <c r="E940" s="413">
        <v>455.56436469740436</v>
      </c>
      <c r="F940" s="17"/>
      <c r="G940" s="17"/>
      <c r="H940" s="17"/>
      <c r="I940" s="17"/>
    </row>
    <row r="941" spans="2:9" ht="15.75" x14ac:dyDescent="0.25">
      <c r="B941" s="411" t="s">
        <v>77</v>
      </c>
      <c r="C941" s="412">
        <v>2024</v>
      </c>
      <c r="D941" s="412" t="s">
        <v>1315</v>
      </c>
      <c r="E941" s="413">
        <v>440.7432437315627</v>
      </c>
      <c r="F941" s="17"/>
      <c r="G941" s="17"/>
      <c r="H941" s="17"/>
      <c r="I941" s="17"/>
    </row>
    <row r="942" spans="2:9" ht="15.75" x14ac:dyDescent="0.25">
      <c r="B942" s="411" t="s">
        <v>77</v>
      </c>
      <c r="C942" s="412">
        <v>2025</v>
      </c>
      <c r="D942" s="412" t="s">
        <v>1316</v>
      </c>
      <c r="E942" s="413">
        <v>426.26200098073281</v>
      </c>
      <c r="F942" s="17"/>
      <c r="G942" s="17"/>
      <c r="H942" s="17"/>
      <c r="I942" s="17"/>
    </row>
    <row r="943" spans="2:9" ht="15.75" x14ac:dyDescent="0.25">
      <c r="B943" s="411" t="s">
        <v>77</v>
      </c>
      <c r="C943" s="412">
        <v>2026</v>
      </c>
      <c r="D943" s="412" t="s">
        <v>1317</v>
      </c>
      <c r="E943" s="413">
        <v>412.6652304162389</v>
      </c>
      <c r="F943" s="17"/>
      <c r="G943" s="17"/>
      <c r="H943" s="17"/>
      <c r="I943" s="17"/>
    </row>
    <row r="944" spans="2:9" ht="15.75" x14ac:dyDescent="0.25">
      <c r="B944" s="411" t="s">
        <v>77</v>
      </c>
      <c r="C944" s="412">
        <v>2027</v>
      </c>
      <c r="D944" s="412" t="s">
        <v>1318</v>
      </c>
      <c r="E944" s="413">
        <v>399.80787009470038</v>
      </c>
      <c r="F944" s="17"/>
      <c r="G944" s="17"/>
      <c r="H944" s="17"/>
      <c r="I944" s="17"/>
    </row>
    <row r="945" spans="2:9" ht="15.75" x14ac:dyDescent="0.25">
      <c r="B945" s="411" t="s">
        <v>77</v>
      </c>
      <c r="C945" s="412">
        <v>2028</v>
      </c>
      <c r="D945" s="412" t="s">
        <v>1319</v>
      </c>
      <c r="E945" s="413">
        <v>387.82584645569392</v>
      </c>
      <c r="F945" s="17"/>
      <c r="G945" s="17"/>
      <c r="H945" s="17"/>
      <c r="I945" s="17"/>
    </row>
    <row r="946" spans="2:9" ht="15.75" x14ac:dyDescent="0.25">
      <c r="B946" s="411" t="s">
        <v>77</v>
      </c>
      <c r="C946" s="412">
        <v>2029</v>
      </c>
      <c r="D946" s="412" t="s">
        <v>1320</v>
      </c>
      <c r="E946" s="413">
        <v>376.7732027169094</v>
      </c>
      <c r="F946" s="17"/>
      <c r="G946" s="17"/>
      <c r="H946" s="17"/>
      <c r="I946" s="17"/>
    </row>
    <row r="947" spans="2:9" ht="15.75" x14ac:dyDescent="0.25">
      <c r="B947" s="411" t="s">
        <v>77</v>
      </c>
      <c r="C947" s="412">
        <v>2030</v>
      </c>
      <c r="D947" s="412" t="s">
        <v>1321</v>
      </c>
      <c r="E947" s="413">
        <v>366.59053891100194</v>
      </c>
      <c r="F947" s="17"/>
      <c r="G947" s="17"/>
      <c r="H947" s="17"/>
      <c r="I947" s="17"/>
    </row>
    <row r="948" spans="2:9" ht="15.75" x14ac:dyDescent="0.25">
      <c r="B948" s="411" t="s">
        <v>77</v>
      </c>
      <c r="C948" s="412">
        <v>2031</v>
      </c>
      <c r="D948" s="412" t="s">
        <v>1322</v>
      </c>
      <c r="E948" s="413">
        <v>357.36988993077489</v>
      </c>
      <c r="F948" s="17"/>
      <c r="G948" s="17"/>
      <c r="H948" s="17"/>
      <c r="I948" s="17"/>
    </row>
    <row r="949" spans="2:9" ht="15.75" x14ac:dyDescent="0.25">
      <c r="B949" s="411" t="s">
        <v>77</v>
      </c>
      <c r="C949" s="412">
        <v>2032</v>
      </c>
      <c r="D949" s="412" t="s">
        <v>1323</v>
      </c>
      <c r="E949" s="413">
        <v>349.11987131039496</v>
      </c>
      <c r="F949" s="17"/>
      <c r="G949" s="17"/>
      <c r="H949" s="17"/>
      <c r="I949" s="17"/>
    </row>
    <row r="950" spans="2:9" ht="15.75" x14ac:dyDescent="0.25">
      <c r="B950" s="411" t="s">
        <v>77</v>
      </c>
      <c r="C950" s="412">
        <v>2033</v>
      </c>
      <c r="D950" s="412" t="s">
        <v>1324</v>
      </c>
      <c r="E950" s="413">
        <v>341.63440128384639</v>
      </c>
      <c r="F950" s="17"/>
      <c r="G950" s="17"/>
      <c r="H950" s="17"/>
      <c r="I950" s="17"/>
    </row>
    <row r="951" spans="2:9" ht="15.75" x14ac:dyDescent="0.25">
      <c r="B951" s="411" t="s">
        <v>77</v>
      </c>
      <c r="C951" s="412">
        <v>2034</v>
      </c>
      <c r="D951" s="412" t="s">
        <v>1325</v>
      </c>
      <c r="E951" s="413">
        <v>334.96651380659301</v>
      </c>
      <c r="F951" s="17"/>
      <c r="G951" s="17"/>
      <c r="H951" s="17"/>
      <c r="I951" s="17"/>
    </row>
    <row r="952" spans="2:9" ht="15.75" x14ac:dyDescent="0.25">
      <c r="B952" s="411" t="s">
        <v>77</v>
      </c>
      <c r="C952" s="412">
        <v>2035</v>
      </c>
      <c r="D952" s="412" t="s">
        <v>1326</v>
      </c>
      <c r="E952" s="413">
        <v>328.97114434026633</v>
      </c>
      <c r="F952" s="17"/>
      <c r="G952" s="17"/>
      <c r="H952" s="17"/>
      <c r="I952" s="17"/>
    </row>
    <row r="953" spans="2:9" ht="15.75" x14ac:dyDescent="0.25">
      <c r="B953" s="411" t="s">
        <v>77</v>
      </c>
      <c r="C953" s="412">
        <v>2036</v>
      </c>
      <c r="D953" s="412" t="s">
        <v>1327</v>
      </c>
      <c r="E953" s="413">
        <v>323.81429519345272</v>
      </c>
      <c r="F953" s="17"/>
      <c r="G953" s="17"/>
      <c r="H953" s="17"/>
      <c r="I953" s="17"/>
    </row>
    <row r="954" spans="2:9" ht="15.75" x14ac:dyDescent="0.25">
      <c r="B954" s="411" t="s">
        <v>77</v>
      </c>
      <c r="C954" s="412">
        <v>2037</v>
      </c>
      <c r="D954" s="412" t="s">
        <v>1328</v>
      </c>
      <c r="E954" s="413">
        <v>319.23150094515574</v>
      </c>
      <c r="F954" s="17"/>
      <c r="G954" s="17"/>
      <c r="H954" s="17"/>
      <c r="I954" s="17"/>
    </row>
    <row r="955" spans="2:9" ht="15.75" x14ac:dyDescent="0.25">
      <c r="B955" s="411" t="s">
        <v>77</v>
      </c>
      <c r="C955" s="412">
        <v>2038</v>
      </c>
      <c r="D955" s="412" t="s">
        <v>1329</v>
      </c>
      <c r="E955" s="413">
        <v>315.29459192823373</v>
      </c>
      <c r="F955" s="17"/>
      <c r="G955" s="17"/>
      <c r="H955" s="17"/>
      <c r="I955" s="17"/>
    </row>
    <row r="956" spans="2:9" ht="15.75" x14ac:dyDescent="0.25">
      <c r="B956" s="411" t="s">
        <v>77</v>
      </c>
      <c r="C956" s="412">
        <v>2039</v>
      </c>
      <c r="D956" s="412" t="s">
        <v>1330</v>
      </c>
      <c r="E956" s="413">
        <v>311.84308588938558</v>
      </c>
      <c r="F956" s="17"/>
      <c r="G956" s="17"/>
      <c r="H956" s="17"/>
      <c r="I956" s="17"/>
    </row>
    <row r="957" spans="2:9" ht="15.75" x14ac:dyDescent="0.25">
      <c r="B957" s="411" t="s">
        <v>77</v>
      </c>
      <c r="C957" s="412">
        <v>2040</v>
      </c>
      <c r="D957" s="412" t="s">
        <v>1331</v>
      </c>
      <c r="E957" s="413">
        <v>308.82329633807564</v>
      </c>
      <c r="F957" s="17"/>
      <c r="G957" s="17"/>
      <c r="H957" s="17"/>
      <c r="I957" s="17"/>
    </row>
    <row r="958" spans="2:9" ht="15.75" x14ac:dyDescent="0.25">
      <c r="B958" s="411" t="s">
        <v>77</v>
      </c>
      <c r="C958" s="412">
        <v>2041</v>
      </c>
      <c r="D958" s="412" t="s">
        <v>1332</v>
      </c>
      <c r="E958" s="413">
        <v>306.24567043304023</v>
      </c>
      <c r="F958" s="17"/>
      <c r="G958" s="17"/>
      <c r="H958" s="17"/>
      <c r="I958" s="17"/>
    </row>
    <row r="959" spans="2:9" ht="15.75" x14ac:dyDescent="0.25">
      <c r="B959" s="411" t="s">
        <v>77</v>
      </c>
      <c r="C959" s="412">
        <v>2042</v>
      </c>
      <c r="D959" s="412" t="s">
        <v>1333</v>
      </c>
      <c r="E959" s="413">
        <v>303.93491744724435</v>
      </c>
      <c r="F959" s="17"/>
      <c r="G959" s="17"/>
      <c r="H959" s="17"/>
      <c r="I959" s="17"/>
    </row>
    <row r="960" spans="2:9" ht="15.75" x14ac:dyDescent="0.25">
      <c r="B960" s="411" t="s">
        <v>77</v>
      </c>
      <c r="C960" s="412">
        <v>2043</v>
      </c>
      <c r="D960" s="412" t="s">
        <v>1334</v>
      </c>
      <c r="E960" s="413">
        <v>301.94266648052184</v>
      </c>
      <c r="F960" s="17"/>
      <c r="G960" s="17"/>
      <c r="H960" s="17"/>
      <c r="I960" s="17"/>
    </row>
    <row r="961" spans="2:9" ht="15.75" x14ac:dyDescent="0.25">
      <c r="B961" s="411" t="s">
        <v>77</v>
      </c>
      <c r="C961" s="412">
        <v>2044</v>
      </c>
      <c r="D961" s="412" t="s">
        <v>1335</v>
      </c>
      <c r="E961" s="413">
        <v>300.16516873312355</v>
      </c>
      <c r="F961" s="17"/>
      <c r="G961" s="17"/>
      <c r="H961" s="17"/>
      <c r="I961" s="17"/>
    </row>
    <row r="962" spans="2:9" ht="15.75" x14ac:dyDescent="0.25">
      <c r="B962" s="411" t="s">
        <v>77</v>
      </c>
      <c r="C962" s="412">
        <v>2045</v>
      </c>
      <c r="D962" s="412" t="s">
        <v>1336</v>
      </c>
      <c r="E962" s="413">
        <v>298.5490554502</v>
      </c>
      <c r="F962" s="17"/>
      <c r="G962" s="17"/>
      <c r="H962" s="17"/>
      <c r="I962" s="17"/>
    </row>
    <row r="963" spans="2:9" ht="15.75" x14ac:dyDescent="0.25">
      <c r="B963" s="411" t="s">
        <v>77</v>
      </c>
      <c r="C963" s="412">
        <v>2046</v>
      </c>
      <c r="D963" s="412" t="s">
        <v>1337</v>
      </c>
      <c r="E963" s="413">
        <v>297.15066783537503</v>
      </c>
      <c r="F963" s="17"/>
      <c r="G963" s="17"/>
      <c r="H963" s="17"/>
      <c r="I963" s="17"/>
    </row>
    <row r="964" spans="2:9" ht="15.75" x14ac:dyDescent="0.25">
      <c r="B964" s="411" t="s">
        <v>77</v>
      </c>
      <c r="C964" s="412">
        <v>2047</v>
      </c>
      <c r="D964" s="412" t="s">
        <v>1338</v>
      </c>
      <c r="E964" s="413">
        <v>295.89806278849187</v>
      </c>
      <c r="F964" s="17"/>
      <c r="G964" s="17"/>
      <c r="H964" s="17"/>
      <c r="I964" s="17"/>
    </row>
    <row r="965" spans="2:9" ht="15.75" x14ac:dyDescent="0.25">
      <c r="B965" s="411" t="s">
        <v>77</v>
      </c>
      <c r="C965" s="412">
        <v>2048</v>
      </c>
      <c r="D965" s="412" t="s">
        <v>1339</v>
      </c>
      <c r="E965" s="413">
        <v>294.8295036390179</v>
      </c>
      <c r="F965" s="17"/>
      <c r="G965" s="17"/>
      <c r="H965" s="17"/>
      <c r="I965" s="17"/>
    </row>
    <row r="966" spans="2:9" ht="15.75" x14ac:dyDescent="0.25">
      <c r="B966" s="411" t="s">
        <v>77</v>
      </c>
      <c r="C966" s="412">
        <v>2049</v>
      </c>
      <c r="D966" s="412" t="s">
        <v>1340</v>
      </c>
      <c r="E966" s="413">
        <v>293.88829299279314</v>
      </c>
      <c r="F966" s="17"/>
      <c r="G966" s="17"/>
      <c r="H966" s="17"/>
      <c r="I966" s="17"/>
    </row>
    <row r="967" spans="2:9" ht="15.75" x14ac:dyDescent="0.25">
      <c r="B967" s="411" t="s">
        <v>77</v>
      </c>
      <c r="C967" s="412">
        <v>2050</v>
      </c>
      <c r="D967" s="412" t="s">
        <v>1341</v>
      </c>
      <c r="E967" s="413">
        <v>293.07132099489218</v>
      </c>
      <c r="F967" s="17"/>
      <c r="G967" s="17"/>
      <c r="H967" s="17"/>
      <c r="I967" s="17"/>
    </row>
    <row r="968" spans="2:9" ht="15.75" x14ac:dyDescent="0.25">
      <c r="B968" s="407" t="s">
        <v>241</v>
      </c>
      <c r="C968" s="408">
        <v>2015</v>
      </c>
      <c r="D968" s="409" t="s">
        <v>242</v>
      </c>
      <c r="E968" s="410">
        <v>513.03968055046005</v>
      </c>
      <c r="F968" s="17"/>
      <c r="G968" s="17"/>
      <c r="H968" s="17"/>
      <c r="I968" s="17"/>
    </row>
    <row r="969" spans="2:9" ht="15.75" x14ac:dyDescent="0.25">
      <c r="B969" s="407" t="s">
        <v>241</v>
      </c>
      <c r="C969" s="408">
        <v>2016</v>
      </c>
      <c r="D969" s="409" t="s">
        <v>243</v>
      </c>
      <c r="E969" s="410">
        <v>503.87456644366068</v>
      </c>
      <c r="F969" s="17"/>
      <c r="G969" s="17"/>
      <c r="H969" s="17"/>
      <c r="I969" s="17"/>
    </row>
    <row r="970" spans="2:9" ht="15.75" x14ac:dyDescent="0.25">
      <c r="B970" s="411" t="s">
        <v>241</v>
      </c>
      <c r="C970" s="412">
        <v>2017</v>
      </c>
      <c r="D970" s="412" t="s">
        <v>1342</v>
      </c>
      <c r="E970" s="413">
        <v>492.54768414934222</v>
      </c>
      <c r="F970" s="17"/>
      <c r="G970" s="17"/>
      <c r="H970" s="17"/>
      <c r="I970" s="17"/>
    </row>
    <row r="971" spans="2:9" ht="15.75" x14ac:dyDescent="0.25">
      <c r="B971" s="411" t="s">
        <v>241</v>
      </c>
      <c r="C971" s="412">
        <v>2018</v>
      </c>
      <c r="D971" s="412" t="s">
        <v>1343</v>
      </c>
      <c r="E971" s="413">
        <v>480.60888819862214</v>
      </c>
      <c r="F971" s="17"/>
      <c r="G971" s="17"/>
      <c r="H971" s="17"/>
      <c r="I971" s="17"/>
    </row>
    <row r="972" spans="2:9" ht="15.75" x14ac:dyDescent="0.25">
      <c r="B972" s="411" t="s">
        <v>241</v>
      </c>
      <c r="C972" s="412">
        <v>2019</v>
      </c>
      <c r="D972" s="412" t="s">
        <v>1344</v>
      </c>
      <c r="E972" s="413">
        <v>468.0927419464436</v>
      </c>
      <c r="F972" s="17"/>
      <c r="G972" s="17"/>
      <c r="H972" s="17"/>
      <c r="I972" s="17"/>
    </row>
    <row r="973" spans="2:9" ht="15.75" x14ac:dyDescent="0.25">
      <c r="B973" s="411" t="s">
        <v>241</v>
      </c>
      <c r="C973" s="412">
        <v>2020</v>
      </c>
      <c r="D973" s="412" t="s">
        <v>1345</v>
      </c>
      <c r="E973" s="413">
        <v>455.27998443876072</v>
      </c>
      <c r="F973" s="17"/>
      <c r="G973" s="17"/>
      <c r="H973" s="17"/>
      <c r="I973" s="17"/>
    </row>
    <row r="974" spans="2:9" ht="15.75" x14ac:dyDescent="0.25">
      <c r="B974" s="411" t="s">
        <v>241</v>
      </c>
      <c r="C974" s="412">
        <v>2021</v>
      </c>
      <c r="D974" s="412" t="s">
        <v>1346</v>
      </c>
      <c r="E974" s="413">
        <v>442.18626432012491</v>
      </c>
      <c r="F974" s="17"/>
      <c r="G974" s="17"/>
      <c r="H974" s="17"/>
      <c r="I974" s="17"/>
    </row>
    <row r="975" spans="2:9" ht="15.75" x14ac:dyDescent="0.25">
      <c r="B975" s="411" t="s">
        <v>241</v>
      </c>
      <c r="C975" s="412">
        <v>2022</v>
      </c>
      <c r="D975" s="412" t="s">
        <v>1347</v>
      </c>
      <c r="E975" s="413">
        <v>429.18652866017152</v>
      </c>
      <c r="F975" s="17"/>
      <c r="G975" s="17"/>
      <c r="H975" s="17"/>
      <c r="I975" s="17"/>
    </row>
    <row r="976" spans="2:9" ht="15.75" x14ac:dyDescent="0.25">
      <c r="B976" s="411" t="s">
        <v>241</v>
      </c>
      <c r="C976" s="412">
        <v>2023</v>
      </c>
      <c r="D976" s="412" t="s">
        <v>1348</v>
      </c>
      <c r="E976" s="413">
        <v>416.22997334259924</v>
      </c>
      <c r="F976" s="17"/>
      <c r="G976" s="17"/>
      <c r="H976" s="17"/>
      <c r="I976" s="17"/>
    </row>
    <row r="977" spans="2:9" ht="15.75" x14ac:dyDescent="0.25">
      <c r="B977" s="411" t="s">
        <v>241</v>
      </c>
      <c r="C977" s="412">
        <v>2024</v>
      </c>
      <c r="D977" s="412" t="s">
        <v>1349</v>
      </c>
      <c r="E977" s="413">
        <v>403.40921306617867</v>
      </c>
      <c r="F977" s="17"/>
      <c r="G977" s="17"/>
      <c r="H977" s="17"/>
      <c r="I977" s="17"/>
    </row>
    <row r="978" spans="2:9" ht="15.75" x14ac:dyDescent="0.25">
      <c r="B978" s="411" t="s">
        <v>241</v>
      </c>
      <c r="C978" s="412">
        <v>2025</v>
      </c>
      <c r="D978" s="412" t="s">
        <v>1350</v>
      </c>
      <c r="E978" s="413">
        <v>390.79640671378593</v>
      </c>
      <c r="F978" s="17"/>
      <c r="G978" s="17"/>
      <c r="H978" s="17"/>
      <c r="I978" s="17"/>
    </row>
    <row r="979" spans="2:9" ht="15.75" x14ac:dyDescent="0.25">
      <c r="B979" s="411" t="s">
        <v>241</v>
      </c>
      <c r="C979" s="412">
        <v>2026</v>
      </c>
      <c r="D979" s="412" t="s">
        <v>1351</v>
      </c>
      <c r="E979" s="413">
        <v>379.17583482493814</v>
      </c>
      <c r="F979" s="17"/>
      <c r="G979" s="17"/>
      <c r="H979" s="17"/>
      <c r="I979" s="17"/>
    </row>
    <row r="980" spans="2:9" ht="15.75" x14ac:dyDescent="0.25">
      <c r="B980" s="411" t="s">
        <v>241</v>
      </c>
      <c r="C980" s="412">
        <v>2027</v>
      </c>
      <c r="D980" s="412" t="s">
        <v>1352</v>
      </c>
      <c r="E980" s="413">
        <v>368.42200963911478</v>
      </c>
      <c r="F980" s="17"/>
      <c r="G980" s="17"/>
      <c r="H980" s="17"/>
      <c r="I980" s="17"/>
    </row>
    <row r="981" spans="2:9" ht="15.75" x14ac:dyDescent="0.25">
      <c r="B981" s="411" t="s">
        <v>241</v>
      </c>
      <c r="C981" s="412">
        <v>2028</v>
      </c>
      <c r="D981" s="412" t="s">
        <v>1353</v>
      </c>
      <c r="E981" s="413">
        <v>358.61628139636491</v>
      </c>
      <c r="F981" s="17"/>
      <c r="G981" s="17"/>
      <c r="H981" s="17"/>
      <c r="I981" s="17"/>
    </row>
    <row r="982" spans="2:9" ht="15.75" x14ac:dyDescent="0.25">
      <c r="B982" s="411" t="s">
        <v>241</v>
      </c>
      <c r="C982" s="412">
        <v>2029</v>
      </c>
      <c r="D982" s="412" t="s">
        <v>1354</v>
      </c>
      <c r="E982" s="413">
        <v>349.67285210270978</v>
      </c>
      <c r="F982" s="17"/>
      <c r="G982" s="17"/>
      <c r="H982" s="17"/>
      <c r="I982" s="17"/>
    </row>
    <row r="983" spans="2:9" ht="15.75" x14ac:dyDescent="0.25">
      <c r="B983" s="411" t="s">
        <v>241</v>
      </c>
      <c r="C983" s="412">
        <v>2030</v>
      </c>
      <c r="D983" s="412" t="s">
        <v>1355</v>
      </c>
      <c r="E983" s="413">
        <v>341.57105595342034</v>
      </c>
      <c r="F983" s="17"/>
      <c r="G983" s="17"/>
      <c r="H983" s="17"/>
      <c r="I983" s="17"/>
    </row>
    <row r="984" spans="2:9" ht="15.75" x14ac:dyDescent="0.25">
      <c r="B984" s="411" t="s">
        <v>241</v>
      </c>
      <c r="C984" s="412">
        <v>2031</v>
      </c>
      <c r="D984" s="412" t="s">
        <v>1356</v>
      </c>
      <c r="E984" s="413">
        <v>334.25478620988531</v>
      </c>
      <c r="F984" s="17"/>
      <c r="G984" s="17"/>
      <c r="H984" s="17"/>
      <c r="I984" s="17"/>
    </row>
    <row r="985" spans="2:9" ht="15.75" x14ac:dyDescent="0.25">
      <c r="B985" s="411" t="s">
        <v>241</v>
      </c>
      <c r="C985" s="412">
        <v>2032</v>
      </c>
      <c r="D985" s="412" t="s">
        <v>1357</v>
      </c>
      <c r="E985" s="413">
        <v>327.68981545965653</v>
      </c>
      <c r="F985" s="17"/>
      <c r="G985" s="17"/>
      <c r="H985" s="17"/>
      <c r="I985" s="17"/>
    </row>
    <row r="986" spans="2:9" ht="15.75" x14ac:dyDescent="0.25">
      <c r="B986" s="411" t="s">
        <v>241</v>
      </c>
      <c r="C986" s="412">
        <v>2033</v>
      </c>
      <c r="D986" s="412" t="s">
        <v>1358</v>
      </c>
      <c r="E986" s="413">
        <v>321.82885725482885</v>
      </c>
      <c r="F986" s="17"/>
      <c r="G986" s="17"/>
      <c r="H986" s="17"/>
      <c r="I986" s="17"/>
    </row>
    <row r="987" spans="2:9" ht="15.75" x14ac:dyDescent="0.25">
      <c r="B987" s="411" t="s">
        <v>241</v>
      </c>
      <c r="C987" s="412">
        <v>2034</v>
      </c>
      <c r="D987" s="412" t="s">
        <v>1359</v>
      </c>
      <c r="E987" s="413">
        <v>316.58760429931328</v>
      </c>
      <c r="F987" s="17"/>
      <c r="G987" s="17"/>
      <c r="H987" s="17"/>
      <c r="I987" s="17"/>
    </row>
    <row r="988" spans="2:9" ht="15.75" x14ac:dyDescent="0.25">
      <c r="B988" s="411" t="s">
        <v>241</v>
      </c>
      <c r="C988" s="412">
        <v>2035</v>
      </c>
      <c r="D988" s="412" t="s">
        <v>1360</v>
      </c>
      <c r="E988" s="413">
        <v>311.94791700746498</v>
      </c>
      <c r="F988" s="17"/>
      <c r="G988" s="17"/>
      <c r="H988" s="17"/>
      <c r="I988" s="17"/>
    </row>
    <row r="989" spans="2:9" ht="15.75" x14ac:dyDescent="0.25">
      <c r="B989" s="411" t="s">
        <v>241</v>
      </c>
      <c r="C989" s="412">
        <v>2036</v>
      </c>
      <c r="D989" s="412" t="s">
        <v>1361</v>
      </c>
      <c r="E989" s="413">
        <v>307.85432376979884</v>
      </c>
      <c r="F989" s="17"/>
      <c r="G989" s="17"/>
      <c r="H989" s="17"/>
      <c r="I989" s="17"/>
    </row>
    <row r="990" spans="2:9" ht="15.75" x14ac:dyDescent="0.25">
      <c r="B990" s="411" t="s">
        <v>241</v>
      </c>
      <c r="C990" s="412">
        <v>2037</v>
      </c>
      <c r="D990" s="412" t="s">
        <v>1362</v>
      </c>
      <c r="E990" s="413">
        <v>304.28924877826438</v>
      </c>
      <c r="F990" s="17"/>
      <c r="G990" s="17"/>
      <c r="H990" s="17"/>
      <c r="I990" s="17"/>
    </row>
    <row r="991" spans="2:9" ht="15.75" x14ac:dyDescent="0.25">
      <c r="B991" s="411" t="s">
        <v>241</v>
      </c>
      <c r="C991" s="412">
        <v>2038</v>
      </c>
      <c r="D991" s="412" t="s">
        <v>1363</v>
      </c>
      <c r="E991" s="413">
        <v>301.20235087148967</v>
      </c>
      <c r="F991" s="17"/>
      <c r="G991" s="17"/>
      <c r="H991" s="17"/>
      <c r="I991" s="17"/>
    </row>
    <row r="992" spans="2:9" ht="15.75" x14ac:dyDescent="0.25">
      <c r="B992" s="411" t="s">
        <v>241</v>
      </c>
      <c r="C992" s="412">
        <v>2039</v>
      </c>
      <c r="D992" s="412" t="s">
        <v>1364</v>
      </c>
      <c r="E992" s="413">
        <v>298.51892498856921</v>
      </c>
      <c r="F992" s="17"/>
      <c r="G992" s="17"/>
      <c r="H992" s="17"/>
      <c r="I992" s="17"/>
    </row>
    <row r="993" spans="2:9" ht="15.75" x14ac:dyDescent="0.25">
      <c r="B993" s="411" t="s">
        <v>241</v>
      </c>
      <c r="C993" s="412">
        <v>2040</v>
      </c>
      <c r="D993" s="412" t="s">
        <v>1365</v>
      </c>
      <c r="E993" s="413">
        <v>296.20590508218004</v>
      </c>
      <c r="F993" s="17"/>
      <c r="G993" s="17"/>
      <c r="H993" s="17"/>
      <c r="I993" s="17"/>
    </row>
    <row r="994" spans="2:9" ht="15.75" x14ac:dyDescent="0.25">
      <c r="B994" s="411" t="s">
        <v>241</v>
      </c>
      <c r="C994" s="412">
        <v>2041</v>
      </c>
      <c r="D994" s="412" t="s">
        <v>1366</v>
      </c>
      <c r="E994" s="413">
        <v>294.23696853638785</v>
      </c>
      <c r="F994" s="17"/>
      <c r="G994" s="17"/>
      <c r="H994" s="17"/>
      <c r="I994" s="17"/>
    </row>
    <row r="995" spans="2:9" ht="15.75" x14ac:dyDescent="0.25">
      <c r="B995" s="411" t="s">
        <v>241</v>
      </c>
      <c r="C995" s="412">
        <v>2042</v>
      </c>
      <c r="D995" s="412" t="s">
        <v>1367</v>
      </c>
      <c r="E995" s="413">
        <v>292.53351187022974</v>
      </c>
      <c r="F995" s="17"/>
      <c r="G995" s="17"/>
      <c r="H995" s="17"/>
      <c r="I995" s="17"/>
    </row>
    <row r="996" spans="2:9" ht="15.75" x14ac:dyDescent="0.25">
      <c r="B996" s="411" t="s">
        <v>241</v>
      </c>
      <c r="C996" s="412">
        <v>2043</v>
      </c>
      <c r="D996" s="412" t="s">
        <v>1368</v>
      </c>
      <c r="E996" s="413">
        <v>291.08535008904875</v>
      </c>
      <c r="F996" s="17"/>
      <c r="G996" s="17"/>
      <c r="H996" s="17"/>
      <c r="I996" s="17"/>
    </row>
    <row r="997" spans="2:9" ht="15.75" x14ac:dyDescent="0.25">
      <c r="B997" s="411" t="s">
        <v>241</v>
      </c>
      <c r="C997" s="412">
        <v>2044</v>
      </c>
      <c r="D997" s="412" t="s">
        <v>1369</v>
      </c>
      <c r="E997" s="413">
        <v>289.84551715519331</v>
      </c>
      <c r="F997" s="17"/>
      <c r="G997" s="17"/>
      <c r="H997" s="17"/>
      <c r="I997" s="17"/>
    </row>
    <row r="998" spans="2:9" ht="15.75" x14ac:dyDescent="0.25">
      <c r="B998" s="411" t="s">
        <v>241</v>
      </c>
      <c r="C998" s="412">
        <v>2045</v>
      </c>
      <c r="D998" s="412" t="s">
        <v>1370</v>
      </c>
      <c r="E998" s="413">
        <v>288.76225622986874</v>
      </c>
      <c r="F998" s="17"/>
      <c r="G998" s="17"/>
      <c r="H998" s="17"/>
      <c r="I998" s="17"/>
    </row>
    <row r="999" spans="2:9" ht="15.75" x14ac:dyDescent="0.25">
      <c r="B999" s="411" t="s">
        <v>241</v>
      </c>
      <c r="C999" s="412">
        <v>2046</v>
      </c>
      <c r="D999" s="412" t="s">
        <v>1371</v>
      </c>
      <c r="E999" s="413">
        <v>287.83136339383731</v>
      </c>
      <c r="F999" s="17"/>
      <c r="G999" s="17"/>
      <c r="H999" s="17"/>
      <c r="I999" s="17"/>
    </row>
    <row r="1000" spans="2:9" ht="15.75" x14ac:dyDescent="0.25">
      <c r="B1000" s="411" t="s">
        <v>241</v>
      </c>
      <c r="C1000" s="412">
        <v>2047</v>
      </c>
      <c r="D1000" s="412" t="s">
        <v>1372</v>
      </c>
      <c r="E1000" s="413">
        <v>287.0474099805221</v>
      </c>
      <c r="F1000" s="17"/>
      <c r="G1000" s="17"/>
      <c r="H1000" s="17"/>
      <c r="I1000" s="17"/>
    </row>
    <row r="1001" spans="2:9" ht="15.75" x14ac:dyDescent="0.25">
      <c r="B1001" s="411" t="s">
        <v>241</v>
      </c>
      <c r="C1001" s="412">
        <v>2048</v>
      </c>
      <c r="D1001" s="412" t="s">
        <v>1373</v>
      </c>
      <c r="E1001" s="413">
        <v>286.38884982991516</v>
      </c>
      <c r="F1001" s="17"/>
      <c r="G1001" s="17"/>
      <c r="H1001" s="17"/>
      <c r="I1001" s="17"/>
    </row>
    <row r="1002" spans="2:9" ht="15.75" x14ac:dyDescent="0.25">
      <c r="B1002" s="411" t="s">
        <v>241</v>
      </c>
      <c r="C1002" s="412">
        <v>2049</v>
      </c>
      <c r="D1002" s="412" t="s">
        <v>1374</v>
      </c>
      <c r="E1002" s="413">
        <v>285.81802526838771</v>
      </c>
      <c r="F1002" s="17"/>
      <c r="G1002" s="17"/>
      <c r="H1002" s="17"/>
      <c r="I1002" s="17"/>
    </row>
    <row r="1003" spans="2:9" ht="15.75" x14ac:dyDescent="0.25">
      <c r="B1003" s="411" t="s">
        <v>241</v>
      </c>
      <c r="C1003" s="412">
        <v>2050</v>
      </c>
      <c r="D1003" s="412" t="s">
        <v>1375</v>
      </c>
      <c r="E1003" s="413">
        <v>285.34219475473282</v>
      </c>
      <c r="F1003" s="17"/>
      <c r="G1003" s="17"/>
      <c r="H1003" s="17"/>
      <c r="I1003" s="17"/>
    </row>
    <row r="1004" spans="2:9" ht="15.75" x14ac:dyDescent="0.25">
      <c r="B1004" s="407" t="s">
        <v>78</v>
      </c>
      <c r="C1004" s="408">
        <v>2015</v>
      </c>
      <c r="D1004" s="409" t="s">
        <v>244</v>
      </c>
      <c r="E1004" s="410">
        <v>529.35015779255298</v>
      </c>
      <c r="F1004" s="17"/>
      <c r="G1004" s="17"/>
      <c r="H1004" s="17"/>
      <c r="I1004" s="17"/>
    </row>
    <row r="1005" spans="2:9" ht="15.75" x14ac:dyDescent="0.25">
      <c r="B1005" s="407" t="s">
        <v>78</v>
      </c>
      <c r="C1005" s="408">
        <v>2016</v>
      </c>
      <c r="D1005" s="409" t="s">
        <v>245</v>
      </c>
      <c r="E1005" s="410">
        <v>518.70245308768335</v>
      </c>
      <c r="F1005" s="17"/>
      <c r="G1005" s="17"/>
      <c r="H1005" s="17"/>
      <c r="I1005" s="17"/>
    </row>
    <row r="1006" spans="2:9" ht="15.75" x14ac:dyDescent="0.25">
      <c r="B1006" s="411" t="s">
        <v>78</v>
      </c>
      <c r="C1006" s="412">
        <v>2017</v>
      </c>
      <c r="D1006" s="412" t="s">
        <v>1376</v>
      </c>
      <c r="E1006" s="413">
        <v>506.28143292501528</v>
      </c>
      <c r="F1006" s="17"/>
      <c r="G1006" s="17"/>
      <c r="H1006" s="17"/>
      <c r="I1006" s="17"/>
    </row>
    <row r="1007" spans="2:9" ht="15.75" x14ac:dyDescent="0.25">
      <c r="B1007" s="411" t="s">
        <v>78</v>
      </c>
      <c r="C1007" s="412">
        <v>2018</v>
      </c>
      <c r="D1007" s="412" t="s">
        <v>1377</v>
      </c>
      <c r="E1007" s="413">
        <v>495.19844003070216</v>
      </c>
      <c r="F1007" s="17"/>
      <c r="G1007" s="17"/>
      <c r="H1007" s="17"/>
      <c r="I1007" s="17"/>
    </row>
    <row r="1008" spans="2:9" ht="15.75" x14ac:dyDescent="0.25">
      <c r="B1008" s="411" t="s">
        <v>78</v>
      </c>
      <c r="C1008" s="412">
        <v>2019</v>
      </c>
      <c r="D1008" s="412" t="s">
        <v>1378</v>
      </c>
      <c r="E1008" s="413">
        <v>481.19764946860295</v>
      </c>
      <c r="F1008" s="17"/>
      <c r="G1008" s="17"/>
      <c r="H1008" s="17"/>
      <c r="I1008" s="17"/>
    </row>
    <row r="1009" spans="2:9" ht="15.75" x14ac:dyDescent="0.25">
      <c r="B1009" s="411" t="s">
        <v>78</v>
      </c>
      <c r="C1009" s="412">
        <v>2020</v>
      </c>
      <c r="D1009" s="412" t="s">
        <v>1379</v>
      </c>
      <c r="E1009" s="413">
        <v>466.90003528607957</v>
      </c>
      <c r="F1009" s="17"/>
      <c r="G1009" s="17"/>
      <c r="H1009" s="17"/>
      <c r="I1009" s="17"/>
    </row>
    <row r="1010" spans="2:9" ht="15.75" x14ac:dyDescent="0.25">
      <c r="B1010" s="411" t="s">
        <v>78</v>
      </c>
      <c r="C1010" s="412">
        <v>2021</v>
      </c>
      <c r="D1010" s="412" t="s">
        <v>1380</v>
      </c>
      <c r="E1010" s="413">
        <v>453.65962450666729</v>
      </c>
      <c r="F1010" s="17"/>
      <c r="G1010" s="17"/>
      <c r="H1010" s="17"/>
      <c r="I1010" s="17"/>
    </row>
    <row r="1011" spans="2:9" ht="15.75" x14ac:dyDescent="0.25">
      <c r="B1011" s="411" t="s">
        <v>78</v>
      </c>
      <c r="C1011" s="412">
        <v>2022</v>
      </c>
      <c r="D1011" s="412" t="s">
        <v>1381</v>
      </c>
      <c r="E1011" s="413">
        <v>439.30104454147812</v>
      </c>
      <c r="F1011" s="17"/>
      <c r="G1011" s="17"/>
      <c r="H1011" s="17"/>
      <c r="I1011" s="17"/>
    </row>
    <row r="1012" spans="2:9" ht="15.75" x14ac:dyDescent="0.25">
      <c r="B1012" s="411" t="s">
        <v>78</v>
      </c>
      <c r="C1012" s="412">
        <v>2023</v>
      </c>
      <c r="D1012" s="412" t="s">
        <v>1382</v>
      </c>
      <c r="E1012" s="413">
        <v>425.09482662538159</v>
      </c>
      <c r="F1012" s="17"/>
      <c r="G1012" s="17"/>
      <c r="H1012" s="17"/>
      <c r="I1012" s="17"/>
    </row>
    <row r="1013" spans="2:9" ht="15.75" x14ac:dyDescent="0.25">
      <c r="B1013" s="411" t="s">
        <v>78</v>
      </c>
      <c r="C1013" s="412">
        <v>2024</v>
      </c>
      <c r="D1013" s="412" t="s">
        <v>1383</v>
      </c>
      <c r="E1013" s="413">
        <v>412.15072623035491</v>
      </c>
      <c r="F1013" s="17"/>
      <c r="G1013" s="17"/>
      <c r="H1013" s="17"/>
      <c r="I1013" s="17"/>
    </row>
    <row r="1014" spans="2:9" ht="15.75" x14ac:dyDescent="0.25">
      <c r="B1014" s="411" t="s">
        <v>78</v>
      </c>
      <c r="C1014" s="412">
        <v>2025</v>
      </c>
      <c r="D1014" s="412" t="s">
        <v>1384</v>
      </c>
      <c r="E1014" s="413">
        <v>398.3868947507782</v>
      </c>
      <c r="F1014" s="17"/>
      <c r="G1014" s="17"/>
      <c r="H1014" s="17"/>
      <c r="I1014" s="17"/>
    </row>
    <row r="1015" spans="2:9" ht="15.75" x14ac:dyDescent="0.25">
      <c r="B1015" s="411" t="s">
        <v>78</v>
      </c>
      <c r="C1015" s="412">
        <v>2026</v>
      </c>
      <c r="D1015" s="412" t="s">
        <v>1385</v>
      </c>
      <c r="E1015" s="413">
        <v>387.16913255465738</v>
      </c>
      <c r="F1015" s="17"/>
      <c r="G1015" s="17"/>
      <c r="H1015" s="17"/>
      <c r="I1015" s="17"/>
    </row>
    <row r="1016" spans="2:9" ht="15.75" x14ac:dyDescent="0.25">
      <c r="B1016" s="411" t="s">
        <v>78</v>
      </c>
      <c r="C1016" s="412">
        <v>2027</v>
      </c>
      <c r="D1016" s="412" t="s">
        <v>1386</v>
      </c>
      <c r="E1016" s="413">
        <v>375.42684068828498</v>
      </c>
      <c r="F1016" s="17"/>
      <c r="G1016" s="17"/>
      <c r="H1016" s="17"/>
      <c r="I1016" s="17"/>
    </row>
    <row r="1017" spans="2:9" ht="15.75" x14ac:dyDescent="0.25">
      <c r="B1017" s="411" t="s">
        <v>78</v>
      </c>
      <c r="C1017" s="412">
        <v>2028</v>
      </c>
      <c r="D1017" s="412" t="s">
        <v>1387</v>
      </c>
      <c r="E1017" s="413">
        <v>364.77988756140149</v>
      </c>
      <c r="F1017" s="17"/>
      <c r="G1017" s="17"/>
      <c r="H1017" s="17"/>
      <c r="I1017" s="17"/>
    </row>
    <row r="1018" spans="2:9" ht="15.75" x14ac:dyDescent="0.25">
      <c r="B1018" s="411" t="s">
        <v>78</v>
      </c>
      <c r="C1018" s="412">
        <v>2029</v>
      </c>
      <c r="D1018" s="412" t="s">
        <v>1388</v>
      </c>
      <c r="E1018" s="413">
        <v>355.18237011398293</v>
      </c>
      <c r="F1018" s="17"/>
      <c r="G1018" s="17"/>
      <c r="H1018" s="17"/>
      <c r="I1018" s="17"/>
    </row>
    <row r="1019" spans="2:9" ht="15.75" x14ac:dyDescent="0.25">
      <c r="B1019" s="411" t="s">
        <v>78</v>
      </c>
      <c r="C1019" s="412">
        <v>2030</v>
      </c>
      <c r="D1019" s="412" t="s">
        <v>1389</v>
      </c>
      <c r="E1019" s="413">
        <v>346.58751155764253</v>
      </c>
      <c r="F1019" s="17"/>
      <c r="G1019" s="17"/>
      <c r="H1019" s="17"/>
      <c r="I1019" s="17"/>
    </row>
    <row r="1020" spans="2:9" ht="15.75" x14ac:dyDescent="0.25">
      <c r="B1020" s="411" t="s">
        <v>78</v>
      </c>
      <c r="C1020" s="412">
        <v>2031</v>
      </c>
      <c r="D1020" s="412" t="s">
        <v>1390</v>
      </c>
      <c r="E1020" s="413">
        <v>338.92461663278903</v>
      </c>
      <c r="F1020" s="17"/>
      <c r="G1020" s="17"/>
      <c r="H1020" s="17"/>
      <c r="I1020" s="17"/>
    </row>
    <row r="1021" spans="2:9" ht="15.75" x14ac:dyDescent="0.25">
      <c r="B1021" s="411" t="s">
        <v>78</v>
      </c>
      <c r="C1021" s="412">
        <v>2032</v>
      </c>
      <c r="D1021" s="412" t="s">
        <v>1391</v>
      </c>
      <c r="E1021" s="413">
        <v>332.12582620805898</v>
      </c>
      <c r="F1021" s="17"/>
      <c r="G1021" s="17"/>
      <c r="H1021" s="17"/>
      <c r="I1021" s="17"/>
    </row>
    <row r="1022" spans="2:9" ht="15.75" x14ac:dyDescent="0.25">
      <c r="B1022" s="411" t="s">
        <v>78</v>
      </c>
      <c r="C1022" s="412">
        <v>2033</v>
      </c>
      <c r="D1022" s="412" t="s">
        <v>1392</v>
      </c>
      <c r="E1022" s="413">
        <v>326.11743229802426</v>
      </c>
      <c r="F1022" s="17"/>
      <c r="G1022" s="17"/>
      <c r="H1022" s="17"/>
      <c r="I1022" s="17"/>
    </row>
    <row r="1023" spans="2:9" ht="15.75" x14ac:dyDescent="0.25">
      <c r="B1023" s="411" t="s">
        <v>78</v>
      </c>
      <c r="C1023" s="412">
        <v>2034</v>
      </c>
      <c r="D1023" s="412" t="s">
        <v>1393</v>
      </c>
      <c r="E1023" s="413">
        <v>320.8341023216251</v>
      </c>
      <c r="F1023" s="17"/>
      <c r="G1023" s="17"/>
      <c r="H1023" s="17"/>
      <c r="I1023" s="17"/>
    </row>
    <row r="1024" spans="2:9" ht="15.75" x14ac:dyDescent="0.25">
      <c r="B1024" s="411" t="s">
        <v>78</v>
      </c>
      <c r="C1024" s="412">
        <v>2035</v>
      </c>
      <c r="D1024" s="412" t="s">
        <v>1394</v>
      </c>
      <c r="E1024" s="413">
        <v>316.22319048178656</v>
      </c>
      <c r="F1024" s="17"/>
      <c r="G1024" s="17"/>
      <c r="H1024" s="17"/>
      <c r="I1024" s="17"/>
    </row>
    <row r="1025" spans="2:9" ht="15.75" x14ac:dyDescent="0.25">
      <c r="B1025" s="411" t="s">
        <v>78</v>
      </c>
      <c r="C1025" s="412">
        <v>2036</v>
      </c>
      <c r="D1025" s="412" t="s">
        <v>1395</v>
      </c>
      <c r="E1025" s="413">
        <v>312.21350687083066</v>
      </c>
      <c r="F1025" s="17"/>
      <c r="G1025" s="17"/>
      <c r="H1025" s="17"/>
      <c r="I1025" s="17"/>
    </row>
    <row r="1026" spans="2:9" ht="15.75" x14ac:dyDescent="0.25">
      <c r="B1026" s="411" t="s">
        <v>78</v>
      </c>
      <c r="C1026" s="412">
        <v>2037</v>
      </c>
      <c r="D1026" s="412" t="s">
        <v>1396</v>
      </c>
      <c r="E1026" s="413">
        <v>308.76054174456232</v>
      </c>
      <c r="F1026" s="17"/>
      <c r="G1026" s="17"/>
      <c r="H1026" s="17"/>
      <c r="I1026" s="17"/>
    </row>
    <row r="1027" spans="2:9" ht="15.75" x14ac:dyDescent="0.25">
      <c r="B1027" s="411" t="s">
        <v>78</v>
      </c>
      <c r="C1027" s="412">
        <v>2038</v>
      </c>
      <c r="D1027" s="412" t="s">
        <v>1397</v>
      </c>
      <c r="E1027" s="413">
        <v>305.81496028249398</v>
      </c>
      <c r="F1027" s="17"/>
      <c r="G1027" s="17"/>
      <c r="H1027" s="17"/>
      <c r="I1027" s="17"/>
    </row>
    <row r="1028" spans="2:9" ht="15.75" x14ac:dyDescent="0.25">
      <c r="B1028" s="411" t="s">
        <v>78</v>
      </c>
      <c r="C1028" s="412">
        <v>2039</v>
      </c>
      <c r="D1028" s="412" t="s">
        <v>1398</v>
      </c>
      <c r="E1028" s="413">
        <v>303.30468735964268</v>
      </c>
      <c r="F1028" s="17"/>
      <c r="G1028" s="17"/>
      <c r="H1028" s="17"/>
      <c r="I1028" s="17"/>
    </row>
    <row r="1029" spans="2:9" ht="15.75" x14ac:dyDescent="0.25">
      <c r="B1029" s="411" t="s">
        <v>78</v>
      </c>
      <c r="C1029" s="412">
        <v>2040</v>
      </c>
      <c r="D1029" s="412" t="s">
        <v>1399</v>
      </c>
      <c r="E1029" s="413">
        <v>301.19106681898398</v>
      </c>
      <c r="F1029" s="17"/>
      <c r="G1029" s="17"/>
      <c r="H1029" s="17"/>
      <c r="I1029" s="17"/>
    </row>
    <row r="1030" spans="2:9" ht="15.75" x14ac:dyDescent="0.25">
      <c r="B1030" s="411" t="s">
        <v>78</v>
      </c>
      <c r="C1030" s="412">
        <v>2041</v>
      </c>
      <c r="D1030" s="412" t="s">
        <v>1400</v>
      </c>
      <c r="E1030" s="413">
        <v>299.44345772070795</v>
      </c>
      <c r="F1030" s="17"/>
      <c r="G1030" s="17"/>
      <c r="H1030" s="17"/>
      <c r="I1030" s="17"/>
    </row>
    <row r="1031" spans="2:9" ht="15.75" x14ac:dyDescent="0.25">
      <c r="B1031" s="411" t="s">
        <v>78</v>
      </c>
      <c r="C1031" s="412">
        <v>2042</v>
      </c>
      <c r="D1031" s="412" t="s">
        <v>1401</v>
      </c>
      <c r="E1031" s="413">
        <v>297.98716916971694</v>
      </c>
      <c r="F1031" s="17"/>
      <c r="G1031" s="17"/>
      <c r="H1031" s="17"/>
      <c r="I1031" s="17"/>
    </row>
    <row r="1032" spans="2:9" ht="15.75" x14ac:dyDescent="0.25">
      <c r="B1032" s="411" t="s">
        <v>78</v>
      </c>
      <c r="C1032" s="412">
        <v>2043</v>
      </c>
      <c r="D1032" s="412" t="s">
        <v>1402</v>
      </c>
      <c r="E1032" s="413">
        <v>296.79598882655125</v>
      </c>
      <c r="F1032" s="17"/>
      <c r="G1032" s="17"/>
      <c r="H1032" s="17"/>
      <c r="I1032" s="17"/>
    </row>
    <row r="1033" spans="2:9" ht="15.75" x14ac:dyDescent="0.25">
      <c r="B1033" s="411" t="s">
        <v>78</v>
      </c>
      <c r="C1033" s="412">
        <v>2044</v>
      </c>
      <c r="D1033" s="412" t="s">
        <v>1403</v>
      </c>
      <c r="E1033" s="413">
        <v>295.80275905969376</v>
      </c>
      <c r="F1033" s="17"/>
      <c r="G1033" s="17"/>
      <c r="H1033" s="17"/>
      <c r="I1033" s="17"/>
    </row>
    <row r="1034" spans="2:9" ht="15.75" x14ac:dyDescent="0.25">
      <c r="B1034" s="411" t="s">
        <v>78</v>
      </c>
      <c r="C1034" s="412">
        <v>2045</v>
      </c>
      <c r="D1034" s="412" t="s">
        <v>1404</v>
      </c>
      <c r="E1034" s="413">
        <v>294.97086422280324</v>
      </c>
      <c r="F1034" s="17"/>
      <c r="G1034" s="17"/>
      <c r="H1034" s="17"/>
      <c r="I1034" s="17"/>
    </row>
    <row r="1035" spans="2:9" ht="15.75" x14ac:dyDescent="0.25">
      <c r="B1035" s="411" t="s">
        <v>78</v>
      </c>
      <c r="C1035" s="412">
        <v>2046</v>
      </c>
      <c r="D1035" s="412" t="s">
        <v>1405</v>
      </c>
      <c r="E1035" s="413">
        <v>294.27533128252765</v>
      </c>
      <c r="F1035" s="17"/>
      <c r="G1035" s="17"/>
      <c r="H1035" s="17"/>
      <c r="I1035" s="17"/>
    </row>
    <row r="1036" spans="2:9" ht="15.75" x14ac:dyDescent="0.25">
      <c r="B1036" s="411" t="s">
        <v>78</v>
      </c>
      <c r="C1036" s="412">
        <v>2047</v>
      </c>
      <c r="D1036" s="412" t="s">
        <v>1406</v>
      </c>
      <c r="E1036" s="413">
        <v>293.70447489687211</v>
      </c>
      <c r="F1036" s="17"/>
      <c r="G1036" s="17"/>
      <c r="H1036" s="17"/>
      <c r="I1036" s="17"/>
    </row>
    <row r="1037" spans="2:9" ht="15.75" x14ac:dyDescent="0.25">
      <c r="B1037" s="411" t="s">
        <v>78</v>
      </c>
      <c r="C1037" s="412">
        <v>2048</v>
      </c>
      <c r="D1037" s="412" t="s">
        <v>1407</v>
      </c>
      <c r="E1037" s="413">
        <v>293.23474320970308</v>
      </c>
      <c r="F1037" s="17"/>
      <c r="G1037" s="17"/>
      <c r="H1037" s="17"/>
      <c r="I1037" s="17"/>
    </row>
    <row r="1038" spans="2:9" ht="15.75" x14ac:dyDescent="0.25">
      <c r="B1038" s="411" t="s">
        <v>78</v>
      </c>
      <c r="C1038" s="412">
        <v>2049</v>
      </c>
      <c r="D1038" s="412" t="s">
        <v>1408</v>
      </c>
      <c r="E1038" s="413">
        <v>292.85091492991768</v>
      </c>
      <c r="F1038" s="17"/>
      <c r="G1038" s="17"/>
      <c r="H1038" s="17"/>
      <c r="I1038" s="17"/>
    </row>
    <row r="1039" spans="2:9" ht="15.75" x14ac:dyDescent="0.25">
      <c r="B1039" s="411" t="s">
        <v>78</v>
      </c>
      <c r="C1039" s="412">
        <v>2050</v>
      </c>
      <c r="D1039" s="412" t="s">
        <v>1409</v>
      </c>
      <c r="E1039" s="413">
        <v>292.53618423530156</v>
      </c>
      <c r="F1039" s="17"/>
      <c r="G1039" s="17"/>
      <c r="H1039" s="17"/>
      <c r="I1039" s="17"/>
    </row>
    <row r="1040" spans="2:9" ht="15.75" x14ac:dyDescent="0.25">
      <c r="B1040" s="407" t="s">
        <v>79</v>
      </c>
      <c r="C1040" s="408">
        <v>2015</v>
      </c>
      <c r="D1040" s="409" t="s">
        <v>246</v>
      </c>
      <c r="E1040" s="410">
        <v>583.30558777820056</v>
      </c>
      <c r="F1040" s="17"/>
      <c r="G1040" s="17"/>
      <c r="H1040" s="17"/>
      <c r="I1040" s="17"/>
    </row>
    <row r="1041" spans="2:9" ht="15.75" x14ac:dyDescent="0.25">
      <c r="B1041" s="407" t="s">
        <v>79</v>
      </c>
      <c r="C1041" s="408">
        <v>2016</v>
      </c>
      <c r="D1041" s="409" t="s">
        <v>247</v>
      </c>
      <c r="E1041" s="410">
        <v>572.17906765795249</v>
      </c>
      <c r="F1041" s="17"/>
      <c r="G1041" s="17"/>
      <c r="H1041" s="17"/>
      <c r="I1041" s="17"/>
    </row>
    <row r="1042" spans="2:9" ht="15.75" x14ac:dyDescent="0.25">
      <c r="B1042" s="411" t="s">
        <v>79</v>
      </c>
      <c r="C1042" s="412">
        <v>2017</v>
      </c>
      <c r="D1042" s="412" t="s">
        <v>1410</v>
      </c>
      <c r="E1042" s="413">
        <v>558.07063485802951</v>
      </c>
      <c r="F1042" s="17"/>
      <c r="G1042" s="17"/>
      <c r="H1042" s="17"/>
      <c r="I1042" s="17"/>
    </row>
    <row r="1043" spans="2:9" ht="15.75" x14ac:dyDescent="0.25">
      <c r="B1043" s="411" t="s">
        <v>79</v>
      </c>
      <c r="C1043" s="412">
        <v>2018</v>
      </c>
      <c r="D1043" s="412" t="s">
        <v>1411</v>
      </c>
      <c r="E1043" s="413">
        <v>543.7774346828453</v>
      </c>
      <c r="F1043" s="17"/>
      <c r="G1043" s="17"/>
      <c r="H1043" s="17"/>
      <c r="I1043" s="17"/>
    </row>
    <row r="1044" spans="2:9" ht="15.75" x14ac:dyDescent="0.25">
      <c r="B1044" s="411" t="s">
        <v>79</v>
      </c>
      <c r="C1044" s="412">
        <v>2019</v>
      </c>
      <c r="D1044" s="412" t="s">
        <v>1412</v>
      </c>
      <c r="E1044" s="413">
        <v>528.88415140443294</v>
      </c>
      <c r="F1044" s="17"/>
      <c r="G1044" s="17"/>
      <c r="H1044" s="17"/>
      <c r="I1044" s="17"/>
    </row>
    <row r="1045" spans="2:9" ht="15.75" x14ac:dyDescent="0.25">
      <c r="B1045" s="411" t="s">
        <v>79</v>
      </c>
      <c r="C1045" s="412">
        <v>2020</v>
      </c>
      <c r="D1045" s="412" t="s">
        <v>1413</v>
      </c>
      <c r="E1045" s="413">
        <v>513.65862215397078</v>
      </c>
      <c r="F1045" s="17"/>
      <c r="G1045" s="17"/>
      <c r="H1045" s="17"/>
      <c r="I1045" s="17"/>
    </row>
    <row r="1046" spans="2:9" ht="15.75" x14ac:dyDescent="0.25">
      <c r="B1046" s="411" t="s">
        <v>79</v>
      </c>
      <c r="C1046" s="412">
        <v>2021</v>
      </c>
      <c r="D1046" s="412" t="s">
        <v>1414</v>
      </c>
      <c r="E1046" s="413">
        <v>498.18764381725504</v>
      </c>
      <c r="F1046" s="17"/>
      <c r="G1046" s="17"/>
      <c r="H1046" s="17"/>
      <c r="I1046" s="17"/>
    </row>
    <row r="1047" spans="2:9" ht="15.75" x14ac:dyDescent="0.25">
      <c r="B1047" s="411" t="s">
        <v>79</v>
      </c>
      <c r="C1047" s="412">
        <v>2022</v>
      </c>
      <c r="D1047" s="412" t="s">
        <v>1415</v>
      </c>
      <c r="E1047" s="413">
        <v>482.78568366167332</v>
      </c>
      <c r="F1047" s="17"/>
      <c r="G1047" s="17"/>
      <c r="H1047" s="17"/>
      <c r="I1047" s="17"/>
    </row>
    <row r="1048" spans="2:9" ht="15.75" x14ac:dyDescent="0.25">
      <c r="B1048" s="411" t="s">
        <v>79</v>
      </c>
      <c r="C1048" s="412">
        <v>2023</v>
      </c>
      <c r="D1048" s="412" t="s">
        <v>1416</v>
      </c>
      <c r="E1048" s="413">
        <v>467.51872979106156</v>
      </c>
      <c r="F1048" s="17"/>
      <c r="G1048" s="17"/>
      <c r="H1048" s="17"/>
      <c r="I1048" s="17"/>
    </row>
    <row r="1049" spans="2:9" ht="15.75" x14ac:dyDescent="0.25">
      <c r="B1049" s="411" t="s">
        <v>79</v>
      </c>
      <c r="C1049" s="412">
        <v>2024</v>
      </c>
      <c r="D1049" s="412" t="s">
        <v>1417</v>
      </c>
      <c r="E1049" s="413">
        <v>452.52204933328665</v>
      </c>
      <c r="F1049" s="17"/>
      <c r="G1049" s="17"/>
      <c r="H1049" s="17"/>
      <c r="I1049" s="17"/>
    </row>
    <row r="1050" spans="2:9" ht="15.75" x14ac:dyDescent="0.25">
      <c r="B1050" s="411" t="s">
        <v>79</v>
      </c>
      <c r="C1050" s="412">
        <v>2025</v>
      </c>
      <c r="D1050" s="412" t="s">
        <v>1418</v>
      </c>
      <c r="E1050" s="413">
        <v>437.90966961122956</v>
      </c>
      <c r="F1050" s="17"/>
      <c r="G1050" s="17"/>
      <c r="H1050" s="17"/>
      <c r="I1050" s="17"/>
    </row>
    <row r="1051" spans="2:9" ht="15.75" x14ac:dyDescent="0.25">
      <c r="B1051" s="411" t="s">
        <v>79</v>
      </c>
      <c r="C1051" s="412">
        <v>2026</v>
      </c>
      <c r="D1051" s="412" t="s">
        <v>1419</v>
      </c>
      <c r="E1051" s="413">
        <v>424.54901660838919</v>
      </c>
      <c r="F1051" s="17"/>
      <c r="G1051" s="17"/>
      <c r="H1051" s="17"/>
      <c r="I1051" s="17"/>
    </row>
    <row r="1052" spans="2:9" ht="15.75" x14ac:dyDescent="0.25">
      <c r="B1052" s="411" t="s">
        <v>79</v>
      </c>
      <c r="C1052" s="412">
        <v>2027</v>
      </c>
      <c r="D1052" s="412" t="s">
        <v>1420</v>
      </c>
      <c r="E1052" s="413">
        <v>412.32205334220231</v>
      </c>
      <c r="F1052" s="17"/>
      <c r="G1052" s="17"/>
      <c r="H1052" s="17"/>
      <c r="I1052" s="17"/>
    </row>
    <row r="1053" spans="2:9" ht="15.75" x14ac:dyDescent="0.25">
      <c r="B1053" s="411" t="s">
        <v>79</v>
      </c>
      <c r="C1053" s="412">
        <v>2028</v>
      </c>
      <c r="D1053" s="412" t="s">
        <v>1421</v>
      </c>
      <c r="E1053" s="413">
        <v>401.27007424451227</v>
      </c>
      <c r="F1053" s="17"/>
      <c r="G1053" s="17"/>
      <c r="H1053" s="17"/>
      <c r="I1053" s="17"/>
    </row>
    <row r="1054" spans="2:9" ht="15.75" x14ac:dyDescent="0.25">
      <c r="B1054" s="411" t="s">
        <v>79</v>
      </c>
      <c r="C1054" s="412">
        <v>2029</v>
      </c>
      <c r="D1054" s="412" t="s">
        <v>1422</v>
      </c>
      <c r="E1054" s="413">
        <v>391.26223190533329</v>
      </c>
      <c r="F1054" s="17"/>
      <c r="G1054" s="17"/>
      <c r="H1054" s="17"/>
      <c r="I1054" s="17"/>
    </row>
    <row r="1055" spans="2:9" ht="15.75" x14ac:dyDescent="0.25">
      <c r="B1055" s="411" t="s">
        <v>79</v>
      </c>
      <c r="C1055" s="412">
        <v>2030</v>
      </c>
      <c r="D1055" s="412" t="s">
        <v>1423</v>
      </c>
      <c r="E1055" s="413">
        <v>382.26756544297558</v>
      </c>
      <c r="F1055" s="17"/>
      <c r="G1055" s="17"/>
      <c r="H1055" s="17"/>
      <c r="I1055" s="17"/>
    </row>
    <row r="1056" spans="2:9" ht="15.75" x14ac:dyDescent="0.25">
      <c r="B1056" s="411" t="s">
        <v>79</v>
      </c>
      <c r="C1056" s="412">
        <v>2031</v>
      </c>
      <c r="D1056" s="412" t="s">
        <v>1424</v>
      </c>
      <c r="E1056" s="413">
        <v>374.22759680837368</v>
      </c>
      <c r="F1056" s="17"/>
      <c r="G1056" s="17"/>
      <c r="H1056" s="17"/>
      <c r="I1056" s="17"/>
    </row>
    <row r="1057" spans="2:9" ht="15.75" x14ac:dyDescent="0.25">
      <c r="B1057" s="411" t="s">
        <v>79</v>
      </c>
      <c r="C1057" s="412">
        <v>2032</v>
      </c>
      <c r="D1057" s="412" t="s">
        <v>1425</v>
      </c>
      <c r="E1057" s="413">
        <v>367.0920226140509</v>
      </c>
      <c r="F1057" s="17"/>
      <c r="G1057" s="17"/>
      <c r="H1057" s="17"/>
      <c r="I1057" s="17"/>
    </row>
    <row r="1058" spans="2:9" ht="15.75" x14ac:dyDescent="0.25">
      <c r="B1058" s="411" t="s">
        <v>79</v>
      </c>
      <c r="C1058" s="412">
        <v>2033</v>
      </c>
      <c r="D1058" s="412" t="s">
        <v>1426</v>
      </c>
      <c r="E1058" s="413">
        <v>360.75133567341857</v>
      </c>
      <c r="F1058" s="17"/>
      <c r="G1058" s="17"/>
      <c r="H1058" s="17"/>
      <c r="I1058" s="17"/>
    </row>
    <row r="1059" spans="2:9" ht="15.75" x14ac:dyDescent="0.25">
      <c r="B1059" s="411" t="s">
        <v>79</v>
      </c>
      <c r="C1059" s="412">
        <v>2034</v>
      </c>
      <c r="D1059" s="412" t="s">
        <v>1427</v>
      </c>
      <c r="E1059" s="413">
        <v>355.1481499470429</v>
      </c>
      <c r="F1059" s="17"/>
      <c r="G1059" s="17"/>
      <c r="H1059" s="17"/>
      <c r="I1059" s="17"/>
    </row>
    <row r="1060" spans="2:9" ht="15.75" x14ac:dyDescent="0.25">
      <c r="B1060" s="411" t="s">
        <v>79</v>
      </c>
      <c r="C1060" s="412">
        <v>2035</v>
      </c>
      <c r="D1060" s="412" t="s">
        <v>1428</v>
      </c>
      <c r="E1060" s="413">
        <v>350.2492092199912</v>
      </c>
      <c r="F1060" s="17"/>
      <c r="G1060" s="17"/>
      <c r="H1060" s="17"/>
      <c r="I1060" s="17"/>
    </row>
    <row r="1061" spans="2:9" ht="15.75" x14ac:dyDescent="0.25">
      <c r="B1061" s="411" t="s">
        <v>79</v>
      </c>
      <c r="C1061" s="412">
        <v>2036</v>
      </c>
      <c r="D1061" s="412" t="s">
        <v>1429</v>
      </c>
      <c r="E1061" s="413">
        <v>346.01521042910912</v>
      </c>
      <c r="F1061" s="17"/>
      <c r="G1061" s="17"/>
      <c r="H1061" s="17"/>
      <c r="I1061" s="17"/>
    </row>
    <row r="1062" spans="2:9" ht="15.75" x14ac:dyDescent="0.25">
      <c r="B1062" s="411" t="s">
        <v>79</v>
      </c>
      <c r="C1062" s="412">
        <v>2037</v>
      </c>
      <c r="D1062" s="412" t="s">
        <v>1430</v>
      </c>
      <c r="E1062" s="413">
        <v>342.33876082808621</v>
      </c>
      <c r="F1062" s="17"/>
      <c r="G1062" s="17"/>
      <c r="H1062" s="17"/>
      <c r="I1062" s="17"/>
    </row>
    <row r="1063" spans="2:9" ht="15.75" x14ac:dyDescent="0.25">
      <c r="B1063" s="411" t="s">
        <v>79</v>
      </c>
      <c r="C1063" s="412">
        <v>2038</v>
      </c>
      <c r="D1063" s="412" t="s">
        <v>1431</v>
      </c>
      <c r="E1063" s="413">
        <v>339.19553454731573</v>
      </c>
      <c r="F1063" s="17"/>
      <c r="G1063" s="17"/>
      <c r="H1063" s="17"/>
      <c r="I1063" s="17"/>
    </row>
    <row r="1064" spans="2:9" ht="15.75" x14ac:dyDescent="0.25">
      <c r="B1064" s="411" t="s">
        <v>79</v>
      </c>
      <c r="C1064" s="412">
        <v>2039</v>
      </c>
      <c r="D1064" s="412" t="s">
        <v>1432</v>
      </c>
      <c r="E1064" s="413">
        <v>336.51887227857821</v>
      </c>
      <c r="F1064" s="17"/>
      <c r="G1064" s="17"/>
      <c r="H1064" s="17"/>
      <c r="I1064" s="17"/>
    </row>
    <row r="1065" spans="2:9" ht="15.75" x14ac:dyDescent="0.25">
      <c r="B1065" s="411" t="s">
        <v>79</v>
      </c>
      <c r="C1065" s="412">
        <v>2040</v>
      </c>
      <c r="D1065" s="412" t="s">
        <v>1433</v>
      </c>
      <c r="E1065" s="413">
        <v>334.25769809482762</v>
      </c>
      <c r="F1065" s="17"/>
      <c r="G1065" s="17"/>
      <c r="H1065" s="17"/>
      <c r="I1065" s="17"/>
    </row>
    <row r="1066" spans="2:9" ht="15.75" x14ac:dyDescent="0.25">
      <c r="B1066" s="411" t="s">
        <v>79</v>
      </c>
      <c r="C1066" s="412">
        <v>2041</v>
      </c>
      <c r="D1066" s="412" t="s">
        <v>1434</v>
      </c>
      <c r="E1066" s="413">
        <v>332.40412433807143</v>
      </c>
      <c r="F1066" s="17"/>
      <c r="G1066" s="17"/>
      <c r="H1066" s="17"/>
      <c r="I1066" s="17"/>
    </row>
    <row r="1067" spans="2:9" ht="15.75" x14ac:dyDescent="0.25">
      <c r="B1067" s="411" t="s">
        <v>79</v>
      </c>
      <c r="C1067" s="412">
        <v>2042</v>
      </c>
      <c r="D1067" s="412" t="s">
        <v>1435</v>
      </c>
      <c r="E1067" s="413">
        <v>330.81301693663698</v>
      </c>
      <c r="F1067" s="17"/>
      <c r="G1067" s="17"/>
      <c r="H1067" s="17"/>
      <c r="I1067" s="17"/>
    </row>
    <row r="1068" spans="2:9" ht="15.75" x14ac:dyDescent="0.25">
      <c r="B1068" s="411" t="s">
        <v>79</v>
      </c>
      <c r="C1068" s="412">
        <v>2043</v>
      </c>
      <c r="D1068" s="412" t="s">
        <v>1436</v>
      </c>
      <c r="E1068" s="413">
        <v>329.46458918845309</v>
      </c>
      <c r="F1068" s="17"/>
      <c r="G1068" s="17"/>
      <c r="H1068" s="17"/>
      <c r="I1068" s="17"/>
    </row>
    <row r="1069" spans="2:9" ht="15.75" x14ac:dyDescent="0.25">
      <c r="B1069" s="411" t="s">
        <v>79</v>
      </c>
      <c r="C1069" s="412">
        <v>2044</v>
      </c>
      <c r="D1069" s="412" t="s">
        <v>1437</v>
      </c>
      <c r="E1069" s="413">
        <v>328.35419490346106</v>
      </c>
      <c r="F1069" s="17"/>
      <c r="G1069" s="17"/>
      <c r="H1069" s="17"/>
      <c r="I1069" s="17"/>
    </row>
    <row r="1070" spans="2:9" ht="15.75" x14ac:dyDescent="0.25">
      <c r="B1070" s="411" t="s">
        <v>79</v>
      </c>
      <c r="C1070" s="412">
        <v>2045</v>
      </c>
      <c r="D1070" s="412" t="s">
        <v>1438</v>
      </c>
      <c r="E1070" s="413">
        <v>327.38483373502021</v>
      </c>
      <c r="F1070" s="17"/>
      <c r="G1070" s="17"/>
      <c r="H1070" s="17"/>
      <c r="I1070" s="17"/>
    </row>
    <row r="1071" spans="2:9" ht="15.75" x14ac:dyDescent="0.25">
      <c r="B1071" s="411" t="s">
        <v>79</v>
      </c>
      <c r="C1071" s="412">
        <v>2046</v>
      </c>
      <c r="D1071" s="412" t="s">
        <v>1439</v>
      </c>
      <c r="E1071" s="413">
        <v>326.56737877711475</v>
      </c>
      <c r="F1071" s="17"/>
      <c r="G1071" s="17"/>
      <c r="H1071" s="17"/>
      <c r="I1071" s="17"/>
    </row>
    <row r="1072" spans="2:9" ht="15.75" x14ac:dyDescent="0.25">
      <c r="B1072" s="411" t="s">
        <v>79</v>
      </c>
      <c r="C1072" s="412">
        <v>2047</v>
      </c>
      <c r="D1072" s="412" t="s">
        <v>1440</v>
      </c>
      <c r="E1072" s="413">
        <v>325.88053340115016</v>
      </c>
      <c r="F1072" s="17"/>
      <c r="G1072" s="17"/>
      <c r="H1072" s="17"/>
      <c r="I1072" s="17"/>
    </row>
    <row r="1073" spans="2:9" ht="15.75" x14ac:dyDescent="0.25">
      <c r="B1073" s="411" t="s">
        <v>79</v>
      </c>
      <c r="C1073" s="412">
        <v>2048</v>
      </c>
      <c r="D1073" s="412" t="s">
        <v>1441</v>
      </c>
      <c r="E1073" s="413">
        <v>325.30394187885292</v>
      </c>
      <c r="F1073" s="17"/>
      <c r="G1073" s="17"/>
      <c r="H1073" s="17"/>
      <c r="I1073" s="17"/>
    </row>
    <row r="1074" spans="2:9" ht="15.75" x14ac:dyDescent="0.25">
      <c r="B1074" s="411" t="s">
        <v>79</v>
      </c>
      <c r="C1074" s="412">
        <v>2049</v>
      </c>
      <c r="D1074" s="412" t="s">
        <v>1442</v>
      </c>
      <c r="E1074" s="413">
        <v>324.80720956396141</v>
      </c>
      <c r="F1074" s="17"/>
      <c r="G1074" s="17"/>
      <c r="H1074" s="17"/>
      <c r="I1074" s="17"/>
    </row>
    <row r="1075" spans="2:9" ht="15.75" x14ac:dyDescent="0.25">
      <c r="B1075" s="411" t="s">
        <v>79</v>
      </c>
      <c r="C1075" s="412">
        <v>2050</v>
      </c>
      <c r="D1075" s="412" t="s">
        <v>1443</v>
      </c>
      <c r="E1075" s="413">
        <v>324.40586005049374</v>
      </c>
      <c r="F1075" s="17"/>
      <c r="G1075" s="17"/>
      <c r="H1075" s="17"/>
      <c r="I1075" s="17"/>
    </row>
    <row r="1076" spans="2:9" ht="15.75" x14ac:dyDescent="0.25">
      <c r="B1076" s="414" t="s">
        <v>248</v>
      </c>
      <c r="C1076" s="415">
        <v>2015</v>
      </c>
      <c r="D1076" s="415" t="s">
        <v>1444</v>
      </c>
      <c r="E1076" s="410">
        <v>504.49435288227619</v>
      </c>
      <c r="F1076" s="17"/>
      <c r="G1076" s="17"/>
      <c r="H1076" s="17"/>
      <c r="I1076" s="17"/>
    </row>
    <row r="1077" spans="2:9" ht="15.75" x14ac:dyDescent="0.25">
      <c r="B1077" s="414" t="s">
        <v>248</v>
      </c>
      <c r="C1077" s="415">
        <v>2016</v>
      </c>
      <c r="D1077" s="415" t="s">
        <v>1445</v>
      </c>
      <c r="E1077" s="410">
        <v>494.47676464144422</v>
      </c>
      <c r="F1077" s="17"/>
      <c r="G1077" s="17"/>
      <c r="H1077" s="17"/>
      <c r="I1077" s="17"/>
    </row>
    <row r="1078" spans="2:9" ht="15.75" x14ac:dyDescent="0.25">
      <c r="B1078" s="416" t="s">
        <v>248</v>
      </c>
      <c r="C1078" s="417">
        <v>2017</v>
      </c>
      <c r="D1078" s="417" t="s">
        <v>1446</v>
      </c>
      <c r="E1078" s="413">
        <v>482.75970903416231</v>
      </c>
      <c r="F1078" s="17"/>
      <c r="G1078" s="17"/>
      <c r="H1078" s="17"/>
      <c r="I1078" s="17"/>
    </row>
    <row r="1079" spans="2:9" ht="15.75" x14ac:dyDescent="0.25">
      <c r="B1079" s="416" t="s">
        <v>248</v>
      </c>
      <c r="C1079" s="417">
        <v>2018</v>
      </c>
      <c r="D1079" s="417" t="s">
        <v>1447</v>
      </c>
      <c r="E1079" s="413">
        <v>470.38422141104178</v>
      </c>
      <c r="F1079" s="17"/>
      <c r="G1079" s="17"/>
      <c r="H1079" s="17"/>
      <c r="I1079" s="17"/>
    </row>
    <row r="1080" spans="2:9" ht="15.75" x14ac:dyDescent="0.25">
      <c r="B1080" s="416" t="s">
        <v>248</v>
      </c>
      <c r="C1080" s="417">
        <v>2019</v>
      </c>
      <c r="D1080" s="417" t="s">
        <v>1448</v>
      </c>
      <c r="E1080" s="413">
        <v>457.47094368915612</v>
      </c>
      <c r="F1080" s="17"/>
      <c r="G1080" s="17"/>
      <c r="H1080" s="17"/>
      <c r="I1080" s="17"/>
    </row>
    <row r="1081" spans="2:9" ht="15.75" x14ac:dyDescent="0.25">
      <c r="B1081" s="416" t="s">
        <v>248</v>
      </c>
      <c r="C1081" s="417">
        <v>2020</v>
      </c>
      <c r="D1081" s="417" t="s">
        <v>1449</v>
      </c>
      <c r="E1081" s="413">
        <v>444.47300322631628</v>
      </c>
      <c r="F1081" s="17"/>
      <c r="G1081" s="17"/>
      <c r="H1081" s="17"/>
      <c r="I1081" s="17"/>
    </row>
    <row r="1082" spans="2:9" ht="15.75" x14ac:dyDescent="0.25">
      <c r="B1082" s="416" t="s">
        <v>248</v>
      </c>
      <c r="C1082" s="417">
        <v>2021</v>
      </c>
      <c r="D1082" s="417" t="s">
        <v>1450</v>
      </c>
      <c r="E1082" s="413">
        <v>431.10723947606658</v>
      </c>
      <c r="F1082" s="17"/>
      <c r="G1082" s="17"/>
      <c r="H1082" s="17"/>
      <c r="I1082" s="17"/>
    </row>
    <row r="1083" spans="2:9" ht="15.75" x14ac:dyDescent="0.25">
      <c r="B1083" s="416" t="s">
        <v>248</v>
      </c>
      <c r="C1083" s="417">
        <v>2022</v>
      </c>
      <c r="D1083" s="417" t="s">
        <v>1451</v>
      </c>
      <c r="E1083" s="413">
        <v>418.06657988683111</v>
      </c>
      <c r="F1083" s="17"/>
      <c r="G1083" s="17"/>
      <c r="H1083" s="17"/>
      <c r="I1083" s="17"/>
    </row>
    <row r="1084" spans="2:9" ht="15.75" x14ac:dyDescent="0.25">
      <c r="B1084" s="416" t="s">
        <v>248</v>
      </c>
      <c r="C1084" s="417">
        <v>2023</v>
      </c>
      <c r="D1084" s="417" t="s">
        <v>1452</v>
      </c>
      <c r="E1084" s="413">
        <v>405.12245500889634</v>
      </c>
      <c r="F1084" s="17"/>
      <c r="G1084" s="17"/>
      <c r="H1084" s="17"/>
      <c r="I1084" s="17"/>
    </row>
    <row r="1085" spans="2:9" ht="15.75" x14ac:dyDescent="0.25">
      <c r="B1085" s="416" t="s">
        <v>248</v>
      </c>
      <c r="C1085" s="417">
        <v>2024</v>
      </c>
      <c r="D1085" s="417" t="s">
        <v>1453</v>
      </c>
      <c r="E1085" s="413">
        <v>392.66222706710181</v>
      </c>
      <c r="F1085" s="17"/>
      <c r="G1085" s="17"/>
      <c r="H1085" s="17"/>
      <c r="I1085" s="17"/>
    </row>
    <row r="1086" spans="2:9" ht="15.75" x14ac:dyDescent="0.25">
      <c r="B1086" s="416" t="s">
        <v>248</v>
      </c>
      <c r="C1086" s="417">
        <v>2025</v>
      </c>
      <c r="D1086" s="417" t="s">
        <v>1454</v>
      </c>
      <c r="E1086" s="413">
        <v>380.03886232169577</v>
      </c>
      <c r="F1086" s="17"/>
      <c r="G1086" s="17"/>
      <c r="H1086" s="17"/>
      <c r="I1086" s="17"/>
    </row>
    <row r="1087" spans="2:9" ht="15.75" x14ac:dyDescent="0.25">
      <c r="B1087" s="416" t="s">
        <v>248</v>
      </c>
      <c r="C1087" s="417">
        <v>2026</v>
      </c>
      <c r="D1087" s="417" t="s">
        <v>1455</v>
      </c>
      <c r="E1087" s="413">
        <v>368.57818306951185</v>
      </c>
      <c r="F1087" s="17"/>
      <c r="G1087" s="17"/>
      <c r="H1087" s="17"/>
      <c r="I1087" s="17"/>
    </row>
    <row r="1088" spans="2:9" ht="15.75" x14ac:dyDescent="0.25">
      <c r="B1088" s="416" t="s">
        <v>248</v>
      </c>
      <c r="C1088" s="417">
        <v>2027</v>
      </c>
      <c r="D1088" s="417" t="s">
        <v>1456</v>
      </c>
      <c r="E1088" s="413">
        <v>358.14773220385888</v>
      </c>
      <c r="F1088" s="17"/>
      <c r="G1088" s="17"/>
      <c r="H1088" s="17"/>
      <c r="I1088" s="17"/>
    </row>
    <row r="1089" spans="2:9" ht="15.75" x14ac:dyDescent="0.25">
      <c r="B1089" s="416" t="s">
        <v>248</v>
      </c>
      <c r="C1089" s="417">
        <v>2028</v>
      </c>
      <c r="D1089" s="417" t="s">
        <v>1457</v>
      </c>
      <c r="E1089" s="413">
        <v>348.79244746619992</v>
      </c>
      <c r="F1089" s="17"/>
      <c r="G1089" s="17"/>
      <c r="H1089" s="17"/>
      <c r="I1089" s="17"/>
    </row>
    <row r="1090" spans="2:9" ht="15.75" x14ac:dyDescent="0.25">
      <c r="B1090" s="416" t="s">
        <v>248</v>
      </c>
      <c r="C1090" s="417">
        <v>2029</v>
      </c>
      <c r="D1090" s="417" t="s">
        <v>1458</v>
      </c>
      <c r="E1090" s="413">
        <v>340.4136473733243</v>
      </c>
      <c r="F1090" s="17"/>
      <c r="G1090" s="17"/>
      <c r="H1090" s="17"/>
      <c r="I1090" s="17"/>
    </row>
    <row r="1091" spans="2:9" ht="15.75" x14ac:dyDescent="0.25">
      <c r="B1091" s="416" t="s">
        <v>248</v>
      </c>
      <c r="C1091" s="417">
        <v>2030</v>
      </c>
      <c r="D1091" s="417" t="s">
        <v>1459</v>
      </c>
      <c r="E1091" s="413">
        <v>332.95586030990518</v>
      </c>
      <c r="F1091" s="17"/>
      <c r="G1091" s="17"/>
      <c r="H1091" s="17"/>
      <c r="I1091" s="17"/>
    </row>
    <row r="1092" spans="2:9" ht="15.75" x14ac:dyDescent="0.25">
      <c r="B1092" s="416" t="s">
        <v>248</v>
      </c>
      <c r="C1092" s="417">
        <v>2031</v>
      </c>
      <c r="D1092" s="417" t="s">
        <v>1460</v>
      </c>
      <c r="E1092" s="413">
        <v>326.5040941088144</v>
      </c>
      <c r="F1092" s="17"/>
      <c r="G1092" s="17"/>
      <c r="H1092" s="17"/>
      <c r="I1092" s="17"/>
    </row>
    <row r="1093" spans="2:9" ht="15.75" x14ac:dyDescent="0.25">
      <c r="B1093" s="416" t="s">
        <v>248</v>
      </c>
      <c r="C1093" s="417">
        <v>2032</v>
      </c>
      <c r="D1093" s="417" t="s">
        <v>1461</v>
      </c>
      <c r="E1093" s="413">
        <v>320.64134615401036</v>
      </c>
      <c r="F1093" s="17"/>
      <c r="G1093" s="17"/>
      <c r="H1093" s="17"/>
      <c r="I1093" s="17"/>
    </row>
    <row r="1094" spans="2:9" ht="15.75" x14ac:dyDescent="0.25">
      <c r="B1094" s="416" t="s">
        <v>248</v>
      </c>
      <c r="C1094" s="417">
        <v>2033</v>
      </c>
      <c r="D1094" s="417" t="s">
        <v>1462</v>
      </c>
      <c r="E1094" s="413">
        <v>315.47274072428746</v>
      </c>
      <c r="F1094" s="17"/>
      <c r="G1094" s="17"/>
      <c r="H1094" s="17"/>
      <c r="I1094" s="17"/>
    </row>
    <row r="1095" spans="2:9" ht="15.75" x14ac:dyDescent="0.25">
      <c r="B1095" s="416" t="s">
        <v>248</v>
      </c>
      <c r="C1095" s="417">
        <v>2034</v>
      </c>
      <c r="D1095" s="417" t="s">
        <v>1463</v>
      </c>
      <c r="E1095" s="413">
        <v>310.93212215542951</v>
      </c>
      <c r="F1095" s="17"/>
      <c r="G1095" s="17"/>
      <c r="H1095" s="17"/>
      <c r="I1095" s="17"/>
    </row>
    <row r="1096" spans="2:9" ht="15.75" x14ac:dyDescent="0.25">
      <c r="B1096" s="416" t="s">
        <v>248</v>
      </c>
      <c r="C1096" s="417">
        <v>2035</v>
      </c>
      <c r="D1096" s="417" t="s">
        <v>1464</v>
      </c>
      <c r="E1096" s="413">
        <v>306.97497110719564</v>
      </c>
      <c r="F1096" s="17"/>
      <c r="G1096" s="17"/>
      <c r="H1096" s="17"/>
      <c r="I1096" s="17"/>
    </row>
    <row r="1097" spans="2:9" ht="15.75" x14ac:dyDescent="0.25">
      <c r="B1097" s="416" t="s">
        <v>248</v>
      </c>
      <c r="C1097" s="417">
        <v>2036</v>
      </c>
      <c r="D1097" s="417" t="s">
        <v>1465</v>
      </c>
      <c r="E1097" s="413">
        <v>303.54338789750636</v>
      </c>
      <c r="F1097" s="17"/>
      <c r="G1097" s="17"/>
      <c r="H1097" s="17"/>
      <c r="I1097" s="17"/>
    </row>
    <row r="1098" spans="2:9" ht="15.75" x14ac:dyDescent="0.25">
      <c r="B1098" s="416" t="s">
        <v>248</v>
      </c>
      <c r="C1098" s="417">
        <v>2037</v>
      </c>
      <c r="D1098" s="417" t="s">
        <v>1466</v>
      </c>
      <c r="E1098" s="413">
        <v>300.59341369408298</v>
      </c>
      <c r="F1098" s="17"/>
      <c r="G1098" s="17"/>
      <c r="H1098" s="17"/>
      <c r="I1098" s="17"/>
    </row>
    <row r="1099" spans="2:9" ht="15.75" x14ac:dyDescent="0.25">
      <c r="B1099" s="416" t="s">
        <v>248</v>
      </c>
      <c r="C1099" s="417">
        <v>2038</v>
      </c>
      <c r="D1099" s="417" t="s">
        <v>1467</v>
      </c>
      <c r="E1099" s="413">
        <v>298.07949577157984</v>
      </c>
      <c r="F1099" s="17"/>
      <c r="G1099" s="17"/>
      <c r="H1099" s="17"/>
      <c r="I1099" s="17"/>
    </row>
    <row r="1100" spans="2:9" ht="15.75" x14ac:dyDescent="0.25">
      <c r="B1100" s="416" t="s">
        <v>248</v>
      </c>
      <c r="C1100" s="417">
        <v>2039</v>
      </c>
      <c r="D1100" s="417" t="s">
        <v>1468</v>
      </c>
      <c r="E1100" s="413">
        <v>295.93996439765414</v>
      </c>
      <c r="F1100" s="17"/>
      <c r="G1100" s="17"/>
      <c r="H1100" s="17"/>
      <c r="I1100" s="17"/>
    </row>
    <row r="1101" spans="2:9" ht="15.75" x14ac:dyDescent="0.25">
      <c r="B1101" s="416" t="s">
        <v>248</v>
      </c>
      <c r="C1101" s="417">
        <v>2040</v>
      </c>
      <c r="D1101" s="417" t="s">
        <v>1469</v>
      </c>
      <c r="E1101" s="413">
        <v>294.13481729973438</v>
      </c>
      <c r="F1101" s="17"/>
      <c r="G1101" s="17"/>
      <c r="H1101" s="17"/>
      <c r="I1101" s="17"/>
    </row>
    <row r="1102" spans="2:9" ht="15.75" x14ac:dyDescent="0.25">
      <c r="B1102" s="416" t="s">
        <v>248</v>
      </c>
      <c r="C1102" s="417">
        <v>2041</v>
      </c>
      <c r="D1102" s="417" t="s">
        <v>1470</v>
      </c>
      <c r="E1102" s="413">
        <v>292.63971612853788</v>
      </c>
      <c r="F1102" s="17"/>
      <c r="G1102" s="17"/>
      <c r="H1102" s="17"/>
      <c r="I1102" s="17"/>
    </row>
    <row r="1103" spans="2:9" ht="15.75" x14ac:dyDescent="0.25">
      <c r="B1103" s="416" t="s">
        <v>248</v>
      </c>
      <c r="C1103" s="417">
        <v>2042</v>
      </c>
      <c r="D1103" s="417" t="s">
        <v>1471</v>
      </c>
      <c r="E1103" s="413">
        <v>291.38041289426405</v>
      </c>
      <c r="F1103" s="17"/>
      <c r="G1103" s="17"/>
      <c r="H1103" s="17"/>
      <c r="I1103" s="17"/>
    </row>
    <row r="1104" spans="2:9" ht="15.75" x14ac:dyDescent="0.25">
      <c r="B1104" s="416" t="s">
        <v>248</v>
      </c>
      <c r="C1104" s="417">
        <v>2043</v>
      </c>
      <c r="D1104" s="417" t="s">
        <v>1472</v>
      </c>
      <c r="E1104" s="413">
        <v>290.33685592707548</v>
      </c>
      <c r="F1104" s="17"/>
      <c r="G1104" s="17"/>
      <c r="H1104" s="17"/>
      <c r="I1104" s="17"/>
    </row>
    <row r="1105" spans="2:9" ht="15.75" x14ac:dyDescent="0.25">
      <c r="B1105" s="416" t="s">
        <v>248</v>
      </c>
      <c r="C1105" s="417">
        <v>2044</v>
      </c>
      <c r="D1105" s="417" t="s">
        <v>1473</v>
      </c>
      <c r="E1105" s="413">
        <v>289.46100300772338</v>
      </c>
      <c r="F1105" s="17"/>
      <c r="G1105" s="17"/>
      <c r="H1105" s="17"/>
      <c r="I1105" s="17"/>
    </row>
    <row r="1106" spans="2:9" ht="15.75" x14ac:dyDescent="0.25">
      <c r="B1106" s="416" t="s">
        <v>248</v>
      </c>
      <c r="C1106" s="417">
        <v>2045</v>
      </c>
      <c r="D1106" s="417" t="s">
        <v>1474</v>
      </c>
      <c r="E1106" s="413">
        <v>288.71451346939722</v>
      </c>
      <c r="F1106" s="17"/>
      <c r="G1106" s="17"/>
      <c r="H1106" s="17"/>
      <c r="I1106" s="17"/>
    </row>
    <row r="1107" spans="2:9" ht="15.75" x14ac:dyDescent="0.25">
      <c r="B1107" s="416" t="s">
        <v>248</v>
      </c>
      <c r="C1107" s="417">
        <v>2046</v>
      </c>
      <c r="D1107" s="417" t="s">
        <v>1475</v>
      </c>
      <c r="E1107" s="413">
        <v>288.08191761920421</v>
      </c>
      <c r="F1107" s="17"/>
      <c r="G1107" s="17"/>
      <c r="H1107" s="17"/>
      <c r="I1107" s="17"/>
    </row>
    <row r="1108" spans="2:9" ht="15.75" x14ac:dyDescent="0.25">
      <c r="B1108" s="416" t="s">
        <v>248</v>
      </c>
      <c r="C1108" s="417">
        <v>2047</v>
      </c>
      <c r="D1108" s="417" t="s">
        <v>1476</v>
      </c>
      <c r="E1108" s="413">
        <v>287.55016965281794</v>
      </c>
      <c r="F1108" s="17"/>
      <c r="G1108" s="17"/>
      <c r="H1108" s="17"/>
      <c r="I1108" s="17"/>
    </row>
    <row r="1109" spans="2:9" ht="15.75" x14ac:dyDescent="0.25">
      <c r="B1109" s="416" t="s">
        <v>248</v>
      </c>
      <c r="C1109" s="417">
        <v>2048</v>
      </c>
      <c r="D1109" s="417" t="s">
        <v>1477</v>
      </c>
      <c r="E1109" s="413">
        <v>287.09837955245939</v>
      </c>
      <c r="F1109" s="17"/>
      <c r="G1109" s="17"/>
      <c r="H1109" s="17"/>
      <c r="I1109" s="17"/>
    </row>
    <row r="1110" spans="2:9" ht="15.75" x14ac:dyDescent="0.25">
      <c r="B1110" s="416" t="s">
        <v>248</v>
      </c>
      <c r="C1110" s="417">
        <v>2049</v>
      </c>
      <c r="D1110" s="417" t="s">
        <v>1478</v>
      </c>
      <c r="E1110" s="413">
        <v>286.70782712404394</v>
      </c>
      <c r="F1110" s="17"/>
      <c r="G1110" s="17"/>
      <c r="H1110" s="17"/>
      <c r="I1110" s="17"/>
    </row>
    <row r="1111" spans="2:9" ht="15.75" x14ac:dyDescent="0.25">
      <c r="B1111" s="416" t="s">
        <v>248</v>
      </c>
      <c r="C1111" s="417">
        <v>2050</v>
      </c>
      <c r="D1111" s="417" t="s">
        <v>1479</v>
      </c>
      <c r="E1111" s="413">
        <v>286.38704040171643</v>
      </c>
      <c r="F1111" s="17"/>
      <c r="G1111" s="17"/>
      <c r="H1111" s="17"/>
      <c r="I1111" s="17"/>
    </row>
    <row r="1112" spans="2:9" ht="15.75" x14ac:dyDescent="0.25">
      <c r="B1112" s="407" t="s">
        <v>80</v>
      </c>
      <c r="C1112" s="408">
        <v>2015</v>
      </c>
      <c r="D1112" s="409" t="s">
        <v>249</v>
      </c>
      <c r="E1112" s="410">
        <v>525.30916476759364</v>
      </c>
      <c r="F1112" s="17"/>
      <c r="G1112" s="17"/>
      <c r="H1112" s="17"/>
      <c r="I1112" s="17"/>
    </row>
    <row r="1113" spans="2:9" ht="15.75" x14ac:dyDescent="0.25">
      <c r="B1113" s="407" t="s">
        <v>80</v>
      </c>
      <c r="C1113" s="408">
        <v>2016</v>
      </c>
      <c r="D1113" s="409" t="s">
        <v>250</v>
      </c>
      <c r="E1113" s="410">
        <v>514.59765678995916</v>
      </c>
      <c r="F1113" s="17"/>
      <c r="G1113" s="17"/>
      <c r="H1113" s="17"/>
      <c r="I1113" s="17"/>
    </row>
    <row r="1114" spans="2:9" ht="15.75" x14ac:dyDescent="0.25">
      <c r="B1114" s="411" t="s">
        <v>80</v>
      </c>
      <c r="C1114" s="412">
        <v>2017</v>
      </c>
      <c r="D1114" s="412" t="s">
        <v>1480</v>
      </c>
      <c r="E1114" s="413">
        <v>501.93868735670617</v>
      </c>
      <c r="F1114" s="17"/>
      <c r="G1114" s="17"/>
      <c r="H1114" s="17"/>
      <c r="I1114" s="17"/>
    </row>
    <row r="1115" spans="2:9" ht="15.75" x14ac:dyDescent="0.25">
      <c r="B1115" s="411" t="s">
        <v>80</v>
      </c>
      <c r="C1115" s="412">
        <v>2018</v>
      </c>
      <c r="D1115" s="412" t="s">
        <v>1481</v>
      </c>
      <c r="E1115" s="413">
        <v>488.69523561930993</v>
      </c>
      <c r="F1115" s="17"/>
      <c r="G1115" s="17"/>
      <c r="H1115" s="17"/>
      <c r="I1115" s="17"/>
    </row>
    <row r="1116" spans="2:9" ht="15.75" x14ac:dyDescent="0.25">
      <c r="B1116" s="411" t="s">
        <v>80</v>
      </c>
      <c r="C1116" s="412">
        <v>2019</v>
      </c>
      <c r="D1116" s="412" t="s">
        <v>1482</v>
      </c>
      <c r="E1116" s="413">
        <v>475.00689699241462</v>
      </c>
      <c r="F1116" s="17"/>
      <c r="G1116" s="17"/>
      <c r="H1116" s="17"/>
      <c r="I1116" s="17"/>
    </row>
    <row r="1117" spans="2:9" ht="15.75" x14ac:dyDescent="0.25">
      <c r="B1117" s="411" t="s">
        <v>80</v>
      </c>
      <c r="C1117" s="412">
        <v>2020</v>
      </c>
      <c r="D1117" s="412" t="s">
        <v>1483</v>
      </c>
      <c r="E1117" s="413">
        <v>461.10109254393774</v>
      </c>
      <c r="F1117" s="17"/>
      <c r="G1117" s="17"/>
      <c r="H1117" s="17"/>
      <c r="I1117" s="17"/>
    </row>
    <row r="1118" spans="2:9" ht="15.75" x14ac:dyDescent="0.25">
      <c r="B1118" s="411" t="s">
        <v>80</v>
      </c>
      <c r="C1118" s="412">
        <v>2021</v>
      </c>
      <c r="D1118" s="412" t="s">
        <v>1484</v>
      </c>
      <c r="E1118" s="413">
        <v>447.03592533909483</v>
      </c>
      <c r="F1118" s="17"/>
      <c r="G1118" s="17"/>
      <c r="H1118" s="17"/>
      <c r="I1118" s="17"/>
    </row>
    <row r="1119" spans="2:9" ht="15.75" x14ac:dyDescent="0.25">
      <c r="B1119" s="411" t="s">
        <v>80</v>
      </c>
      <c r="C1119" s="412">
        <v>2022</v>
      </c>
      <c r="D1119" s="412" t="s">
        <v>1485</v>
      </c>
      <c r="E1119" s="413">
        <v>433.16133425687599</v>
      </c>
      <c r="F1119" s="17"/>
      <c r="G1119" s="17"/>
      <c r="H1119" s="17"/>
      <c r="I1119" s="17"/>
    </row>
    <row r="1120" spans="2:9" ht="15.75" x14ac:dyDescent="0.25">
      <c r="B1120" s="411" t="s">
        <v>80</v>
      </c>
      <c r="C1120" s="412">
        <v>2023</v>
      </c>
      <c r="D1120" s="412" t="s">
        <v>1486</v>
      </c>
      <c r="E1120" s="413">
        <v>419.47381124798306</v>
      </c>
      <c r="F1120" s="17"/>
      <c r="G1120" s="17"/>
      <c r="H1120" s="17"/>
      <c r="I1120" s="17"/>
    </row>
    <row r="1121" spans="2:9" ht="15.75" x14ac:dyDescent="0.25">
      <c r="B1121" s="411" t="s">
        <v>80</v>
      </c>
      <c r="C1121" s="412">
        <v>2024</v>
      </c>
      <c r="D1121" s="412" t="s">
        <v>1487</v>
      </c>
      <c r="E1121" s="413">
        <v>405.97857532591587</v>
      </c>
      <c r="F1121" s="17"/>
      <c r="G1121" s="17"/>
      <c r="H1121" s="17"/>
      <c r="I1121" s="17"/>
    </row>
    <row r="1122" spans="2:9" ht="15.75" x14ac:dyDescent="0.25">
      <c r="B1122" s="411" t="s">
        <v>80</v>
      </c>
      <c r="C1122" s="412">
        <v>2025</v>
      </c>
      <c r="D1122" s="412" t="s">
        <v>1488</v>
      </c>
      <c r="E1122" s="413">
        <v>392.77804031023919</v>
      </c>
      <c r="F1122" s="17"/>
      <c r="G1122" s="17"/>
      <c r="H1122" s="17"/>
      <c r="I1122" s="17"/>
    </row>
    <row r="1123" spans="2:9" ht="15.75" x14ac:dyDescent="0.25">
      <c r="B1123" s="411" t="s">
        <v>80</v>
      </c>
      <c r="C1123" s="412">
        <v>2026</v>
      </c>
      <c r="D1123" s="412" t="s">
        <v>1489</v>
      </c>
      <c r="E1123" s="413">
        <v>380.80424518308297</v>
      </c>
      <c r="F1123" s="17"/>
      <c r="G1123" s="17"/>
      <c r="H1123" s="17"/>
      <c r="I1123" s="17"/>
    </row>
    <row r="1124" spans="2:9" ht="15.75" x14ac:dyDescent="0.25">
      <c r="B1124" s="411" t="s">
        <v>80</v>
      </c>
      <c r="C1124" s="412">
        <v>2027</v>
      </c>
      <c r="D1124" s="412" t="s">
        <v>1490</v>
      </c>
      <c r="E1124" s="413">
        <v>369.88754412812392</v>
      </c>
      <c r="F1124" s="17"/>
      <c r="G1124" s="17"/>
      <c r="H1124" s="17"/>
      <c r="I1124" s="17"/>
    </row>
    <row r="1125" spans="2:9" ht="15.75" x14ac:dyDescent="0.25">
      <c r="B1125" s="411" t="s">
        <v>80</v>
      </c>
      <c r="C1125" s="412">
        <v>2028</v>
      </c>
      <c r="D1125" s="412" t="s">
        <v>1491</v>
      </c>
      <c r="E1125" s="413">
        <v>360.05639178287743</v>
      </c>
      <c r="F1125" s="17"/>
      <c r="G1125" s="17"/>
      <c r="H1125" s="17"/>
      <c r="I1125" s="17"/>
    </row>
    <row r="1126" spans="2:9" ht="15.75" x14ac:dyDescent="0.25">
      <c r="B1126" s="411" t="s">
        <v>80</v>
      </c>
      <c r="C1126" s="412">
        <v>2029</v>
      </c>
      <c r="D1126" s="412" t="s">
        <v>1492</v>
      </c>
      <c r="E1126" s="413">
        <v>351.20806880520422</v>
      </c>
      <c r="F1126" s="17"/>
      <c r="G1126" s="17"/>
      <c r="H1126" s="17"/>
      <c r="I1126" s="17"/>
    </row>
    <row r="1127" spans="2:9" ht="15.75" x14ac:dyDescent="0.25">
      <c r="B1127" s="411" t="s">
        <v>80</v>
      </c>
      <c r="C1127" s="412">
        <v>2030</v>
      </c>
      <c r="D1127" s="412" t="s">
        <v>1493</v>
      </c>
      <c r="E1127" s="413">
        <v>343.29923390339957</v>
      </c>
      <c r="F1127" s="17"/>
      <c r="G1127" s="17"/>
      <c r="H1127" s="17"/>
      <c r="I1127" s="17"/>
    </row>
    <row r="1128" spans="2:9" ht="15.75" x14ac:dyDescent="0.25">
      <c r="B1128" s="411" t="s">
        <v>80</v>
      </c>
      <c r="C1128" s="412">
        <v>2031</v>
      </c>
      <c r="D1128" s="412" t="s">
        <v>1494</v>
      </c>
      <c r="E1128" s="413">
        <v>336.25464310662124</v>
      </c>
      <c r="F1128" s="17"/>
      <c r="G1128" s="17"/>
      <c r="H1128" s="17"/>
      <c r="I1128" s="17"/>
    </row>
    <row r="1129" spans="2:9" ht="15.75" x14ac:dyDescent="0.25">
      <c r="B1129" s="411" t="s">
        <v>80</v>
      </c>
      <c r="C1129" s="412">
        <v>2032</v>
      </c>
      <c r="D1129" s="412" t="s">
        <v>1495</v>
      </c>
      <c r="E1129" s="413">
        <v>330.00943461935952</v>
      </c>
      <c r="F1129" s="17"/>
      <c r="G1129" s="17"/>
      <c r="H1129" s="17"/>
      <c r="I1129" s="17"/>
    </row>
    <row r="1130" spans="2:9" ht="15.75" x14ac:dyDescent="0.25">
      <c r="B1130" s="411" t="s">
        <v>80</v>
      </c>
      <c r="C1130" s="412">
        <v>2033</v>
      </c>
      <c r="D1130" s="412" t="s">
        <v>1496</v>
      </c>
      <c r="E1130" s="413">
        <v>324.50529453069635</v>
      </c>
      <c r="F1130" s="17"/>
      <c r="G1130" s="17"/>
      <c r="H1130" s="17"/>
      <c r="I1130" s="17"/>
    </row>
    <row r="1131" spans="2:9" ht="15.75" x14ac:dyDescent="0.25">
      <c r="B1131" s="411" t="s">
        <v>80</v>
      </c>
      <c r="C1131" s="412">
        <v>2034</v>
      </c>
      <c r="D1131" s="412" t="s">
        <v>1497</v>
      </c>
      <c r="E1131" s="413">
        <v>319.67120768977685</v>
      </c>
      <c r="F1131" s="17"/>
      <c r="G1131" s="17"/>
      <c r="H1131" s="17"/>
      <c r="I1131" s="17"/>
    </row>
    <row r="1132" spans="2:9" ht="15.75" x14ac:dyDescent="0.25">
      <c r="B1132" s="411" t="s">
        <v>80</v>
      </c>
      <c r="C1132" s="412">
        <v>2035</v>
      </c>
      <c r="D1132" s="412" t="s">
        <v>1498</v>
      </c>
      <c r="E1132" s="413">
        <v>315.4599207420527</v>
      </c>
      <c r="F1132" s="17"/>
      <c r="G1132" s="17"/>
      <c r="H1132" s="17"/>
      <c r="I1132" s="17"/>
    </row>
    <row r="1133" spans="2:9" ht="15.75" x14ac:dyDescent="0.25">
      <c r="B1133" s="411" t="s">
        <v>80</v>
      </c>
      <c r="C1133" s="412">
        <v>2036</v>
      </c>
      <c r="D1133" s="412" t="s">
        <v>1499</v>
      </c>
      <c r="E1133" s="413">
        <v>311.80767270406631</v>
      </c>
      <c r="F1133" s="17"/>
      <c r="G1133" s="17"/>
      <c r="H1133" s="17"/>
      <c r="I1133" s="17"/>
    </row>
    <row r="1134" spans="2:9" ht="15.75" x14ac:dyDescent="0.25">
      <c r="B1134" s="411" t="s">
        <v>80</v>
      </c>
      <c r="C1134" s="412">
        <v>2037</v>
      </c>
      <c r="D1134" s="412" t="s">
        <v>1500</v>
      </c>
      <c r="E1134" s="413">
        <v>308.67388471560383</v>
      </c>
      <c r="F1134" s="17"/>
      <c r="G1134" s="17"/>
      <c r="H1134" s="17"/>
      <c r="I1134" s="17"/>
    </row>
    <row r="1135" spans="2:9" ht="15.75" x14ac:dyDescent="0.25">
      <c r="B1135" s="411" t="s">
        <v>80</v>
      </c>
      <c r="C1135" s="412">
        <v>2038</v>
      </c>
      <c r="D1135" s="412" t="s">
        <v>1501</v>
      </c>
      <c r="E1135" s="413">
        <v>305.99900598972874</v>
      </c>
      <c r="F1135" s="17"/>
      <c r="G1135" s="17"/>
      <c r="H1135" s="17"/>
      <c r="I1135" s="17"/>
    </row>
    <row r="1136" spans="2:9" ht="15.75" x14ac:dyDescent="0.25">
      <c r="B1136" s="411" t="s">
        <v>80</v>
      </c>
      <c r="C1136" s="412">
        <v>2039</v>
      </c>
      <c r="D1136" s="412" t="s">
        <v>1502</v>
      </c>
      <c r="E1136" s="413">
        <v>303.7273656585711</v>
      </c>
      <c r="F1136" s="17"/>
      <c r="G1136" s="17"/>
      <c r="H1136" s="17"/>
      <c r="I1136" s="17"/>
    </row>
    <row r="1137" spans="2:9" ht="15.75" x14ac:dyDescent="0.25">
      <c r="B1137" s="411" t="s">
        <v>80</v>
      </c>
      <c r="C1137" s="412">
        <v>2040</v>
      </c>
      <c r="D1137" s="412" t="s">
        <v>1503</v>
      </c>
      <c r="E1137" s="413">
        <v>301.80372295510767</v>
      </c>
      <c r="F1137" s="17"/>
      <c r="G1137" s="17"/>
      <c r="H1137" s="17"/>
      <c r="I1137" s="17"/>
    </row>
    <row r="1138" spans="2:9" ht="15.75" x14ac:dyDescent="0.25">
      <c r="B1138" s="411" t="s">
        <v>80</v>
      </c>
      <c r="C1138" s="412">
        <v>2041</v>
      </c>
      <c r="D1138" s="412" t="s">
        <v>1504</v>
      </c>
      <c r="E1138" s="413">
        <v>300.19138819183456</v>
      </c>
      <c r="F1138" s="17"/>
      <c r="G1138" s="17"/>
      <c r="H1138" s="17"/>
      <c r="I1138" s="17"/>
    </row>
    <row r="1139" spans="2:9" ht="15.75" x14ac:dyDescent="0.25">
      <c r="B1139" s="411" t="s">
        <v>80</v>
      </c>
      <c r="C1139" s="412">
        <v>2042</v>
      </c>
      <c r="D1139" s="412" t="s">
        <v>1505</v>
      </c>
      <c r="E1139" s="413">
        <v>298.83039563689164</v>
      </c>
      <c r="F1139" s="17"/>
      <c r="G1139" s="17"/>
      <c r="H1139" s="17"/>
      <c r="I1139" s="17"/>
    </row>
    <row r="1140" spans="2:9" ht="15.75" x14ac:dyDescent="0.25">
      <c r="B1140" s="411" t="s">
        <v>80</v>
      </c>
      <c r="C1140" s="412">
        <v>2043</v>
      </c>
      <c r="D1140" s="412" t="s">
        <v>1506</v>
      </c>
      <c r="E1140" s="413">
        <v>297.68309469131782</v>
      </c>
      <c r="F1140" s="17"/>
      <c r="G1140" s="17"/>
      <c r="H1140" s="17"/>
      <c r="I1140" s="17"/>
    </row>
    <row r="1141" spans="2:9" ht="15.75" x14ac:dyDescent="0.25">
      <c r="B1141" s="411" t="s">
        <v>80</v>
      </c>
      <c r="C1141" s="412">
        <v>2044</v>
      </c>
      <c r="D1141" s="412" t="s">
        <v>1507</v>
      </c>
      <c r="E1141" s="413">
        <v>296.73337894789387</v>
      </c>
      <c r="F1141" s="17"/>
      <c r="G1141" s="17"/>
      <c r="H1141" s="17"/>
      <c r="I1141" s="17"/>
    </row>
    <row r="1142" spans="2:9" ht="15.75" x14ac:dyDescent="0.25">
      <c r="B1142" s="411" t="s">
        <v>80</v>
      </c>
      <c r="C1142" s="412">
        <v>2045</v>
      </c>
      <c r="D1142" s="412" t="s">
        <v>1508</v>
      </c>
      <c r="E1142" s="413">
        <v>295.91866326336418</v>
      </c>
      <c r="F1142" s="17"/>
      <c r="G1142" s="17"/>
      <c r="H1142" s="17"/>
      <c r="I1142" s="17"/>
    </row>
    <row r="1143" spans="2:9" ht="15.75" x14ac:dyDescent="0.25">
      <c r="B1143" s="411" t="s">
        <v>80</v>
      </c>
      <c r="C1143" s="412">
        <v>2046</v>
      </c>
      <c r="D1143" s="412" t="s">
        <v>1509</v>
      </c>
      <c r="E1143" s="413">
        <v>295.22551510558037</v>
      </c>
      <c r="F1143" s="17"/>
      <c r="G1143" s="17"/>
      <c r="H1143" s="17"/>
      <c r="I1143" s="17"/>
    </row>
    <row r="1144" spans="2:9" ht="15.75" x14ac:dyDescent="0.25">
      <c r="B1144" s="411" t="s">
        <v>80</v>
      </c>
      <c r="C1144" s="412">
        <v>2047</v>
      </c>
      <c r="D1144" s="412" t="s">
        <v>1510</v>
      </c>
      <c r="E1144" s="413">
        <v>294.64405999350743</v>
      </c>
      <c r="F1144" s="17"/>
      <c r="G1144" s="17"/>
      <c r="H1144" s="17"/>
      <c r="I1144" s="17"/>
    </row>
    <row r="1145" spans="2:9" ht="15.75" x14ac:dyDescent="0.25">
      <c r="B1145" s="411" t="s">
        <v>80</v>
      </c>
      <c r="C1145" s="412">
        <v>2048</v>
      </c>
      <c r="D1145" s="412" t="s">
        <v>1511</v>
      </c>
      <c r="E1145" s="413">
        <v>294.16299606610335</v>
      </c>
      <c r="F1145" s="17"/>
      <c r="G1145" s="17"/>
      <c r="H1145" s="17"/>
      <c r="I1145" s="17"/>
    </row>
    <row r="1146" spans="2:9" ht="15.75" x14ac:dyDescent="0.25">
      <c r="B1146" s="411" t="s">
        <v>80</v>
      </c>
      <c r="C1146" s="412">
        <v>2049</v>
      </c>
      <c r="D1146" s="412" t="s">
        <v>1512</v>
      </c>
      <c r="E1146" s="413">
        <v>293.73884233450042</v>
      </c>
      <c r="F1146" s="17"/>
      <c r="G1146" s="17"/>
      <c r="H1146" s="17"/>
      <c r="I1146" s="17"/>
    </row>
    <row r="1147" spans="2:9" ht="15.75" x14ac:dyDescent="0.25">
      <c r="B1147" s="411" t="s">
        <v>80</v>
      </c>
      <c r="C1147" s="412">
        <v>2050</v>
      </c>
      <c r="D1147" s="412" t="s">
        <v>1513</v>
      </c>
      <c r="E1147" s="413">
        <v>293.419114547258</v>
      </c>
      <c r="F1147" s="17"/>
      <c r="G1147" s="17"/>
      <c r="H1147" s="17"/>
      <c r="I1147" s="17"/>
    </row>
    <row r="1148" spans="2:9" ht="15.75" x14ac:dyDescent="0.25">
      <c r="B1148" s="407" t="s">
        <v>81</v>
      </c>
      <c r="C1148" s="408">
        <v>2015</v>
      </c>
      <c r="D1148" s="409" t="s">
        <v>251</v>
      </c>
      <c r="E1148" s="410">
        <v>548.22250621603405</v>
      </c>
      <c r="F1148" s="17"/>
      <c r="G1148" s="17"/>
      <c r="H1148" s="17"/>
      <c r="I1148" s="17"/>
    </row>
    <row r="1149" spans="2:9" ht="15.75" x14ac:dyDescent="0.25">
      <c r="B1149" s="407" t="s">
        <v>81</v>
      </c>
      <c r="C1149" s="408">
        <v>2016</v>
      </c>
      <c r="D1149" s="409" t="s">
        <v>252</v>
      </c>
      <c r="E1149" s="410">
        <v>537.53161355599957</v>
      </c>
      <c r="F1149" s="17"/>
      <c r="G1149" s="17"/>
      <c r="H1149" s="17"/>
      <c r="I1149" s="17"/>
    </row>
    <row r="1150" spans="2:9" ht="15.75" x14ac:dyDescent="0.25">
      <c r="B1150" s="411" t="s">
        <v>81</v>
      </c>
      <c r="C1150" s="412">
        <v>2017</v>
      </c>
      <c r="D1150" s="412" t="s">
        <v>1514</v>
      </c>
      <c r="E1150" s="413">
        <v>525.05806876350061</v>
      </c>
      <c r="F1150" s="17"/>
      <c r="G1150" s="17"/>
      <c r="H1150" s="17"/>
      <c r="I1150" s="17"/>
    </row>
    <row r="1151" spans="2:9" ht="15.75" x14ac:dyDescent="0.25">
      <c r="B1151" s="411" t="s">
        <v>81</v>
      </c>
      <c r="C1151" s="412">
        <v>2018</v>
      </c>
      <c r="D1151" s="412" t="s">
        <v>1515</v>
      </c>
      <c r="E1151" s="413">
        <v>511.81078016866826</v>
      </c>
      <c r="F1151" s="17"/>
      <c r="G1151" s="17"/>
      <c r="H1151" s="17"/>
      <c r="I1151" s="17"/>
    </row>
    <row r="1152" spans="2:9" ht="15.75" x14ac:dyDescent="0.25">
      <c r="B1152" s="411" t="s">
        <v>81</v>
      </c>
      <c r="C1152" s="412">
        <v>2019</v>
      </c>
      <c r="D1152" s="412" t="s">
        <v>1516</v>
      </c>
      <c r="E1152" s="413">
        <v>498.08940905010616</v>
      </c>
      <c r="F1152" s="17"/>
      <c r="G1152" s="17"/>
      <c r="H1152" s="17"/>
      <c r="I1152" s="17"/>
    </row>
    <row r="1153" spans="2:9" ht="15.75" x14ac:dyDescent="0.25">
      <c r="B1153" s="411" t="s">
        <v>81</v>
      </c>
      <c r="C1153" s="412">
        <v>2020</v>
      </c>
      <c r="D1153" s="412" t="s">
        <v>1517</v>
      </c>
      <c r="E1153" s="413">
        <v>484.09469255041</v>
      </c>
      <c r="F1153" s="17"/>
      <c r="G1153" s="17"/>
      <c r="H1153" s="17"/>
      <c r="I1153" s="17"/>
    </row>
    <row r="1154" spans="2:9" ht="15.75" x14ac:dyDescent="0.25">
      <c r="B1154" s="411" t="s">
        <v>81</v>
      </c>
      <c r="C1154" s="412">
        <v>2021</v>
      </c>
      <c r="D1154" s="412" t="s">
        <v>1518</v>
      </c>
      <c r="E1154" s="413">
        <v>469.37640678546347</v>
      </c>
      <c r="F1154" s="17"/>
      <c r="G1154" s="17"/>
      <c r="H1154" s="17"/>
      <c r="I1154" s="17"/>
    </row>
    <row r="1155" spans="2:9" ht="15.75" x14ac:dyDescent="0.25">
      <c r="B1155" s="411" t="s">
        <v>81</v>
      </c>
      <c r="C1155" s="412">
        <v>2022</v>
      </c>
      <c r="D1155" s="412" t="s">
        <v>1519</v>
      </c>
      <c r="E1155" s="413">
        <v>455.41127540138558</v>
      </c>
      <c r="F1155" s="17"/>
      <c r="G1155" s="17"/>
      <c r="H1155" s="17"/>
      <c r="I1155" s="17"/>
    </row>
    <row r="1156" spans="2:9" ht="15.75" x14ac:dyDescent="0.25">
      <c r="B1156" s="411" t="s">
        <v>81</v>
      </c>
      <c r="C1156" s="412">
        <v>2023</v>
      </c>
      <c r="D1156" s="412" t="s">
        <v>1520</v>
      </c>
      <c r="E1156" s="413">
        <v>441.55341739790168</v>
      </c>
      <c r="F1156" s="17"/>
      <c r="G1156" s="17"/>
      <c r="H1156" s="17"/>
      <c r="I1156" s="17"/>
    </row>
    <row r="1157" spans="2:9" ht="15.75" x14ac:dyDescent="0.25">
      <c r="B1157" s="411" t="s">
        <v>81</v>
      </c>
      <c r="C1157" s="412">
        <v>2024</v>
      </c>
      <c r="D1157" s="412" t="s">
        <v>1521</v>
      </c>
      <c r="E1157" s="413">
        <v>427.8623401645001</v>
      </c>
      <c r="F1157" s="17"/>
      <c r="G1157" s="17"/>
      <c r="H1157" s="17"/>
      <c r="I1157" s="17"/>
    </row>
    <row r="1158" spans="2:9" ht="15.75" x14ac:dyDescent="0.25">
      <c r="B1158" s="411" t="s">
        <v>81</v>
      </c>
      <c r="C1158" s="412">
        <v>2025</v>
      </c>
      <c r="D1158" s="412" t="s">
        <v>1522</v>
      </c>
      <c r="E1158" s="413">
        <v>414.3730344698447</v>
      </c>
      <c r="F1158" s="17"/>
      <c r="G1158" s="17"/>
      <c r="H1158" s="17"/>
      <c r="I1158" s="17"/>
    </row>
    <row r="1159" spans="2:9" ht="15.75" x14ac:dyDescent="0.25">
      <c r="B1159" s="411" t="s">
        <v>81</v>
      </c>
      <c r="C1159" s="412">
        <v>2026</v>
      </c>
      <c r="D1159" s="412" t="s">
        <v>1523</v>
      </c>
      <c r="E1159" s="413">
        <v>400.98669770348943</v>
      </c>
      <c r="F1159" s="17"/>
      <c r="G1159" s="17"/>
      <c r="H1159" s="17"/>
      <c r="I1159" s="17"/>
    </row>
    <row r="1160" spans="2:9" ht="15.75" x14ac:dyDescent="0.25">
      <c r="B1160" s="411" t="s">
        <v>81</v>
      </c>
      <c r="C1160" s="412">
        <v>2027</v>
      </c>
      <c r="D1160" s="412" t="s">
        <v>1524</v>
      </c>
      <c r="E1160" s="413">
        <v>389.48747216894293</v>
      </c>
      <c r="F1160" s="17"/>
      <c r="G1160" s="17"/>
      <c r="H1160" s="17"/>
      <c r="I1160" s="17"/>
    </row>
    <row r="1161" spans="2:9" ht="15.75" x14ac:dyDescent="0.25">
      <c r="B1161" s="411" t="s">
        <v>81</v>
      </c>
      <c r="C1161" s="412">
        <v>2028</v>
      </c>
      <c r="D1161" s="412" t="s">
        <v>1525</v>
      </c>
      <c r="E1161" s="413">
        <v>378.99847121786757</v>
      </c>
      <c r="F1161" s="17"/>
      <c r="G1161" s="17"/>
      <c r="H1161" s="17"/>
      <c r="I1161" s="17"/>
    </row>
    <row r="1162" spans="2:9" ht="15.75" x14ac:dyDescent="0.25">
      <c r="B1162" s="411" t="s">
        <v>81</v>
      </c>
      <c r="C1162" s="412">
        <v>2029</v>
      </c>
      <c r="D1162" s="412" t="s">
        <v>1526</v>
      </c>
      <c r="E1162" s="413">
        <v>369.48399356478785</v>
      </c>
      <c r="F1162" s="17"/>
      <c r="G1162" s="17"/>
      <c r="H1162" s="17"/>
      <c r="I1162" s="17"/>
    </row>
    <row r="1163" spans="2:9" ht="15.75" x14ac:dyDescent="0.25">
      <c r="B1163" s="411" t="s">
        <v>81</v>
      </c>
      <c r="C1163" s="412">
        <v>2030</v>
      </c>
      <c r="D1163" s="412" t="s">
        <v>1527</v>
      </c>
      <c r="E1163" s="413">
        <v>360.90457870018287</v>
      </c>
      <c r="F1163" s="17"/>
      <c r="G1163" s="17"/>
      <c r="H1163" s="17"/>
      <c r="I1163" s="17"/>
    </row>
    <row r="1164" spans="2:9" ht="15.75" x14ac:dyDescent="0.25">
      <c r="B1164" s="411" t="s">
        <v>81</v>
      </c>
      <c r="C1164" s="412">
        <v>2031</v>
      </c>
      <c r="D1164" s="412" t="s">
        <v>1528</v>
      </c>
      <c r="E1164" s="413">
        <v>353.20330090772001</v>
      </c>
      <c r="F1164" s="17"/>
      <c r="G1164" s="17"/>
      <c r="H1164" s="17"/>
      <c r="I1164" s="17"/>
    </row>
    <row r="1165" spans="2:9" ht="15.75" x14ac:dyDescent="0.25">
      <c r="B1165" s="411" t="s">
        <v>81</v>
      </c>
      <c r="C1165" s="412">
        <v>2032</v>
      </c>
      <c r="D1165" s="412" t="s">
        <v>1529</v>
      </c>
      <c r="E1165" s="413">
        <v>346.31835944532463</v>
      </c>
      <c r="F1165" s="17"/>
      <c r="G1165" s="17"/>
      <c r="H1165" s="17"/>
      <c r="I1165" s="17"/>
    </row>
    <row r="1166" spans="2:9" ht="15.75" x14ac:dyDescent="0.25">
      <c r="B1166" s="411" t="s">
        <v>81</v>
      </c>
      <c r="C1166" s="412">
        <v>2033</v>
      </c>
      <c r="D1166" s="412" t="s">
        <v>1530</v>
      </c>
      <c r="E1166" s="413">
        <v>340.18150640184427</v>
      </c>
      <c r="F1166" s="17"/>
      <c r="G1166" s="17"/>
      <c r="H1166" s="17"/>
      <c r="I1166" s="17"/>
    </row>
    <row r="1167" spans="2:9" ht="15.75" x14ac:dyDescent="0.25">
      <c r="B1167" s="411" t="s">
        <v>81</v>
      </c>
      <c r="C1167" s="412">
        <v>2034</v>
      </c>
      <c r="D1167" s="412" t="s">
        <v>1531</v>
      </c>
      <c r="E1167" s="413">
        <v>334.73600480191203</v>
      </c>
      <c r="F1167" s="17"/>
      <c r="G1167" s="17"/>
      <c r="H1167" s="17"/>
      <c r="I1167" s="17"/>
    </row>
    <row r="1168" spans="2:9" ht="15.75" x14ac:dyDescent="0.25">
      <c r="B1168" s="411" t="s">
        <v>81</v>
      </c>
      <c r="C1168" s="412">
        <v>2035</v>
      </c>
      <c r="D1168" s="412" t="s">
        <v>1532</v>
      </c>
      <c r="E1168" s="413">
        <v>329.91460109520381</v>
      </c>
      <c r="F1168" s="17"/>
      <c r="G1168" s="17"/>
      <c r="H1168" s="17"/>
      <c r="I1168" s="17"/>
    </row>
    <row r="1169" spans="2:9" ht="15.75" x14ac:dyDescent="0.25">
      <c r="B1169" s="411" t="s">
        <v>81</v>
      </c>
      <c r="C1169" s="412">
        <v>2036</v>
      </c>
      <c r="D1169" s="412" t="s">
        <v>1533</v>
      </c>
      <c r="E1169" s="413">
        <v>325.67240631166533</v>
      </c>
      <c r="F1169" s="17"/>
      <c r="G1169" s="17"/>
      <c r="H1169" s="17"/>
      <c r="I1169" s="17"/>
    </row>
    <row r="1170" spans="2:9" ht="15.75" x14ac:dyDescent="0.25">
      <c r="B1170" s="411" t="s">
        <v>81</v>
      </c>
      <c r="C1170" s="412">
        <v>2037</v>
      </c>
      <c r="D1170" s="412" t="s">
        <v>1534</v>
      </c>
      <c r="E1170" s="413">
        <v>321.99017305889538</v>
      </c>
      <c r="F1170" s="17"/>
      <c r="G1170" s="17"/>
      <c r="H1170" s="17"/>
      <c r="I1170" s="17"/>
    </row>
    <row r="1171" spans="2:9" ht="15.75" x14ac:dyDescent="0.25">
      <c r="B1171" s="411" t="s">
        <v>81</v>
      </c>
      <c r="C1171" s="412">
        <v>2038</v>
      </c>
      <c r="D1171" s="412" t="s">
        <v>1535</v>
      </c>
      <c r="E1171" s="413">
        <v>318.80494510811286</v>
      </c>
      <c r="F1171" s="17"/>
      <c r="G1171" s="17"/>
      <c r="H1171" s="17"/>
      <c r="I1171" s="17"/>
    </row>
    <row r="1172" spans="2:9" ht="15.75" x14ac:dyDescent="0.25">
      <c r="B1172" s="411" t="s">
        <v>81</v>
      </c>
      <c r="C1172" s="412">
        <v>2039</v>
      </c>
      <c r="D1172" s="412" t="s">
        <v>1536</v>
      </c>
      <c r="E1172" s="413">
        <v>316.05065009732914</v>
      </c>
      <c r="F1172" s="17"/>
      <c r="G1172" s="17"/>
      <c r="H1172" s="17"/>
      <c r="I1172" s="17"/>
    </row>
    <row r="1173" spans="2:9" ht="15.75" x14ac:dyDescent="0.25">
      <c r="B1173" s="411" t="s">
        <v>81</v>
      </c>
      <c r="C1173" s="412">
        <v>2040</v>
      </c>
      <c r="D1173" s="412" t="s">
        <v>1537</v>
      </c>
      <c r="E1173" s="413">
        <v>313.68897753769124</v>
      </c>
      <c r="F1173" s="17"/>
      <c r="G1173" s="17"/>
      <c r="H1173" s="17"/>
      <c r="I1173" s="17"/>
    </row>
    <row r="1174" spans="2:9" ht="15.75" x14ac:dyDescent="0.25">
      <c r="B1174" s="411" t="s">
        <v>81</v>
      </c>
      <c r="C1174" s="412">
        <v>2041</v>
      </c>
      <c r="D1174" s="412" t="s">
        <v>1538</v>
      </c>
      <c r="E1174" s="413">
        <v>311.69540343158957</v>
      </c>
      <c r="F1174" s="17"/>
      <c r="G1174" s="17"/>
      <c r="H1174" s="17"/>
      <c r="I1174" s="17"/>
    </row>
    <row r="1175" spans="2:9" ht="15.75" x14ac:dyDescent="0.25">
      <c r="B1175" s="411" t="s">
        <v>81</v>
      </c>
      <c r="C1175" s="412">
        <v>2042</v>
      </c>
      <c r="D1175" s="412" t="s">
        <v>1539</v>
      </c>
      <c r="E1175" s="413">
        <v>309.9885927825448</v>
      </c>
      <c r="F1175" s="17"/>
      <c r="G1175" s="17"/>
      <c r="H1175" s="17"/>
      <c r="I1175" s="17"/>
    </row>
    <row r="1176" spans="2:9" ht="15.75" x14ac:dyDescent="0.25">
      <c r="B1176" s="411" t="s">
        <v>81</v>
      </c>
      <c r="C1176" s="412">
        <v>2043</v>
      </c>
      <c r="D1176" s="412" t="s">
        <v>1540</v>
      </c>
      <c r="E1176" s="413">
        <v>308.55092000955068</v>
      </c>
      <c r="F1176" s="17"/>
      <c r="G1176" s="17"/>
      <c r="H1176" s="17"/>
      <c r="I1176" s="17"/>
    </row>
    <row r="1177" spans="2:9" ht="15.75" x14ac:dyDescent="0.25">
      <c r="B1177" s="411" t="s">
        <v>81</v>
      </c>
      <c r="C1177" s="412">
        <v>2044</v>
      </c>
      <c r="D1177" s="412" t="s">
        <v>1541</v>
      </c>
      <c r="E1177" s="413">
        <v>307.32419361531458</v>
      </c>
      <c r="F1177" s="17"/>
      <c r="G1177" s="17"/>
      <c r="H1177" s="17"/>
      <c r="I1177" s="17"/>
    </row>
    <row r="1178" spans="2:9" ht="15.75" x14ac:dyDescent="0.25">
      <c r="B1178" s="411" t="s">
        <v>81</v>
      </c>
      <c r="C1178" s="412">
        <v>2045</v>
      </c>
      <c r="D1178" s="412" t="s">
        <v>1542</v>
      </c>
      <c r="E1178" s="413">
        <v>306.26176781474061</v>
      </c>
      <c r="F1178" s="17"/>
      <c r="G1178" s="17"/>
      <c r="H1178" s="17"/>
      <c r="I1178" s="17"/>
    </row>
    <row r="1179" spans="2:9" ht="15.75" x14ac:dyDescent="0.25">
      <c r="B1179" s="411" t="s">
        <v>81</v>
      </c>
      <c r="C1179" s="412">
        <v>2046</v>
      </c>
      <c r="D1179" s="412" t="s">
        <v>1543</v>
      </c>
      <c r="E1179" s="413">
        <v>305.34569890003621</v>
      </c>
      <c r="F1179" s="17"/>
      <c r="G1179" s="17"/>
      <c r="H1179" s="17"/>
      <c r="I1179" s="17"/>
    </row>
    <row r="1180" spans="2:9" ht="15.75" x14ac:dyDescent="0.25">
      <c r="B1180" s="411" t="s">
        <v>81</v>
      </c>
      <c r="C1180" s="412">
        <v>2047</v>
      </c>
      <c r="D1180" s="412" t="s">
        <v>1544</v>
      </c>
      <c r="E1180" s="413">
        <v>304.58683879668439</v>
      </c>
      <c r="F1180" s="17"/>
      <c r="G1180" s="17"/>
      <c r="H1180" s="17"/>
      <c r="I1180" s="17"/>
    </row>
    <row r="1181" spans="2:9" ht="15.75" x14ac:dyDescent="0.25">
      <c r="B1181" s="411" t="s">
        <v>81</v>
      </c>
      <c r="C1181" s="412">
        <v>2048</v>
      </c>
      <c r="D1181" s="412" t="s">
        <v>1545</v>
      </c>
      <c r="E1181" s="413">
        <v>303.94243519475572</v>
      </c>
      <c r="F1181" s="17"/>
      <c r="G1181" s="17"/>
      <c r="H1181" s="17"/>
      <c r="I1181" s="17"/>
    </row>
    <row r="1182" spans="2:9" ht="15.75" x14ac:dyDescent="0.25">
      <c r="B1182" s="411" t="s">
        <v>81</v>
      </c>
      <c r="C1182" s="412">
        <v>2049</v>
      </c>
      <c r="D1182" s="412" t="s">
        <v>1546</v>
      </c>
      <c r="E1182" s="413">
        <v>303.39397551261408</v>
      </c>
      <c r="F1182" s="17"/>
      <c r="G1182" s="17"/>
      <c r="H1182" s="17"/>
      <c r="I1182" s="17"/>
    </row>
    <row r="1183" spans="2:9" ht="15.75" x14ac:dyDescent="0.25">
      <c r="B1183" s="411" t="s">
        <v>81</v>
      </c>
      <c r="C1183" s="412">
        <v>2050</v>
      </c>
      <c r="D1183" s="412" t="s">
        <v>1547</v>
      </c>
      <c r="E1183" s="413">
        <v>302.9578950502235</v>
      </c>
      <c r="F1183" s="17"/>
      <c r="G1183" s="17"/>
      <c r="H1183" s="17"/>
      <c r="I1183" s="17"/>
    </row>
    <row r="1184" spans="2:9" ht="15.75" x14ac:dyDescent="0.25">
      <c r="B1184" s="414" t="s">
        <v>253</v>
      </c>
      <c r="C1184" s="415">
        <v>2015</v>
      </c>
      <c r="D1184" s="415" t="s">
        <v>1548</v>
      </c>
      <c r="E1184" s="410">
        <v>529.42148289598606</v>
      </c>
      <c r="F1184" s="17"/>
      <c r="G1184" s="17"/>
      <c r="H1184" s="17"/>
      <c r="I1184" s="17"/>
    </row>
    <row r="1185" spans="2:9" ht="15.75" x14ac:dyDescent="0.25">
      <c r="B1185" s="414" t="s">
        <v>253</v>
      </c>
      <c r="C1185" s="415">
        <v>2016</v>
      </c>
      <c r="D1185" s="415" t="s">
        <v>1549</v>
      </c>
      <c r="E1185" s="410">
        <v>520.36158597072836</v>
      </c>
      <c r="F1185" s="17"/>
      <c r="G1185" s="17"/>
      <c r="H1185" s="17"/>
      <c r="I1185" s="17"/>
    </row>
    <row r="1186" spans="2:9" ht="15.75" x14ac:dyDescent="0.25">
      <c r="B1186" s="416" t="s">
        <v>253</v>
      </c>
      <c r="C1186" s="417">
        <v>2017</v>
      </c>
      <c r="D1186" s="417" t="s">
        <v>1550</v>
      </c>
      <c r="E1186" s="413">
        <v>508.88250496862844</v>
      </c>
      <c r="F1186" s="17"/>
      <c r="G1186" s="17"/>
      <c r="H1186" s="17"/>
      <c r="I1186" s="17"/>
    </row>
    <row r="1187" spans="2:9" ht="15.75" x14ac:dyDescent="0.25">
      <c r="B1187" s="416" t="s">
        <v>253</v>
      </c>
      <c r="C1187" s="417">
        <v>2018</v>
      </c>
      <c r="D1187" s="417" t="s">
        <v>1551</v>
      </c>
      <c r="E1187" s="413">
        <v>496.25544476980008</v>
      </c>
      <c r="F1187" s="17"/>
      <c r="G1187" s="17"/>
      <c r="H1187" s="17"/>
      <c r="I1187" s="17"/>
    </row>
    <row r="1188" spans="2:9" ht="15.75" x14ac:dyDescent="0.25">
      <c r="B1188" s="416" t="s">
        <v>253</v>
      </c>
      <c r="C1188" s="417">
        <v>2019</v>
      </c>
      <c r="D1188" s="417" t="s">
        <v>1552</v>
      </c>
      <c r="E1188" s="413">
        <v>482.24913495358516</v>
      </c>
      <c r="F1188" s="17"/>
      <c r="G1188" s="17"/>
      <c r="H1188" s="17"/>
      <c r="I1188" s="17"/>
    </row>
    <row r="1189" spans="2:9" ht="15.75" x14ac:dyDescent="0.25">
      <c r="B1189" s="416" t="s">
        <v>253</v>
      </c>
      <c r="C1189" s="417">
        <v>2020</v>
      </c>
      <c r="D1189" s="417" t="s">
        <v>1553</v>
      </c>
      <c r="E1189" s="413">
        <v>468.64744599227174</v>
      </c>
      <c r="F1189" s="17"/>
      <c r="G1189" s="17"/>
      <c r="H1189" s="17"/>
      <c r="I1189" s="17"/>
    </row>
    <row r="1190" spans="2:9" ht="15.75" x14ac:dyDescent="0.25">
      <c r="B1190" s="416" t="s">
        <v>253</v>
      </c>
      <c r="C1190" s="417">
        <v>2021</v>
      </c>
      <c r="D1190" s="417" t="s">
        <v>1554</v>
      </c>
      <c r="E1190" s="413">
        <v>454.74397311553884</v>
      </c>
      <c r="F1190" s="17"/>
      <c r="G1190" s="17"/>
      <c r="H1190" s="17"/>
      <c r="I1190" s="17"/>
    </row>
    <row r="1191" spans="2:9" ht="15.75" x14ac:dyDescent="0.25">
      <c r="B1191" s="416" t="s">
        <v>253</v>
      </c>
      <c r="C1191" s="417">
        <v>2022</v>
      </c>
      <c r="D1191" s="417" t="s">
        <v>1555</v>
      </c>
      <c r="E1191" s="413">
        <v>440.881616634659</v>
      </c>
      <c r="F1191" s="17"/>
      <c r="G1191" s="17"/>
      <c r="H1191" s="17"/>
      <c r="I1191" s="17"/>
    </row>
    <row r="1192" spans="2:9" ht="15.75" x14ac:dyDescent="0.25">
      <c r="B1192" s="416" t="s">
        <v>253</v>
      </c>
      <c r="C1192" s="417">
        <v>2023</v>
      </c>
      <c r="D1192" s="417" t="s">
        <v>1556</v>
      </c>
      <c r="E1192" s="413">
        <v>427.10632211445994</v>
      </c>
      <c r="F1192" s="17"/>
      <c r="G1192" s="17"/>
      <c r="H1192" s="17"/>
      <c r="I1192" s="17"/>
    </row>
    <row r="1193" spans="2:9" ht="15.75" x14ac:dyDescent="0.25">
      <c r="B1193" s="416" t="s">
        <v>253</v>
      </c>
      <c r="C1193" s="417">
        <v>2024</v>
      </c>
      <c r="D1193" s="417" t="s">
        <v>1557</v>
      </c>
      <c r="E1193" s="413">
        <v>413.47318914430139</v>
      </c>
      <c r="F1193" s="17"/>
      <c r="G1193" s="17"/>
      <c r="H1193" s="17"/>
      <c r="I1193" s="17"/>
    </row>
    <row r="1194" spans="2:9" ht="15.75" x14ac:dyDescent="0.25">
      <c r="B1194" s="416" t="s">
        <v>253</v>
      </c>
      <c r="C1194" s="417">
        <v>2025</v>
      </c>
      <c r="D1194" s="417" t="s">
        <v>1558</v>
      </c>
      <c r="E1194" s="413">
        <v>400.08172870073105</v>
      </c>
      <c r="F1194" s="17"/>
      <c r="G1194" s="17"/>
      <c r="H1194" s="17"/>
      <c r="I1194" s="17"/>
    </row>
    <row r="1195" spans="2:9" ht="15.75" x14ac:dyDescent="0.25">
      <c r="B1195" s="416" t="s">
        <v>253</v>
      </c>
      <c r="C1195" s="417">
        <v>2026</v>
      </c>
      <c r="D1195" s="417" t="s">
        <v>1559</v>
      </c>
      <c r="E1195" s="413">
        <v>387.72170705505471</v>
      </c>
      <c r="F1195" s="17"/>
      <c r="G1195" s="17"/>
      <c r="H1195" s="17"/>
      <c r="I1195" s="17"/>
    </row>
    <row r="1196" spans="2:9" ht="15.75" x14ac:dyDescent="0.25">
      <c r="B1196" s="416" t="s">
        <v>253</v>
      </c>
      <c r="C1196" s="417">
        <v>2027</v>
      </c>
      <c r="D1196" s="417" t="s">
        <v>1560</v>
      </c>
      <c r="E1196" s="413">
        <v>376.27092507799711</v>
      </c>
      <c r="F1196" s="17"/>
      <c r="G1196" s="17"/>
      <c r="H1196" s="17"/>
      <c r="I1196" s="17"/>
    </row>
    <row r="1197" spans="2:9" ht="15.75" x14ac:dyDescent="0.25">
      <c r="B1197" s="416" t="s">
        <v>253</v>
      </c>
      <c r="C1197" s="417">
        <v>2028</v>
      </c>
      <c r="D1197" s="417" t="s">
        <v>1561</v>
      </c>
      <c r="E1197" s="413">
        <v>365.80993563731795</v>
      </c>
      <c r="F1197" s="17"/>
      <c r="G1197" s="17"/>
      <c r="H1197" s="17"/>
      <c r="I1197" s="17"/>
    </row>
    <row r="1198" spans="2:9" ht="15.75" x14ac:dyDescent="0.25">
      <c r="B1198" s="416" t="s">
        <v>253</v>
      </c>
      <c r="C1198" s="417">
        <v>2029</v>
      </c>
      <c r="D1198" s="417" t="s">
        <v>1562</v>
      </c>
      <c r="E1198" s="413">
        <v>356.29482183633331</v>
      </c>
      <c r="F1198" s="17"/>
      <c r="G1198" s="17"/>
      <c r="H1198" s="17"/>
      <c r="I1198" s="17"/>
    </row>
    <row r="1199" spans="2:9" ht="15.75" x14ac:dyDescent="0.25">
      <c r="B1199" s="416" t="s">
        <v>253</v>
      </c>
      <c r="C1199" s="417">
        <v>2030</v>
      </c>
      <c r="D1199" s="417" t="s">
        <v>1563</v>
      </c>
      <c r="E1199" s="413">
        <v>347.69501534671588</v>
      </c>
      <c r="F1199" s="17"/>
      <c r="G1199" s="17"/>
      <c r="H1199" s="17"/>
      <c r="I1199" s="17"/>
    </row>
    <row r="1200" spans="2:9" ht="15.75" x14ac:dyDescent="0.25">
      <c r="B1200" s="416" t="s">
        <v>253</v>
      </c>
      <c r="C1200" s="417">
        <v>2031</v>
      </c>
      <c r="D1200" s="417" t="s">
        <v>1564</v>
      </c>
      <c r="E1200" s="413">
        <v>339.9662029802256</v>
      </c>
      <c r="F1200" s="17"/>
      <c r="G1200" s="17"/>
      <c r="H1200" s="17"/>
      <c r="I1200" s="17"/>
    </row>
    <row r="1201" spans="2:9" ht="15.75" x14ac:dyDescent="0.25">
      <c r="B1201" s="416" t="s">
        <v>253</v>
      </c>
      <c r="C1201" s="417">
        <v>2032</v>
      </c>
      <c r="D1201" s="417" t="s">
        <v>1565</v>
      </c>
      <c r="E1201" s="413">
        <v>333.08415997414619</v>
      </c>
      <c r="F1201" s="17"/>
      <c r="G1201" s="17"/>
      <c r="H1201" s="17"/>
      <c r="I1201" s="17"/>
    </row>
    <row r="1202" spans="2:9" ht="15.75" x14ac:dyDescent="0.25">
      <c r="B1202" s="416" t="s">
        <v>253</v>
      </c>
      <c r="C1202" s="417">
        <v>2033</v>
      </c>
      <c r="D1202" s="417" t="s">
        <v>1566</v>
      </c>
      <c r="E1202" s="413">
        <v>326.96950816637815</v>
      </c>
      <c r="F1202" s="17"/>
      <c r="G1202" s="17"/>
      <c r="H1202" s="17"/>
      <c r="I1202" s="17"/>
    </row>
    <row r="1203" spans="2:9" ht="15.75" x14ac:dyDescent="0.25">
      <c r="B1203" s="416" t="s">
        <v>253</v>
      </c>
      <c r="C1203" s="417">
        <v>2034</v>
      </c>
      <c r="D1203" s="417" t="s">
        <v>1567</v>
      </c>
      <c r="E1203" s="413">
        <v>321.54618362254138</v>
      </c>
      <c r="F1203" s="17"/>
      <c r="G1203" s="17"/>
      <c r="H1203" s="17"/>
      <c r="I1203" s="17"/>
    </row>
    <row r="1204" spans="2:9" ht="15.75" x14ac:dyDescent="0.25">
      <c r="B1204" s="416" t="s">
        <v>253</v>
      </c>
      <c r="C1204" s="417">
        <v>2035</v>
      </c>
      <c r="D1204" s="417" t="s">
        <v>1568</v>
      </c>
      <c r="E1204" s="413">
        <v>316.77956474115592</v>
      </c>
      <c r="F1204" s="17"/>
      <c r="G1204" s="17"/>
      <c r="H1204" s="17"/>
      <c r="I1204" s="17"/>
    </row>
    <row r="1205" spans="2:9" ht="15.75" x14ac:dyDescent="0.25">
      <c r="B1205" s="416" t="s">
        <v>253</v>
      </c>
      <c r="C1205" s="417">
        <v>2036</v>
      </c>
      <c r="D1205" s="417" t="s">
        <v>1569</v>
      </c>
      <c r="E1205" s="413">
        <v>312.62316729600269</v>
      </c>
      <c r="F1205" s="17"/>
      <c r="G1205" s="17"/>
      <c r="H1205" s="17"/>
      <c r="I1205" s="17"/>
    </row>
    <row r="1206" spans="2:9" ht="15.75" x14ac:dyDescent="0.25">
      <c r="B1206" s="416" t="s">
        <v>253</v>
      </c>
      <c r="C1206" s="417">
        <v>2037</v>
      </c>
      <c r="D1206" s="417" t="s">
        <v>1570</v>
      </c>
      <c r="E1206" s="413">
        <v>309.01462921944227</v>
      </c>
      <c r="F1206" s="17"/>
      <c r="G1206" s="17"/>
      <c r="H1206" s="17"/>
      <c r="I1206" s="17"/>
    </row>
    <row r="1207" spans="2:9" ht="15.75" x14ac:dyDescent="0.25">
      <c r="B1207" s="416" t="s">
        <v>253</v>
      </c>
      <c r="C1207" s="417">
        <v>2038</v>
      </c>
      <c r="D1207" s="417" t="s">
        <v>1571</v>
      </c>
      <c r="E1207" s="413">
        <v>305.91304898188906</v>
      </c>
      <c r="F1207" s="17"/>
      <c r="G1207" s="17"/>
      <c r="H1207" s="17"/>
      <c r="I1207" s="17"/>
    </row>
    <row r="1208" spans="2:9" ht="15.75" x14ac:dyDescent="0.25">
      <c r="B1208" s="416" t="s">
        <v>253</v>
      </c>
      <c r="C1208" s="417">
        <v>2039</v>
      </c>
      <c r="D1208" s="417" t="s">
        <v>1572</v>
      </c>
      <c r="E1208" s="413">
        <v>303.23195795633649</v>
      </c>
      <c r="F1208" s="17"/>
      <c r="G1208" s="17"/>
      <c r="H1208" s="17"/>
      <c r="I1208" s="17"/>
    </row>
    <row r="1209" spans="2:9" ht="15.75" x14ac:dyDescent="0.25">
      <c r="B1209" s="416" t="s">
        <v>253</v>
      </c>
      <c r="C1209" s="417">
        <v>2040</v>
      </c>
      <c r="D1209" s="417" t="s">
        <v>1573</v>
      </c>
      <c r="E1209" s="413">
        <v>300.92404194613721</v>
      </c>
      <c r="F1209" s="17"/>
      <c r="G1209" s="17"/>
      <c r="H1209" s="17"/>
      <c r="I1209" s="17"/>
    </row>
    <row r="1210" spans="2:9" ht="15.75" x14ac:dyDescent="0.25">
      <c r="B1210" s="416" t="s">
        <v>253</v>
      </c>
      <c r="C1210" s="417">
        <v>2041</v>
      </c>
      <c r="D1210" s="417" t="s">
        <v>1574</v>
      </c>
      <c r="E1210" s="413">
        <v>298.97222594190271</v>
      </c>
      <c r="F1210" s="17"/>
      <c r="G1210" s="17"/>
      <c r="H1210" s="17"/>
      <c r="I1210" s="17"/>
    </row>
    <row r="1211" spans="2:9" ht="15.75" x14ac:dyDescent="0.25">
      <c r="B1211" s="416" t="s">
        <v>253</v>
      </c>
      <c r="C1211" s="417">
        <v>2042</v>
      </c>
      <c r="D1211" s="417" t="s">
        <v>1575</v>
      </c>
      <c r="E1211" s="413">
        <v>297.28130410853015</v>
      </c>
      <c r="F1211" s="17"/>
      <c r="G1211" s="17"/>
      <c r="H1211" s="17"/>
      <c r="I1211" s="17"/>
    </row>
    <row r="1212" spans="2:9" ht="15.75" x14ac:dyDescent="0.25">
      <c r="B1212" s="416" t="s">
        <v>253</v>
      </c>
      <c r="C1212" s="417">
        <v>2043</v>
      </c>
      <c r="D1212" s="417" t="s">
        <v>1576</v>
      </c>
      <c r="E1212" s="413">
        <v>295.83686875842454</v>
      </c>
      <c r="F1212" s="17"/>
      <c r="G1212" s="17"/>
      <c r="H1212" s="17"/>
      <c r="I1212" s="17"/>
    </row>
    <row r="1213" spans="2:9" ht="15.75" x14ac:dyDescent="0.25">
      <c r="B1213" s="416" t="s">
        <v>253</v>
      </c>
      <c r="C1213" s="417">
        <v>2044</v>
      </c>
      <c r="D1213" s="417" t="s">
        <v>1577</v>
      </c>
      <c r="E1213" s="413">
        <v>294.57900281300255</v>
      </c>
      <c r="F1213" s="17"/>
      <c r="G1213" s="17"/>
      <c r="H1213" s="17"/>
      <c r="I1213" s="17"/>
    </row>
    <row r="1214" spans="2:9" ht="15.75" x14ac:dyDescent="0.25">
      <c r="B1214" s="416" t="s">
        <v>253</v>
      </c>
      <c r="C1214" s="417">
        <v>2045</v>
      </c>
      <c r="D1214" s="417" t="s">
        <v>1578</v>
      </c>
      <c r="E1214" s="413">
        <v>293.47099776255789</v>
      </c>
      <c r="F1214" s="17"/>
      <c r="G1214" s="17"/>
      <c r="H1214" s="17"/>
      <c r="I1214" s="17"/>
    </row>
    <row r="1215" spans="2:9" ht="15.75" x14ac:dyDescent="0.25">
      <c r="B1215" s="416" t="s">
        <v>253</v>
      </c>
      <c r="C1215" s="417">
        <v>2046</v>
      </c>
      <c r="D1215" s="417" t="s">
        <v>1579</v>
      </c>
      <c r="E1215" s="413">
        <v>292.51152654767321</v>
      </c>
      <c r="F1215" s="17"/>
      <c r="G1215" s="17"/>
      <c r="H1215" s="17"/>
      <c r="I1215" s="17"/>
    </row>
    <row r="1216" spans="2:9" ht="15.75" x14ac:dyDescent="0.25">
      <c r="B1216" s="416" t="s">
        <v>253</v>
      </c>
      <c r="C1216" s="417">
        <v>2047</v>
      </c>
      <c r="D1216" s="417" t="s">
        <v>1580</v>
      </c>
      <c r="E1216" s="413">
        <v>291.68500245292165</v>
      </c>
      <c r="F1216" s="17"/>
      <c r="G1216" s="17"/>
      <c r="H1216" s="17"/>
      <c r="I1216" s="17"/>
    </row>
    <row r="1217" spans="2:9" ht="15.75" x14ac:dyDescent="0.25">
      <c r="B1217" s="416" t="s">
        <v>253</v>
      </c>
      <c r="C1217" s="417">
        <v>2048</v>
      </c>
      <c r="D1217" s="417" t="s">
        <v>1581</v>
      </c>
      <c r="E1217" s="413">
        <v>290.9748550185351</v>
      </c>
      <c r="F1217" s="17"/>
      <c r="G1217" s="17"/>
      <c r="H1217" s="17"/>
      <c r="I1217" s="17"/>
    </row>
    <row r="1218" spans="2:9" ht="15.75" x14ac:dyDescent="0.25">
      <c r="B1218" s="416" t="s">
        <v>253</v>
      </c>
      <c r="C1218" s="417">
        <v>2049</v>
      </c>
      <c r="D1218" s="417" t="s">
        <v>1582</v>
      </c>
      <c r="E1218" s="413">
        <v>290.36219295121026</v>
      </c>
      <c r="F1218" s="17"/>
      <c r="G1218" s="17"/>
      <c r="H1218" s="17"/>
      <c r="I1218" s="17"/>
    </row>
    <row r="1219" spans="2:9" ht="15.75" x14ac:dyDescent="0.25">
      <c r="B1219" s="416" t="s">
        <v>253</v>
      </c>
      <c r="C1219" s="417">
        <v>2050</v>
      </c>
      <c r="D1219" s="417" t="s">
        <v>1583</v>
      </c>
      <c r="E1219" s="413">
        <v>289.83239799694286</v>
      </c>
      <c r="F1219" s="17"/>
      <c r="G1219" s="17"/>
      <c r="H1219" s="17"/>
      <c r="I1219" s="17"/>
    </row>
    <row r="1220" spans="2:9" ht="15.75" x14ac:dyDescent="0.25">
      <c r="B1220" s="407" t="s">
        <v>82</v>
      </c>
      <c r="C1220" s="408">
        <v>2015</v>
      </c>
      <c r="D1220" s="409" t="s">
        <v>254</v>
      </c>
      <c r="E1220" s="410">
        <v>493.26864492762775</v>
      </c>
      <c r="F1220" s="17"/>
      <c r="G1220" s="17"/>
      <c r="H1220" s="17"/>
      <c r="I1220" s="17"/>
    </row>
    <row r="1221" spans="2:9" ht="15.75" x14ac:dyDescent="0.25">
      <c r="B1221" s="407" t="s">
        <v>82</v>
      </c>
      <c r="C1221" s="408">
        <v>2016</v>
      </c>
      <c r="D1221" s="409" t="s">
        <v>255</v>
      </c>
      <c r="E1221" s="410">
        <v>483.64054988910635</v>
      </c>
      <c r="F1221" s="17"/>
      <c r="G1221" s="17"/>
      <c r="H1221" s="17"/>
      <c r="I1221" s="17"/>
    </row>
    <row r="1222" spans="2:9" ht="15.75" x14ac:dyDescent="0.25">
      <c r="B1222" s="411" t="s">
        <v>82</v>
      </c>
      <c r="C1222" s="412">
        <v>2017</v>
      </c>
      <c r="D1222" s="412" t="s">
        <v>1584</v>
      </c>
      <c r="E1222" s="413">
        <v>471.55245151843599</v>
      </c>
      <c r="F1222" s="17"/>
      <c r="G1222" s="17"/>
      <c r="H1222" s="17"/>
      <c r="I1222" s="17"/>
    </row>
    <row r="1223" spans="2:9" ht="15.75" x14ac:dyDescent="0.25">
      <c r="B1223" s="411" t="s">
        <v>82</v>
      </c>
      <c r="C1223" s="412">
        <v>2018</v>
      </c>
      <c r="D1223" s="412" t="s">
        <v>1585</v>
      </c>
      <c r="E1223" s="413">
        <v>459.00815926911883</v>
      </c>
      <c r="F1223" s="17"/>
      <c r="G1223" s="17"/>
      <c r="H1223" s="17"/>
      <c r="I1223" s="17"/>
    </row>
    <row r="1224" spans="2:9" ht="15.75" x14ac:dyDescent="0.25">
      <c r="B1224" s="411" t="s">
        <v>82</v>
      </c>
      <c r="C1224" s="412">
        <v>2019</v>
      </c>
      <c r="D1224" s="412" t="s">
        <v>1586</v>
      </c>
      <c r="E1224" s="413">
        <v>446.12115079122708</v>
      </c>
      <c r="F1224" s="17"/>
      <c r="G1224" s="17"/>
      <c r="H1224" s="17"/>
      <c r="I1224" s="17"/>
    </row>
    <row r="1225" spans="2:9" ht="15.75" x14ac:dyDescent="0.25">
      <c r="B1225" s="411" t="s">
        <v>82</v>
      </c>
      <c r="C1225" s="412">
        <v>2020</v>
      </c>
      <c r="D1225" s="412" t="s">
        <v>1587</v>
      </c>
      <c r="E1225" s="413">
        <v>433.04007515715028</v>
      </c>
      <c r="F1225" s="17"/>
      <c r="G1225" s="17"/>
      <c r="H1225" s="17"/>
      <c r="I1225" s="17"/>
    </row>
    <row r="1226" spans="2:9" ht="15.75" x14ac:dyDescent="0.25">
      <c r="B1226" s="411" t="s">
        <v>82</v>
      </c>
      <c r="C1226" s="412">
        <v>2021</v>
      </c>
      <c r="D1226" s="412" t="s">
        <v>1588</v>
      </c>
      <c r="E1226" s="413">
        <v>419.81550419263402</v>
      </c>
      <c r="F1226" s="17"/>
      <c r="G1226" s="17"/>
      <c r="H1226" s="17"/>
      <c r="I1226" s="17"/>
    </row>
    <row r="1227" spans="2:9" ht="15.75" x14ac:dyDescent="0.25">
      <c r="B1227" s="411" t="s">
        <v>82</v>
      </c>
      <c r="C1227" s="412">
        <v>2022</v>
      </c>
      <c r="D1227" s="412" t="s">
        <v>1589</v>
      </c>
      <c r="E1227" s="413">
        <v>406.80884787316688</v>
      </c>
      <c r="F1227" s="17"/>
      <c r="G1227" s="17"/>
      <c r="H1227" s="17"/>
      <c r="I1227" s="17"/>
    </row>
    <row r="1228" spans="2:9" ht="15.75" x14ac:dyDescent="0.25">
      <c r="B1228" s="411" t="s">
        <v>82</v>
      </c>
      <c r="C1228" s="412">
        <v>2023</v>
      </c>
      <c r="D1228" s="412" t="s">
        <v>1590</v>
      </c>
      <c r="E1228" s="413">
        <v>393.9162311139383</v>
      </c>
      <c r="F1228" s="17"/>
      <c r="G1228" s="17"/>
      <c r="H1228" s="17"/>
      <c r="I1228" s="17"/>
    </row>
    <row r="1229" spans="2:9" ht="15.75" x14ac:dyDescent="0.25">
      <c r="B1229" s="411" t="s">
        <v>82</v>
      </c>
      <c r="C1229" s="412">
        <v>2024</v>
      </c>
      <c r="D1229" s="412" t="s">
        <v>1591</v>
      </c>
      <c r="E1229" s="413">
        <v>381.23321969230869</v>
      </c>
      <c r="F1229" s="17"/>
      <c r="G1229" s="17"/>
      <c r="H1229" s="17"/>
      <c r="I1229" s="17"/>
    </row>
    <row r="1230" spans="2:9" ht="15.75" x14ac:dyDescent="0.25">
      <c r="B1230" s="411" t="s">
        <v>82</v>
      </c>
      <c r="C1230" s="412">
        <v>2025</v>
      </c>
      <c r="D1230" s="412" t="s">
        <v>1592</v>
      </c>
      <c r="E1230" s="413">
        <v>368.73425332256483</v>
      </c>
      <c r="F1230" s="17"/>
      <c r="G1230" s="17"/>
      <c r="H1230" s="17"/>
      <c r="I1230" s="17"/>
    </row>
    <row r="1231" spans="2:9" ht="15.75" x14ac:dyDescent="0.25">
      <c r="B1231" s="411" t="s">
        <v>82</v>
      </c>
      <c r="C1231" s="412">
        <v>2026</v>
      </c>
      <c r="D1231" s="412" t="s">
        <v>1593</v>
      </c>
      <c r="E1231" s="413">
        <v>357.32688081894304</v>
      </c>
      <c r="F1231" s="17"/>
      <c r="G1231" s="17"/>
      <c r="H1231" s="17"/>
      <c r="I1231" s="17"/>
    </row>
    <row r="1232" spans="2:9" ht="15.75" x14ac:dyDescent="0.25">
      <c r="B1232" s="411" t="s">
        <v>82</v>
      </c>
      <c r="C1232" s="412">
        <v>2027</v>
      </c>
      <c r="D1232" s="412" t="s">
        <v>1594</v>
      </c>
      <c r="E1232" s="413">
        <v>346.89142930775722</v>
      </c>
      <c r="F1232" s="17"/>
      <c r="G1232" s="17"/>
      <c r="H1232" s="17"/>
      <c r="I1232" s="17"/>
    </row>
    <row r="1233" spans="2:9" ht="15.75" x14ac:dyDescent="0.25">
      <c r="B1233" s="411" t="s">
        <v>82</v>
      </c>
      <c r="C1233" s="412">
        <v>2028</v>
      </c>
      <c r="D1233" s="412" t="s">
        <v>1595</v>
      </c>
      <c r="E1233" s="413">
        <v>337.47334625963003</v>
      </c>
      <c r="F1233" s="17"/>
      <c r="G1233" s="17"/>
      <c r="H1233" s="17"/>
      <c r="I1233" s="17"/>
    </row>
    <row r="1234" spans="2:9" ht="15.75" x14ac:dyDescent="0.25">
      <c r="B1234" s="411" t="s">
        <v>82</v>
      </c>
      <c r="C1234" s="412">
        <v>2029</v>
      </c>
      <c r="D1234" s="412" t="s">
        <v>1596</v>
      </c>
      <c r="E1234" s="413">
        <v>329.02089613186678</v>
      </c>
      <c r="F1234" s="17"/>
      <c r="G1234" s="17"/>
      <c r="H1234" s="17"/>
      <c r="I1234" s="17"/>
    </row>
    <row r="1235" spans="2:9" ht="15.75" x14ac:dyDescent="0.25">
      <c r="B1235" s="411" t="s">
        <v>82</v>
      </c>
      <c r="C1235" s="412">
        <v>2030</v>
      </c>
      <c r="D1235" s="412" t="s">
        <v>1597</v>
      </c>
      <c r="E1235" s="413">
        <v>321.48978148508797</v>
      </c>
      <c r="F1235" s="17"/>
      <c r="G1235" s="17"/>
      <c r="H1235" s="17"/>
      <c r="I1235" s="17"/>
    </row>
    <row r="1236" spans="2:9" ht="15.75" x14ac:dyDescent="0.25">
      <c r="B1236" s="411" t="s">
        <v>82</v>
      </c>
      <c r="C1236" s="412">
        <v>2031</v>
      </c>
      <c r="D1236" s="412" t="s">
        <v>1598</v>
      </c>
      <c r="E1236" s="413">
        <v>314.80875594117015</v>
      </c>
      <c r="F1236" s="17"/>
      <c r="G1236" s="17"/>
      <c r="H1236" s="17"/>
      <c r="I1236" s="17"/>
    </row>
    <row r="1237" spans="2:9" ht="15.75" x14ac:dyDescent="0.25">
      <c r="B1237" s="411" t="s">
        <v>82</v>
      </c>
      <c r="C1237" s="412">
        <v>2032</v>
      </c>
      <c r="D1237" s="412" t="s">
        <v>1599</v>
      </c>
      <c r="E1237" s="413">
        <v>308.90368691293617</v>
      </c>
      <c r="F1237" s="17"/>
      <c r="G1237" s="17"/>
      <c r="H1237" s="17"/>
      <c r="I1237" s="17"/>
    </row>
    <row r="1238" spans="2:9" ht="15.75" x14ac:dyDescent="0.25">
      <c r="B1238" s="411" t="s">
        <v>82</v>
      </c>
      <c r="C1238" s="412">
        <v>2033</v>
      </c>
      <c r="D1238" s="412" t="s">
        <v>1600</v>
      </c>
      <c r="E1238" s="413">
        <v>303.7175452384011</v>
      </c>
      <c r="F1238" s="17"/>
      <c r="G1238" s="17"/>
      <c r="H1238" s="17"/>
      <c r="I1238" s="17"/>
    </row>
    <row r="1239" spans="2:9" ht="15.75" x14ac:dyDescent="0.25">
      <c r="B1239" s="411" t="s">
        <v>82</v>
      </c>
      <c r="C1239" s="412">
        <v>2034</v>
      </c>
      <c r="D1239" s="412" t="s">
        <v>1601</v>
      </c>
      <c r="E1239" s="413">
        <v>299.17515614887333</v>
      </c>
      <c r="F1239" s="17"/>
      <c r="G1239" s="17"/>
      <c r="H1239" s="17"/>
      <c r="I1239" s="17"/>
    </row>
    <row r="1240" spans="2:9" ht="15.75" x14ac:dyDescent="0.25">
      <c r="B1240" s="411" t="s">
        <v>82</v>
      </c>
      <c r="C1240" s="412">
        <v>2035</v>
      </c>
      <c r="D1240" s="412" t="s">
        <v>1602</v>
      </c>
      <c r="E1240" s="413">
        <v>295.23106358541207</v>
      </c>
      <c r="F1240" s="17"/>
      <c r="G1240" s="17"/>
      <c r="H1240" s="17"/>
      <c r="I1240" s="17"/>
    </row>
    <row r="1241" spans="2:9" ht="15.75" x14ac:dyDescent="0.25">
      <c r="B1241" s="411" t="s">
        <v>82</v>
      </c>
      <c r="C1241" s="412">
        <v>2036</v>
      </c>
      <c r="D1241" s="412" t="s">
        <v>1603</v>
      </c>
      <c r="E1241" s="413">
        <v>291.83472420952666</v>
      </c>
      <c r="F1241" s="17"/>
      <c r="G1241" s="17"/>
      <c r="H1241" s="17"/>
      <c r="I1241" s="17"/>
    </row>
    <row r="1242" spans="2:9" ht="15.75" x14ac:dyDescent="0.25">
      <c r="B1242" s="411" t="s">
        <v>82</v>
      </c>
      <c r="C1242" s="412">
        <v>2037</v>
      </c>
      <c r="D1242" s="412" t="s">
        <v>1604</v>
      </c>
      <c r="E1242" s="413">
        <v>288.94109680478391</v>
      </c>
      <c r="F1242" s="17"/>
      <c r="G1242" s="17"/>
      <c r="H1242" s="17"/>
      <c r="I1242" s="17"/>
    </row>
    <row r="1243" spans="2:9" ht="15.75" x14ac:dyDescent="0.25">
      <c r="B1243" s="411" t="s">
        <v>82</v>
      </c>
      <c r="C1243" s="412">
        <v>2038</v>
      </c>
      <c r="D1243" s="412" t="s">
        <v>1605</v>
      </c>
      <c r="E1243" s="413">
        <v>286.49582907231837</v>
      </c>
      <c r="F1243" s="17"/>
      <c r="G1243" s="17"/>
      <c r="H1243" s="17"/>
      <c r="I1243" s="17"/>
    </row>
    <row r="1244" spans="2:9" ht="15.75" x14ac:dyDescent="0.25">
      <c r="B1244" s="411" t="s">
        <v>82</v>
      </c>
      <c r="C1244" s="412">
        <v>2039</v>
      </c>
      <c r="D1244" s="412" t="s">
        <v>1606</v>
      </c>
      <c r="E1244" s="413">
        <v>284.44222272458956</v>
      </c>
      <c r="F1244" s="17"/>
      <c r="G1244" s="17"/>
      <c r="H1244" s="17"/>
      <c r="I1244" s="17"/>
    </row>
    <row r="1245" spans="2:9" ht="15.75" x14ac:dyDescent="0.25">
      <c r="B1245" s="411" t="s">
        <v>82</v>
      </c>
      <c r="C1245" s="412">
        <v>2040</v>
      </c>
      <c r="D1245" s="412" t="s">
        <v>1607</v>
      </c>
      <c r="E1245" s="413">
        <v>282.71327839005517</v>
      </c>
      <c r="F1245" s="17"/>
      <c r="G1245" s="17"/>
      <c r="H1245" s="17"/>
      <c r="I1245" s="17"/>
    </row>
    <row r="1246" spans="2:9" ht="15.75" x14ac:dyDescent="0.25">
      <c r="B1246" s="411" t="s">
        <v>82</v>
      </c>
      <c r="C1246" s="412">
        <v>2041</v>
      </c>
      <c r="D1246" s="412" t="s">
        <v>1608</v>
      </c>
      <c r="E1246" s="413">
        <v>281.30115101066519</v>
      </c>
      <c r="F1246" s="17"/>
      <c r="G1246" s="17"/>
      <c r="H1246" s="17"/>
      <c r="I1246" s="17"/>
    </row>
    <row r="1247" spans="2:9" ht="15.75" x14ac:dyDescent="0.25">
      <c r="B1247" s="411" t="s">
        <v>82</v>
      </c>
      <c r="C1247" s="412">
        <v>2042</v>
      </c>
      <c r="D1247" s="412" t="s">
        <v>1609</v>
      </c>
      <c r="E1247" s="413">
        <v>280.13979162041073</v>
      </c>
      <c r="F1247" s="17"/>
      <c r="G1247" s="17"/>
      <c r="H1247" s="17"/>
      <c r="I1247" s="17"/>
    </row>
    <row r="1248" spans="2:9" ht="15.75" x14ac:dyDescent="0.25">
      <c r="B1248" s="411" t="s">
        <v>82</v>
      </c>
      <c r="C1248" s="412">
        <v>2043</v>
      </c>
      <c r="D1248" s="412" t="s">
        <v>1610</v>
      </c>
      <c r="E1248" s="413">
        <v>279.1858631366606</v>
      </c>
      <c r="F1248" s="17"/>
      <c r="G1248" s="17"/>
      <c r="H1248" s="17"/>
      <c r="I1248" s="17"/>
    </row>
    <row r="1249" spans="2:9" ht="15.75" x14ac:dyDescent="0.25">
      <c r="B1249" s="411" t="s">
        <v>82</v>
      </c>
      <c r="C1249" s="412">
        <v>2044</v>
      </c>
      <c r="D1249" s="412" t="s">
        <v>1611</v>
      </c>
      <c r="E1249" s="413">
        <v>278.40086157950202</v>
      </c>
      <c r="F1249" s="17"/>
      <c r="G1249" s="17"/>
      <c r="H1249" s="17"/>
      <c r="I1249" s="17"/>
    </row>
    <row r="1250" spans="2:9" ht="15.75" x14ac:dyDescent="0.25">
      <c r="B1250" s="411" t="s">
        <v>82</v>
      </c>
      <c r="C1250" s="412">
        <v>2045</v>
      </c>
      <c r="D1250" s="412" t="s">
        <v>1612</v>
      </c>
      <c r="E1250" s="413">
        <v>277.73604782929056</v>
      </c>
      <c r="F1250" s="17"/>
      <c r="G1250" s="17"/>
      <c r="H1250" s="17"/>
      <c r="I1250" s="17"/>
    </row>
    <row r="1251" spans="2:9" ht="15.75" x14ac:dyDescent="0.25">
      <c r="B1251" s="411" t="s">
        <v>82</v>
      </c>
      <c r="C1251" s="412">
        <v>2046</v>
      </c>
      <c r="D1251" s="412" t="s">
        <v>1613</v>
      </c>
      <c r="E1251" s="413">
        <v>277.18719973557614</v>
      </c>
      <c r="F1251" s="17"/>
      <c r="G1251" s="17"/>
      <c r="H1251" s="17"/>
      <c r="I1251" s="17"/>
    </row>
    <row r="1252" spans="2:9" ht="15.75" x14ac:dyDescent="0.25">
      <c r="B1252" s="411" t="s">
        <v>82</v>
      </c>
      <c r="C1252" s="412">
        <v>2047</v>
      </c>
      <c r="D1252" s="412" t="s">
        <v>1614</v>
      </c>
      <c r="E1252" s="413">
        <v>276.7280305242308</v>
      </c>
      <c r="F1252" s="17"/>
      <c r="G1252" s="17"/>
      <c r="H1252" s="17"/>
      <c r="I1252" s="17"/>
    </row>
    <row r="1253" spans="2:9" ht="15.75" x14ac:dyDescent="0.25">
      <c r="B1253" s="411" t="s">
        <v>82</v>
      </c>
      <c r="C1253" s="412">
        <v>2048</v>
      </c>
      <c r="D1253" s="412" t="s">
        <v>1615</v>
      </c>
      <c r="E1253" s="413">
        <v>276.35369108434185</v>
      </c>
      <c r="F1253" s="17"/>
      <c r="G1253" s="17"/>
      <c r="H1253" s="17"/>
      <c r="I1253" s="17"/>
    </row>
    <row r="1254" spans="2:9" ht="15.75" x14ac:dyDescent="0.25">
      <c r="B1254" s="411" t="s">
        <v>82</v>
      </c>
      <c r="C1254" s="412">
        <v>2049</v>
      </c>
      <c r="D1254" s="412" t="s">
        <v>1616</v>
      </c>
      <c r="E1254" s="413">
        <v>276.03810384391187</v>
      </c>
      <c r="F1254" s="17"/>
      <c r="G1254" s="17"/>
      <c r="H1254" s="17"/>
      <c r="I1254" s="17"/>
    </row>
    <row r="1255" spans="2:9" ht="15.75" x14ac:dyDescent="0.25">
      <c r="B1255" s="411" t="s">
        <v>82</v>
      </c>
      <c r="C1255" s="412">
        <v>2050</v>
      </c>
      <c r="D1255" s="412" t="s">
        <v>1617</v>
      </c>
      <c r="E1255" s="413">
        <v>275.7896916534595</v>
      </c>
      <c r="F1255" s="17"/>
      <c r="G1255" s="17"/>
      <c r="H1255" s="17"/>
      <c r="I1255" s="17"/>
    </row>
    <row r="1256" spans="2:9" ht="15.75" x14ac:dyDescent="0.25">
      <c r="B1256" s="407" t="s">
        <v>83</v>
      </c>
      <c r="C1256" s="408">
        <v>2015</v>
      </c>
      <c r="D1256" s="409" t="s">
        <v>256</v>
      </c>
      <c r="E1256" s="410">
        <v>526.17394972336047</v>
      </c>
      <c r="F1256" s="17"/>
      <c r="G1256" s="17"/>
      <c r="H1256" s="17"/>
      <c r="I1256" s="17"/>
    </row>
    <row r="1257" spans="2:9" ht="15.75" x14ac:dyDescent="0.25">
      <c r="B1257" s="407" t="s">
        <v>83</v>
      </c>
      <c r="C1257" s="408">
        <v>2016</v>
      </c>
      <c r="D1257" s="409" t="s">
        <v>257</v>
      </c>
      <c r="E1257" s="410">
        <v>517.57062420643854</v>
      </c>
      <c r="F1257" s="17"/>
      <c r="G1257" s="17"/>
      <c r="H1257" s="17"/>
      <c r="I1257" s="17"/>
    </row>
    <row r="1258" spans="2:9" ht="15.75" x14ac:dyDescent="0.25">
      <c r="B1258" s="411" t="s">
        <v>83</v>
      </c>
      <c r="C1258" s="412">
        <v>2017</v>
      </c>
      <c r="D1258" s="412" t="s">
        <v>1618</v>
      </c>
      <c r="E1258" s="413">
        <v>506.62128800518843</v>
      </c>
      <c r="F1258" s="17"/>
      <c r="G1258" s="17"/>
      <c r="H1258" s="17"/>
      <c r="I1258" s="17"/>
    </row>
    <row r="1259" spans="2:9" ht="15.75" x14ac:dyDescent="0.25">
      <c r="B1259" s="411" t="s">
        <v>83</v>
      </c>
      <c r="C1259" s="412">
        <v>2018</v>
      </c>
      <c r="D1259" s="412" t="s">
        <v>1619</v>
      </c>
      <c r="E1259" s="413">
        <v>494.84316054986647</v>
      </c>
      <c r="F1259" s="17"/>
      <c r="G1259" s="17"/>
      <c r="H1259" s="17"/>
      <c r="I1259" s="17"/>
    </row>
    <row r="1260" spans="2:9" ht="15.75" x14ac:dyDescent="0.25">
      <c r="B1260" s="411" t="s">
        <v>83</v>
      </c>
      <c r="C1260" s="412">
        <v>2019</v>
      </c>
      <c r="D1260" s="412" t="s">
        <v>1620</v>
      </c>
      <c r="E1260" s="413">
        <v>482.37493692674127</v>
      </c>
      <c r="F1260" s="17"/>
      <c r="G1260" s="17"/>
      <c r="H1260" s="17"/>
      <c r="I1260" s="17"/>
    </row>
    <row r="1261" spans="2:9" ht="15.75" x14ac:dyDescent="0.25">
      <c r="B1261" s="411" t="s">
        <v>83</v>
      </c>
      <c r="C1261" s="412">
        <v>2020</v>
      </c>
      <c r="D1261" s="412" t="s">
        <v>1621</v>
      </c>
      <c r="E1261" s="413">
        <v>469.42266911994398</v>
      </c>
      <c r="F1261" s="17"/>
      <c r="G1261" s="17"/>
      <c r="H1261" s="17"/>
      <c r="I1261" s="17"/>
    </row>
    <row r="1262" spans="2:9" ht="15.75" x14ac:dyDescent="0.25">
      <c r="B1262" s="411" t="s">
        <v>83</v>
      </c>
      <c r="C1262" s="412">
        <v>2021</v>
      </c>
      <c r="D1262" s="412" t="s">
        <v>1622</v>
      </c>
      <c r="E1262" s="413">
        <v>456.08875206950353</v>
      </c>
      <c r="F1262" s="17"/>
      <c r="G1262" s="17"/>
      <c r="H1262" s="17"/>
      <c r="I1262" s="17"/>
    </row>
    <row r="1263" spans="2:9" ht="15.75" x14ac:dyDescent="0.25">
      <c r="B1263" s="411" t="s">
        <v>83</v>
      </c>
      <c r="C1263" s="412">
        <v>2022</v>
      </c>
      <c r="D1263" s="412" t="s">
        <v>1623</v>
      </c>
      <c r="E1263" s="413">
        <v>442.6929240150352</v>
      </c>
      <c r="F1263" s="17"/>
      <c r="G1263" s="17"/>
      <c r="H1263" s="17"/>
      <c r="I1263" s="17"/>
    </row>
    <row r="1264" spans="2:9" ht="15.75" x14ac:dyDescent="0.25">
      <c r="B1264" s="411" t="s">
        <v>83</v>
      </c>
      <c r="C1264" s="412">
        <v>2023</v>
      </c>
      <c r="D1264" s="412" t="s">
        <v>1624</v>
      </c>
      <c r="E1264" s="413">
        <v>429.33871738645206</v>
      </c>
      <c r="F1264" s="17"/>
      <c r="G1264" s="17"/>
      <c r="H1264" s="17"/>
      <c r="I1264" s="17"/>
    </row>
    <row r="1265" spans="2:9" ht="15.75" x14ac:dyDescent="0.25">
      <c r="B1265" s="411" t="s">
        <v>83</v>
      </c>
      <c r="C1265" s="412">
        <v>2024</v>
      </c>
      <c r="D1265" s="412" t="s">
        <v>1625</v>
      </c>
      <c r="E1265" s="413">
        <v>416.07717961096091</v>
      </c>
      <c r="F1265" s="17"/>
      <c r="G1265" s="17"/>
      <c r="H1265" s="17"/>
      <c r="I1265" s="17"/>
    </row>
    <row r="1266" spans="2:9" ht="15.75" x14ac:dyDescent="0.25">
      <c r="B1266" s="411" t="s">
        <v>83</v>
      </c>
      <c r="C1266" s="412">
        <v>2025</v>
      </c>
      <c r="D1266" s="412" t="s">
        <v>1626</v>
      </c>
      <c r="E1266" s="413">
        <v>402.97142041958557</v>
      </c>
      <c r="F1266" s="17"/>
      <c r="G1266" s="17"/>
      <c r="H1266" s="17"/>
      <c r="I1266" s="17"/>
    </row>
    <row r="1267" spans="2:9" ht="15.75" x14ac:dyDescent="0.25">
      <c r="B1267" s="411" t="s">
        <v>83</v>
      </c>
      <c r="C1267" s="412">
        <v>2026</v>
      </c>
      <c r="D1267" s="412" t="s">
        <v>1627</v>
      </c>
      <c r="E1267" s="413">
        <v>390.71884755639496</v>
      </c>
      <c r="F1267" s="17"/>
      <c r="G1267" s="17"/>
      <c r="H1267" s="17"/>
      <c r="I1267" s="17"/>
    </row>
    <row r="1268" spans="2:9" ht="15.75" x14ac:dyDescent="0.25">
      <c r="B1268" s="411" t="s">
        <v>83</v>
      </c>
      <c r="C1268" s="412">
        <v>2027</v>
      </c>
      <c r="D1268" s="412" t="s">
        <v>1628</v>
      </c>
      <c r="E1268" s="413">
        <v>379.22202903568689</v>
      </c>
      <c r="F1268" s="17"/>
      <c r="G1268" s="17"/>
      <c r="H1268" s="17"/>
      <c r="I1268" s="17"/>
    </row>
    <row r="1269" spans="2:9" ht="15.75" x14ac:dyDescent="0.25">
      <c r="B1269" s="411" t="s">
        <v>83</v>
      </c>
      <c r="C1269" s="412">
        <v>2028</v>
      </c>
      <c r="D1269" s="412" t="s">
        <v>1629</v>
      </c>
      <c r="E1269" s="413">
        <v>368.61106551897467</v>
      </c>
      <c r="F1269" s="17"/>
      <c r="G1269" s="17"/>
      <c r="H1269" s="17"/>
      <c r="I1269" s="17"/>
    </row>
    <row r="1270" spans="2:9" ht="15.75" x14ac:dyDescent="0.25">
      <c r="B1270" s="411" t="s">
        <v>83</v>
      </c>
      <c r="C1270" s="412">
        <v>2029</v>
      </c>
      <c r="D1270" s="412" t="s">
        <v>1630</v>
      </c>
      <c r="E1270" s="413">
        <v>358.86108510051679</v>
      </c>
      <c r="F1270" s="17"/>
      <c r="G1270" s="17"/>
      <c r="H1270" s="17"/>
      <c r="I1270" s="17"/>
    </row>
    <row r="1271" spans="2:9" ht="15.75" x14ac:dyDescent="0.25">
      <c r="B1271" s="411" t="s">
        <v>83</v>
      </c>
      <c r="C1271" s="412">
        <v>2030</v>
      </c>
      <c r="D1271" s="412" t="s">
        <v>1631</v>
      </c>
      <c r="E1271" s="413">
        <v>349.9414893594664</v>
      </c>
      <c r="F1271" s="17"/>
      <c r="G1271" s="17"/>
      <c r="H1271" s="17"/>
      <c r="I1271" s="17"/>
    </row>
    <row r="1272" spans="2:9" ht="15.75" x14ac:dyDescent="0.25">
      <c r="B1272" s="411" t="s">
        <v>83</v>
      </c>
      <c r="C1272" s="412">
        <v>2031</v>
      </c>
      <c r="D1272" s="412" t="s">
        <v>1632</v>
      </c>
      <c r="E1272" s="413">
        <v>341.82144378250109</v>
      </c>
      <c r="F1272" s="17"/>
      <c r="G1272" s="17"/>
      <c r="H1272" s="17"/>
      <c r="I1272" s="17"/>
    </row>
    <row r="1273" spans="2:9" ht="15.75" x14ac:dyDescent="0.25">
      <c r="B1273" s="411" t="s">
        <v>83</v>
      </c>
      <c r="C1273" s="412">
        <v>2032</v>
      </c>
      <c r="D1273" s="412" t="s">
        <v>1633</v>
      </c>
      <c r="E1273" s="413">
        <v>334.51553088283509</v>
      </c>
      <c r="F1273" s="17"/>
      <c r="G1273" s="17"/>
      <c r="H1273" s="17"/>
      <c r="I1273" s="17"/>
    </row>
    <row r="1274" spans="2:9" ht="15.75" x14ac:dyDescent="0.25">
      <c r="B1274" s="411" t="s">
        <v>83</v>
      </c>
      <c r="C1274" s="412">
        <v>2033</v>
      </c>
      <c r="D1274" s="412" t="s">
        <v>1634</v>
      </c>
      <c r="E1274" s="413">
        <v>327.94682610056168</v>
      </c>
      <c r="F1274" s="17"/>
      <c r="G1274" s="17"/>
      <c r="H1274" s="17"/>
      <c r="I1274" s="17"/>
    </row>
    <row r="1275" spans="2:9" ht="15.75" x14ac:dyDescent="0.25">
      <c r="B1275" s="411" t="s">
        <v>83</v>
      </c>
      <c r="C1275" s="412">
        <v>2034</v>
      </c>
      <c r="D1275" s="412" t="s">
        <v>1635</v>
      </c>
      <c r="E1275" s="413">
        <v>322.04137599553212</v>
      </c>
      <c r="F1275" s="17"/>
      <c r="G1275" s="17"/>
      <c r="H1275" s="17"/>
      <c r="I1275" s="17"/>
    </row>
    <row r="1276" spans="2:9" ht="15.75" x14ac:dyDescent="0.25">
      <c r="B1276" s="411" t="s">
        <v>83</v>
      </c>
      <c r="C1276" s="412">
        <v>2035</v>
      </c>
      <c r="D1276" s="412" t="s">
        <v>1636</v>
      </c>
      <c r="E1276" s="413">
        <v>316.80430869545995</v>
      </c>
      <c r="F1276" s="17"/>
      <c r="G1276" s="17"/>
      <c r="H1276" s="17"/>
      <c r="I1276" s="17"/>
    </row>
    <row r="1277" spans="2:9" ht="15.75" x14ac:dyDescent="0.25">
      <c r="B1277" s="411" t="s">
        <v>83</v>
      </c>
      <c r="C1277" s="412">
        <v>2036</v>
      </c>
      <c r="D1277" s="412" t="s">
        <v>1637</v>
      </c>
      <c r="E1277" s="413">
        <v>312.17472856847752</v>
      </c>
      <c r="F1277" s="17"/>
      <c r="G1277" s="17"/>
      <c r="H1277" s="17"/>
      <c r="I1277" s="17"/>
    </row>
    <row r="1278" spans="2:9" ht="15.75" x14ac:dyDescent="0.25">
      <c r="B1278" s="411" t="s">
        <v>83</v>
      </c>
      <c r="C1278" s="412">
        <v>2037</v>
      </c>
      <c r="D1278" s="412" t="s">
        <v>1638</v>
      </c>
      <c r="E1278" s="413">
        <v>308.12251375321239</v>
      </c>
      <c r="F1278" s="17"/>
      <c r="G1278" s="17"/>
      <c r="H1278" s="17"/>
      <c r="I1278" s="17"/>
    </row>
    <row r="1279" spans="2:9" ht="15.75" x14ac:dyDescent="0.25">
      <c r="B1279" s="411" t="s">
        <v>83</v>
      </c>
      <c r="C1279" s="412">
        <v>2038</v>
      </c>
      <c r="D1279" s="412" t="s">
        <v>1639</v>
      </c>
      <c r="E1279" s="413">
        <v>304.59727868498771</v>
      </c>
      <c r="F1279" s="17"/>
      <c r="G1279" s="17"/>
      <c r="H1279" s="17"/>
      <c r="I1279" s="17"/>
    </row>
    <row r="1280" spans="2:9" ht="15.75" x14ac:dyDescent="0.25">
      <c r="B1280" s="411" t="s">
        <v>83</v>
      </c>
      <c r="C1280" s="412">
        <v>2039</v>
      </c>
      <c r="D1280" s="412" t="s">
        <v>1640</v>
      </c>
      <c r="E1280" s="413">
        <v>301.52126014609826</v>
      </c>
      <c r="F1280" s="17"/>
      <c r="G1280" s="17"/>
      <c r="H1280" s="17"/>
      <c r="I1280" s="17"/>
    </row>
    <row r="1281" spans="2:9" ht="15.75" x14ac:dyDescent="0.25">
      <c r="B1281" s="411" t="s">
        <v>83</v>
      </c>
      <c r="C1281" s="412">
        <v>2040</v>
      </c>
      <c r="D1281" s="412" t="s">
        <v>1641</v>
      </c>
      <c r="E1281" s="413">
        <v>298.85603685714426</v>
      </c>
      <c r="F1281" s="17"/>
      <c r="G1281" s="17"/>
      <c r="H1281" s="17"/>
      <c r="I1281" s="17"/>
    </row>
    <row r="1282" spans="2:9" ht="15.75" x14ac:dyDescent="0.25">
      <c r="B1282" s="411" t="s">
        <v>83</v>
      </c>
      <c r="C1282" s="412">
        <v>2041</v>
      </c>
      <c r="D1282" s="412" t="s">
        <v>1642</v>
      </c>
      <c r="E1282" s="413">
        <v>296.58187632444987</v>
      </c>
      <c r="F1282" s="17"/>
      <c r="G1282" s="17"/>
      <c r="H1282" s="17"/>
      <c r="I1282" s="17"/>
    </row>
    <row r="1283" spans="2:9" ht="15.75" x14ac:dyDescent="0.25">
      <c r="B1283" s="411" t="s">
        <v>83</v>
      </c>
      <c r="C1283" s="412">
        <v>2042</v>
      </c>
      <c r="D1283" s="412" t="s">
        <v>1643</v>
      </c>
      <c r="E1283" s="413">
        <v>294.5912192690368</v>
      </c>
      <c r="F1283" s="17"/>
      <c r="G1283" s="17"/>
      <c r="H1283" s="17"/>
      <c r="I1283" s="17"/>
    </row>
    <row r="1284" spans="2:9" ht="15.75" x14ac:dyDescent="0.25">
      <c r="B1284" s="411" t="s">
        <v>83</v>
      </c>
      <c r="C1284" s="412">
        <v>2043</v>
      </c>
      <c r="D1284" s="412" t="s">
        <v>1644</v>
      </c>
      <c r="E1284" s="413">
        <v>292.87648317970087</v>
      </c>
      <c r="F1284" s="17"/>
      <c r="G1284" s="17"/>
      <c r="H1284" s="17"/>
      <c r="I1284" s="17"/>
    </row>
    <row r="1285" spans="2:9" ht="15.75" x14ac:dyDescent="0.25">
      <c r="B1285" s="411" t="s">
        <v>83</v>
      </c>
      <c r="C1285" s="412">
        <v>2044</v>
      </c>
      <c r="D1285" s="412" t="s">
        <v>1645</v>
      </c>
      <c r="E1285" s="413">
        <v>291.34874257136988</v>
      </c>
      <c r="F1285" s="17"/>
      <c r="G1285" s="17"/>
      <c r="H1285" s="17"/>
      <c r="I1285" s="17"/>
    </row>
    <row r="1286" spans="2:9" ht="15.75" x14ac:dyDescent="0.25">
      <c r="B1286" s="411" t="s">
        <v>83</v>
      </c>
      <c r="C1286" s="412">
        <v>2045</v>
      </c>
      <c r="D1286" s="412" t="s">
        <v>1646</v>
      </c>
      <c r="E1286" s="413">
        <v>289.98600434518153</v>
      </c>
      <c r="F1286" s="17"/>
      <c r="G1286" s="17"/>
      <c r="H1286" s="17"/>
      <c r="I1286" s="17"/>
    </row>
    <row r="1287" spans="2:9" ht="15.75" x14ac:dyDescent="0.25">
      <c r="B1287" s="411" t="s">
        <v>83</v>
      </c>
      <c r="C1287" s="412">
        <v>2046</v>
      </c>
      <c r="D1287" s="412" t="s">
        <v>1647</v>
      </c>
      <c r="E1287" s="413">
        <v>288.80535266717408</v>
      </c>
      <c r="F1287" s="17"/>
      <c r="G1287" s="17"/>
      <c r="H1287" s="17"/>
      <c r="I1287" s="17"/>
    </row>
    <row r="1288" spans="2:9" ht="15.75" x14ac:dyDescent="0.25">
      <c r="B1288" s="411" t="s">
        <v>83</v>
      </c>
      <c r="C1288" s="412">
        <v>2047</v>
      </c>
      <c r="D1288" s="412" t="s">
        <v>1648</v>
      </c>
      <c r="E1288" s="413">
        <v>287.77083584754996</v>
      </c>
      <c r="F1288" s="17"/>
      <c r="G1288" s="17"/>
      <c r="H1288" s="17"/>
      <c r="I1288" s="17"/>
    </row>
    <row r="1289" spans="2:9" ht="15.75" x14ac:dyDescent="0.25">
      <c r="B1289" s="411" t="s">
        <v>83</v>
      </c>
      <c r="C1289" s="412">
        <v>2048</v>
      </c>
      <c r="D1289" s="412" t="s">
        <v>1649</v>
      </c>
      <c r="E1289" s="413">
        <v>286.88411748372715</v>
      </c>
      <c r="F1289" s="17"/>
      <c r="G1289" s="17"/>
      <c r="H1289" s="17"/>
      <c r="I1289" s="17"/>
    </row>
    <row r="1290" spans="2:9" ht="15.75" x14ac:dyDescent="0.25">
      <c r="B1290" s="411" t="s">
        <v>83</v>
      </c>
      <c r="C1290" s="412">
        <v>2049</v>
      </c>
      <c r="D1290" s="412" t="s">
        <v>1650</v>
      </c>
      <c r="E1290" s="413">
        <v>286.09605762982676</v>
      </c>
      <c r="F1290" s="17"/>
      <c r="G1290" s="17"/>
      <c r="H1290" s="17"/>
      <c r="I1290" s="17"/>
    </row>
    <row r="1291" spans="2:9" ht="15.75" x14ac:dyDescent="0.25">
      <c r="B1291" s="411" t="s">
        <v>83</v>
      </c>
      <c r="C1291" s="412">
        <v>2050</v>
      </c>
      <c r="D1291" s="412" t="s">
        <v>1651</v>
      </c>
      <c r="E1291" s="413">
        <v>285.41998105860694</v>
      </c>
      <c r="F1291" s="17"/>
      <c r="G1291" s="17"/>
      <c r="H1291" s="17"/>
      <c r="I1291" s="17"/>
    </row>
    <row r="1292" spans="2:9" ht="15.75" x14ac:dyDescent="0.25">
      <c r="B1292" s="414" t="s">
        <v>258</v>
      </c>
      <c r="C1292" s="415">
        <v>2015</v>
      </c>
      <c r="D1292" s="415" t="s">
        <v>1652</v>
      </c>
      <c r="E1292" s="410">
        <v>537.08274691575321</v>
      </c>
      <c r="F1292" s="17"/>
      <c r="G1292" s="17"/>
      <c r="H1292" s="17"/>
      <c r="I1292" s="17"/>
    </row>
    <row r="1293" spans="2:9" ht="15.75" x14ac:dyDescent="0.25">
      <c r="B1293" s="414" t="s">
        <v>258</v>
      </c>
      <c r="C1293" s="415">
        <v>2016</v>
      </c>
      <c r="D1293" s="415" t="s">
        <v>1653</v>
      </c>
      <c r="E1293" s="410">
        <v>526.74210167979459</v>
      </c>
      <c r="F1293" s="17"/>
      <c r="G1293" s="17"/>
      <c r="H1293" s="17"/>
      <c r="I1293" s="17"/>
    </row>
    <row r="1294" spans="2:9" ht="15.75" x14ac:dyDescent="0.25">
      <c r="B1294" s="416" t="s">
        <v>258</v>
      </c>
      <c r="C1294" s="417">
        <v>2017</v>
      </c>
      <c r="D1294" s="417" t="s">
        <v>1654</v>
      </c>
      <c r="E1294" s="413">
        <v>514.34425439844313</v>
      </c>
      <c r="F1294" s="17"/>
      <c r="G1294" s="17"/>
      <c r="H1294" s="17"/>
      <c r="I1294" s="17"/>
    </row>
    <row r="1295" spans="2:9" ht="15.75" x14ac:dyDescent="0.25">
      <c r="B1295" s="416" t="s">
        <v>258</v>
      </c>
      <c r="C1295" s="417">
        <v>2018</v>
      </c>
      <c r="D1295" s="417" t="s">
        <v>1655</v>
      </c>
      <c r="E1295" s="413">
        <v>501.24437407945811</v>
      </c>
      <c r="F1295" s="17"/>
      <c r="G1295" s="17"/>
      <c r="H1295" s="17"/>
      <c r="I1295" s="17"/>
    </row>
    <row r="1296" spans="2:9" ht="15.75" x14ac:dyDescent="0.25">
      <c r="B1296" s="416" t="s">
        <v>258</v>
      </c>
      <c r="C1296" s="417">
        <v>2019</v>
      </c>
      <c r="D1296" s="417" t="s">
        <v>1656</v>
      </c>
      <c r="E1296" s="413">
        <v>487.70660288771995</v>
      </c>
      <c r="F1296" s="17"/>
      <c r="G1296" s="17"/>
      <c r="H1296" s="17"/>
      <c r="I1296" s="17"/>
    </row>
    <row r="1297" spans="2:9" ht="15.75" x14ac:dyDescent="0.25">
      <c r="B1297" s="416" t="s">
        <v>258</v>
      </c>
      <c r="C1297" s="417">
        <v>2020</v>
      </c>
      <c r="D1297" s="417" t="s">
        <v>1657</v>
      </c>
      <c r="E1297" s="413">
        <v>473.92096653716919</v>
      </c>
      <c r="F1297" s="17"/>
      <c r="G1297" s="17"/>
      <c r="H1297" s="17"/>
      <c r="I1297" s="17"/>
    </row>
    <row r="1298" spans="2:9" ht="15.75" x14ac:dyDescent="0.25">
      <c r="B1298" s="416" t="s">
        <v>258</v>
      </c>
      <c r="C1298" s="417">
        <v>2021</v>
      </c>
      <c r="D1298" s="417" t="s">
        <v>1658</v>
      </c>
      <c r="E1298" s="413">
        <v>460.03240262900891</v>
      </c>
      <c r="F1298" s="17"/>
      <c r="G1298" s="17"/>
      <c r="H1298" s="17"/>
      <c r="I1298" s="17"/>
    </row>
    <row r="1299" spans="2:9" ht="15.75" x14ac:dyDescent="0.25">
      <c r="B1299" s="416" t="s">
        <v>258</v>
      </c>
      <c r="C1299" s="417">
        <v>2022</v>
      </c>
      <c r="D1299" s="417" t="s">
        <v>1659</v>
      </c>
      <c r="E1299" s="413">
        <v>446.28677871680509</v>
      </c>
      <c r="F1299" s="17"/>
      <c r="G1299" s="17"/>
      <c r="H1299" s="17"/>
      <c r="I1299" s="17"/>
    </row>
    <row r="1300" spans="2:9" ht="15.75" x14ac:dyDescent="0.25">
      <c r="B1300" s="416" t="s">
        <v>258</v>
      </c>
      <c r="C1300" s="417">
        <v>2023</v>
      </c>
      <c r="D1300" s="417" t="s">
        <v>1660</v>
      </c>
      <c r="E1300" s="413">
        <v>432.65837255123773</v>
      </c>
      <c r="F1300" s="17"/>
      <c r="G1300" s="17"/>
      <c r="H1300" s="17"/>
      <c r="I1300" s="17"/>
    </row>
    <row r="1301" spans="2:9" ht="15.75" x14ac:dyDescent="0.25">
      <c r="B1301" s="416" t="s">
        <v>258</v>
      </c>
      <c r="C1301" s="417">
        <v>2024</v>
      </c>
      <c r="D1301" s="417" t="s">
        <v>1661</v>
      </c>
      <c r="E1301" s="413">
        <v>419.21935824409275</v>
      </c>
      <c r="F1301" s="17"/>
      <c r="G1301" s="17"/>
      <c r="H1301" s="17"/>
      <c r="I1301" s="17"/>
    </row>
    <row r="1302" spans="2:9" ht="15.75" x14ac:dyDescent="0.25">
      <c r="B1302" s="416" t="s">
        <v>258</v>
      </c>
      <c r="C1302" s="417">
        <v>2025</v>
      </c>
      <c r="D1302" s="417" t="s">
        <v>1662</v>
      </c>
      <c r="E1302" s="413">
        <v>405.98885236584215</v>
      </c>
      <c r="F1302" s="17"/>
      <c r="G1302" s="17"/>
      <c r="H1302" s="17"/>
      <c r="I1302" s="17"/>
    </row>
    <row r="1303" spans="2:9" ht="15.75" x14ac:dyDescent="0.25">
      <c r="B1303" s="416" t="s">
        <v>258</v>
      </c>
      <c r="C1303" s="417">
        <v>2026</v>
      </c>
      <c r="D1303" s="417" t="s">
        <v>1663</v>
      </c>
      <c r="E1303" s="413">
        <v>393.18364215298305</v>
      </c>
      <c r="F1303" s="17"/>
      <c r="G1303" s="17"/>
      <c r="H1303" s="17"/>
      <c r="I1303" s="17"/>
    </row>
    <row r="1304" spans="2:9" ht="15.75" x14ac:dyDescent="0.25">
      <c r="B1304" s="416" t="s">
        <v>258</v>
      </c>
      <c r="C1304" s="417">
        <v>2027</v>
      </c>
      <c r="D1304" s="417" t="s">
        <v>1664</v>
      </c>
      <c r="E1304" s="413">
        <v>381.90955899031633</v>
      </c>
      <c r="F1304" s="17"/>
      <c r="G1304" s="17"/>
      <c r="H1304" s="17"/>
      <c r="I1304" s="17"/>
    </row>
    <row r="1305" spans="2:9" ht="15.75" x14ac:dyDescent="0.25">
      <c r="B1305" s="416" t="s">
        <v>258</v>
      </c>
      <c r="C1305" s="417">
        <v>2028</v>
      </c>
      <c r="D1305" s="417" t="s">
        <v>1665</v>
      </c>
      <c r="E1305" s="413">
        <v>371.63236609889907</v>
      </c>
      <c r="F1305" s="17"/>
      <c r="G1305" s="17"/>
      <c r="H1305" s="17"/>
      <c r="I1305" s="17"/>
    </row>
    <row r="1306" spans="2:9" ht="15.75" x14ac:dyDescent="0.25">
      <c r="B1306" s="416" t="s">
        <v>258</v>
      </c>
      <c r="C1306" s="417">
        <v>2029</v>
      </c>
      <c r="D1306" s="417" t="s">
        <v>1666</v>
      </c>
      <c r="E1306" s="413">
        <v>362.30464739439219</v>
      </c>
      <c r="F1306" s="17"/>
      <c r="G1306" s="17"/>
      <c r="H1306" s="17"/>
      <c r="I1306" s="17"/>
    </row>
    <row r="1307" spans="2:9" ht="15.75" x14ac:dyDescent="0.25">
      <c r="B1307" s="416" t="s">
        <v>258</v>
      </c>
      <c r="C1307" s="417">
        <v>2030</v>
      </c>
      <c r="D1307" s="417" t="s">
        <v>1667</v>
      </c>
      <c r="E1307" s="413">
        <v>353.9037013422224</v>
      </c>
      <c r="F1307" s="17"/>
      <c r="G1307" s="17"/>
      <c r="H1307" s="17"/>
      <c r="I1307" s="17"/>
    </row>
    <row r="1308" spans="2:9" ht="15.75" x14ac:dyDescent="0.25">
      <c r="B1308" s="416" t="s">
        <v>258</v>
      </c>
      <c r="C1308" s="417">
        <v>2031</v>
      </c>
      <c r="D1308" s="417" t="s">
        <v>1668</v>
      </c>
      <c r="E1308" s="413">
        <v>346.36525378040449</v>
      </c>
      <c r="F1308" s="17"/>
      <c r="G1308" s="17"/>
      <c r="H1308" s="17"/>
      <c r="I1308" s="17"/>
    </row>
    <row r="1309" spans="2:9" ht="15.75" x14ac:dyDescent="0.25">
      <c r="B1309" s="416" t="s">
        <v>258</v>
      </c>
      <c r="C1309" s="417">
        <v>2032</v>
      </c>
      <c r="D1309" s="417" t="s">
        <v>1669</v>
      </c>
      <c r="E1309" s="413">
        <v>339.63237745556432</v>
      </c>
      <c r="F1309" s="17"/>
      <c r="G1309" s="17"/>
      <c r="H1309" s="17"/>
      <c r="I1309" s="17"/>
    </row>
    <row r="1310" spans="2:9" ht="15.75" x14ac:dyDescent="0.25">
      <c r="B1310" s="416" t="s">
        <v>258</v>
      </c>
      <c r="C1310" s="417">
        <v>2033</v>
      </c>
      <c r="D1310" s="417" t="s">
        <v>1670</v>
      </c>
      <c r="E1310" s="413">
        <v>333.64378103604514</v>
      </c>
      <c r="F1310" s="17"/>
      <c r="G1310" s="17"/>
      <c r="H1310" s="17"/>
      <c r="I1310" s="17"/>
    </row>
    <row r="1311" spans="2:9" ht="15.75" x14ac:dyDescent="0.25">
      <c r="B1311" s="416" t="s">
        <v>258</v>
      </c>
      <c r="C1311" s="417">
        <v>2034</v>
      </c>
      <c r="D1311" s="417" t="s">
        <v>1671</v>
      </c>
      <c r="E1311" s="413">
        <v>328.33181018747348</v>
      </c>
      <c r="F1311" s="17"/>
      <c r="G1311" s="17"/>
      <c r="H1311" s="17"/>
      <c r="I1311" s="17"/>
    </row>
    <row r="1312" spans="2:9" ht="15.75" x14ac:dyDescent="0.25">
      <c r="B1312" s="416" t="s">
        <v>258</v>
      </c>
      <c r="C1312" s="417">
        <v>2035</v>
      </c>
      <c r="D1312" s="417" t="s">
        <v>1672</v>
      </c>
      <c r="E1312" s="413">
        <v>323.64273543926436</v>
      </c>
      <c r="F1312" s="17"/>
      <c r="G1312" s="17"/>
      <c r="H1312" s="17"/>
      <c r="I1312" s="17"/>
    </row>
    <row r="1313" spans="2:9" ht="15.75" x14ac:dyDescent="0.25">
      <c r="B1313" s="416" t="s">
        <v>258</v>
      </c>
      <c r="C1313" s="417">
        <v>2036</v>
      </c>
      <c r="D1313" s="417" t="s">
        <v>1673</v>
      </c>
      <c r="E1313" s="413">
        <v>319.5259796908735</v>
      </c>
      <c r="F1313" s="17"/>
      <c r="G1313" s="17"/>
      <c r="H1313" s="17"/>
      <c r="I1313" s="17"/>
    </row>
    <row r="1314" spans="2:9" ht="15.75" x14ac:dyDescent="0.25">
      <c r="B1314" s="416" t="s">
        <v>258</v>
      </c>
      <c r="C1314" s="417">
        <v>2037</v>
      </c>
      <c r="D1314" s="417" t="s">
        <v>1674</v>
      </c>
      <c r="E1314" s="413">
        <v>315.95765429920129</v>
      </c>
      <c r="F1314" s="17"/>
      <c r="G1314" s="17"/>
      <c r="H1314" s="17"/>
      <c r="I1314" s="17"/>
    </row>
    <row r="1315" spans="2:9" ht="15.75" x14ac:dyDescent="0.25">
      <c r="B1315" s="416" t="s">
        <v>258</v>
      </c>
      <c r="C1315" s="417">
        <v>2038</v>
      </c>
      <c r="D1315" s="417" t="s">
        <v>1675</v>
      </c>
      <c r="E1315" s="413">
        <v>312.87641649614375</v>
      </c>
      <c r="F1315" s="17"/>
      <c r="G1315" s="17"/>
      <c r="H1315" s="17"/>
      <c r="I1315" s="17"/>
    </row>
    <row r="1316" spans="2:9" ht="15.75" x14ac:dyDescent="0.25">
      <c r="B1316" s="416" t="s">
        <v>258</v>
      </c>
      <c r="C1316" s="417">
        <v>2039</v>
      </c>
      <c r="D1316" s="417" t="s">
        <v>1676</v>
      </c>
      <c r="E1316" s="413">
        <v>310.22048216034392</v>
      </c>
      <c r="F1316" s="17"/>
      <c r="G1316" s="17"/>
      <c r="H1316" s="17"/>
      <c r="I1316" s="17"/>
    </row>
    <row r="1317" spans="2:9" ht="15.75" x14ac:dyDescent="0.25">
      <c r="B1317" s="416" t="s">
        <v>258</v>
      </c>
      <c r="C1317" s="417">
        <v>2040</v>
      </c>
      <c r="D1317" s="417" t="s">
        <v>1677</v>
      </c>
      <c r="E1317" s="413">
        <v>307.94642780849</v>
      </c>
      <c r="F1317" s="17"/>
      <c r="G1317" s="17"/>
      <c r="H1317" s="17"/>
      <c r="I1317" s="17"/>
    </row>
    <row r="1318" spans="2:9" ht="15.75" x14ac:dyDescent="0.25">
      <c r="B1318" s="416" t="s">
        <v>258</v>
      </c>
      <c r="C1318" s="417">
        <v>2041</v>
      </c>
      <c r="D1318" s="417" t="s">
        <v>1678</v>
      </c>
      <c r="E1318" s="413">
        <v>306.02802856520861</v>
      </c>
      <c r="F1318" s="17"/>
      <c r="G1318" s="17"/>
      <c r="H1318" s="17"/>
      <c r="I1318" s="17"/>
    </row>
    <row r="1319" spans="2:9" ht="15.75" x14ac:dyDescent="0.25">
      <c r="B1319" s="416" t="s">
        <v>258</v>
      </c>
      <c r="C1319" s="417">
        <v>2042</v>
      </c>
      <c r="D1319" s="417" t="s">
        <v>1679</v>
      </c>
      <c r="E1319" s="413">
        <v>304.3861938039571</v>
      </c>
      <c r="F1319" s="17"/>
      <c r="G1319" s="17"/>
      <c r="H1319" s="17"/>
      <c r="I1319" s="17"/>
    </row>
    <row r="1320" spans="2:9" ht="15.75" x14ac:dyDescent="0.25">
      <c r="B1320" s="416" t="s">
        <v>258</v>
      </c>
      <c r="C1320" s="417">
        <v>2043</v>
      </c>
      <c r="D1320" s="417" t="s">
        <v>1680</v>
      </c>
      <c r="E1320" s="413">
        <v>303.00616699519628</v>
      </c>
      <c r="F1320" s="17"/>
      <c r="G1320" s="17"/>
      <c r="H1320" s="17"/>
      <c r="I1320" s="17"/>
    </row>
    <row r="1321" spans="2:9" ht="15.75" x14ac:dyDescent="0.25">
      <c r="B1321" s="416" t="s">
        <v>258</v>
      </c>
      <c r="C1321" s="417">
        <v>2044</v>
      </c>
      <c r="D1321" s="417" t="s">
        <v>1681</v>
      </c>
      <c r="E1321" s="413">
        <v>301.83345548122952</v>
      </c>
      <c r="F1321" s="17"/>
      <c r="G1321" s="17"/>
      <c r="H1321" s="17"/>
      <c r="I1321" s="17"/>
    </row>
    <row r="1322" spans="2:9" ht="15.75" x14ac:dyDescent="0.25">
      <c r="B1322" s="416" t="s">
        <v>258</v>
      </c>
      <c r="C1322" s="417">
        <v>2045</v>
      </c>
      <c r="D1322" s="417" t="s">
        <v>1682</v>
      </c>
      <c r="E1322" s="413">
        <v>300.81648513231977</v>
      </c>
      <c r="F1322" s="17"/>
      <c r="G1322" s="17"/>
      <c r="H1322" s="17"/>
      <c r="I1322" s="17"/>
    </row>
    <row r="1323" spans="2:9" ht="15.75" x14ac:dyDescent="0.25">
      <c r="B1323" s="416" t="s">
        <v>258</v>
      </c>
      <c r="C1323" s="417">
        <v>2046</v>
      </c>
      <c r="D1323" s="417" t="s">
        <v>1683</v>
      </c>
      <c r="E1323" s="413">
        <v>299.94241829105886</v>
      </c>
      <c r="F1323" s="17"/>
      <c r="G1323" s="17"/>
      <c r="H1323" s="17"/>
      <c r="I1323" s="17"/>
    </row>
    <row r="1324" spans="2:9" ht="15.75" x14ac:dyDescent="0.25">
      <c r="B1324" s="416" t="s">
        <v>258</v>
      </c>
      <c r="C1324" s="417">
        <v>2047</v>
      </c>
      <c r="D1324" s="417" t="s">
        <v>1684</v>
      </c>
      <c r="E1324" s="413">
        <v>299.2197170890089</v>
      </c>
      <c r="F1324" s="17"/>
      <c r="G1324" s="17"/>
      <c r="H1324" s="17"/>
      <c r="I1324" s="17"/>
    </row>
    <row r="1325" spans="2:9" ht="15.75" x14ac:dyDescent="0.25">
      <c r="B1325" s="416" t="s">
        <v>258</v>
      </c>
      <c r="C1325" s="417">
        <v>2048</v>
      </c>
      <c r="D1325" s="417" t="s">
        <v>1685</v>
      </c>
      <c r="E1325" s="413">
        <v>298.61185707370311</v>
      </c>
      <c r="F1325" s="17"/>
      <c r="G1325" s="17"/>
      <c r="H1325" s="17"/>
      <c r="I1325" s="17"/>
    </row>
    <row r="1326" spans="2:9" ht="15.75" x14ac:dyDescent="0.25">
      <c r="B1326" s="416" t="s">
        <v>258</v>
      </c>
      <c r="C1326" s="417">
        <v>2049</v>
      </c>
      <c r="D1326" s="417" t="s">
        <v>1686</v>
      </c>
      <c r="E1326" s="413">
        <v>298.09178079243748</v>
      </c>
      <c r="F1326" s="17"/>
      <c r="G1326" s="17"/>
      <c r="H1326" s="17"/>
      <c r="I1326" s="17"/>
    </row>
    <row r="1327" spans="2:9" ht="15.75" x14ac:dyDescent="0.25">
      <c r="B1327" s="416" t="s">
        <v>258</v>
      </c>
      <c r="C1327" s="417">
        <v>2050</v>
      </c>
      <c r="D1327" s="417" t="s">
        <v>1687</v>
      </c>
      <c r="E1327" s="413">
        <v>297.67651204569398</v>
      </c>
      <c r="F1327" s="17"/>
      <c r="G1327" s="17"/>
      <c r="H1327" s="17"/>
      <c r="I1327" s="17"/>
    </row>
    <row r="1328" spans="2:9" ht="15.75" x14ac:dyDescent="0.25">
      <c r="B1328" s="414" t="s">
        <v>259</v>
      </c>
      <c r="C1328" s="415">
        <v>2015</v>
      </c>
      <c r="D1328" s="415" t="s">
        <v>1688</v>
      </c>
      <c r="E1328" s="410">
        <v>533.58579353587027</v>
      </c>
      <c r="F1328" s="17"/>
      <c r="G1328" s="17"/>
      <c r="H1328" s="17"/>
      <c r="I1328" s="17"/>
    </row>
    <row r="1329" spans="2:9" ht="15.75" x14ac:dyDescent="0.25">
      <c r="B1329" s="414" t="s">
        <v>259</v>
      </c>
      <c r="C1329" s="415">
        <v>2016</v>
      </c>
      <c r="D1329" s="415" t="s">
        <v>1689</v>
      </c>
      <c r="E1329" s="410">
        <v>524.21758273965747</v>
      </c>
      <c r="F1329" s="17"/>
      <c r="G1329" s="17"/>
      <c r="H1329" s="17"/>
      <c r="I1329" s="17"/>
    </row>
    <row r="1330" spans="2:9" ht="15.75" x14ac:dyDescent="0.25">
      <c r="B1330" s="416" t="s">
        <v>259</v>
      </c>
      <c r="C1330" s="417">
        <v>2017</v>
      </c>
      <c r="D1330" s="417" t="s">
        <v>1690</v>
      </c>
      <c r="E1330" s="413">
        <v>512.6429399263186</v>
      </c>
      <c r="F1330" s="17"/>
      <c r="G1330" s="17"/>
      <c r="H1330" s="17"/>
      <c r="I1330" s="17"/>
    </row>
    <row r="1331" spans="2:9" ht="15.75" x14ac:dyDescent="0.25">
      <c r="B1331" s="416" t="s">
        <v>259</v>
      </c>
      <c r="C1331" s="417">
        <v>2018</v>
      </c>
      <c r="D1331" s="417" t="s">
        <v>1691</v>
      </c>
      <c r="E1331" s="413">
        <v>500.2703802461358</v>
      </c>
      <c r="F1331" s="17"/>
      <c r="G1331" s="17"/>
      <c r="H1331" s="17"/>
      <c r="I1331" s="17"/>
    </row>
    <row r="1332" spans="2:9" ht="15.75" x14ac:dyDescent="0.25">
      <c r="B1332" s="416" t="s">
        <v>259</v>
      </c>
      <c r="C1332" s="417">
        <v>2019</v>
      </c>
      <c r="D1332" s="417" t="s">
        <v>1692</v>
      </c>
      <c r="E1332" s="413">
        <v>487.25732265931242</v>
      </c>
      <c r="F1332" s="17"/>
      <c r="G1332" s="17"/>
      <c r="H1332" s="17"/>
      <c r="I1332" s="17"/>
    </row>
    <row r="1333" spans="2:9" ht="15.75" x14ac:dyDescent="0.25">
      <c r="B1333" s="416" t="s">
        <v>259</v>
      </c>
      <c r="C1333" s="417">
        <v>2020</v>
      </c>
      <c r="D1333" s="417" t="s">
        <v>1693</v>
      </c>
      <c r="E1333" s="413">
        <v>473.85398775122957</v>
      </c>
      <c r="F1333" s="17"/>
      <c r="G1333" s="17"/>
      <c r="H1333" s="17"/>
      <c r="I1333" s="17"/>
    </row>
    <row r="1334" spans="2:9" ht="15.75" x14ac:dyDescent="0.25">
      <c r="B1334" s="416" t="s">
        <v>259</v>
      </c>
      <c r="C1334" s="417">
        <v>2021</v>
      </c>
      <c r="D1334" s="417" t="s">
        <v>1694</v>
      </c>
      <c r="E1334" s="413">
        <v>460.10201057293938</v>
      </c>
      <c r="F1334" s="17"/>
      <c r="G1334" s="17"/>
      <c r="H1334" s="17"/>
      <c r="I1334" s="17"/>
    </row>
    <row r="1335" spans="2:9" ht="15.75" x14ac:dyDescent="0.25">
      <c r="B1335" s="416" t="s">
        <v>259</v>
      </c>
      <c r="C1335" s="417">
        <v>2022</v>
      </c>
      <c r="D1335" s="417" t="s">
        <v>1695</v>
      </c>
      <c r="E1335" s="413">
        <v>446.38539929320621</v>
      </c>
      <c r="F1335" s="17"/>
      <c r="G1335" s="17"/>
      <c r="H1335" s="17"/>
      <c r="I1335" s="17"/>
    </row>
    <row r="1336" spans="2:9" ht="15.75" x14ac:dyDescent="0.25">
      <c r="B1336" s="416" t="s">
        <v>259</v>
      </c>
      <c r="C1336" s="417">
        <v>2023</v>
      </c>
      <c r="D1336" s="417" t="s">
        <v>1696</v>
      </c>
      <c r="E1336" s="413">
        <v>432.71175377895037</v>
      </c>
      <c r="F1336" s="17"/>
      <c r="G1336" s="17"/>
      <c r="H1336" s="17"/>
      <c r="I1336" s="17"/>
    </row>
    <row r="1337" spans="2:9" ht="15.75" x14ac:dyDescent="0.25">
      <c r="B1337" s="416" t="s">
        <v>259</v>
      </c>
      <c r="C1337" s="417">
        <v>2024</v>
      </c>
      <c r="D1337" s="417" t="s">
        <v>1697</v>
      </c>
      <c r="E1337" s="413">
        <v>419.18347316363923</v>
      </c>
      <c r="F1337" s="17"/>
      <c r="G1337" s="17"/>
      <c r="H1337" s="17"/>
      <c r="I1337" s="17"/>
    </row>
    <row r="1338" spans="2:9" ht="15.75" x14ac:dyDescent="0.25">
      <c r="B1338" s="416" t="s">
        <v>259</v>
      </c>
      <c r="C1338" s="417">
        <v>2025</v>
      </c>
      <c r="D1338" s="417" t="s">
        <v>1698</v>
      </c>
      <c r="E1338" s="413">
        <v>405.8805378788619</v>
      </c>
      <c r="F1338" s="17"/>
      <c r="G1338" s="17"/>
      <c r="H1338" s="17"/>
      <c r="I1338" s="17"/>
    </row>
    <row r="1339" spans="2:9" ht="15.75" x14ac:dyDescent="0.25">
      <c r="B1339" s="416" t="s">
        <v>259</v>
      </c>
      <c r="C1339" s="417">
        <v>2026</v>
      </c>
      <c r="D1339" s="417" t="s">
        <v>1699</v>
      </c>
      <c r="E1339" s="413">
        <v>393.48885902905516</v>
      </c>
      <c r="F1339" s="17"/>
      <c r="G1339" s="17"/>
      <c r="H1339" s="17"/>
      <c r="I1339" s="17"/>
    </row>
    <row r="1340" spans="2:9" ht="15.75" x14ac:dyDescent="0.25">
      <c r="B1340" s="416" t="s">
        <v>259</v>
      </c>
      <c r="C1340" s="417">
        <v>2027</v>
      </c>
      <c r="D1340" s="417" t="s">
        <v>1700</v>
      </c>
      <c r="E1340" s="413">
        <v>382.09911035137907</v>
      </c>
      <c r="F1340" s="17"/>
      <c r="G1340" s="17"/>
      <c r="H1340" s="17"/>
      <c r="I1340" s="17"/>
    </row>
    <row r="1341" spans="2:9" ht="15.75" x14ac:dyDescent="0.25">
      <c r="B1341" s="416" t="s">
        <v>259</v>
      </c>
      <c r="C1341" s="417">
        <v>2028</v>
      </c>
      <c r="D1341" s="417" t="s">
        <v>1701</v>
      </c>
      <c r="E1341" s="413">
        <v>371.68505971032073</v>
      </c>
      <c r="F1341" s="17"/>
      <c r="G1341" s="17"/>
      <c r="H1341" s="17"/>
      <c r="I1341" s="17"/>
    </row>
    <row r="1342" spans="2:9" ht="15.75" x14ac:dyDescent="0.25">
      <c r="B1342" s="416" t="s">
        <v>259</v>
      </c>
      <c r="C1342" s="417">
        <v>2029</v>
      </c>
      <c r="D1342" s="417" t="s">
        <v>1702</v>
      </c>
      <c r="E1342" s="413">
        <v>362.19969606846792</v>
      </c>
      <c r="F1342" s="17"/>
      <c r="G1342" s="17"/>
      <c r="H1342" s="17"/>
      <c r="I1342" s="17"/>
    </row>
    <row r="1343" spans="2:9" ht="15.75" x14ac:dyDescent="0.25">
      <c r="B1343" s="416" t="s">
        <v>259</v>
      </c>
      <c r="C1343" s="417">
        <v>2030</v>
      </c>
      <c r="D1343" s="417" t="s">
        <v>1703</v>
      </c>
      <c r="E1343" s="413">
        <v>353.58908013368909</v>
      </c>
      <c r="F1343" s="17"/>
      <c r="G1343" s="17"/>
      <c r="H1343" s="17"/>
      <c r="I1343" s="17"/>
    </row>
    <row r="1344" spans="2:9" ht="15.75" x14ac:dyDescent="0.25">
      <c r="B1344" s="416" t="s">
        <v>259</v>
      </c>
      <c r="C1344" s="417">
        <v>2031</v>
      </c>
      <c r="D1344" s="417" t="s">
        <v>1704</v>
      </c>
      <c r="E1344" s="413">
        <v>345.80939311636911</v>
      </c>
      <c r="F1344" s="17"/>
      <c r="G1344" s="17"/>
      <c r="H1344" s="17"/>
      <c r="I1344" s="17"/>
    </row>
    <row r="1345" spans="2:9" ht="15.75" x14ac:dyDescent="0.25">
      <c r="B1345" s="416" t="s">
        <v>259</v>
      </c>
      <c r="C1345" s="417">
        <v>2032</v>
      </c>
      <c r="D1345" s="417" t="s">
        <v>1705</v>
      </c>
      <c r="E1345" s="413">
        <v>338.82917511864304</v>
      </c>
      <c r="F1345" s="17"/>
      <c r="G1345" s="17"/>
      <c r="H1345" s="17"/>
      <c r="I1345" s="17"/>
    </row>
    <row r="1346" spans="2:9" ht="15.75" x14ac:dyDescent="0.25">
      <c r="B1346" s="416" t="s">
        <v>259</v>
      </c>
      <c r="C1346" s="417">
        <v>2033</v>
      </c>
      <c r="D1346" s="417" t="s">
        <v>1706</v>
      </c>
      <c r="E1346" s="413">
        <v>332.60087794895219</v>
      </c>
      <c r="F1346" s="17"/>
      <c r="G1346" s="17"/>
      <c r="H1346" s="17"/>
      <c r="I1346" s="17"/>
    </row>
    <row r="1347" spans="2:9" ht="15.75" x14ac:dyDescent="0.25">
      <c r="B1347" s="416" t="s">
        <v>259</v>
      </c>
      <c r="C1347" s="417">
        <v>2034</v>
      </c>
      <c r="D1347" s="417" t="s">
        <v>1707</v>
      </c>
      <c r="E1347" s="413">
        <v>327.03546134219113</v>
      </c>
      <c r="F1347" s="17"/>
      <c r="G1347" s="17"/>
      <c r="H1347" s="17"/>
      <c r="I1347" s="17"/>
    </row>
    <row r="1348" spans="2:9" ht="15.75" x14ac:dyDescent="0.25">
      <c r="B1348" s="416" t="s">
        <v>259</v>
      </c>
      <c r="C1348" s="417">
        <v>2035</v>
      </c>
      <c r="D1348" s="417" t="s">
        <v>1708</v>
      </c>
      <c r="E1348" s="413">
        <v>322.11789060275589</v>
      </c>
      <c r="F1348" s="17"/>
      <c r="G1348" s="17"/>
      <c r="H1348" s="17"/>
      <c r="I1348" s="17"/>
    </row>
    <row r="1349" spans="2:9" ht="15.75" x14ac:dyDescent="0.25">
      <c r="B1349" s="416" t="s">
        <v>259</v>
      </c>
      <c r="C1349" s="417">
        <v>2036</v>
      </c>
      <c r="D1349" s="417" t="s">
        <v>1709</v>
      </c>
      <c r="E1349" s="413">
        <v>317.78046534198648</v>
      </c>
      <c r="F1349" s="17"/>
      <c r="G1349" s="17"/>
      <c r="H1349" s="17"/>
      <c r="I1349" s="17"/>
    </row>
    <row r="1350" spans="2:9" ht="15.75" x14ac:dyDescent="0.25">
      <c r="B1350" s="416" t="s">
        <v>259</v>
      </c>
      <c r="C1350" s="417">
        <v>2037</v>
      </c>
      <c r="D1350" s="417" t="s">
        <v>1710</v>
      </c>
      <c r="E1350" s="413">
        <v>314.01486308684878</v>
      </c>
      <c r="F1350" s="17"/>
      <c r="G1350" s="17"/>
      <c r="H1350" s="17"/>
      <c r="I1350" s="17"/>
    </row>
    <row r="1351" spans="2:9" ht="15.75" x14ac:dyDescent="0.25">
      <c r="B1351" s="416" t="s">
        <v>259</v>
      </c>
      <c r="C1351" s="417">
        <v>2038</v>
      </c>
      <c r="D1351" s="417" t="s">
        <v>1711</v>
      </c>
      <c r="E1351" s="413">
        <v>310.75003915630742</v>
      </c>
      <c r="F1351" s="17"/>
      <c r="G1351" s="17"/>
      <c r="H1351" s="17"/>
      <c r="I1351" s="17"/>
    </row>
    <row r="1352" spans="2:9" ht="15.75" x14ac:dyDescent="0.25">
      <c r="B1352" s="416" t="s">
        <v>259</v>
      </c>
      <c r="C1352" s="417">
        <v>2039</v>
      </c>
      <c r="D1352" s="417" t="s">
        <v>1712</v>
      </c>
      <c r="E1352" s="413">
        <v>307.92598376500206</v>
      </c>
      <c r="F1352" s="17"/>
      <c r="G1352" s="17"/>
      <c r="H1352" s="17"/>
      <c r="I1352" s="17"/>
    </row>
    <row r="1353" spans="2:9" ht="15.75" x14ac:dyDescent="0.25">
      <c r="B1353" s="416" t="s">
        <v>259</v>
      </c>
      <c r="C1353" s="417">
        <v>2040</v>
      </c>
      <c r="D1353" s="417" t="s">
        <v>1713</v>
      </c>
      <c r="E1353" s="413">
        <v>305.49560821753909</v>
      </c>
      <c r="F1353" s="17"/>
      <c r="G1353" s="17"/>
      <c r="H1353" s="17"/>
      <c r="I1353" s="17"/>
    </row>
    <row r="1354" spans="2:9" ht="15.75" x14ac:dyDescent="0.25">
      <c r="B1354" s="416" t="s">
        <v>259</v>
      </c>
      <c r="C1354" s="417">
        <v>2041</v>
      </c>
      <c r="D1354" s="417" t="s">
        <v>1714</v>
      </c>
      <c r="E1354" s="413">
        <v>303.43857737101041</v>
      </c>
      <c r="F1354" s="17"/>
      <c r="G1354" s="17"/>
      <c r="H1354" s="17"/>
      <c r="I1354" s="17"/>
    </row>
    <row r="1355" spans="2:9" ht="15.75" x14ac:dyDescent="0.25">
      <c r="B1355" s="416" t="s">
        <v>259</v>
      </c>
      <c r="C1355" s="417">
        <v>2042</v>
      </c>
      <c r="D1355" s="417" t="s">
        <v>1715</v>
      </c>
      <c r="E1355" s="413">
        <v>301.66472172346425</v>
      </c>
      <c r="F1355" s="17"/>
      <c r="G1355" s="17"/>
      <c r="H1355" s="17"/>
      <c r="I1355" s="17"/>
    </row>
    <row r="1356" spans="2:9" ht="15.75" x14ac:dyDescent="0.25">
      <c r="B1356" s="416" t="s">
        <v>259</v>
      </c>
      <c r="C1356" s="417">
        <v>2043</v>
      </c>
      <c r="D1356" s="417" t="s">
        <v>1716</v>
      </c>
      <c r="E1356" s="413">
        <v>300.16423105744661</v>
      </c>
      <c r="F1356" s="17"/>
      <c r="G1356" s="17"/>
      <c r="H1356" s="17"/>
      <c r="I1356" s="17"/>
    </row>
    <row r="1357" spans="2:9" ht="15.75" x14ac:dyDescent="0.25">
      <c r="B1357" s="416" t="s">
        <v>259</v>
      </c>
      <c r="C1357" s="417">
        <v>2044</v>
      </c>
      <c r="D1357" s="417" t="s">
        <v>1717</v>
      </c>
      <c r="E1357" s="413">
        <v>298.89222253038207</v>
      </c>
      <c r="F1357" s="17"/>
      <c r="G1357" s="17"/>
      <c r="H1357" s="17"/>
      <c r="I1357" s="17"/>
    </row>
    <row r="1358" spans="2:9" ht="15.75" x14ac:dyDescent="0.25">
      <c r="B1358" s="416" t="s">
        <v>259</v>
      </c>
      <c r="C1358" s="417">
        <v>2045</v>
      </c>
      <c r="D1358" s="417" t="s">
        <v>1718</v>
      </c>
      <c r="E1358" s="413">
        <v>297.77660308137206</v>
      </c>
      <c r="F1358" s="17"/>
      <c r="G1358" s="17"/>
      <c r="H1358" s="17"/>
      <c r="I1358" s="17"/>
    </row>
    <row r="1359" spans="2:9" ht="15.75" x14ac:dyDescent="0.25">
      <c r="B1359" s="416" t="s">
        <v>259</v>
      </c>
      <c r="C1359" s="417">
        <v>2046</v>
      </c>
      <c r="D1359" s="417" t="s">
        <v>1719</v>
      </c>
      <c r="E1359" s="413">
        <v>296.83416361169452</v>
      </c>
      <c r="F1359" s="17"/>
      <c r="G1359" s="17"/>
      <c r="H1359" s="17"/>
      <c r="I1359" s="17"/>
    </row>
    <row r="1360" spans="2:9" ht="15.75" x14ac:dyDescent="0.25">
      <c r="B1360" s="416" t="s">
        <v>259</v>
      </c>
      <c r="C1360" s="417">
        <v>2047</v>
      </c>
      <c r="D1360" s="417" t="s">
        <v>1720</v>
      </c>
      <c r="E1360" s="413">
        <v>296.03533810378383</v>
      </c>
      <c r="F1360" s="17"/>
      <c r="G1360" s="17"/>
      <c r="H1360" s="17"/>
      <c r="I1360" s="17"/>
    </row>
    <row r="1361" spans="2:9" ht="15.75" x14ac:dyDescent="0.25">
      <c r="B1361" s="416" t="s">
        <v>259</v>
      </c>
      <c r="C1361" s="417">
        <v>2048</v>
      </c>
      <c r="D1361" s="417" t="s">
        <v>1721</v>
      </c>
      <c r="E1361" s="413">
        <v>295.3551725376152</v>
      </c>
      <c r="F1361" s="17"/>
      <c r="G1361" s="17"/>
      <c r="H1361" s="17"/>
      <c r="I1361" s="17"/>
    </row>
    <row r="1362" spans="2:9" ht="15.75" x14ac:dyDescent="0.25">
      <c r="B1362" s="416" t="s">
        <v>259</v>
      </c>
      <c r="C1362" s="417">
        <v>2049</v>
      </c>
      <c r="D1362" s="417" t="s">
        <v>1722</v>
      </c>
      <c r="E1362" s="413">
        <v>294.77164795665095</v>
      </c>
      <c r="F1362" s="17"/>
      <c r="G1362" s="17"/>
      <c r="H1362" s="17"/>
      <c r="I1362" s="17"/>
    </row>
    <row r="1363" spans="2:9" ht="15.75" x14ac:dyDescent="0.25">
      <c r="B1363" s="416" t="s">
        <v>259</v>
      </c>
      <c r="C1363" s="417">
        <v>2050</v>
      </c>
      <c r="D1363" s="417" t="s">
        <v>1723</v>
      </c>
      <c r="E1363" s="413">
        <v>294.29143688670251</v>
      </c>
      <c r="F1363" s="17"/>
      <c r="G1363" s="17"/>
      <c r="H1363" s="17"/>
      <c r="I1363" s="17"/>
    </row>
    <row r="1364" spans="2:9" ht="15.75" x14ac:dyDescent="0.25">
      <c r="B1364" s="414" t="s">
        <v>260</v>
      </c>
      <c r="C1364" s="415">
        <v>2015</v>
      </c>
      <c r="D1364" s="415" t="s">
        <v>1724</v>
      </c>
      <c r="E1364" s="410">
        <v>556.98982010032228</v>
      </c>
      <c r="F1364" s="17"/>
      <c r="G1364" s="17"/>
      <c r="H1364" s="17"/>
      <c r="I1364" s="17"/>
    </row>
    <row r="1365" spans="2:9" ht="15.75" x14ac:dyDescent="0.25">
      <c r="B1365" s="414" t="s">
        <v>260</v>
      </c>
      <c r="C1365" s="415">
        <v>2016</v>
      </c>
      <c r="D1365" s="415" t="s">
        <v>1725</v>
      </c>
      <c r="E1365" s="410">
        <v>546.53069103431221</v>
      </c>
      <c r="F1365" s="17"/>
      <c r="G1365" s="17"/>
      <c r="H1365" s="17"/>
      <c r="I1365" s="17"/>
    </row>
    <row r="1366" spans="2:9" ht="15.75" x14ac:dyDescent="0.25">
      <c r="B1366" s="416" t="s">
        <v>260</v>
      </c>
      <c r="C1366" s="417">
        <v>2017</v>
      </c>
      <c r="D1366" s="417" t="s">
        <v>1726</v>
      </c>
      <c r="E1366" s="413">
        <v>533.45329519153836</v>
      </c>
      <c r="F1366" s="17"/>
      <c r="G1366" s="17"/>
      <c r="H1366" s="17"/>
      <c r="I1366" s="17"/>
    </row>
    <row r="1367" spans="2:9" ht="15.75" x14ac:dyDescent="0.25">
      <c r="B1367" s="416" t="s">
        <v>260</v>
      </c>
      <c r="C1367" s="417">
        <v>2018</v>
      </c>
      <c r="D1367" s="417" t="s">
        <v>1727</v>
      </c>
      <c r="E1367" s="413">
        <v>519.89516545727429</v>
      </c>
      <c r="F1367" s="17"/>
      <c r="G1367" s="17"/>
      <c r="H1367" s="17"/>
      <c r="I1367" s="17"/>
    </row>
    <row r="1368" spans="2:9" ht="15.75" x14ac:dyDescent="0.25">
      <c r="B1368" s="416" t="s">
        <v>260</v>
      </c>
      <c r="C1368" s="417">
        <v>2019</v>
      </c>
      <c r="D1368" s="417" t="s">
        <v>1728</v>
      </c>
      <c r="E1368" s="413">
        <v>505.73647045243604</v>
      </c>
      <c r="F1368" s="17"/>
      <c r="G1368" s="17"/>
      <c r="H1368" s="17"/>
      <c r="I1368" s="17"/>
    </row>
    <row r="1369" spans="2:9" ht="15.75" x14ac:dyDescent="0.25">
      <c r="B1369" s="416" t="s">
        <v>260</v>
      </c>
      <c r="C1369" s="417">
        <v>2020</v>
      </c>
      <c r="D1369" s="417" t="s">
        <v>1729</v>
      </c>
      <c r="E1369" s="413">
        <v>491.29926180828227</v>
      </c>
      <c r="F1369" s="17"/>
      <c r="G1369" s="17"/>
      <c r="H1369" s="17"/>
      <c r="I1369" s="17"/>
    </row>
    <row r="1370" spans="2:9" ht="15.75" x14ac:dyDescent="0.25">
      <c r="B1370" s="416" t="s">
        <v>260</v>
      </c>
      <c r="C1370" s="417">
        <v>2021</v>
      </c>
      <c r="D1370" s="417" t="s">
        <v>1730</v>
      </c>
      <c r="E1370" s="413">
        <v>476.63029642625884</v>
      </c>
      <c r="F1370" s="17"/>
      <c r="G1370" s="17"/>
      <c r="H1370" s="17"/>
      <c r="I1370" s="17"/>
    </row>
    <row r="1371" spans="2:9" ht="15.75" x14ac:dyDescent="0.25">
      <c r="B1371" s="416" t="s">
        <v>260</v>
      </c>
      <c r="C1371" s="417">
        <v>2022</v>
      </c>
      <c r="D1371" s="417" t="s">
        <v>1731</v>
      </c>
      <c r="E1371" s="413">
        <v>462.00221781776975</v>
      </c>
      <c r="F1371" s="17"/>
      <c r="G1371" s="17"/>
      <c r="H1371" s="17"/>
      <c r="I1371" s="17"/>
    </row>
    <row r="1372" spans="2:9" ht="15.75" x14ac:dyDescent="0.25">
      <c r="B1372" s="416" t="s">
        <v>260</v>
      </c>
      <c r="C1372" s="417">
        <v>2023</v>
      </c>
      <c r="D1372" s="417" t="s">
        <v>1732</v>
      </c>
      <c r="E1372" s="413">
        <v>447.57572398568533</v>
      </c>
      <c r="F1372" s="17"/>
      <c r="G1372" s="17"/>
      <c r="H1372" s="17"/>
      <c r="I1372" s="17"/>
    </row>
    <row r="1373" spans="2:9" ht="15.75" x14ac:dyDescent="0.25">
      <c r="B1373" s="416" t="s">
        <v>260</v>
      </c>
      <c r="C1373" s="417">
        <v>2024</v>
      </c>
      <c r="D1373" s="417" t="s">
        <v>1733</v>
      </c>
      <c r="E1373" s="413">
        <v>433.37427491640761</v>
      </c>
      <c r="F1373" s="17"/>
      <c r="G1373" s="17"/>
      <c r="H1373" s="17"/>
      <c r="I1373" s="17"/>
    </row>
    <row r="1374" spans="2:9" ht="15.75" x14ac:dyDescent="0.25">
      <c r="B1374" s="416" t="s">
        <v>260</v>
      </c>
      <c r="C1374" s="417">
        <v>2025</v>
      </c>
      <c r="D1374" s="417" t="s">
        <v>1734</v>
      </c>
      <c r="E1374" s="413">
        <v>419.47077384677908</v>
      </c>
      <c r="F1374" s="17"/>
      <c r="G1374" s="17"/>
      <c r="H1374" s="17"/>
      <c r="I1374" s="17"/>
    </row>
    <row r="1375" spans="2:9" ht="15.75" x14ac:dyDescent="0.25">
      <c r="B1375" s="416" t="s">
        <v>260</v>
      </c>
      <c r="C1375" s="417">
        <v>2026</v>
      </c>
      <c r="D1375" s="417" t="s">
        <v>1735</v>
      </c>
      <c r="E1375" s="413">
        <v>406.77902483444967</v>
      </c>
      <c r="F1375" s="17"/>
      <c r="G1375" s="17"/>
      <c r="H1375" s="17"/>
      <c r="I1375" s="17"/>
    </row>
    <row r="1376" spans="2:9" ht="15.75" x14ac:dyDescent="0.25">
      <c r="B1376" s="416" t="s">
        <v>260</v>
      </c>
      <c r="C1376" s="417">
        <v>2027</v>
      </c>
      <c r="D1376" s="417" t="s">
        <v>1736</v>
      </c>
      <c r="E1376" s="413">
        <v>395.12982788352036</v>
      </c>
      <c r="F1376" s="17"/>
      <c r="G1376" s="17"/>
      <c r="H1376" s="17"/>
      <c r="I1376" s="17"/>
    </row>
    <row r="1377" spans="2:9" ht="15.75" x14ac:dyDescent="0.25">
      <c r="B1377" s="416" t="s">
        <v>260</v>
      </c>
      <c r="C1377" s="417">
        <v>2028</v>
      </c>
      <c r="D1377" s="417" t="s">
        <v>1737</v>
      </c>
      <c r="E1377" s="413">
        <v>384.58447603272373</v>
      </c>
      <c r="F1377" s="17"/>
      <c r="G1377" s="17"/>
      <c r="H1377" s="17"/>
      <c r="I1377" s="17"/>
    </row>
    <row r="1378" spans="2:9" ht="15.75" x14ac:dyDescent="0.25">
      <c r="B1378" s="416" t="s">
        <v>260</v>
      </c>
      <c r="C1378" s="417">
        <v>2029</v>
      </c>
      <c r="D1378" s="417" t="s">
        <v>1738</v>
      </c>
      <c r="E1378" s="413">
        <v>375.04014706392985</v>
      </c>
      <c r="F1378" s="17"/>
      <c r="G1378" s="17"/>
      <c r="H1378" s="17"/>
      <c r="I1378" s="17"/>
    </row>
    <row r="1379" spans="2:9" ht="15.75" x14ac:dyDescent="0.25">
      <c r="B1379" s="416" t="s">
        <v>260</v>
      </c>
      <c r="C1379" s="417">
        <v>2030</v>
      </c>
      <c r="D1379" s="417" t="s">
        <v>1739</v>
      </c>
      <c r="E1379" s="413">
        <v>366.45440505115852</v>
      </c>
      <c r="F1379" s="17"/>
      <c r="G1379" s="17"/>
      <c r="H1379" s="17"/>
      <c r="I1379" s="17"/>
    </row>
    <row r="1380" spans="2:9" ht="15.75" x14ac:dyDescent="0.25">
      <c r="B1380" s="416" t="s">
        <v>260</v>
      </c>
      <c r="C1380" s="417">
        <v>2031</v>
      </c>
      <c r="D1380" s="417" t="s">
        <v>1740</v>
      </c>
      <c r="E1380" s="413">
        <v>358.76610012966876</v>
      </c>
      <c r="F1380" s="17"/>
      <c r="G1380" s="17"/>
      <c r="H1380" s="17"/>
      <c r="I1380" s="17"/>
    </row>
    <row r="1381" spans="2:9" ht="15.75" x14ac:dyDescent="0.25">
      <c r="B1381" s="416" t="s">
        <v>260</v>
      </c>
      <c r="C1381" s="417">
        <v>2032</v>
      </c>
      <c r="D1381" s="417" t="s">
        <v>1741</v>
      </c>
      <c r="E1381" s="413">
        <v>351.92677268474336</v>
      </c>
      <c r="F1381" s="17"/>
      <c r="G1381" s="17"/>
      <c r="H1381" s="17"/>
      <c r="I1381" s="17"/>
    </row>
    <row r="1382" spans="2:9" ht="15.75" x14ac:dyDescent="0.25">
      <c r="B1382" s="416" t="s">
        <v>260</v>
      </c>
      <c r="C1382" s="417">
        <v>2033</v>
      </c>
      <c r="D1382" s="417" t="s">
        <v>1742</v>
      </c>
      <c r="E1382" s="413">
        <v>345.84942489105799</v>
      </c>
      <c r="F1382" s="17"/>
      <c r="G1382" s="17"/>
      <c r="H1382" s="17"/>
      <c r="I1382" s="17"/>
    </row>
    <row r="1383" spans="2:9" ht="15.75" x14ac:dyDescent="0.25">
      <c r="B1383" s="416" t="s">
        <v>260</v>
      </c>
      <c r="C1383" s="417">
        <v>2034</v>
      </c>
      <c r="D1383" s="417" t="s">
        <v>1743</v>
      </c>
      <c r="E1383" s="413">
        <v>340.47569810708785</v>
      </c>
      <c r="F1383" s="17"/>
      <c r="G1383" s="17"/>
      <c r="H1383" s="17"/>
      <c r="I1383" s="17"/>
    </row>
    <row r="1384" spans="2:9" ht="15.75" x14ac:dyDescent="0.25">
      <c r="B1384" s="416" t="s">
        <v>260</v>
      </c>
      <c r="C1384" s="417">
        <v>2035</v>
      </c>
      <c r="D1384" s="417" t="s">
        <v>1744</v>
      </c>
      <c r="E1384" s="413">
        <v>335.75645986295547</v>
      </c>
      <c r="F1384" s="17"/>
      <c r="G1384" s="17"/>
      <c r="H1384" s="17"/>
      <c r="I1384" s="17"/>
    </row>
    <row r="1385" spans="2:9" ht="15.75" x14ac:dyDescent="0.25">
      <c r="B1385" s="416" t="s">
        <v>260</v>
      </c>
      <c r="C1385" s="417">
        <v>2036</v>
      </c>
      <c r="D1385" s="417" t="s">
        <v>1745</v>
      </c>
      <c r="E1385" s="413">
        <v>331.64731617557572</v>
      </c>
      <c r="F1385" s="17"/>
      <c r="G1385" s="17"/>
      <c r="H1385" s="17"/>
      <c r="I1385" s="17"/>
    </row>
    <row r="1386" spans="2:9" ht="15.75" x14ac:dyDescent="0.25">
      <c r="B1386" s="416" t="s">
        <v>260</v>
      </c>
      <c r="C1386" s="417">
        <v>2037</v>
      </c>
      <c r="D1386" s="417" t="s">
        <v>1746</v>
      </c>
      <c r="E1386" s="413">
        <v>328.08841752858876</v>
      </c>
      <c r="F1386" s="17"/>
      <c r="G1386" s="17"/>
      <c r="H1386" s="17"/>
      <c r="I1386" s="17"/>
    </row>
    <row r="1387" spans="2:9" ht="15.75" x14ac:dyDescent="0.25">
      <c r="B1387" s="416" t="s">
        <v>260</v>
      </c>
      <c r="C1387" s="417">
        <v>2038</v>
      </c>
      <c r="D1387" s="417" t="s">
        <v>1747</v>
      </c>
      <c r="E1387" s="413">
        <v>325.04106623212255</v>
      </c>
      <c r="F1387" s="17"/>
      <c r="G1387" s="17"/>
      <c r="H1387" s="17"/>
      <c r="I1387" s="17"/>
    </row>
    <row r="1388" spans="2:9" ht="15.75" x14ac:dyDescent="0.25">
      <c r="B1388" s="416" t="s">
        <v>260</v>
      </c>
      <c r="C1388" s="417">
        <v>2039</v>
      </c>
      <c r="D1388" s="417" t="s">
        <v>1748</v>
      </c>
      <c r="E1388" s="413">
        <v>322.42317858999075</v>
      </c>
      <c r="F1388" s="17"/>
      <c r="G1388" s="17"/>
      <c r="H1388" s="17"/>
      <c r="I1388" s="17"/>
    </row>
    <row r="1389" spans="2:9" ht="15.75" x14ac:dyDescent="0.25">
      <c r="B1389" s="416" t="s">
        <v>260</v>
      </c>
      <c r="C1389" s="417">
        <v>2040</v>
      </c>
      <c r="D1389" s="417" t="s">
        <v>1749</v>
      </c>
      <c r="E1389" s="413">
        <v>320.19601736507428</v>
      </c>
      <c r="F1389" s="17"/>
      <c r="G1389" s="17"/>
      <c r="H1389" s="17"/>
      <c r="I1389" s="17"/>
    </row>
    <row r="1390" spans="2:9" ht="15.75" x14ac:dyDescent="0.25">
      <c r="B1390" s="416" t="s">
        <v>260</v>
      </c>
      <c r="C1390" s="417">
        <v>2041</v>
      </c>
      <c r="D1390" s="417" t="s">
        <v>1750</v>
      </c>
      <c r="E1390" s="413">
        <v>318.34073102326897</v>
      </c>
      <c r="F1390" s="17"/>
      <c r="G1390" s="17"/>
      <c r="H1390" s="17"/>
      <c r="I1390" s="17"/>
    </row>
    <row r="1391" spans="2:9" ht="15.75" x14ac:dyDescent="0.25">
      <c r="B1391" s="416" t="s">
        <v>260</v>
      </c>
      <c r="C1391" s="417">
        <v>2042</v>
      </c>
      <c r="D1391" s="417" t="s">
        <v>1751</v>
      </c>
      <c r="E1391" s="413">
        <v>316.75931295434606</v>
      </c>
      <c r="F1391" s="17"/>
      <c r="G1391" s="17"/>
      <c r="H1391" s="17"/>
      <c r="I1391" s="17"/>
    </row>
    <row r="1392" spans="2:9" ht="15.75" x14ac:dyDescent="0.25">
      <c r="B1392" s="416" t="s">
        <v>260</v>
      </c>
      <c r="C1392" s="417">
        <v>2043</v>
      </c>
      <c r="D1392" s="417" t="s">
        <v>1752</v>
      </c>
      <c r="E1392" s="413">
        <v>315.43139311941491</v>
      </c>
      <c r="F1392" s="17"/>
      <c r="G1392" s="17"/>
      <c r="H1392" s="17"/>
      <c r="I1392" s="17"/>
    </row>
    <row r="1393" spans="2:9" ht="15.75" x14ac:dyDescent="0.25">
      <c r="B1393" s="416" t="s">
        <v>260</v>
      </c>
      <c r="C1393" s="417">
        <v>2044</v>
      </c>
      <c r="D1393" s="417" t="s">
        <v>1753</v>
      </c>
      <c r="E1393" s="413">
        <v>314.30350655762703</v>
      </c>
      <c r="F1393" s="17"/>
      <c r="G1393" s="17"/>
      <c r="H1393" s="17"/>
      <c r="I1393" s="17"/>
    </row>
    <row r="1394" spans="2:9" ht="15.75" x14ac:dyDescent="0.25">
      <c r="B1394" s="416" t="s">
        <v>260</v>
      </c>
      <c r="C1394" s="417">
        <v>2045</v>
      </c>
      <c r="D1394" s="417" t="s">
        <v>1754</v>
      </c>
      <c r="E1394" s="413">
        <v>313.32591805840809</v>
      </c>
      <c r="F1394" s="17"/>
      <c r="G1394" s="17"/>
      <c r="H1394" s="17"/>
      <c r="I1394" s="17"/>
    </row>
    <row r="1395" spans="2:9" ht="15.75" x14ac:dyDescent="0.25">
      <c r="B1395" s="416" t="s">
        <v>260</v>
      </c>
      <c r="C1395" s="417">
        <v>2046</v>
      </c>
      <c r="D1395" s="417" t="s">
        <v>1755</v>
      </c>
      <c r="E1395" s="413">
        <v>312.49132054050045</v>
      </c>
      <c r="F1395" s="17"/>
      <c r="G1395" s="17"/>
      <c r="H1395" s="17"/>
      <c r="I1395" s="17"/>
    </row>
    <row r="1396" spans="2:9" ht="15.75" x14ac:dyDescent="0.25">
      <c r="B1396" s="416" t="s">
        <v>260</v>
      </c>
      <c r="C1396" s="417">
        <v>2047</v>
      </c>
      <c r="D1396" s="417" t="s">
        <v>1756</v>
      </c>
      <c r="E1396" s="413">
        <v>311.79688122470401</v>
      </c>
      <c r="F1396" s="17"/>
      <c r="G1396" s="17"/>
      <c r="H1396" s="17"/>
      <c r="I1396" s="17"/>
    </row>
    <row r="1397" spans="2:9" ht="15.75" x14ac:dyDescent="0.25">
      <c r="B1397" s="416" t="s">
        <v>260</v>
      </c>
      <c r="C1397" s="417">
        <v>2048</v>
      </c>
      <c r="D1397" s="417" t="s">
        <v>1757</v>
      </c>
      <c r="E1397" s="413">
        <v>311.21158137943019</v>
      </c>
      <c r="F1397" s="17"/>
      <c r="G1397" s="17"/>
      <c r="H1397" s="17"/>
      <c r="I1397" s="17"/>
    </row>
    <row r="1398" spans="2:9" ht="15.75" x14ac:dyDescent="0.25">
      <c r="B1398" s="416" t="s">
        <v>260</v>
      </c>
      <c r="C1398" s="417">
        <v>2049</v>
      </c>
      <c r="D1398" s="417" t="s">
        <v>1758</v>
      </c>
      <c r="E1398" s="413">
        <v>310.70361827064642</v>
      </c>
      <c r="F1398" s="17"/>
      <c r="G1398" s="17"/>
      <c r="H1398" s="17"/>
      <c r="I1398" s="17"/>
    </row>
    <row r="1399" spans="2:9" ht="15.75" x14ac:dyDescent="0.25">
      <c r="B1399" s="416" t="s">
        <v>260</v>
      </c>
      <c r="C1399" s="417">
        <v>2050</v>
      </c>
      <c r="D1399" s="417" t="s">
        <v>1759</v>
      </c>
      <c r="E1399" s="413">
        <v>310.27758073585721</v>
      </c>
      <c r="F1399" s="17"/>
      <c r="G1399" s="17"/>
      <c r="H1399" s="17"/>
      <c r="I1399" s="17"/>
    </row>
    <row r="1400" spans="2:9" ht="15.75" x14ac:dyDescent="0.25">
      <c r="B1400" s="407" t="s">
        <v>84</v>
      </c>
      <c r="C1400" s="408">
        <v>2015</v>
      </c>
      <c r="D1400" s="409" t="s">
        <v>261</v>
      </c>
      <c r="E1400" s="410">
        <v>494.42964040418445</v>
      </c>
      <c r="F1400" s="17"/>
      <c r="G1400" s="17"/>
      <c r="H1400" s="17"/>
      <c r="I1400" s="17"/>
    </row>
    <row r="1401" spans="2:9" ht="15.75" x14ac:dyDescent="0.25">
      <c r="B1401" s="407" t="s">
        <v>84</v>
      </c>
      <c r="C1401" s="408">
        <v>2016</v>
      </c>
      <c r="D1401" s="409" t="s">
        <v>262</v>
      </c>
      <c r="E1401" s="410">
        <v>484.20765067813238</v>
      </c>
      <c r="F1401" s="17"/>
      <c r="G1401" s="17"/>
      <c r="H1401" s="17"/>
      <c r="I1401" s="17"/>
    </row>
    <row r="1402" spans="2:9" ht="15.75" x14ac:dyDescent="0.25">
      <c r="B1402" s="411" t="s">
        <v>84</v>
      </c>
      <c r="C1402" s="412">
        <v>2017</v>
      </c>
      <c r="D1402" s="412" t="s">
        <v>1760</v>
      </c>
      <c r="E1402" s="413">
        <v>472.75033113894136</v>
      </c>
      <c r="F1402" s="17"/>
      <c r="G1402" s="17"/>
      <c r="H1402" s="17"/>
      <c r="I1402" s="17"/>
    </row>
    <row r="1403" spans="2:9" ht="15.75" x14ac:dyDescent="0.25">
      <c r="B1403" s="411" t="s">
        <v>84</v>
      </c>
      <c r="C1403" s="412">
        <v>2018</v>
      </c>
      <c r="D1403" s="412" t="s">
        <v>1761</v>
      </c>
      <c r="E1403" s="413">
        <v>460.84712529448689</v>
      </c>
      <c r="F1403" s="17"/>
      <c r="G1403" s="17"/>
      <c r="H1403" s="17"/>
      <c r="I1403" s="17"/>
    </row>
    <row r="1404" spans="2:9" ht="15.75" x14ac:dyDescent="0.25">
      <c r="B1404" s="411" t="s">
        <v>84</v>
      </c>
      <c r="C1404" s="412">
        <v>2019</v>
      </c>
      <c r="D1404" s="412" t="s">
        <v>1762</v>
      </c>
      <c r="E1404" s="413">
        <v>449.90923364270213</v>
      </c>
      <c r="F1404" s="17"/>
      <c r="G1404" s="17"/>
      <c r="H1404" s="17"/>
      <c r="I1404" s="17"/>
    </row>
    <row r="1405" spans="2:9" ht="15.75" x14ac:dyDescent="0.25">
      <c r="B1405" s="411" t="s">
        <v>84</v>
      </c>
      <c r="C1405" s="412">
        <v>2020</v>
      </c>
      <c r="D1405" s="412" t="s">
        <v>1763</v>
      </c>
      <c r="E1405" s="413">
        <v>437.3597566614402</v>
      </c>
      <c r="F1405" s="17"/>
      <c r="G1405" s="17"/>
      <c r="H1405" s="17"/>
      <c r="I1405" s="17"/>
    </row>
    <row r="1406" spans="2:9" ht="15.75" x14ac:dyDescent="0.25">
      <c r="B1406" s="411" t="s">
        <v>84</v>
      </c>
      <c r="C1406" s="412">
        <v>2021</v>
      </c>
      <c r="D1406" s="412" t="s">
        <v>1764</v>
      </c>
      <c r="E1406" s="413">
        <v>424.90912374728919</v>
      </c>
      <c r="F1406" s="17"/>
      <c r="G1406" s="17"/>
      <c r="H1406" s="17"/>
      <c r="I1406" s="17"/>
    </row>
    <row r="1407" spans="2:9" ht="15.75" x14ac:dyDescent="0.25">
      <c r="B1407" s="411" t="s">
        <v>84</v>
      </c>
      <c r="C1407" s="412">
        <v>2022</v>
      </c>
      <c r="D1407" s="412" t="s">
        <v>1765</v>
      </c>
      <c r="E1407" s="413">
        <v>412.38706513434573</v>
      </c>
      <c r="F1407" s="17"/>
      <c r="G1407" s="17"/>
      <c r="H1407" s="17"/>
      <c r="I1407" s="17"/>
    </row>
    <row r="1408" spans="2:9" ht="15.75" x14ac:dyDescent="0.25">
      <c r="B1408" s="411" t="s">
        <v>84</v>
      </c>
      <c r="C1408" s="412">
        <v>2023</v>
      </c>
      <c r="D1408" s="412" t="s">
        <v>1766</v>
      </c>
      <c r="E1408" s="413">
        <v>399.93820678097154</v>
      </c>
      <c r="F1408" s="17"/>
      <c r="G1408" s="17"/>
      <c r="H1408" s="17"/>
      <c r="I1408" s="17"/>
    </row>
    <row r="1409" spans="2:9" ht="15.75" x14ac:dyDescent="0.25">
      <c r="B1409" s="411" t="s">
        <v>84</v>
      </c>
      <c r="C1409" s="412">
        <v>2024</v>
      </c>
      <c r="D1409" s="412" t="s">
        <v>1767</v>
      </c>
      <c r="E1409" s="413">
        <v>388.02906473646897</v>
      </c>
      <c r="F1409" s="17"/>
      <c r="G1409" s="17"/>
      <c r="H1409" s="17"/>
      <c r="I1409" s="17"/>
    </row>
    <row r="1410" spans="2:9" ht="15.75" x14ac:dyDescent="0.25">
      <c r="B1410" s="411" t="s">
        <v>84</v>
      </c>
      <c r="C1410" s="412">
        <v>2025</v>
      </c>
      <c r="D1410" s="412" t="s">
        <v>1768</v>
      </c>
      <c r="E1410" s="413">
        <v>375.76801887761997</v>
      </c>
      <c r="F1410" s="17"/>
      <c r="G1410" s="17"/>
      <c r="H1410" s="17"/>
      <c r="I1410" s="17"/>
    </row>
    <row r="1411" spans="2:9" ht="15.75" x14ac:dyDescent="0.25">
      <c r="B1411" s="411" t="s">
        <v>84</v>
      </c>
      <c r="C1411" s="412">
        <v>2026</v>
      </c>
      <c r="D1411" s="412" t="s">
        <v>1769</v>
      </c>
      <c r="E1411" s="413">
        <v>364.80080718934227</v>
      </c>
      <c r="F1411" s="17"/>
      <c r="G1411" s="17"/>
      <c r="H1411" s="17"/>
      <c r="I1411" s="17"/>
    </row>
    <row r="1412" spans="2:9" ht="15.75" x14ac:dyDescent="0.25">
      <c r="B1412" s="411" t="s">
        <v>84</v>
      </c>
      <c r="C1412" s="412">
        <v>2027</v>
      </c>
      <c r="D1412" s="412" t="s">
        <v>1770</v>
      </c>
      <c r="E1412" s="413">
        <v>354.95841595012797</v>
      </c>
      <c r="F1412" s="17"/>
      <c r="G1412" s="17"/>
      <c r="H1412" s="17"/>
      <c r="I1412" s="17"/>
    </row>
    <row r="1413" spans="2:9" ht="15.75" x14ac:dyDescent="0.25">
      <c r="B1413" s="411" t="s">
        <v>84</v>
      </c>
      <c r="C1413" s="412">
        <v>2028</v>
      </c>
      <c r="D1413" s="412" t="s">
        <v>1771</v>
      </c>
      <c r="E1413" s="413">
        <v>346.2138490436202</v>
      </c>
      <c r="F1413" s="17"/>
      <c r="G1413" s="17"/>
      <c r="H1413" s="17"/>
      <c r="I1413" s="17"/>
    </row>
    <row r="1414" spans="2:9" ht="15.75" x14ac:dyDescent="0.25">
      <c r="B1414" s="411" t="s">
        <v>84</v>
      </c>
      <c r="C1414" s="412">
        <v>2029</v>
      </c>
      <c r="D1414" s="412" t="s">
        <v>1772</v>
      </c>
      <c r="E1414" s="413">
        <v>338.43727089319333</v>
      </c>
      <c r="F1414" s="17"/>
      <c r="G1414" s="17"/>
      <c r="H1414" s="17"/>
      <c r="I1414" s="17"/>
    </row>
    <row r="1415" spans="2:9" ht="15.75" x14ac:dyDescent="0.25">
      <c r="B1415" s="411" t="s">
        <v>84</v>
      </c>
      <c r="C1415" s="412">
        <v>2030</v>
      </c>
      <c r="D1415" s="412" t="s">
        <v>1773</v>
      </c>
      <c r="E1415" s="413">
        <v>331.54993229361378</v>
      </c>
      <c r="F1415" s="17"/>
      <c r="G1415" s="17"/>
      <c r="H1415" s="17"/>
      <c r="I1415" s="17"/>
    </row>
    <row r="1416" spans="2:9" ht="15.75" x14ac:dyDescent="0.25">
      <c r="B1416" s="411" t="s">
        <v>84</v>
      </c>
      <c r="C1416" s="412">
        <v>2031</v>
      </c>
      <c r="D1416" s="412" t="s">
        <v>1774</v>
      </c>
      <c r="E1416" s="413">
        <v>324.95719061691926</v>
      </c>
      <c r="F1416" s="17"/>
      <c r="G1416" s="17"/>
      <c r="H1416" s="17"/>
      <c r="I1416" s="17"/>
    </row>
    <row r="1417" spans="2:9" ht="15.75" x14ac:dyDescent="0.25">
      <c r="B1417" s="411" t="s">
        <v>84</v>
      </c>
      <c r="C1417" s="412">
        <v>2032</v>
      </c>
      <c r="D1417" s="412" t="s">
        <v>1775</v>
      </c>
      <c r="E1417" s="413">
        <v>319.62207004614743</v>
      </c>
      <c r="F1417" s="17"/>
      <c r="G1417" s="17"/>
      <c r="H1417" s="17"/>
      <c r="I1417" s="17"/>
    </row>
    <row r="1418" spans="2:9" ht="15.75" x14ac:dyDescent="0.25">
      <c r="B1418" s="411" t="s">
        <v>84</v>
      </c>
      <c r="C1418" s="412">
        <v>2033</v>
      </c>
      <c r="D1418" s="412" t="s">
        <v>1776</v>
      </c>
      <c r="E1418" s="413">
        <v>314.9615287472181</v>
      </c>
      <c r="F1418" s="17"/>
      <c r="G1418" s="17"/>
      <c r="H1418" s="17"/>
      <c r="I1418" s="17"/>
    </row>
    <row r="1419" spans="2:9" ht="15.75" x14ac:dyDescent="0.25">
      <c r="B1419" s="411" t="s">
        <v>84</v>
      </c>
      <c r="C1419" s="412">
        <v>2034</v>
      </c>
      <c r="D1419" s="412" t="s">
        <v>1777</v>
      </c>
      <c r="E1419" s="413">
        <v>310.90685065437617</v>
      </c>
      <c r="F1419" s="17"/>
      <c r="G1419" s="17"/>
      <c r="H1419" s="17"/>
      <c r="I1419" s="17"/>
    </row>
    <row r="1420" spans="2:9" ht="15.75" x14ac:dyDescent="0.25">
      <c r="B1420" s="411" t="s">
        <v>84</v>
      </c>
      <c r="C1420" s="412">
        <v>2035</v>
      </c>
      <c r="D1420" s="412" t="s">
        <v>1778</v>
      </c>
      <c r="E1420" s="413">
        <v>307.41473181138849</v>
      </c>
      <c r="F1420" s="17"/>
      <c r="G1420" s="17"/>
      <c r="H1420" s="17"/>
      <c r="I1420" s="17"/>
    </row>
    <row r="1421" spans="2:9" ht="15.75" x14ac:dyDescent="0.25">
      <c r="B1421" s="411" t="s">
        <v>84</v>
      </c>
      <c r="C1421" s="412">
        <v>2036</v>
      </c>
      <c r="D1421" s="412" t="s">
        <v>1779</v>
      </c>
      <c r="E1421" s="413">
        <v>304.42433232334861</v>
      </c>
      <c r="F1421" s="17"/>
      <c r="G1421" s="17"/>
      <c r="H1421" s="17"/>
      <c r="I1421" s="17"/>
    </row>
    <row r="1422" spans="2:9" ht="15.75" x14ac:dyDescent="0.25">
      <c r="B1422" s="411" t="s">
        <v>84</v>
      </c>
      <c r="C1422" s="412">
        <v>2037</v>
      </c>
      <c r="D1422" s="412" t="s">
        <v>1780</v>
      </c>
      <c r="E1422" s="413">
        <v>301.88762152874796</v>
      </c>
      <c r="F1422" s="17"/>
      <c r="G1422" s="17"/>
      <c r="H1422" s="17"/>
      <c r="I1422" s="17"/>
    </row>
    <row r="1423" spans="2:9" ht="15.75" x14ac:dyDescent="0.25">
      <c r="B1423" s="411" t="s">
        <v>84</v>
      </c>
      <c r="C1423" s="412">
        <v>2038</v>
      </c>
      <c r="D1423" s="412" t="s">
        <v>1781</v>
      </c>
      <c r="E1423" s="413">
        <v>299.74966476977534</v>
      </c>
      <c r="F1423" s="17"/>
      <c r="G1423" s="17"/>
      <c r="H1423" s="17"/>
      <c r="I1423" s="17"/>
    </row>
    <row r="1424" spans="2:9" ht="15.75" x14ac:dyDescent="0.25">
      <c r="B1424" s="411" t="s">
        <v>84</v>
      </c>
      <c r="C1424" s="412">
        <v>2039</v>
      </c>
      <c r="D1424" s="412" t="s">
        <v>1782</v>
      </c>
      <c r="E1424" s="413">
        <v>297.9592663138958</v>
      </c>
      <c r="F1424" s="17"/>
      <c r="G1424" s="17"/>
      <c r="H1424" s="17"/>
      <c r="I1424" s="17"/>
    </row>
    <row r="1425" spans="2:9" ht="15.75" x14ac:dyDescent="0.25">
      <c r="B1425" s="411" t="s">
        <v>84</v>
      </c>
      <c r="C1425" s="412">
        <v>2040</v>
      </c>
      <c r="D1425" s="412" t="s">
        <v>1783</v>
      </c>
      <c r="E1425" s="413">
        <v>296.46995795492961</v>
      </c>
      <c r="F1425" s="17"/>
      <c r="G1425" s="17"/>
      <c r="H1425" s="17"/>
      <c r="I1425" s="17"/>
    </row>
    <row r="1426" spans="2:9" ht="15.75" x14ac:dyDescent="0.25">
      <c r="B1426" s="411" t="s">
        <v>84</v>
      </c>
      <c r="C1426" s="412">
        <v>2041</v>
      </c>
      <c r="D1426" s="412" t="s">
        <v>1784</v>
      </c>
      <c r="E1426" s="413">
        <v>295.25172400140997</v>
      </c>
      <c r="F1426" s="17"/>
      <c r="G1426" s="17"/>
      <c r="H1426" s="17"/>
      <c r="I1426" s="17"/>
    </row>
    <row r="1427" spans="2:9" ht="15.75" x14ac:dyDescent="0.25">
      <c r="B1427" s="411" t="s">
        <v>84</v>
      </c>
      <c r="C1427" s="412">
        <v>2042</v>
      </c>
      <c r="D1427" s="412" t="s">
        <v>1785</v>
      </c>
      <c r="E1427" s="413">
        <v>294.24414823710907</v>
      </c>
      <c r="F1427" s="17"/>
      <c r="G1427" s="17"/>
      <c r="H1427" s="17"/>
      <c r="I1427" s="17"/>
    </row>
    <row r="1428" spans="2:9" ht="15.75" x14ac:dyDescent="0.25">
      <c r="B1428" s="411" t="s">
        <v>84</v>
      </c>
      <c r="C1428" s="412">
        <v>2043</v>
      </c>
      <c r="D1428" s="412" t="s">
        <v>1786</v>
      </c>
      <c r="E1428" s="413">
        <v>293.42375777255404</v>
      </c>
      <c r="F1428" s="17"/>
      <c r="G1428" s="17"/>
      <c r="H1428" s="17"/>
      <c r="I1428" s="17"/>
    </row>
    <row r="1429" spans="2:9" ht="15.75" x14ac:dyDescent="0.25">
      <c r="B1429" s="411" t="s">
        <v>84</v>
      </c>
      <c r="C1429" s="412">
        <v>2044</v>
      </c>
      <c r="D1429" s="412" t="s">
        <v>1787</v>
      </c>
      <c r="E1429" s="413">
        <v>292.74758060659747</v>
      </c>
      <c r="F1429" s="17"/>
      <c r="G1429" s="17"/>
      <c r="H1429" s="17"/>
      <c r="I1429" s="17"/>
    </row>
    <row r="1430" spans="2:9" ht="15.75" x14ac:dyDescent="0.25">
      <c r="B1430" s="411" t="s">
        <v>84</v>
      </c>
      <c r="C1430" s="412">
        <v>2045</v>
      </c>
      <c r="D1430" s="412" t="s">
        <v>1788</v>
      </c>
      <c r="E1430" s="413">
        <v>292.17733393829747</v>
      </c>
      <c r="F1430" s="17"/>
      <c r="G1430" s="17"/>
      <c r="H1430" s="17"/>
      <c r="I1430" s="17"/>
    </row>
    <row r="1431" spans="2:9" ht="15.75" x14ac:dyDescent="0.25">
      <c r="B1431" s="411" t="s">
        <v>84</v>
      </c>
      <c r="C1431" s="412">
        <v>2046</v>
      </c>
      <c r="D1431" s="412" t="s">
        <v>1789</v>
      </c>
      <c r="E1431" s="413">
        <v>291.706428948949</v>
      </c>
      <c r="F1431" s="17"/>
      <c r="G1431" s="17"/>
      <c r="H1431" s="17"/>
      <c r="I1431" s="17"/>
    </row>
    <row r="1432" spans="2:9" ht="15.75" x14ac:dyDescent="0.25">
      <c r="B1432" s="411" t="s">
        <v>84</v>
      </c>
      <c r="C1432" s="412">
        <v>2047</v>
      </c>
      <c r="D1432" s="412" t="s">
        <v>1790</v>
      </c>
      <c r="E1432" s="413">
        <v>291.31098008457013</v>
      </c>
      <c r="F1432" s="17"/>
      <c r="G1432" s="17"/>
      <c r="H1432" s="17"/>
      <c r="I1432" s="17"/>
    </row>
    <row r="1433" spans="2:9" ht="15.75" x14ac:dyDescent="0.25">
      <c r="B1433" s="411" t="s">
        <v>84</v>
      </c>
      <c r="C1433" s="412">
        <v>2048</v>
      </c>
      <c r="D1433" s="412" t="s">
        <v>1791</v>
      </c>
      <c r="E1433" s="413">
        <v>290.97591645306238</v>
      </c>
      <c r="F1433" s="17"/>
      <c r="G1433" s="17"/>
      <c r="H1433" s="17"/>
      <c r="I1433" s="17"/>
    </row>
    <row r="1434" spans="2:9" ht="15.75" x14ac:dyDescent="0.25">
      <c r="B1434" s="411" t="s">
        <v>84</v>
      </c>
      <c r="C1434" s="412">
        <v>2049</v>
      </c>
      <c r="D1434" s="412" t="s">
        <v>1792</v>
      </c>
      <c r="E1434" s="413">
        <v>290.69323665753814</v>
      </c>
      <c r="F1434" s="17"/>
      <c r="G1434" s="17"/>
      <c r="H1434" s="17"/>
      <c r="I1434" s="17"/>
    </row>
    <row r="1435" spans="2:9" ht="15.75" x14ac:dyDescent="0.25">
      <c r="B1435" s="411" t="s">
        <v>84</v>
      </c>
      <c r="C1435" s="412">
        <v>2050</v>
      </c>
      <c r="D1435" s="412" t="s">
        <v>1793</v>
      </c>
      <c r="E1435" s="413">
        <v>290.47364593381872</v>
      </c>
      <c r="F1435" s="17"/>
      <c r="G1435" s="17"/>
      <c r="H1435" s="17"/>
      <c r="I1435" s="17"/>
    </row>
    <row r="1436" spans="2:9" ht="15.75" x14ac:dyDescent="0.25">
      <c r="B1436" s="816" t="s">
        <v>4887</v>
      </c>
      <c r="C1436" s="110">
        <v>2015</v>
      </c>
      <c r="D1436" s="687" t="s">
        <v>4998</v>
      </c>
      <c r="E1436" s="410">
        <v>503.9009138140409</v>
      </c>
      <c r="F1436" s="17"/>
      <c r="G1436" s="17"/>
      <c r="H1436" s="17"/>
      <c r="I1436" s="17"/>
    </row>
    <row r="1437" spans="2:9" ht="15.75" x14ac:dyDescent="0.25">
      <c r="B1437" s="816" t="s">
        <v>4887</v>
      </c>
      <c r="C1437" s="110">
        <v>2016</v>
      </c>
      <c r="D1437" s="687" t="s">
        <v>4999</v>
      </c>
      <c r="E1437" s="410">
        <v>493.70931535486579</v>
      </c>
      <c r="F1437" s="17"/>
      <c r="G1437" s="17"/>
      <c r="H1437" s="17"/>
      <c r="I1437" s="17"/>
    </row>
    <row r="1438" spans="2:9" ht="15.75" x14ac:dyDescent="0.25">
      <c r="B1438" s="816" t="s">
        <v>4887</v>
      </c>
      <c r="C1438" s="110">
        <v>2017</v>
      </c>
      <c r="D1438" s="687" t="s">
        <v>5000</v>
      </c>
      <c r="E1438" s="413">
        <v>482.63580944775777</v>
      </c>
      <c r="F1438" s="17"/>
      <c r="G1438" s="17"/>
      <c r="H1438" s="17"/>
      <c r="I1438" s="17"/>
    </row>
    <row r="1439" spans="2:9" ht="15.75" x14ac:dyDescent="0.25">
      <c r="B1439" s="816" t="s">
        <v>4887</v>
      </c>
      <c r="C1439" s="110">
        <v>2018</v>
      </c>
      <c r="D1439" s="687" t="s">
        <v>5001</v>
      </c>
      <c r="E1439" s="413">
        <v>470.51395202964068</v>
      </c>
      <c r="F1439" s="17"/>
      <c r="G1439" s="17"/>
      <c r="H1439" s="17"/>
      <c r="I1439" s="17"/>
    </row>
    <row r="1440" spans="2:9" ht="15.75" x14ac:dyDescent="0.25">
      <c r="B1440" s="816" t="s">
        <v>4887</v>
      </c>
      <c r="C1440" s="110">
        <v>2019</v>
      </c>
      <c r="D1440" s="687" t="s">
        <v>5002</v>
      </c>
      <c r="E1440" s="413">
        <v>457.44173748745402</v>
      </c>
      <c r="F1440" s="17"/>
      <c r="G1440" s="17"/>
      <c r="H1440" s="17"/>
      <c r="I1440" s="17"/>
    </row>
    <row r="1441" spans="2:9" ht="15.75" x14ac:dyDescent="0.25">
      <c r="B1441" s="816" t="s">
        <v>4887</v>
      </c>
      <c r="C1441" s="110">
        <v>2020</v>
      </c>
      <c r="D1441" s="687" t="s">
        <v>5003</v>
      </c>
      <c r="E1441" s="413">
        <v>444.54329595564275</v>
      </c>
      <c r="F1441" s="17"/>
      <c r="G1441" s="17"/>
      <c r="H1441" s="17"/>
      <c r="I1441" s="17"/>
    </row>
    <row r="1442" spans="2:9" ht="15.75" x14ac:dyDescent="0.25">
      <c r="B1442" s="816" t="s">
        <v>4887</v>
      </c>
      <c r="C1442" s="110">
        <v>2021</v>
      </c>
      <c r="D1442" s="687" t="s">
        <v>5004</v>
      </c>
      <c r="E1442" s="413">
        <v>431.41048482232827</v>
      </c>
      <c r="F1442" s="17"/>
      <c r="G1442" s="17"/>
      <c r="H1442" s="17"/>
      <c r="I1442" s="17"/>
    </row>
    <row r="1443" spans="2:9" ht="15.75" x14ac:dyDescent="0.25">
      <c r="B1443" s="816" t="s">
        <v>4887</v>
      </c>
      <c r="C1443" s="110">
        <v>2022</v>
      </c>
      <c r="D1443" s="687" t="s">
        <v>5005</v>
      </c>
      <c r="E1443" s="413">
        <v>418.38836229220431</v>
      </c>
      <c r="F1443" s="17"/>
      <c r="G1443" s="17"/>
      <c r="H1443" s="17"/>
      <c r="I1443" s="17"/>
    </row>
    <row r="1444" spans="2:9" ht="15.75" x14ac:dyDescent="0.25">
      <c r="B1444" s="816" t="s">
        <v>4887</v>
      </c>
      <c r="C1444" s="110">
        <v>2023</v>
      </c>
      <c r="D1444" s="687" t="s">
        <v>5006</v>
      </c>
      <c r="E1444" s="413">
        <v>405.42504056039922</v>
      </c>
      <c r="F1444" s="17"/>
      <c r="G1444" s="17"/>
      <c r="H1444" s="17"/>
      <c r="I1444" s="17"/>
    </row>
    <row r="1445" spans="2:9" ht="15.75" x14ac:dyDescent="0.25">
      <c r="B1445" s="816" t="s">
        <v>4887</v>
      </c>
      <c r="C1445" s="110">
        <v>2024</v>
      </c>
      <c r="D1445" s="687" t="s">
        <v>5007</v>
      </c>
      <c r="E1445" s="413">
        <v>392.58088521267365</v>
      </c>
      <c r="F1445" s="17"/>
      <c r="G1445" s="17"/>
      <c r="H1445" s="17"/>
      <c r="I1445" s="17"/>
    </row>
    <row r="1446" spans="2:9" ht="15.75" x14ac:dyDescent="0.25">
      <c r="B1446" s="816" t="s">
        <v>4887</v>
      </c>
      <c r="C1446" s="110">
        <v>2025</v>
      </c>
      <c r="D1446" s="687" t="s">
        <v>5008</v>
      </c>
      <c r="E1446" s="413">
        <v>379.85103968630557</v>
      </c>
      <c r="F1446" s="17"/>
      <c r="G1446" s="17"/>
      <c r="H1446" s="17"/>
      <c r="I1446" s="17"/>
    </row>
    <row r="1447" spans="2:9" ht="15.75" x14ac:dyDescent="0.25">
      <c r="B1447" s="816" t="s">
        <v>4887</v>
      </c>
      <c r="C1447" s="110">
        <v>2026</v>
      </c>
      <c r="D1447" s="687" t="s">
        <v>5009</v>
      </c>
      <c r="E1447" s="413">
        <v>368.28780061622086</v>
      </c>
      <c r="F1447" s="17"/>
      <c r="G1447" s="17"/>
      <c r="H1447" s="17"/>
      <c r="I1447" s="17"/>
    </row>
    <row r="1448" spans="2:9" ht="15.75" x14ac:dyDescent="0.25">
      <c r="B1448" s="816" t="s">
        <v>4887</v>
      </c>
      <c r="C1448" s="110">
        <v>2027</v>
      </c>
      <c r="D1448" s="687" t="s">
        <v>5010</v>
      </c>
      <c r="E1448" s="413">
        <v>357.76036722089583</v>
      </c>
      <c r="F1448" s="17"/>
      <c r="G1448" s="17"/>
      <c r="H1448" s="17"/>
      <c r="I1448" s="17"/>
    </row>
    <row r="1449" spans="2:9" ht="15.75" x14ac:dyDescent="0.25">
      <c r="B1449" s="816" t="s">
        <v>4887</v>
      </c>
      <c r="C1449" s="110">
        <v>2028</v>
      </c>
      <c r="D1449" s="687" t="s">
        <v>5011</v>
      </c>
      <c r="E1449" s="413">
        <v>348.29128897898823</v>
      </c>
      <c r="F1449" s="17"/>
      <c r="G1449" s="17"/>
      <c r="H1449" s="17"/>
      <c r="I1449" s="17"/>
    </row>
    <row r="1450" spans="2:9" ht="15.75" x14ac:dyDescent="0.25">
      <c r="B1450" s="816" t="s">
        <v>4887</v>
      </c>
      <c r="C1450" s="110">
        <v>2029</v>
      </c>
      <c r="D1450" s="687" t="s">
        <v>5012</v>
      </c>
      <c r="E1450" s="413">
        <v>339.81937246120714</v>
      </c>
      <c r="F1450" s="17"/>
      <c r="G1450" s="17"/>
      <c r="H1450" s="17"/>
      <c r="I1450" s="17"/>
    </row>
    <row r="1451" spans="2:9" ht="15.75" x14ac:dyDescent="0.25">
      <c r="B1451" s="816" t="s">
        <v>4887</v>
      </c>
      <c r="C1451" s="110">
        <v>2030</v>
      </c>
      <c r="D1451" s="687" t="s">
        <v>5013</v>
      </c>
      <c r="E1451" s="413">
        <v>332.28842298900037</v>
      </c>
      <c r="F1451" s="17"/>
      <c r="G1451" s="17"/>
      <c r="H1451" s="17"/>
      <c r="I1451" s="17"/>
    </row>
    <row r="1452" spans="2:9" ht="15.75" x14ac:dyDescent="0.25">
      <c r="B1452" s="816" t="s">
        <v>4887</v>
      </c>
      <c r="C1452" s="110">
        <v>2031</v>
      </c>
      <c r="D1452" s="687" t="s">
        <v>5014</v>
      </c>
      <c r="E1452" s="413">
        <v>325.63806091808272</v>
      </c>
      <c r="F1452" s="17"/>
      <c r="G1452" s="17"/>
      <c r="H1452" s="17"/>
      <c r="I1452" s="17"/>
    </row>
    <row r="1453" spans="2:9" ht="15.75" x14ac:dyDescent="0.25">
      <c r="B1453" s="816" t="s">
        <v>4887</v>
      </c>
      <c r="C1453" s="110">
        <v>2032</v>
      </c>
      <c r="D1453" s="687" t="s">
        <v>5015</v>
      </c>
      <c r="E1453" s="413">
        <v>319.79771316082923</v>
      </c>
      <c r="F1453" s="17"/>
      <c r="G1453" s="17"/>
      <c r="H1453" s="17"/>
      <c r="I1453" s="17"/>
    </row>
    <row r="1454" spans="2:9" ht="15.75" x14ac:dyDescent="0.25">
      <c r="B1454" s="816" t="s">
        <v>4887</v>
      </c>
      <c r="C1454" s="110">
        <v>2033</v>
      </c>
      <c r="D1454" s="687" t="s">
        <v>5016</v>
      </c>
      <c r="E1454" s="413">
        <v>314.70350751594628</v>
      </c>
      <c r="F1454" s="17"/>
      <c r="G1454" s="17"/>
      <c r="H1454" s="17"/>
      <c r="I1454" s="17"/>
    </row>
    <row r="1455" spans="2:9" ht="15.75" x14ac:dyDescent="0.25">
      <c r="B1455" s="816" t="s">
        <v>4887</v>
      </c>
      <c r="C1455" s="110">
        <v>2034</v>
      </c>
      <c r="D1455" s="687" t="s">
        <v>5017</v>
      </c>
      <c r="E1455" s="413">
        <v>310.28571412675194</v>
      </c>
      <c r="F1455" s="17"/>
      <c r="G1455" s="17"/>
      <c r="H1455" s="17"/>
      <c r="I1455" s="17"/>
    </row>
    <row r="1456" spans="2:9" ht="15.75" x14ac:dyDescent="0.25">
      <c r="B1456" s="816" t="s">
        <v>4887</v>
      </c>
      <c r="C1456" s="110">
        <v>2035</v>
      </c>
      <c r="D1456" s="687" t="s">
        <v>5018</v>
      </c>
      <c r="E1456" s="413">
        <v>306.48944335589528</v>
      </c>
      <c r="F1456" s="17"/>
      <c r="G1456" s="17"/>
      <c r="H1456" s="17"/>
      <c r="I1456" s="17"/>
    </row>
    <row r="1457" spans="2:9" ht="15.75" x14ac:dyDescent="0.25">
      <c r="B1457" s="816" t="s">
        <v>4887</v>
      </c>
      <c r="C1457" s="110">
        <v>2036</v>
      </c>
      <c r="D1457" s="687" t="s">
        <v>5019</v>
      </c>
      <c r="E1457" s="413">
        <v>303.24117342176442</v>
      </c>
      <c r="F1457" s="17"/>
      <c r="G1457" s="17"/>
      <c r="H1457" s="17"/>
      <c r="I1457" s="17"/>
    </row>
    <row r="1458" spans="2:9" ht="15.75" x14ac:dyDescent="0.25">
      <c r="B1458" s="816" t="s">
        <v>4887</v>
      </c>
      <c r="C1458" s="110">
        <v>2037</v>
      </c>
      <c r="D1458" s="687" t="s">
        <v>5020</v>
      </c>
      <c r="E1458" s="413">
        <v>300.49157952865676</v>
      </c>
      <c r="F1458" s="17"/>
      <c r="G1458" s="17"/>
      <c r="H1458" s="17"/>
      <c r="I1458" s="17"/>
    </row>
    <row r="1459" spans="2:9" ht="15.75" x14ac:dyDescent="0.25">
      <c r="B1459" s="816" t="s">
        <v>4887</v>
      </c>
      <c r="C1459" s="110">
        <v>2038</v>
      </c>
      <c r="D1459" s="687" t="s">
        <v>5021</v>
      </c>
      <c r="E1459" s="413">
        <v>298.18317738974019</v>
      </c>
      <c r="F1459" s="17"/>
      <c r="G1459" s="17"/>
      <c r="H1459" s="17"/>
      <c r="I1459" s="17"/>
    </row>
    <row r="1460" spans="2:9" ht="15.75" x14ac:dyDescent="0.25">
      <c r="B1460" s="816" t="s">
        <v>4887</v>
      </c>
      <c r="C1460" s="110">
        <v>2039</v>
      </c>
      <c r="D1460" s="687" t="s">
        <v>5022</v>
      </c>
      <c r="E1460" s="413">
        <v>296.25106437703641</v>
      </c>
      <c r="F1460" s="17"/>
      <c r="G1460" s="17"/>
      <c r="H1460" s="17"/>
      <c r="I1460" s="17"/>
    </row>
    <row r="1461" spans="2:9" ht="15.75" x14ac:dyDescent="0.25">
      <c r="B1461" s="816" t="s">
        <v>4887</v>
      </c>
      <c r="C1461" s="110">
        <v>2040</v>
      </c>
      <c r="D1461" s="687" t="s">
        <v>5023</v>
      </c>
      <c r="E1461" s="413">
        <v>294.64041864050029</v>
      </c>
      <c r="F1461" s="17"/>
      <c r="G1461" s="17"/>
      <c r="H1461" s="17"/>
      <c r="I1461" s="17"/>
    </row>
    <row r="1462" spans="2:9" ht="15.75" x14ac:dyDescent="0.25">
      <c r="B1462" s="816" t="s">
        <v>4887</v>
      </c>
      <c r="C1462" s="110">
        <v>2041</v>
      </c>
      <c r="D1462" s="687" t="s">
        <v>5024</v>
      </c>
      <c r="E1462" s="413">
        <v>293.31687275627468</v>
      </c>
      <c r="F1462" s="17"/>
      <c r="G1462" s="17"/>
      <c r="H1462" s="17"/>
      <c r="I1462" s="17"/>
    </row>
    <row r="1463" spans="2:9" ht="15.75" x14ac:dyDescent="0.25">
      <c r="B1463" s="816" t="s">
        <v>4887</v>
      </c>
      <c r="C1463" s="110">
        <v>2042</v>
      </c>
      <c r="D1463" s="687" t="s">
        <v>5025</v>
      </c>
      <c r="E1463" s="413">
        <v>292.22118915974914</v>
      </c>
      <c r="F1463" s="17"/>
      <c r="G1463" s="17"/>
      <c r="H1463" s="17"/>
      <c r="I1463" s="17"/>
    </row>
    <row r="1464" spans="2:9" ht="15.75" x14ac:dyDescent="0.25">
      <c r="B1464" s="816" t="s">
        <v>4887</v>
      </c>
      <c r="C1464" s="110">
        <v>2043</v>
      </c>
      <c r="D1464" s="687" t="s">
        <v>5026</v>
      </c>
      <c r="E1464" s="413">
        <v>291.32551537782388</v>
      </c>
      <c r="F1464" s="17"/>
      <c r="G1464" s="17"/>
      <c r="H1464" s="17"/>
      <c r="I1464" s="17"/>
    </row>
    <row r="1465" spans="2:9" ht="15.75" x14ac:dyDescent="0.25">
      <c r="B1465" s="816" t="s">
        <v>4887</v>
      </c>
      <c r="C1465" s="110">
        <v>2044</v>
      </c>
      <c r="D1465" s="687" t="s">
        <v>5027</v>
      </c>
      <c r="E1465" s="413">
        <v>290.58627558278636</v>
      </c>
      <c r="F1465" s="17"/>
      <c r="G1465" s="17"/>
      <c r="H1465" s="17"/>
      <c r="I1465" s="17"/>
    </row>
    <row r="1466" spans="2:9" ht="15.75" x14ac:dyDescent="0.25">
      <c r="B1466" s="816" t="s">
        <v>4887</v>
      </c>
      <c r="C1466" s="110">
        <v>2045</v>
      </c>
      <c r="D1466" s="687" t="s">
        <v>5028</v>
      </c>
      <c r="E1466" s="413">
        <v>289.96536098751295</v>
      </c>
      <c r="F1466" s="17"/>
      <c r="G1466" s="17"/>
      <c r="H1466" s="17"/>
      <c r="I1466" s="17"/>
    </row>
    <row r="1467" spans="2:9" ht="15.75" x14ac:dyDescent="0.25">
      <c r="B1467" s="816" t="s">
        <v>4887</v>
      </c>
      <c r="C1467" s="110">
        <v>2046</v>
      </c>
      <c r="D1467" s="687" t="s">
        <v>5029</v>
      </c>
      <c r="E1467" s="413">
        <v>289.44535857009311</v>
      </c>
      <c r="F1467" s="17"/>
      <c r="G1467" s="17"/>
      <c r="H1467" s="17"/>
      <c r="I1467" s="17"/>
    </row>
    <row r="1468" spans="2:9" ht="15.75" x14ac:dyDescent="0.25">
      <c r="B1468" s="816" t="s">
        <v>4887</v>
      </c>
      <c r="C1468" s="110">
        <v>2047</v>
      </c>
      <c r="D1468" s="687" t="s">
        <v>5030</v>
      </c>
      <c r="E1468" s="413">
        <v>289.00978886413839</v>
      </c>
      <c r="F1468" s="17"/>
      <c r="G1468" s="17"/>
      <c r="H1468" s="17"/>
      <c r="I1468" s="17"/>
    </row>
    <row r="1469" spans="2:9" ht="15.75" x14ac:dyDescent="0.25">
      <c r="B1469" s="816" t="s">
        <v>4887</v>
      </c>
      <c r="C1469" s="110">
        <v>2048</v>
      </c>
      <c r="D1469" s="687" t="s">
        <v>5031</v>
      </c>
      <c r="E1469" s="413">
        <v>288.64655549089946</v>
      </c>
      <c r="F1469" s="17"/>
      <c r="G1469" s="17"/>
      <c r="H1469" s="17"/>
      <c r="I1469" s="17"/>
    </row>
    <row r="1470" spans="2:9" ht="15.75" x14ac:dyDescent="0.25">
      <c r="B1470" s="816" t="s">
        <v>4887</v>
      </c>
      <c r="C1470" s="110">
        <v>2049</v>
      </c>
      <c r="D1470" s="687" t="s">
        <v>5032</v>
      </c>
      <c r="E1470" s="413">
        <v>288.3394523625646</v>
      </c>
      <c r="F1470" s="17"/>
      <c r="G1470" s="17"/>
      <c r="H1470" s="17"/>
      <c r="I1470" s="17"/>
    </row>
    <row r="1471" spans="2:9" ht="15.75" x14ac:dyDescent="0.25">
      <c r="B1471" s="816" t="s">
        <v>4887</v>
      </c>
      <c r="C1471" s="110">
        <v>2050</v>
      </c>
      <c r="D1471" s="687" t="s">
        <v>4997</v>
      </c>
      <c r="E1471" s="413">
        <v>288.08709468358279</v>
      </c>
      <c r="F1471" s="17"/>
      <c r="G1471" s="17"/>
      <c r="H1471" s="17"/>
      <c r="I1471" s="17"/>
    </row>
    <row r="1472" spans="2:9" ht="15.75" x14ac:dyDescent="0.25">
      <c r="B1472" s="816" t="s">
        <v>4888</v>
      </c>
      <c r="C1472" s="110">
        <v>2015</v>
      </c>
      <c r="D1472" s="687" t="s">
        <v>4961</v>
      </c>
      <c r="E1472" s="410">
        <v>503.9009138140409</v>
      </c>
      <c r="F1472" s="17"/>
      <c r="G1472" s="17"/>
      <c r="H1472" s="17"/>
      <c r="I1472" s="17"/>
    </row>
    <row r="1473" spans="2:9" ht="15.75" x14ac:dyDescent="0.25">
      <c r="B1473" s="816" t="s">
        <v>4888</v>
      </c>
      <c r="C1473" s="110">
        <v>2016</v>
      </c>
      <c r="D1473" s="687" t="s">
        <v>4962</v>
      </c>
      <c r="E1473" s="410">
        <v>493.70931535486579</v>
      </c>
      <c r="F1473" s="17"/>
      <c r="G1473" s="17"/>
      <c r="H1473" s="17"/>
      <c r="I1473" s="17"/>
    </row>
    <row r="1474" spans="2:9" ht="15.75" x14ac:dyDescent="0.25">
      <c r="B1474" s="816" t="s">
        <v>4888</v>
      </c>
      <c r="C1474" s="110">
        <v>2017</v>
      </c>
      <c r="D1474" s="687" t="s">
        <v>4963</v>
      </c>
      <c r="E1474" s="413">
        <v>482.63580944775777</v>
      </c>
      <c r="F1474" s="17"/>
      <c r="G1474" s="17"/>
      <c r="H1474" s="17"/>
      <c r="I1474" s="17"/>
    </row>
    <row r="1475" spans="2:9" ht="15.75" x14ac:dyDescent="0.25">
      <c r="B1475" s="816" t="s">
        <v>4888</v>
      </c>
      <c r="C1475" s="110">
        <v>2018</v>
      </c>
      <c r="D1475" s="687" t="s">
        <v>4964</v>
      </c>
      <c r="E1475" s="413">
        <v>470.51395202964068</v>
      </c>
      <c r="F1475" s="17"/>
      <c r="G1475" s="17"/>
      <c r="H1475" s="17"/>
      <c r="I1475" s="17"/>
    </row>
    <row r="1476" spans="2:9" ht="15.75" x14ac:dyDescent="0.25">
      <c r="B1476" s="816" t="s">
        <v>4888</v>
      </c>
      <c r="C1476" s="110">
        <v>2019</v>
      </c>
      <c r="D1476" s="687" t="s">
        <v>4965</v>
      </c>
      <c r="E1476" s="413">
        <v>457.44173748745402</v>
      </c>
      <c r="F1476" s="17"/>
      <c r="G1476" s="17"/>
      <c r="H1476" s="17"/>
      <c r="I1476" s="17"/>
    </row>
    <row r="1477" spans="2:9" ht="15.75" x14ac:dyDescent="0.25">
      <c r="B1477" s="816" t="s">
        <v>4888</v>
      </c>
      <c r="C1477" s="110">
        <v>2020</v>
      </c>
      <c r="D1477" s="687" t="s">
        <v>4966</v>
      </c>
      <c r="E1477" s="413">
        <v>444.54329595564275</v>
      </c>
      <c r="F1477" s="17"/>
      <c r="G1477" s="17"/>
      <c r="H1477" s="17"/>
      <c r="I1477" s="17"/>
    </row>
    <row r="1478" spans="2:9" ht="15.75" x14ac:dyDescent="0.25">
      <c r="B1478" s="816" t="s">
        <v>4888</v>
      </c>
      <c r="C1478" s="110">
        <v>2021</v>
      </c>
      <c r="D1478" s="687" t="s">
        <v>4967</v>
      </c>
      <c r="E1478" s="413">
        <v>431.41048482232827</v>
      </c>
      <c r="F1478" s="17"/>
      <c r="G1478" s="17"/>
      <c r="H1478" s="17"/>
      <c r="I1478" s="17"/>
    </row>
    <row r="1479" spans="2:9" ht="15.75" x14ac:dyDescent="0.25">
      <c r="B1479" s="816" t="s">
        <v>4888</v>
      </c>
      <c r="C1479" s="110">
        <v>2022</v>
      </c>
      <c r="D1479" s="687" t="s">
        <v>4968</v>
      </c>
      <c r="E1479" s="413">
        <v>418.38836229220431</v>
      </c>
      <c r="F1479" s="17"/>
      <c r="G1479" s="17"/>
      <c r="H1479" s="17"/>
      <c r="I1479" s="17"/>
    </row>
    <row r="1480" spans="2:9" ht="15.75" x14ac:dyDescent="0.25">
      <c r="B1480" s="816" t="s">
        <v>4888</v>
      </c>
      <c r="C1480" s="110">
        <v>2023</v>
      </c>
      <c r="D1480" s="687" t="s">
        <v>4969</v>
      </c>
      <c r="E1480" s="413">
        <v>405.42504056039922</v>
      </c>
      <c r="F1480" s="17"/>
      <c r="G1480" s="17"/>
      <c r="H1480" s="17"/>
      <c r="I1480" s="17"/>
    </row>
    <row r="1481" spans="2:9" ht="15.75" x14ac:dyDescent="0.25">
      <c r="B1481" s="816" t="s">
        <v>4888</v>
      </c>
      <c r="C1481" s="110">
        <v>2024</v>
      </c>
      <c r="D1481" s="687" t="s">
        <v>4970</v>
      </c>
      <c r="E1481" s="413">
        <v>392.58088521267365</v>
      </c>
      <c r="F1481" s="17"/>
      <c r="G1481" s="17"/>
      <c r="H1481" s="17"/>
      <c r="I1481" s="17"/>
    </row>
    <row r="1482" spans="2:9" ht="15.75" x14ac:dyDescent="0.25">
      <c r="B1482" s="816" t="s">
        <v>4888</v>
      </c>
      <c r="C1482" s="110">
        <v>2025</v>
      </c>
      <c r="D1482" s="687" t="s">
        <v>4971</v>
      </c>
      <c r="E1482" s="413">
        <v>379.85103968630557</v>
      </c>
      <c r="F1482" s="17"/>
      <c r="G1482" s="17"/>
      <c r="H1482" s="17"/>
      <c r="I1482" s="17"/>
    </row>
    <row r="1483" spans="2:9" ht="15.75" x14ac:dyDescent="0.25">
      <c r="B1483" s="816" t="s">
        <v>4888</v>
      </c>
      <c r="C1483" s="110">
        <v>2026</v>
      </c>
      <c r="D1483" s="687" t="s">
        <v>4972</v>
      </c>
      <c r="E1483" s="413">
        <v>368.28780061622086</v>
      </c>
      <c r="F1483" s="17"/>
      <c r="G1483" s="17"/>
      <c r="H1483" s="17"/>
      <c r="I1483" s="17"/>
    </row>
    <row r="1484" spans="2:9" ht="15.75" x14ac:dyDescent="0.25">
      <c r="B1484" s="816" t="s">
        <v>4888</v>
      </c>
      <c r="C1484" s="110">
        <v>2027</v>
      </c>
      <c r="D1484" s="687" t="s">
        <v>4973</v>
      </c>
      <c r="E1484" s="413">
        <v>357.76036722089583</v>
      </c>
      <c r="F1484" s="17"/>
      <c r="G1484" s="17"/>
      <c r="H1484" s="17"/>
      <c r="I1484" s="17"/>
    </row>
    <row r="1485" spans="2:9" ht="15.75" x14ac:dyDescent="0.25">
      <c r="B1485" s="816" t="s">
        <v>4888</v>
      </c>
      <c r="C1485" s="110">
        <v>2028</v>
      </c>
      <c r="D1485" s="687" t="s">
        <v>4974</v>
      </c>
      <c r="E1485" s="413">
        <v>348.29128897898823</v>
      </c>
      <c r="F1485" s="17"/>
      <c r="G1485" s="17"/>
      <c r="H1485" s="17"/>
      <c r="I1485" s="17"/>
    </row>
    <row r="1486" spans="2:9" ht="15.75" x14ac:dyDescent="0.25">
      <c r="B1486" s="816" t="s">
        <v>4888</v>
      </c>
      <c r="C1486" s="110">
        <v>2029</v>
      </c>
      <c r="D1486" s="687" t="s">
        <v>4975</v>
      </c>
      <c r="E1486" s="413">
        <v>339.81937246120714</v>
      </c>
      <c r="F1486" s="17"/>
      <c r="G1486" s="17"/>
      <c r="H1486" s="17"/>
      <c r="I1486" s="17"/>
    </row>
    <row r="1487" spans="2:9" ht="15.75" x14ac:dyDescent="0.25">
      <c r="B1487" s="816" t="s">
        <v>4888</v>
      </c>
      <c r="C1487" s="110">
        <v>2030</v>
      </c>
      <c r="D1487" s="687" t="s">
        <v>4976</v>
      </c>
      <c r="E1487" s="413">
        <v>332.28842298900037</v>
      </c>
      <c r="F1487" s="17"/>
      <c r="G1487" s="17"/>
      <c r="H1487" s="17"/>
      <c r="I1487" s="17"/>
    </row>
    <row r="1488" spans="2:9" ht="15.75" x14ac:dyDescent="0.25">
      <c r="B1488" s="816" t="s">
        <v>4888</v>
      </c>
      <c r="C1488" s="110">
        <v>2031</v>
      </c>
      <c r="D1488" s="687" t="s">
        <v>4977</v>
      </c>
      <c r="E1488" s="413">
        <v>325.63806091808272</v>
      </c>
      <c r="F1488" s="17"/>
      <c r="G1488" s="17"/>
      <c r="H1488" s="17"/>
      <c r="I1488" s="17"/>
    </row>
    <row r="1489" spans="2:9" ht="15.75" x14ac:dyDescent="0.25">
      <c r="B1489" s="816" t="s">
        <v>4888</v>
      </c>
      <c r="C1489" s="110">
        <v>2032</v>
      </c>
      <c r="D1489" s="687" t="s">
        <v>4978</v>
      </c>
      <c r="E1489" s="413">
        <v>319.79771316082923</v>
      </c>
      <c r="F1489" s="17"/>
      <c r="G1489" s="17"/>
      <c r="H1489" s="17"/>
      <c r="I1489" s="17"/>
    </row>
    <row r="1490" spans="2:9" ht="15.75" x14ac:dyDescent="0.25">
      <c r="B1490" s="816" t="s">
        <v>4888</v>
      </c>
      <c r="C1490" s="110">
        <v>2033</v>
      </c>
      <c r="D1490" s="687" t="s">
        <v>4979</v>
      </c>
      <c r="E1490" s="413">
        <v>314.70350751594628</v>
      </c>
      <c r="F1490" s="17"/>
      <c r="G1490" s="17"/>
      <c r="H1490" s="17"/>
      <c r="I1490" s="17"/>
    </row>
    <row r="1491" spans="2:9" ht="15.75" x14ac:dyDescent="0.25">
      <c r="B1491" s="816" t="s">
        <v>4888</v>
      </c>
      <c r="C1491" s="110">
        <v>2034</v>
      </c>
      <c r="D1491" s="687" t="s">
        <v>4980</v>
      </c>
      <c r="E1491" s="413">
        <v>310.28571412675194</v>
      </c>
      <c r="F1491" s="17"/>
      <c r="G1491" s="17"/>
      <c r="H1491" s="17"/>
      <c r="I1491" s="17"/>
    </row>
    <row r="1492" spans="2:9" ht="15.75" x14ac:dyDescent="0.25">
      <c r="B1492" s="816" t="s">
        <v>4888</v>
      </c>
      <c r="C1492" s="110">
        <v>2035</v>
      </c>
      <c r="D1492" s="687" t="s">
        <v>4981</v>
      </c>
      <c r="E1492" s="413">
        <v>306.48944335589528</v>
      </c>
      <c r="F1492" s="17"/>
      <c r="G1492" s="17"/>
      <c r="H1492" s="17"/>
      <c r="I1492" s="17"/>
    </row>
    <row r="1493" spans="2:9" ht="15.75" x14ac:dyDescent="0.25">
      <c r="B1493" s="816" t="s">
        <v>4888</v>
      </c>
      <c r="C1493" s="110">
        <v>2036</v>
      </c>
      <c r="D1493" s="687" t="s">
        <v>4982</v>
      </c>
      <c r="E1493" s="413">
        <v>303.24117342176442</v>
      </c>
      <c r="F1493" s="17"/>
      <c r="G1493" s="17"/>
      <c r="H1493" s="17"/>
      <c r="I1493" s="17"/>
    </row>
    <row r="1494" spans="2:9" ht="15.75" x14ac:dyDescent="0.25">
      <c r="B1494" s="816" t="s">
        <v>4888</v>
      </c>
      <c r="C1494" s="110">
        <v>2037</v>
      </c>
      <c r="D1494" s="687" t="s">
        <v>4983</v>
      </c>
      <c r="E1494" s="413">
        <v>300.49157952865676</v>
      </c>
      <c r="F1494" s="17"/>
      <c r="G1494" s="17"/>
      <c r="H1494" s="17"/>
      <c r="I1494" s="17"/>
    </row>
    <row r="1495" spans="2:9" ht="15.75" x14ac:dyDescent="0.25">
      <c r="B1495" s="816" t="s">
        <v>4888</v>
      </c>
      <c r="C1495" s="110">
        <v>2038</v>
      </c>
      <c r="D1495" s="687" t="s">
        <v>4984</v>
      </c>
      <c r="E1495" s="413">
        <v>298.18317738974019</v>
      </c>
      <c r="F1495" s="17"/>
      <c r="G1495" s="17"/>
      <c r="H1495" s="17"/>
      <c r="I1495" s="17"/>
    </row>
    <row r="1496" spans="2:9" ht="15.75" x14ac:dyDescent="0.25">
      <c r="B1496" s="816" t="s">
        <v>4888</v>
      </c>
      <c r="C1496" s="110">
        <v>2039</v>
      </c>
      <c r="D1496" s="687" t="s">
        <v>4985</v>
      </c>
      <c r="E1496" s="413">
        <v>296.25106437703641</v>
      </c>
      <c r="F1496" s="17"/>
      <c r="G1496" s="17"/>
      <c r="H1496" s="17"/>
      <c r="I1496" s="17"/>
    </row>
    <row r="1497" spans="2:9" ht="15.75" x14ac:dyDescent="0.25">
      <c r="B1497" s="816" t="s">
        <v>4888</v>
      </c>
      <c r="C1497" s="110">
        <v>2040</v>
      </c>
      <c r="D1497" s="687" t="s">
        <v>4986</v>
      </c>
      <c r="E1497" s="413">
        <v>294.64041864050029</v>
      </c>
      <c r="F1497" s="17"/>
      <c r="G1497" s="17"/>
      <c r="H1497" s="17"/>
      <c r="I1497" s="17"/>
    </row>
    <row r="1498" spans="2:9" ht="15.75" x14ac:dyDescent="0.25">
      <c r="B1498" s="816" t="s">
        <v>4888</v>
      </c>
      <c r="C1498" s="110">
        <v>2041</v>
      </c>
      <c r="D1498" s="687" t="s">
        <v>4987</v>
      </c>
      <c r="E1498" s="413">
        <v>293.31687275627468</v>
      </c>
      <c r="F1498" s="17"/>
      <c r="G1498" s="17"/>
      <c r="H1498" s="17"/>
      <c r="I1498" s="17"/>
    </row>
    <row r="1499" spans="2:9" ht="15.75" x14ac:dyDescent="0.25">
      <c r="B1499" s="816" t="s">
        <v>4888</v>
      </c>
      <c r="C1499" s="110">
        <v>2042</v>
      </c>
      <c r="D1499" s="687" t="s">
        <v>4988</v>
      </c>
      <c r="E1499" s="413">
        <v>292.22118915974914</v>
      </c>
      <c r="F1499" s="17"/>
      <c r="G1499" s="17"/>
      <c r="H1499" s="17"/>
      <c r="I1499" s="17"/>
    </row>
    <row r="1500" spans="2:9" ht="15.75" x14ac:dyDescent="0.25">
      <c r="B1500" s="816" t="s">
        <v>4888</v>
      </c>
      <c r="C1500" s="110">
        <v>2043</v>
      </c>
      <c r="D1500" s="687" t="s">
        <v>4989</v>
      </c>
      <c r="E1500" s="413">
        <v>291.32551537782388</v>
      </c>
      <c r="F1500" s="17"/>
      <c r="G1500" s="17"/>
      <c r="H1500" s="17"/>
      <c r="I1500" s="17"/>
    </row>
    <row r="1501" spans="2:9" ht="15.75" x14ac:dyDescent="0.25">
      <c r="B1501" s="816" t="s">
        <v>4888</v>
      </c>
      <c r="C1501" s="110">
        <v>2044</v>
      </c>
      <c r="D1501" s="687" t="s">
        <v>4990</v>
      </c>
      <c r="E1501" s="413">
        <v>290.58627558278636</v>
      </c>
      <c r="F1501" s="17"/>
      <c r="G1501" s="17"/>
      <c r="H1501" s="17"/>
      <c r="I1501" s="17"/>
    </row>
    <row r="1502" spans="2:9" ht="15.75" x14ac:dyDescent="0.25">
      <c r="B1502" s="816" t="s">
        <v>4888</v>
      </c>
      <c r="C1502" s="110">
        <v>2045</v>
      </c>
      <c r="D1502" s="687" t="s">
        <v>4991</v>
      </c>
      <c r="E1502" s="413">
        <v>289.96536098751295</v>
      </c>
      <c r="F1502" s="17"/>
      <c r="G1502" s="17"/>
      <c r="H1502" s="17"/>
      <c r="I1502" s="17"/>
    </row>
    <row r="1503" spans="2:9" ht="15.75" x14ac:dyDescent="0.25">
      <c r="B1503" s="816" t="s">
        <v>4888</v>
      </c>
      <c r="C1503" s="110">
        <v>2046</v>
      </c>
      <c r="D1503" s="687" t="s">
        <v>4992</v>
      </c>
      <c r="E1503" s="413">
        <v>289.44535857009311</v>
      </c>
      <c r="F1503" s="17"/>
      <c r="G1503" s="17"/>
      <c r="H1503" s="17"/>
      <c r="I1503" s="17"/>
    </row>
    <row r="1504" spans="2:9" ht="15.75" x14ac:dyDescent="0.25">
      <c r="B1504" s="816" t="s">
        <v>4888</v>
      </c>
      <c r="C1504" s="110">
        <v>2047</v>
      </c>
      <c r="D1504" s="687" t="s">
        <v>4993</v>
      </c>
      <c r="E1504" s="413">
        <v>289.00978886413839</v>
      </c>
      <c r="F1504" s="17"/>
      <c r="G1504" s="17"/>
      <c r="H1504" s="17"/>
      <c r="I1504" s="17"/>
    </row>
    <row r="1505" spans="2:9" ht="15.75" x14ac:dyDescent="0.25">
      <c r="B1505" s="816" t="s">
        <v>4888</v>
      </c>
      <c r="C1505" s="110">
        <v>2048</v>
      </c>
      <c r="D1505" s="687" t="s">
        <v>4994</v>
      </c>
      <c r="E1505" s="413">
        <v>288.64655549089946</v>
      </c>
      <c r="F1505" s="17"/>
      <c r="G1505" s="17"/>
      <c r="H1505" s="17"/>
      <c r="I1505" s="17"/>
    </row>
    <row r="1506" spans="2:9" ht="15.75" x14ac:dyDescent="0.25">
      <c r="B1506" s="816" t="s">
        <v>4888</v>
      </c>
      <c r="C1506" s="110">
        <v>2049</v>
      </c>
      <c r="D1506" s="687" t="s">
        <v>4995</v>
      </c>
      <c r="E1506" s="413">
        <v>288.3394523625646</v>
      </c>
      <c r="F1506" s="17"/>
      <c r="G1506" s="17"/>
      <c r="H1506" s="17"/>
      <c r="I1506" s="17"/>
    </row>
    <row r="1507" spans="2:9" ht="15.75" x14ac:dyDescent="0.25">
      <c r="B1507" s="816" t="s">
        <v>4888</v>
      </c>
      <c r="C1507" s="110">
        <v>2050</v>
      </c>
      <c r="D1507" s="687" t="s">
        <v>4996</v>
      </c>
      <c r="E1507" s="413">
        <v>288.08709468358279</v>
      </c>
      <c r="F1507" s="17"/>
      <c r="G1507" s="17"/>
      <c r="H1507" s="17"/>
      <c r="I1507" s="17"/>
    </row>
    <row r="1508" spans="2:9" ht="15.75" x14ac:dyDescent="0.25">
      <c r="B1508" s="407" t="s">
        <v>85</v>
      </c>
      <c r="C1508" s="408">
        <v>2015</v>
      </c>
      <c r="D1508" s="409" t="s">
        <v>263</v>
      </c>
      <c r="E1508" s="410">
        <v>573.4299977358429</v>
      </c>
      <c r="F1508" s="17"/>
      <c r="G1508" s="17"/>
      <c r="H1508" s="17"/>
      <c r="I1508" s="17"/>
    </row>
    <row r="1509" spans="2:9" ht="15.75" x14ac:dyDescent="0.25">
      <c r="B1509" s="407" t="s">
        <v>85</v>
      </c>
      <c r="C1509" s="408">
        <v>2016</v>
      </c>
      <c r="D1509" s="409" t="s">
        <v>264</v>
      </c>
      <c r="E1509" s="410">
        <v>563.83565550776859</v>
      </c>
      <c r="F1509" s="17"/>
      <c r="G1509" s="17"/>
      <c r="H1509" s="17"/>
      <c r="I1509" s="17"/>
    </row>
    <row r="1510" spans="2:9" ht="15.75" x14ac:dyDescent="0.25">
      <c r="B1510" s="411" t="s">
        <v>85</v>
      </c>
      <c r="C1510" s="412">
        <v>2017</v>
      </c>
      <c r="D1510" s="412" t="s">
        <v>1794</v>
      </c>
      <c r="E1510" s="413">
        <v>550.4751407588044</v>
      </c>
      <c r="F1510" s="17"/>
      <c r="G1510" s="17"/>
      <c r="H1510" s="17"/>
      <c r="I1510" s="17"/>
    </row>
    <row r="1511" spans="2:9" ht="15.75" x14ac:dyDescent="0.25">
      <c r="B1511" s="411" t="s">
        <v>85</v>
      </c>
      <c r="C1511" s="412">
        <v>2018</v>
      </c>
      <c r="D1511" s="412" t="s">
        <v>1795</v>
      </c>
      <c r="E1511" s="413">
        <v>536.69167352083036</v>
      </c>
      <c r="F1511" s="17"/>
      <c r="G1511" s="17"/>
      <c r="H1511" s="17"/>
      <c r="I1511" s="17"/>
    </row>
    <row r="1512" spans="2:9" ht="15.75" x14ac:dyDescent="0.25">
      <c r="B1512" s="411" t="s">
        <v>85</v>
      </c>
      <c r="C1512" s="412">
        <v>2019</v>
      </c>
      <c r="D1512" s="412" t="s">
        <v>1796</v>
      </c>
      <c r="E1512" s="413">
        <v>522.24375657101359</v>
      </c>
      <c r="F1512" s="17"/>
      <c r="G1512" s="17"/>
      <c r="H1512" s="17"/>
      <c r="I1512" s="17"/>
    </row>
    <row r="1513" spans="2:9" ht="15.75" x14ac:dyDescent="0.25">
      <c r="B1513" s="411" t="s">
        <v>85</v>
      </c>
      <c r="C1513" s="412">
        <v>2020</v>
      </c>
      <c r="D1513" s="412" t="s">
        <v>1797</v>
      </c>
      <c r="E1513" s="413">
        <v>507.39522173963638</v>
      </c>
      <c r="F1513" s="17"/>
      <c r="G1513" s="17"/>
      <c r="H1513" s="17"/>
      <c r="I1513" s="17"/>
    </row>
    <row r="1514" spans="2:9" ht="15.75" x14ac:dyDescent="0.25">
      <c r="B1514" s="411" t="s">
        <v>85</v>
      </c>
      <c r="C1514" s="412">
        <v>2021</v>
      </c>
      <c r="D1514" s="412" t="s">
        <v>1798</v>
      </c>
      <c r="E1514" s="413">
        <v>492.15974478096058</v>
      </c>
      <c r="F1514" s="17"/>
      <c r="G1514" s="17"/>
      <c r="H1514" s="17"/>
      <c r="I1514" s="17"/>
    </row>
    <row r="1515" spans="2:9" ht="15.75" x14ac:dyDescent="0.25">
      <c r="B1515" s="411" t="s">
        <v>85</v>
      </c>
      <c r="C1515" s="412">
        <v>2022</v>
      </c>
      <c r="D1515" s="412" t="s">
        <v>1799</v>
      </c>
      <c r="E1515" s="413">
        <v>476.95402070929947</v>
      </c>
      <c r="F1515" s="17"/>
      <c r="G1515" s="17"/>
      <c r="H1515" s="17"/>
      <c r="I1515" s="17"/>
    </row>
    <row r="1516" spans="2:9" ht="15.75" x14ac:dyDescent="0.25">
      <c r="B1516" s="411" t="s">
        <v>85</v>
      </c>
      <c r="C1516" s="412">
        <v>2023</v>
      </c>
      <c r="D1516" s="412" t="s">
        <v>1800</v>
      </c>
      <c r="E1516" s="413">
        <v>461.91197880947846</v>
      </c>
      <c r="F1516" s="17"/>
      <c r="G1516" s="17"/>
      <c r="H1516" s="17"/>
      <c r="I1516" s="17"/>
    </row>
    <row r="1517" spans="2:9" ht="15.75" x14ac:dyDescent="0.25">
      <c r="B1517" s="411" t="s">
        <v>85</v>
      </c>
      <c r="C1517" s="412">
        <v>2024</v>
      </c>
      <c r="D1517" s="412" t="s">
        <v>1801</v>
      </c>
      <c r="E1517" s="413">
        <v>447.10240486349693</v>
      </c>
      <c r="F1517" s="17"/>
      <c r="G1517" s="17"/>
      <c r="H1517" s="17"/>
      <c r="I1517" s="17"/>
    </row>
    <row r="1518" spans="2:9" ht="15.75" x14ac:dyDescent="0.25">
      <c r="B1518" s="411" t="s">
        <v>85</v>
      </c>
      <c r="C1518" s="412">
        <v>2025</v>
      </c>
      <c r="D1518" s="412" t="s">
        <v>1802</v>
      </c>
      <c r="E1518" s="413">
        <v>432.69387769131396</v>
      </c>
      <c r="F1518" s="17"/>
      <c r="G1518" s="17"/>
      <c r="H1518" s="17"/>
      <c r="I1518" s="17"/>
    </row>
    <row r="1519" spans="2:9" ht="15.75" x14ac:dyDescent="0.25">
      <c r="B1519" s="411" t="s">
        <v>85</v>
      </c>
      <c r="C1519" s="412">
        <v>2026</v>
      </c>
      <c r="D1519" s="412" t="s">
        <v>1803</v>
      </c>
      <c r="E1519" s="413">
        <v>419.38489191781139</v>
      </c>
      <c r="F1519" s="17"/>
      <c r="G1519" s="17"/>
      <c r="H1519" s="17"/>
      <c r="I1519" s="17"/>
    </row>
    <row r="1520" spans="2:9" ht="15.75" x14ac:dyDescent="0.25">
      <c r="B1520" s="411" t="s">
        <v>85</v>
      </c>
      <c r="C1520" s="412">
        <v>2027</v>
      </c>
      <c r="D1520" s="412" t="s">
        <v>1804</v>
      </c>
      <c r="E1520" s="413">
        <v>407.08477256621615</v>
      </c>
      <c r="F1520" s="17"/>
      <c r="G1520" s="17"/>
      <c r="H1520" s="17"/>
      <c r="I1520" s="17"/>
    </row>
    <row r="1521" spans="2:9" ht="15.75" x14ac:dyDescent="0.25">
      <c r="B1521" s="411" t="s">
        <v>85</v>
      </c>
      <c r="C1521" s="412">
        <v>2028</v>
      </c>
      <c r="D1521" s="412" t="s">
        <v>1805</v>
      </c>
      <c r="E1521" s="413">
        <v>395.81493120748559</v>
      </c>
      <c r="F1521" s="17"/>
      <c r="G1521" s="17"/>
      <c r="H1521" s="17"/>
      <c r="I1521" s="17"/>
    </row>
    <row r="1522" spans="2:9" ht="15.75" x14ac:dyDescent="0.25">
      <c r="B1522" s="411" t="s">
        <v>85</v>
      </c>
      <c r="C1522" s="412">
        <v>2029</v>
      </c>
      <c r="D1522" s="412" t="s">
        <v>1806</v>
      </c>
      <c r="E1522" s="413">
        <v>385.45729069010861</v>
      </c>
      <c r="F1522" s="17"/>
      <c r="G1522" s="17"/>
      <c r="H1522" s="17"/>
      <c r="I1522" s="17"/>
    </row>
    <row r="1523" spans="2:9" ht="15.75" x14ac:dyDescent="0.25">
      <c r="B1523" s="411" t="s">
        <v>85</v>
      </c>
      <c r="C1523" s="412">
        <v>2030</v>
      </c>
      <c r="D1523" s="412" t="s">
        <v>1807</v>
      </c>
      <c r="E1523" s="413">
        <v>376.06164855153173</v>
      </c>
      <c r="F1523" s="17"/>
      <c r="G1523" s="17"/>
      <c r="H1523" s="17"/>
      <c r="I1523" s="17"/>
    </row>
    <row r="1524" spans="2:9" ht="15.75" x14ac:dyDescent="0.25">
      <c r="B1524" s="411" t="s">
        <v>85</v>
      </c>
      <c r="C1524" s="412">
        <v>2031</v>
      </c>
      <c r="D1524" s="412" t="s">
        <v>1808</v>
      </c>
      <c r="E1524" s="413">
        <v>367.56000556408895</v>
      </c>
      <c r="F1524" s="17"/>
      <c r="G1524" s="17"/>
      <c r="H1524" s="17"/>
      <c r="I1524" s="17"/>
    </row>
    <row r="1525" spans="2:9" ht="15.75" x14ac:dyDescent="0.25">
      <c r="B1525" s="411" t="s">
        <v>85</v>
      </c>
      <c r="C1525" s="412">
        <v>2032</v>
      </c>
      <c r="D1525" s="412" t="s">
        <v>1809</v>
      </c>
      <c r="E1525" s="413">
        <v>359.9515273332961</v>
      </c>
      <c r="F1525" s="17"/>
      <c r="G1525" s="17"/>
      <c r="H1525" s="17"/>
      <c r="I1525" s="17"/>
    </row>
    <row r="1526" spans="2:9" ht="15.75" x14ac:dyDescent="0.25">
      <c r="B1526" s="411" t="s">
        <v>85</v>
      </c>
      <c r="C1526" s="412">
        <v>2033</v>
      </c>
      <c r="D1526" s="412" t="s">
        <v>1810</v>
      </c>
      <c r="E1526" s="413">
        <v>353.12108688353101</v>
      </c>
      <c r="F1526" s="17"/>
      <c r="G1526" s="17"/>
      <c r="H1526" s="17"/>
      <c r="I1526" s="17"/>
    </row>
    <row r="1527" spans="2:9" ht="15.75" x14ac:dyDescent="0.25">
      <c r="B1527" s="411" t="s">
        <v>85</v>
      </c>
      <c r="C1527" s="412">
        <v>2034</v>
      </c>
      <c r="D1527" s="412" t="s">
        <v>1811</v>
      </c>
      <c r="E1527" s="413">
        <v>347.03919554051816</v>
      </c>
      <c r="F1527" s="17"/>
      <c r="G1527" s="17"/>
      <c r="H1527" s="17"/>
      <c r="I1527" s="17"/>
    </row>
    <row r="1528" spans="2:9" ht="15.75" x14ac:dyDescent="0.25">
      <c r="B1528" s="411" t="s">
        <v>85</v>
      </c>
      <c r="C1528" s="412">
        <v>2035</v>
      </c>
      <c r="D1528" s="412" t="s">
        <v>1812</v>
      </c>
      <c r="E1528" s="413">
        <v>341.64563790994714</v>
      </c>
      <c r="F1528" s="17"/>
      <c r="G1528" s="17"/>
      <c r="H1528" s="17"/>
      <c r="I1528" s="17"/>
    </row>
    <row r="1529" spans="2:9" ht="15.75" x14ac:dyDescent="0.25">
      <c r="B1529" s="411" t="s">
        <v>85</v>
      </c>
      <c r="C1529" s="412">
        <v>2036</v>
      </c>
      <c r="D1529" s="412" t="s">
        <v>1813</v>
      </c>
      <c r="E1529" s="413">
        <v>336.95519554147103</v>
      </c>
      <c r="F1529" s="17"/>
      <c r="G1529" s="17"/>
      <c r="H1529" s="17"/>
      <c r="I1529" s="17"/>
    </row>
    <row r="1530" spans="2:9" ht="15.75" x14ac:dyDescent="0.25">
      <c r="B1530" s="411" t="s">
        <v>85</v>
      </c>
      <c r="C1530" s="412">
        <v>2037</v>
      </c>
      <c r="D1530" s="412" t="s">
        <v>1814</v>
      </c>
      <c r="E1530" s="413">
        <v>332.84936269861265</v>
      </c>
      <c r="F1530" s="17"/>
      <c r="G1530" s="17"/>
      <c r="H1530" s="17"/>
      <c r="I1530" s="17"/>
    </row>
    <row r="1531" spans="2:9" ht="15.75" x14ac:dyDescent="0.25">
      <c r="B1531" s="411" t="s">
        <v>85</v>
      </c>
      <c r="C1531" s="412">
        <v>2038</v>
      </c>
      <c r="D1531" s="412" t="s">
        <v>1815</v>
      </c>
      <c r="E1531" s="413">
        <v>329.30314236037503</v>
      </c>
      <c r="F1531" s="17"/>
      <c r="G1531" s="17"/>
      <c r="H1531" s="17"/>
      <c r="I1531" s="17"/>
    </row>
    <row r="1532" spans="2:9" ht="15.75" x14ac:dyDescent="0.25">
      <c r="B1532" s="411" t="s">
        <v>85</v>
      </c>
      <c r="C1532" s="412">
        <v>2039</v>
      </c>
      <c r="D1532" s="412" t="s">
        <v>1816</v>
      </c>
      <c r="E1532" s="413">
        <v>326.23668154120566</v>
      </c>
      <c r="F1532" s="17"/>
      <c r="G1532" s="17"/>
      <c r="H1532" s="17"/>
      <c r="I1532" s="17"/>
    </row>
    <row r="1533" spans="2:9" ht="15.75" x14ac:dyDescent="0.25">
      <c r="B1533" s="411" t="s">
        <v>85</v>
      </c>
      <c r="C1533" s="412">
        <v>2040</v>
      </c>
      <c r="D1533" s="412" t="s">
        <v>1817</v>
      </c>
      <c r="E1533" s="413">
        <v>323.58099942336241</v>
      </c>
      <c r="F1533" s="17"/>
      <c r="G1533" s="17"/>
      <c r="H1533" s="17"/>
      <c r="I1533" s="17"/>
    </row>
    <row r="1534" spans="2:9" ht="15.75" x14ac:dyDescent="0.25">
      <c r="B1534" s="411" t="s">
        <v>85</v>
      </c>
      <c r="C1534" s="412">
        <v>2041</v>
      </c>
      <c r="D1534" s="412" t="s">
        <v>1818</v>
      </c>
      <c r="E1534" s="413">
        <v>321.32466124021511</v>
      </c>
      <c r="F1534" s="17"/>
      <c r="G1534" s="17"/>
      <c r="H1534" s="17"/>
      <c r="I1534" s="17"/>
    </row>
    <row r="1535" spans="2:9" ht="15.75" x14ac:dyDescent="0.25">
      <c r="B1535" s="411" t="s">
        <v>85</v>
      </c>
      <c r="C1535" s="412">
        <v>2042</v>
      </c>
      <c r="D1535" s="412" t="s">
        <v>1819</v>
      </c>
      <c r="E1535" s="413">
        <v>319.3636237777979</v>
      </c>
      <c r="F1535" s="17"/>
      <c r="G1535" s="17"/>
      <c r="H1535" s="17"/>
      <c r="I1535" s="17"/>
    </row>
    <row r="1536" spans="2:9" ht="15.75" x14ac:dyDescent="0.25">
      <c r="B1536" s="411" t="s">
        <v>85</v>
      </c>
      <c r="C1536" s="412">
        <v>2043</v>
      </c>
      <c r="D1536" s="412" t="s">
        <v>1820</v>
      </c>
      <c r="E1536" s="413">
        <v>317.68858563727781</v>
      </c>
      <c r="F1536" s="17"/>
      <c r="G1536" s="17"/>
      <c r="H1536" s="17"/>
      <c r="I1536" s="17"/>
    </row>
    <row r="1537" spans="2:9" ht="15.75" x14ac:dyDescent="0.25">
      <c r="B1537" s="411" t="s">
        <v>85</v>
      </c>
      <c r="C1537" s="412">
        <v>2044</v>
      </c>
      <c r="D1537" s="412" t="s">
        <v>1821</v>
      </c>
      <c r="E1537" s="413">
        <v>316.23631857122894</v>
      </c>
      <c r="F1537" s="17"/>
      <c r="G1537" s="17"/>
      <c r="H1537" s="17"/>
      <c r="I1537" s="17"/>
    </row>
    <row r="1538" spans="2:9" ht="15.75" x14ac:dyDescent="0.25">
      <c r="B1538" s="411" t="s">
        <v>85</v>
      </c>
      <c r="C1538" s="412">
        <v>2045</v>
      </c>
      <c r="D1538" s="412" t="s">
        <v>1822</v>
      </c>
      <c r="E1538" s="413">
        <v>314.97433980608514</v>
      </c>
      <c r="F1538" s="17"/>
      <c r="G1538" s="17"/>
      <c r="H1538" s="17"/>
      <c r="I1538" s="17"/>
    </row>
    <row r="1539" spans="2:9" ht="15.75" x14ac:dyDescent="0.25">
      <c r="B1539" s="411" t="s">
        <v>85</v>
      </c>
      <c r="C1539" s="412">
        <v>2046</v>
      </c>
      <c r="D1539" s="412" t="s">
        <v>1823</v>
      </c>
      <c r="E1539" s="413">
        <v>313.84128351454535</v>
      </c>
      <c r="F1539" s="17"/>
      <c r="G1539" s="17"/>
      <c r="H1539" s="17"/>
      <c r="I1539" s="17"/>
    </row>
    <row r="1540" spans="2:9" ht="15.75" x14ac:dyDescent="0.25">
      <c r="B1540" s="411" t="s">
        <v>85</v>
      </c>
      <c r="C1540" s="412">
        <v>2047</v>
      </c>
      <c r="D1540" s="412" t="s">
        <v>1824</v>
      </c>
      <c r="E1540" s="413">
        <v>312.88999388680469</v>
      </c>
      <c r="F1540" s="17"/>
      <c r="G1540" s="17"/>
      <c r="H1540" s="17"/>
      <c r="I1540" s="17"/>
    </row>
    <row r="1541" spans="2:9" ht="15.75" x14ac:dyDescent="0.25">
      <c r="B1541" s="411" t="s">
        <v>85</v>
      </c>
      <c r="C1541" s="412">
        <v>2048</v>
      </c>
      <c r="D1541" s="412" t="s">
        <v>1825</v>
      </c>
      <c r="E1541" s="413">
        <v>312.06736407128727</v>
      </c>
      <c r="F1541" s="17"/>
      <c r="G1541" s="17"/>
      <c r="H1541" s="17"/>
      <c r="I1541" s="17"/>
    </row>
    <row r="1542" spans="2:9" ht="15.75" x14ac:dyDescent="0.25">
      <c r="B1542" s="411" t="s">
        <v>85</v>
      </c>
      <c r="C1542" s="412">
        <v>2049</v>
      </c>
      <c r="D1542" s="412" t="s">
        <v>1826</v>
      </c>
      <c r="E1542" s="413">
        <v>311.36845482784008</v>
      </c>
      <c r="F1542" s="17"/>
      <c r="G1542" s="17"/>
      <c r="H1542" s="17"/>
      <c r="I1542" s="17"/>
    </row>
    <row r="1543" spans="2:9" ht="15.75" x14ac:dyDescent="0.25">
      <c r="B1543" s="411" t="s">
        <v>85</v>
      </c>
      <c r="C1543" s="412">
        <v>2050</v>
      </c>
      <c r="D1543" s="412" t="s">
        <v>1827</v>
      </c>
      <c r="E1543" s="413">
        <v>310.74947244500578</v>
      </c>
      <c r="F1543" s="17"/>
      <c r="G1543" s="17"/>
      <c r="H1543" s="17"/>
      <c r="I1543" s="17"/>
    </row>
    <row r="1544" spans="2:9" ht="15.75" x14ac:dyDescent="0.25">
      <c r="B1544" s="407" t="s">
        <v>265</v>
      </c>
      <c r="C1544" s="408">
        <v>2015</v>
      </c>
      <c r="D1544" s="409" t="s">
        <v>266</v>
      </c>
      <c r="E1544" s="410">
        <v>497.05796648859035</v>
      </c>
      <c r="F1544" s="17"/>
      <c r="G1544" s="17"/>
      <c r="H1544" s="17"/>
      <c r="I1544" s="17"/>
    </row>
    <row r="1545" spans="2:9" ht="15.75" x14ac:dyDescent="0.25">
      <c r="B1545" s="407" t="s">
        <v>265</v>
      </c>
      <c r="C1545" s="408">
        <v>2016</v>
      </c>
      <c r="D1545" s="409" t="s">
        <v>267</v>
      </c>
      <c r="E1545" s="410">
        <v>486.6215396173406</v>
      </c>
      <c r="F1545" s="17"/>
      <c r="G1545" s="17"/>
      <c r="H1545" s="17"/>
      <c r="I1545" s="17"/>
    </row>
    <row r="1546" spans="2:9" ht="15.75" x14ac:dyDescent="0.25">
      <c r="B1546" s="411" t="s">
        <v>265</v>
      </c>
      <c r="C1546" s="412">
        <v>2017</v>
      </c>
      <c r="D1546" s="412" t="s">
        <v>1828</v>
      </c>
      <c r="E1546" s="413">
        <v>475.18518054619364</v>
      </c>
      <c r="F1546" s="17"/>
      <c r="G1546" s="17"/>
      <c r="H1546" s="17"/>
      <c r="I1546" s="17"/>
    </row>
    <row r="1547" spans="2:9" ht="15.75" x14ac:dyDescent="0.25">
      <c r="B1547" s="411" t="s">
        <v>265</v>
      </c>
      <c r="C1547" s="412">
        <v>2018</v>
      </c>
      <c r="D1547" s="412" t="s">
        <v>1829</v>
      </c>
      <c r="E1547" s="413">
        <v>462.92344219439889</v>
      </c>
      <c r="F1547" s="17"/>
      <c r="G1547" s="17"/>
      <c r="H1547" s="17"/>
      <c r="I1547" s="17"/>
    </row>
    <row r="1548" spans="2:9" ht="15.75" x14ac:dyDescent="0.25">
      <c r="B1548" s="411" t="s">
        <v>265</v>
      </c>
      <c r="C1548" s="412">
        <v>2019</v>
      </c>
      <c r="D1548" s="412" t="s">
        <v>1830</v>
      </c>
      <c r="E1548" s="413">
        <v>450.3271668657701</v>
      </c>
      <c r="F1548" s="17"/>
      <c r="G1548" s="17"/>
      <c r="H1548" s="17"/>
      <c r="I1548" s="17"/>
    </row>
    <row r="1549" spans="2:9" ht="15.75" x14ac:dyDescent="0.25">
      <c r="B1549" s="411" t="s">
        <v>265</v>
      </c>
      <c r="C1549" s="412">
        <v>2020</v>
      </c>
      <c r="D1549" s="412" t="s">
        <v>1831</v>
      </c>
      <c r="E1549" s="413">
        <v>437.55534176061764</v>
      </c>
      <c r="F1549" s="17"/>
      <c r="G1549" s="17"/>
      <c r="H1549" s="17"/>
      <c r="I1549" s="17"/>
    </row>
    <row r="1550" spans="2:9" ht="15.75" x14ac:dyDescent="0.25">
      <c r="B1550" s="411" t="s">
        <v>265</v>
      </c>
      <c r="C1550" s="412">
        <v>2021</v>
      </c>
      <c r="D1550" s="412" t="s">
        <v>1832</v>
      </c>
      <c r="E1550" s="413">
        <v>425.47675200189934</v>
      </c>
      <c r="F1550" s="17"/>
      <c r="G1550" s="17"/>
      <c r="H1550" s="17"/>
      <c r="I1550" s="17"/>
    </row>
    <row r="1551" spans="2:9" ht="15.75" x14ac:dyDescent="0.25">
      <c r="B1551" s="411" t="s">
        <v>265</v>
      </c>
      <c r="C1551" s="412">
        <v>2022</v>
      </c>
      <c r="D1551" s="412" t="s">
        <v>1833</v>
      </c>
      <c r="E1551" s="413">
        <v>412.74544267880361</v>
      </c>
      <c r="F1551" s="17"/>
      <c r="G1551" s="17"/>
      <c r="H1551" s="17"/>
      <c r="I1551" s="17"/>
    </row>
    <row r="1552" spans="2:9" ht="15.75" x14ac:dyDescent="0.25">
      <c r="B1552" s="411" t="s">
        <v>265</v>
      </c>
      <c r="C1552" s="412">
        <v>2023</v>
      </c>
      <c r="D1552" s="412" t="s">
        <v>1834</v>
      </c>
      <c r="E1552" s="413">
        <v>400.11873954458406</v>
      </c>
      <c r="F1552" s="17"/>
      <c r="G1552" s="17"/>
      <c r="H1552" s="17"/>
      <c r="I1552" s="17"/>
    </row>
    <row r="1553" spans="2:9" ht="15.75" x14ac:dyDescent="0.25">
      <c r="B1553" s="411" t="s">
        <v>265</v>
      </c>
      <c r="C1553" s="412">
        <v>2024</v>
      </c>
      <c r="D1553" s="412" t="s">
        <v>1835</v>
      </c>
      <c r="E1553" s="413">
        <v>388.16037310878301</v>
      </c>
      <c r="F1553" s="17"/>
      <c r="G1553" s="17"/>
      <c r="H1553" s="17"/>
      <c r="I1553" s="17"/>
    </row>
    <row r="1554" spans="2:9" ht="15.75" x14ac:dyDescent="0.25">
      <c r="B1554" s="411" t="s">
        <v>265</v>
      </c>
      <c r="C1554" s="412">
        <v>2025</v>
      </c>
      <c r="D1554" s="412" t="s">
        <v>1836</v>
      </c>
      <c r="E1554" s="413">
        <v>375.85256393817212</v>
      </c>
      <c r="F1554" s="17"/>
      <c r="G1554" s="17"/>
      <c r="H1554" s="17"/>
      <c r="I1554" s="17"/>
    </row>
    <row r="1555" spans="2:9" ht="15.75" x14ac:dyDescent="0.25">
      <c r="B1555" s="411" t="s">
        <v>265</v>
      </c>
      <c r="C1555" s="412">
        <v>2026</v>
      </c>
      <c r="D1555" s="412" t="s">
        <v>1837</v>
      </c>
      <c r="E1555" s="413">
        <v>364.73411521830275</v>
      </c>
      <c r="F1555" s="17"/>
      <c r="G1555" s="17"/>
      <c r="H1555" s="17"/>
      <c r="I1555" s="17"/>
    </row>
    <row r="1556" spans="2:9" ht="15.75" x14ac:dyDescent="0.25">
      <c r="B1556" s="411" t="s">
        <v>265</v>
      </c>
      <c r="C1556" s="412">
        <v>2027</v>
      </c>
      <c r="D1556" s="412" t="s">
        <v>1838</v>
      </c>
      <c r="E1556" s="413">
        <v>354.70553091985624</v>
      </c>
      <c r="F1556" s="17"/>
      <c r="G1556" s="17"/>
      <c r="H1556" s="17"/>
      <c r="I1556" s="17"/>
    </row>
    <row r="1557" spans="2:9" ht="15.75" x14ac:dyDescent="0.25">
      <c r="B1557" s="411" t="s">
        <v>265</v>
      </c>
      <c r="C1557" s="412">
        <v>2028</v>
      </c>
      <c r="D1557" s="412" t="s">
        <v>1839</v>
      </c>
      <c r="E1557" s="413">
        <v>345.79329905651645</v>
      </c>
      <c r="F1557" s="17"/>
      <c r="G1557" s="17"/>
      <c r="H1557" s="17"/>
      <c r="I1557" s="17"/>
    </row>
    <row r="1558" spans="2:9" ht="15.75" x14ac:dyDescent="0.25">
      <c r="B1558" s="411" t="s">
        <v>265</v>
      </c>
      <c r="C1558" s="412">
        <v>2029</v>
      </c>
      <c r="D1558" s="412" t="s">
        <v>1840</v>
      </c>
      <c r="E1558" s="413">
        <v>337.88060604329837</v>
      </c>
      <c r="F1558" s="17"/>
      <c r="G1558" s="17"/>
      <c r="H1558" s="17"/>
      <c r="I1558" s="17"/>
    </row>
    <row r="1559" spans="2:9" ht="15.75" x14ac:dyDescent="0.25">
      <c r="B1559" s="411" t="s">
        <v>265</v>
      </c>
      <c r="C1559" s="412">
        <v>2030</v>
      </c>
      <c r="D1559" s="412" t="s">
        <v>1841</v>
      </c>
      <c r="E1559" s="413">
        <v>330.88515068711206</v>
      </c>
      <c r="F1559" s="17"/>
      <c r="G1559" s="17"/>
      <c r="H1559" s="17"/>
      <c r="I1559" s="17"/>
    </row>
    <row r="1560" spans="2:9" ht="15.75" x14ac:dyDescent="0.25">
      <c r="B1560" s="411" t="s">
        <v>265</v>
      </c>
      <c r="C1560" s="412">
        <v>2031</v>
      </c>
      <c r="D1560" s="412" t="s">
        <v>1842</v>
      </c>
      <c r="E1560" s="413">
        <v>325.31073305647021</v>
      </c>
      <c r="F1560" s="17"/>
      <c r="G1560" s="17"/>
      <c r="H1560" s="17"/>
      <c r="I1560" s="17"/>
    </row>
    <row r="1561" spans="2:9" ht="15.75" x14ac:dyDescent="0.25">
      <c r="B1561" s="411" t="s">
        <v>265</v>
      </c>
      <c r="C1561" s="412">
        <v>2032</v>
      </c>
      <c r="D1561" s="412" t="s">
        <v>1843</v>
      </c>
      <c r="E1561" s="413">
        <v>319.87548997127556</v>
      </c>
      <c r="F1561" s="17"/>
      <c r="G1561" s="17"/>
      <c r="H1561" s="17"/>
      <c r="I1561" s="17"/>
    </row>
    <row r="1562" spans="2:9" ht="15.75" x14ac:dyDescent="0.25">
      <c r="B1562" s="411" t="s">
        <v>265</v>
      </c>
      <c r="C1562" s="412">
        <v>2033</v>
      </c>
      <c r="D1562" s="412" t="s">
        <v>1844</v>
      </c>
      <c r="E1562" s="413">
        <v>315.11001577020454</v>
      </c>
      <c r="F1562" s="17"/>
      <c r="G1562" s="17"/>
      <c r="H1562" s="17"/>
      <c r="I1562" s="17"/>
    </row>
    <row r="1563" spans="2:9" ht="15.75" x14ac:dyDescent="0.25">
      <c r="B1563" s="411" t="s">
        <v>265</v>
      </c>
      <c r="C1563" s="412">
        <v>2034</v>
      </c>
      <c r="D1563" s="412" t="s">
        <v>1845</v>
      </c>
      <c r="E1563" s="413">
        <v>310.94471929353983</v>
      </c>
      <c r="F1563" s="17"/>
      <c r="G1563" s="17"/>
      <c r="H1563" s="17"/>
      <c r="I1563" s="17"/>
    </row>
    <row r="1564" spans="2:9" ht="15.75" x14ac:dyDescent="0.25">
      <c r="B1564" s="411" t="s">
        <v>265</v>
      </c>
      <c r="C1564" s="412">
        <v>2035</v>
      </c>
      <c r="D1564" s="412" t="s">
        <v>1846</v>
      </c>
      <c r="E1564" s="413">
        <v>307.32533001005021</v>
      </c>
      <c r="F1564" s="17"/>
      <c r="G1564" s="17"/>
      <c r="H1564" s="17"/>
      <c r="I1564" s="17"/>
    </row>
    <row r="1565" spans="2:9" ht="15.75" x14ac:dyDescent="0.25">
      <c r="B1565" s="411" t="s">
        <v>265</v>
      </c>
      <c r="C1565" s="412">
        <v>2036</v>
      </c>
      <c r="D1565" s="412" t="s">
        <v>1847</v>
      </c>
      <c r="E1565" s="413">
        <v>304.1961814242984</v>
      </c>
      <c r="F1565" s="17"/>
      <c r="G1565" s="17"/>
      <c r="H1565" s="17"/>
      <c r="I1565" s="17"/>
    </row>
    <row r="1566" spans="2:9" ht="15.75" x14ac:dyDescent="0.25">
      <c r="B1566" s="411" t="s">
        <v>265</v>
      </c>
      <c r="C1566" s="412">
        <v>2037</v>
      </c>
      <c r="D1566" s="412" t="s">
        <v>1848</v>
      </c>
      <c r="E1566" s="413">
        <v>301.51657162225001</v>
      </c>
      <c r="F1566" s="17"/>
      <c r="G1566" s="17"/>
      <c r="H1566" s="17"/>
      <c r="I1566" s="17"/>
    </row>
    <row r="1567" spans="2:9" ht="15.75" x14ac:dyDescent="0.25">
      <c r="B1567" s="411" t="s">
        <v>265</v>
      </c>
      <c r="C1567" s="412">
        <v>2038</v>
      </c>
      <c r="D1567" s="412" t="s">
        <v>1849</v>
      </c>
      <c r="E1567" s="413">
        <v>299.23732211515096</v>
      </c>
      <c r="F1567" s="17"/>
      <c r="G1567" s="17"/>
      <c r="H1567" s="17"/>
      <c r="I1567" s="17"/>
    </row>
    <row r="1568" spans="2:9" ht="15.75" x14ac:dyDescent="0.25">
      <c r="B1568" s="411" t="s">
        <v>265</v>
      </c>
      <c r="C1568" s="412">
        <v>2039</v>
      </c>
      <c r="D1568" s="412" t="s">
        <v>1850</v>
      </c>
      <c r="E1568" s="413">
        <v>297.30842443912428</v>
      </c>
      <c r="F1568" s="17"/>
      <c r="G1568" s="17"/>
      <c r="H1568" s="17"/>
      <c r="I1568" s="17"/>
    </row>
    <row r="1569" spans="2:9" ht="15.75" x14ac:dyDescent="0.25">
      <c r="B1569" s="411" t="s">
        <v>265</v>
      </c>
      <c r="C1569" s="412">
        <v>2040</v>
      </c>
      <c r="D1569" s="412" t="s">
        <v>1851</v>
      </c>
      <c r="E1569" s="413">
        <v>295.68668986048249</v>
      </c>
      <c r="F1569" s="17"/>
      <c r="G1569" s="17"/>
      <c r="H1569" s="17"/>
      <c r="I1569" s="17"/>
    </row>
    <row r="1570" spans="2:9" ht="15.75" x14ac:dyDescent="0.25">
      <c r="B1570" s="411" t="s">
        <v>265</v>
      </c>
      <c r="C1570" s="412">
        <v>2041</v>
      </c>
      <c r="D1570" s="412" t="s">
        <v>1852</v>
      </c>
      <c r="E1570" s="413">
        <v>294.34431494051427</v>
      </c>
      <c r="F1570" s="17"/>
      <c r="G1570" s="17"/>
      <c r="H1570" s="17"/>
      <c r="I1570" s="17"/>
    </row>
    <row r="1571" spans="2:9" ht="15.75" x14ac:dyDescent="0.25">
      <c r="B1571" s="411" t="s">
        <v>265</v>
      </c>
      <c r="C1571" s="412">
        <v>2042</v>
      </c>
      <c r="D1571" s="412" t="s">
        <v>1853</v>
      </c>
      <c r="E1571" s="413">
        <v>293.22012729417912</v>
      </c>
      <c r="F1571" s="17"/>
      <c r="G1571" s="17"/>
      <c r="H1571" s="17"/>
      <c r="I1571" s="17"/>
    </row>
    <row r="1572" spans="2:9" ht="15.75" x14ac:dyDescent="0.25">
      <c r="B1572" s="411" t="s">
        <v>265</v>
      </c>
      <c r="C1572" s="412">
        <v>2043</v>
      </c>
      <c r="D1572" s="412" t="s">
        <v>1854</v>
      </c>
      <c r="E1572" s="413">
        <v>292.29212886631893</v>
      </c>
      <c r="F1572" s="17"/>
      <c r="G1572" s="17"/>
      <c r="H1572" s="17"/>
      <c r="I1572" s="17"/>
    </row>
    <row r="1573" spans="2:9" ht="15.75" x14ac:dyDescent="0.25">
      <c r="B1573" s="411" t="s">
        <v>265</v>
      </c>
      <c r="C1573" s="412">
        <v>2044</v>
      </c>
      <c r="D1573" s="412" t="s">
        <v>1855</v>
      </c>
      <c r="E1573" s="413">
        <v>291.51678612252277</v>
      </c>
      <c r="F1573" s="17"/>
      <c r="G1573" s="17"/>
      <c r="H1573" s="17"/>
      <c r="I1573" s="17"/>
    </row>
    <row r="1574" spans="2:9" ht="15.75" x14ac:dyDescent="0.25">
      <c r="B1574" s="411" t="s">
        <v>265</v>
      </c>
      <c r="C1574" s="412">
        <v>2045</v>
      </c>
      <c r="D1574" s="412" t="s">
        <v>1856</v>
      </c>
      <c r="E1574" s="413">
        <v>290.8535860971333</v>
      </c>
      <c r="F1574" s="17"/>
      <c r="G1574" s="17"/>
      <c r="H1574" s="17"/>
      <c r="I1574" s="17"/>
    </row>
    <row r="1575" spans="2:9" ht="15.75" x14ac:dyDescent="0.25">
      <c r="B1575" s="411" t="s">
        <v>265</v>
      </c>
      <c r="C1575" s="412">
        <v>2046</v>
      </c>
      <c r="D1575" s="412" t="s">
        <v>1857</v>
      </c>
      <c r="E1575" s="413">
        <v>290.29500066117743</v>
      </c>
      <c r="F1575" s="17"/>
      <c r="G1575" s="17"/>
      <c r="H1575" s="17"/>
      <c r="I1575" s="17"/>
    </row>
    <row r="1576" spans="2:9" ht="15.75" x14ac:dyDescent="0.25">
      <c r="B1576" s="411" t="s">
        <v>265</v>
      </c>
      <c r="C1576" s="412">
        <v>2047</v>
      </c>
      <c r="D1576" s="412" t="s">
        <v>1858</v>
      </c>
      <c r="E1576" s="413">
        <v>289.82416988734059</v>
      </c>
      <c r="F1576" s="17"/>
      <c r="G1576" s="17"/>
      <c r="H1576" s="17"/>
      <c r="I1576" s="17"/>
    </row>
    <row r="1577" spans="2:9" ht="15.75" x14ac:dyDescent="0.25">
      <c r="B1577" s="411" t="s">
        <v>265</v>
      </c>
      <c r="C1577" s="412">
        <v>2048</v>
      </c>
      <c r="D1577" s="412" t="s">
        <v>1859</v>
      </c>
      <c r="E1577" s="413">
        <v>289.42204499732753</v>
      </c>
      <c r="F1577" s="17"/>
      <c r="G1577" s="17"/>
      <c r="H1577" s="17"/>
      <c r="I1577" s="17"/>
    </row>
    <row r="1578" spans="2:9" ht="15.75" x14ac:dyDescent="0.25">
      <c r="B1578" s="411" t="s">
        <v>265</v>
      </c>
      <c r="C1578" s="412">
        <v>2049</v>
      </c>
      <c r="D1578" s="412" t="s">
        <v>1860</v>
      </c>
      <c r="E1578" s="413">
        <v>289.07649104524637</v>
      </c>
      <c r="F1578" s="17"/>
      <c r="G1578" s="17"/>
      <c r="H1578" s="17"/>
      <c r="I1578" s="17"/>
    </row>
    <row r="1579" spans="2:9" ht="15.75" x14ac:dyDescent="0.25">
      <c r="B1579" s="411" t="s">
        <v>265</v>
      </c>
      <c r="C1579" s="412">
        <v>2050</v>
      </c>
      <c r="D1579" s="412" t="s">
        <v>1861</v>
      </c>
      <c r="E1579" s="413">
        <v>288.79815799312394</v>
      </c>
      <c r="F1579" s="17"/>
      <c r="G1579" s="17"/>
      <c r="H1579" s="17"/>
      <c r="I1579" s="17"/>
    </row>
    <row r="1580" spans="2:9" ht="15.75" x14ac:dyDescent="0.25">
      <c r="B1580" s="414" t="s">
        <v>268</v>
      </c>
      <c r="C1580" s="415">
        <v>2015</v>
      </c>
      <c r="D1580" s="415" t="s">
        <v>1862</v>
      </c>
      <c r="E1580" s="410">
        <v>512.78531018156718</v>
      </c>
      <c r="F1580" s="17"/>
      <c r="G1580" s="17"/>
      <c r="H1580" s="17"/>
      <c r="I1580" s="17"/>
    </row>
    <row r="1581" spans="2:9" ht="15.75" x14ac:dyDescent="0.25">
      <c r="B1581" s="414" t="s">
        <v>268</v>
      </c>
      <c r="C1581" s="415">
        <v>2016</v>
      </c>
      <c r="D1581" s="415" t="s">
        <v>1863</v>
      </c>
      <c r="E1581" s="410">
        <v>502.92066202469687</v>
      </c>
      <c r="F1581" s="17"/>
      <c r="G1581" s="17"/>
      <c r="H1581" s="17"/>
      <c r="I1581" s="17"/>
    </row>
    <row r="1582" spans="2:9" ht="15.75" x14ac:dyDescent="0.25">
      <c r="B1582" s="416" t="s">
        <v>268</v>
      </c>
      <c r="C1582" s="417">
        <v>2017</v>
      </c>
      <c r="D1582" s="417" t="s">
        <v>1864</v>
      </c>
      <c r="E1582" s="413">
        <v>491.06194347966908</v>
      </c>
      <c r="F1582" s="17"/>
      <c r="G1582" s="17"/>
      <c r="H1582" s="17"/>
      <c r="I1582" s="17"/>
    </row>
    <row r="1583" spans="2:9" ht="15.75" x14ac:dyDescent="0.25">
      <c r="B1583" s="416" t="s">
        <v>268</v>
      </c>
      <c r="C1583" s="417">
        <v>2018</v>
      </c>
      <c r="D1583" s="417" t="s">
        <v>1865</v>
      </c>
      <c r="E1583" s="413">
        <v>478.19993559320267</v>
      </c>
      <c r="F1583" s="17"/>
      <c r="G1583" s="17"/>
      <c r="H1583" s="17"/>
      <c r="I1583" s="17"/>
    </row>
    <row r="1584" spans="2:9" ht="15.75" x14ac:dyDescent="0.25">
      <c r="B1584" s="416" t="s">
        <v>268</v>
      </c>
      <c r="C1584" s="417">
        <v>2019</v>
      </c>
      <c r="D1584" s="417" t="s">
        <v>1866</v>
      </c>
      <c r="E1584" s="413">
        <v>463.39450591001571</v>
      </c>
      <c r="F1584" s="17"/>
      <c r="G1584" s="17"/>
      <c r="H1584" s="17"/>
      <c r="I1584" s="17"/>
    </row>
    <row r="1585" spans="2:9" ht="15.75" x14ac:dyDescent="0.25">
      <c r="B1585" s="416" t="s">
        <v>268</v>
      </c>
      <c r="C1585" s="417">
        <v>2020</v>
      </c>
      <c r="D1585" s="417" t="s">
        <v>1867</v>
      </c>
      <c r="E1585" s="413">
        <v>449.86461363288424</v>
      </c>
      <c r="F1585" s="17"/>
      <c r="G1585" s="17"/>
      <c r="H1585" s="17"/>
      <c r="I1585" s="17"/>
    </row>
    <row r="1586" spans="2:9" ht="15.75" x14ac:dyDescent="0.25">
      <c r="B1586" s="416" t="s">
        <v>268</v>
      </c>
      <c r="C1586" s="417">
        <v>2021</v>
      </c>
      <c r="D1586" s="417" t="s">
        <v>1868</v>
      </c>
      <c r="E1586" s="413">
        <v>436.24489356288171</v>
      </c>
      <c r="F1586" s="17"/>
      <c r="G1586" s="17"/>
      <c r="H1586" s="17"/>
      <c r="I1586" s="17"/>
    </row>
    <row r="1587" spans="2:9" ht="15.75" x14ac:dyDescent="0.25">
      <c r="B1587" s="416" t="s">
        <v>268</v>
      </c>
      <c r="C1587" s="417">
        <v>2022</v>
      </c>
      <c r="D1587" s="417" t="s">
        <v>1869</v>
      </c>
      <c r="E1587" s="413">
        <v>422.77175956158237</v>
      </c>
      <c r="F1587" s="17"/>
      <c r="G1587" s="17"/>
      <c r="H1587" s="17"/>
      <c r="I1587" s="17"/>
    </row>
    <row r="1588" spans="2:9" ht="15.75" x14ac:dyDescent="0.25">
      <c r="B1588" s="416" t="s">
        <v>268</v>
      </c>
      <c r="C1588" s="417">
        <v>2023</v>
      </c>
      <c r="D1588" s="417" t="s">
        <v>1870</v>
      </c>
      <c r="E1588" s="413">
        <v>409.45034192269009</v>
      </c>
      <c r="F1588" s="17"/>
      <c r="G1588" s="17"/>
      <c r="H1588" s="17"/>
      <c r="I1588" s="17"/>
    </row>
    <row r="1589" spans="2:9" ht="15.75" x14ac:dyDescent="0.25">
      <c r="B1589" s="416" t="s">
        <v>268</v>
      </c>
      <c r="C1589" s="417">
        <v>2024</v>
      </c>
      <c r="D1589" s="417" t="s">
        <v>1871</v>
      </c>
      <c r="E1589" s="413">
        <v>396.33844932238401</v>
      </c>
      <c r="F1589" s="17"/>
      <c r="G1589" s="17"/>
      <c r="H1589" s="17"/>
      <c r="I1589" s="17"/>
    </row>
    <row r="1590" spans="2:9" ht="15.75" x14ac:dyDescent="0.25">
      <c r="B1590" s="416" t="s">
        <v>268</v>
      </c>
      <c r="C1590" s="417">
        <v>2025</v>
      </c>
      <c r="D1590" s="417" t="s">
        <v>1872</v>
      </c>
      <c r="E1590" s="413">
        <v>383.42543301928384</v>
      </c>
      <c r="F1590" s="17"/>
      <c r="G1590" s="17"/>
      <c r="H1590" s="17"/>
      <c r="I1590" s="17"/>
    </row>
    <row r="1591" spans="2:9" ht="15.75" x14ac:dyDescent="0.25">
      <c r="B1591" s="416" t="s">
        <v>268</v>
      </c>
      <c r="C1591" s="417">
        <v>2026</v>
      </c>
      <c r="D1591" s="417" t="s">
        <v>1873</v>
      </c>
      <c r="E1591" s="413">
        <v>371.70742806662071</v>
      </c>
      <c r="F1591" s="17"/>
      <c r="G1591" s="17"/>
      <c r="H1591" s="17"/>
      <c r="I1591" s="17"/>
    </row>
    <row r="1592" spans="2:9" ht="15.75" x14ac:dyDescent="0.25">
      <c r="B1592" s="416" t="s">
        <v>268</v>
      </c>
      <c r="C1592" s="417">
        <v>2027</v>
      </c>
      <c r="D1592" s="417" t="s">
        <v>1874</v>
      </c>
      <c r="E1592" s="413">
        <v>360.91420790373968</v>
      </c>
      <c r="F1592" s="17"/>
      <c r="G1592" s="17"/>
      <c r="H1592" s="17"/>
      <c r="I1592" s="17"/>
    </row>
    <row r="1593" spans="2:9" ht="15.75" x14ac:dyDescent="0.25">
      <c r="B1593" s="416" t="s">
        <v>268</v>
      </c>
      <c r="C1593" s="417">
        <v>2028</v>
      </c>
      <c r="D1593" s="417" t="s">
        <v>1875</v>
      </c>
      <c r="E1593" s="413">
        <v>351.20106590304209</v>
      </c>
      <c r="F1593" s="17"/>
      <c r="G1593" s="17"/>
      <c r="H1593" s="17"/>
      <c r="I1593" s="17"/>
    </row>
    <row r="1594" spans="2:9" ht="15.75" x14ac:dyDescent="0.25">
      <c r="B1594" s="416" t="s">
        <v>268</v>
      </c>
      <c r="C1594" s="417">
        <v>2029</v>
      </c>
      <c r="D1594" s="417" t="s">
        <v>1876</v>
      </c>
      <c r="E1594" s="413">
        <v>342.50126687035782</v>
      </c>
      <c r="F1594" s="17"/>
      <c r="G1594" s="17"/>
      <c r="H1594" s="17"/>
      <c r="I1594" s="17"/>
    </row>
    <row r="1595" spans="2:9" ht="15.75" x14ac:dyDescent="0.25">
      <c r="B1595" s="416" t="s">
        <v>268</v>
      </c>
      <c r="C1595" s="417">
        <v>2030</v>
      </c>
      <c r="D1595" s="417" t="s">
        <v>1877</v>
      </c>
      <c r="E1595" s="413">
        <v>334.75995685986516</v>
      </c>
      <c r="F1595" s="17"/>
      <c r="G1595" s="17"/>
      <c r="H1595" s="17"/>
      <c r="I1595" s="17"/>
    </row>
    <row r="1596" spans="2:9" ht="15.75" x14ac:dyDescent="0.25">
      <c r="B1596" s="416" t="s">
        <v>268</v>
      </c>
      <c r="C1596" s="417">
        <v>2031</v>
      </c>
      <c r="D1596" s="417" t="s">
        <v>1878</v>
      </c>
      <c r="E1596" s="413">
        <v>327.9051195144595</v>
      </c>
      <c r="F1596" s="17"/>
      <c r="G1596" s="17"/>
      <c r="H1596" s="17"/>
      <c r="I1596" s="17"/>
    </row>
    <row r="1597" spans="2:9" ht="15.75" x14ac:dyDescent="0.25">
      <c r="B1597" s="416" t="s">
        <v>268</v>
      </c>
      <c r="C1597" s="417">
        <v>2032</v>
      </c>
      <c r="D1597" s="417" t="s">
        <v>1879</v>
      </c>
      <c r="E1597" s="413">
        <v>321.86698167715582</v>
      </c>
      <c r="F1597" s="17"/>
      <c r="G1597" s="17"/>
      <c r="H1597" s="17"/>
      <c r="I1597" s="17"/>
    </row>
    <row r="1598" spans="2:9" ht="15.75" x14ac:dyDescent="0.25">
      <c r="B1598" s="416" t="s">
        <v>268</v>
      </c>
      <c r="C1598" s="417">
        <v>2033</v>
      </c>
      <c r="D1598" s="417" t="s">
        <v>1880</v>
      </c>
      <c r="E1598" s="413">
        <v>316.57797491265728</v>
      </c>
      <c r="F1598" s="17"/>
      <c r="G1598" s="17"/>
      <c r="H1598" s="17"/>
      <c r="I1598" s="17"/>
    </row>
    <row r="1599" spans="2:9" ht="15.75" x14ac:dyDescent="0.25">
      <c r="B1599" s="416" t="s">
        <v>268</v>
      </c>
      <c r="C1599" s="417">
        <v>2034</v>
      </c>
      <c r="D1599" s="417" t="s">
        <v>1881</v>
      </c>
      <c r="E1599" s="413">
        <v>311.96314264025108</v>
      </c>
      <c r="F1599" s="17"/>
      <c r="G1599" s="17"/>
      <c r="H1599" s="17"/>
      <c r="I1599" s="17"/>
    </row>
    <row r="1600" spans="2:9" ht="15.75" x14ac:dyDescent="0.25">
      <c r="B1600" s="416" t="s">
        <v>268</v>
      </c>
      <c r="C1600" s="417">
        <v>2035</v>
      </c>
      <c r="D1600" s="417" t="s">
        <v>1882</v>
      </c>
      <c r="E1600" s="413">
        <v>307.97236292969569</v>
      </c>
      <c r="F1600" s="17"/>
      <c r="G1600" s="17"/>
      <c r="H1600" s="17"/>
      <c r="I1600" s="17"/>
    </row>
    <row r="1601" spans="2:9" ht="15.75" x14ac:dyDescent="0.25">
      <c r="B1601" s="416" t="s">
        <v>268</v>
      </c>
      <c r="C1601" s="417">
        <v>2036</v>
      </c>
      <c r="D1601" s="417" t="s">
        <v>1883</v>
      </c>
      <c r="E1601" s="413">
        <v>304.66506179291338</v>
      </c>
      <c r="F1601" s="17"/>
      <c r="G1601" s="17"/>
      <c r="H1601" s="17"/>
      <c r="I1601" s="17"/>
    </row>
    <row r="1602" spans="2:9" ht="15.75" x14ac:dyDescent="0.25">
      <c r="B1602" s="416" t="s">
        <v>268</v>
      </c>
      <c r="C1602" s="417">
        <v>2037</v>
      </c>
      <c r="D1602" s="417" t="s">
        <v>1884</v>
      </c>
      <c r="E1602" s="413">
        <v>301.73814364447162</v>
      </c>
      <c r="F1602" s="17"/>
      <c r="G1602" s="17"/>
      <c r="H1602" s="17"/>
      <c r="I1602" s="17"/>
    </row>
    <row r="1603" spans="2:9" ht="15.75" x14ac:dyDescent="0.25">
      <c r="B1603" s="416" t="s">
        <v>268</v>
      </c>
      <c r="C1603" s="417">
        <v>2038</v>
      </c>
      <c r="D1603" s="417" t="s">
        <v>1885</v>
      </c>
      <c r="E1603" s="413">
        <v>299.26637687882942</v>
      </c>
      <c r="F1603" s="17"/>
      <c r="G1603" s="17"/>
      <c r="H1603" s="17"/>
      <c r="I1603" s="17"/>
    </row>
    <row r="1604" spans="2:9" ht="15.75" x14ac:dyDescent="0.25">
      <c r="B1604" s="416" t="s">
        <v>268</v>
      </c>
      <c r="C1604" s="417">
        <v>2039</v>
      </c>
      <c r="D1604" s="417" t="s">
        <v>1886</v>
      </c>
      <c r="E1604" s="413">
        <v>297.18008898660452</v>
      </c>
      <c r="F1604" s="17"/>
      <c r="G1604" s="17"/>
      <c r="H1604" s="17"/>
      <c r="I1604" s="17"/>
    </row>
    <row r="1605" spans="2:9" ht="15.75" x14ac:dyDescent="0.25">
      <c r="B1605" s="416" t="s">
        <v>268</v>
      </c>
      <c r="C1605" s="417">
        <v>2040</v>
      </c>
      <c r="D1605" s="417" t="s">
        <v>1887</v>
      </c>
      <c r="E1605" s="413">
        <v>295.43849098628431</v>
      </c>
      <c r="F1605" s="17"/>
      <c r="G1605" s="17"/>
      <c r="H1605" s="17"/>
      <c r="I1605" s="17"/>
    </row>
    <row r="1606" spans="2:9" ht="15.75" x14ac:dyDescent="0.25">
      <c r="B1606" s="416" t="s">
        <v>268</v>
      </c>
      <c r="C1606" s="417">
        <v>2041</v>
      </c>
      <c r="D1606" s="417" t="s">
        <v>1888</v>
      </c>
      <c r="E1606" s="413">
        <v>294.00216844957106</v>
      </c>
      <c r="F1606" s="17"/>
      <c r="G1606" s="17"/>
      <c r="H1606" s="17"/>
      <c r="I1606" s="17"/>
    </row>
    <row r="1607" spans="2:9" ht="15.75" x14ac:dyDescent="0.25">
      <c r="B1607" s="416" t="s">
        <v>268</v>
      </c>
      <c r="C1607" s="417">
        <v>2042</v>
      </c>
      <c r="D1607" s="417" t="s">
        <v>1889</v>
      </c>
      <c r="E1607" s="413">
        <v>292.80883801347153</v>
      </c>
      <c r="F1607" s="17"/>
      <c r="G1607" s="17"/>
      <c r="H1607" s="17"/>
      <c r="I1607" s="17"/>
    </row>
    <row r="1608" spans="2:9" ht="15.75" x14ac:dyDescent="0.25">
      <c r="B1608" s="416" t="s">
        <v>268</v>
      </c>
      <c r="C1608" s="417">
        <v>2043</v>
      </c>
      <c r="D1608" s="417" t="s">
        <v>1890</v>
      </c>
      <c r="E1608" s="413">
        <v>291.83220465357078</v>
      </c>
      <c r="F1608" s="17"/>
      <c r="G1608" s="17"/>
      <c r="H1608" s="17"/>
      <c r="I1608" s="17"/>
    </row>
    <row r="1609" spans="2:9" ht="15.75" x14ac:dyDescent="0.25">
      <c r="B1609" s="416" t="s">
        <v>268</v>
      </c>
      <c r="C1609" s="417">
        <v>2044</v>
      </c>
      <c r="D1609" s="417" t="s">
        <v>1891</v>
      </c>
      <c r="E1609" s="413">
        <v>291.02458109964238</v>
      </c>
      <c r="F1609" s="17"/>
      <c r="G1609" s="17"/>
      <c r="H1609" s="17"/>
      <c r="I1609" s="17"/>
    </row>
    <row r="1610" spans="2:9" ht="15.75" x14ac:dyDescent="0.25">
      <c r="B1610" s="416" t="s">
        <v>268</v>
      </c>
      <c r="C1610" s="417">
        <v>2045</v>
      </c>
      <c r="D1610" s="417" t="s">
        <v>1892</v>
      </c>
      <c r="E1610" s="413">
        <v>290.34944843409141</v>
      </c>
      <c r="F1610" s="17"/>
      <c r="G1610" s="17"/>
      <c r="H1610" s="17"/>
      <c r="I1610" s="17"/>
    </row>
    <row r="1611" spans="2:9" ht="15.75" x14ac:dyDescent="0.25">
      <c r="B1611" s="416" t="s">
        <v>268</v>
      </c>
      <c r="C1611" s="417">
        <v>2046</v>
      </c>
      <c r="D1611" s="417" t="s">
        <v>1893</v>
      </c>
      <c r="E1611" s="413">
        <v>289.78843109792376</v>
      </c>
      <c r="F1611" s="17"/>
      <c r="G1611" s="17"/>
      <c r="H1611" s="17"/>
      <c r="I1611" s="17"/>
    </row>
    <row r="1612" spans="2:9" ht="15.75" x14ac:dyDescent="0.25">
      <c r="B1612" s="416" t="s">
        <v>268</v>
      </c>
      <c r="C1612" s="417">
        <v>2047</v>
      </c>
      <c r="D1612" s="417" t="s">
        <v>1894</v>
      </c>
      <c r="E1612" s="413">
        <v>289.32465402911788</v>
      </c>
      <c r="F1612" s="17"/>
      <c r="G1612" s="17"/>
      <c r="H1612" s="17"/>
      <c r="I1612" s="17"/>
    </row>
    <row r="1613" spans="2:9" ht="15.75" x14ac:dyDescent="0.25">
      <c r="B1613" s="416" t="s">
        <v>268</v>
      </c>
      <c r="C1613" s="417">
        <v>2048</v>
      </c>
      <c r="D1613" s="417" t="s">
        <v>1895</v>
      </c>
      <c r="E1613" s="413">
        <v>288.94322689086266</v>
      </c>
      <c r="F1613" s="17"/>
      <c r="G1613" s="17"/>
      <c r="H1613" s="17"/>
      <c r="I1613" s="17"/>
    </row>
    <row r="1614" spans="2:9" ht="15.75" x14ac:dyDescent="0.25">
      <c r="B1614" s="416" t="s">
        <v>268</v>
      </c>
      <c r="C1614" s="417">
        <v>2049</v>
      </c>
      <c r="D1614" s="417" t="s">
        <v>1896</v>
      </c>
      <c r="E1614" s="413">
        <v>288.62457415635089</v>
      </c>
      <c r="F1614" s="17"/>
      <c r="G1614" s="17"/>
      <c r="H1614" s="17"/>
      <c r="I1614" s="17"/>
    </row>
    <row r="1615" spans="2:9" ht="15.75" x14ac:dyDescent="0.25">
      <c r="B1615" s="416" t="s">
        <v>268</v>
      </c>
      <c r="C1615" s="417">
        <v>2050</v>
      </c>
      <c r="D1615" s="417" t="s">
        <v>1897</v>
      </c>
      <c r="E1615" s="413">
        <v>288.36561474150369</v>
      </c>
      <c r="F1615" s="17"/>
      <c r="G1615" s="17"/>
      <c r="H1615" s="17"/>
      <c r="I1615" s="17"/>
    </row>
    <row r="1616" spans="2:9" ht="15.75" x14ac:dyDescent="0.25">
      <c r="B1616" s="407" t="s">
        <v>86</v>
      </c>
      <c r="C1616" s="408">
        <v>2015</v>
      </c>
      <c r="D1616" s="409" t="s">
        <v>269</v>
      </c>
      <c r="E1616" s="410">
        <v>506.48013614431648</v>
      </c>
      <c r="F1616" s="17"/>
      <c r="G1616" s="17"/>
      <c r="H1616" s="17"/>
      <c r="I1616" s="17"/>
    </row>
    <row r="1617" spans="2:9" ht="15.75" x14ac:dyDescent="0.25">
      <c r="B1617" s="407" t="s">
        <v>86</v>
      </c>
      <c r="C1617" s="408">
        <v>2016</v>
      </c>
      <c r="D1617" s="409" t="s">
        <v>270</v>
      </c>
      <c r="E1617" s="410">
        <v>496.05345281235367</v>
      </c>
      <c r="F1617" s="17"/>
      <c r="G1617" s="17"/>
      <c r="H1617" s="17"/>
      <c r="I1617" s="17"/>
    </row>
    <row r="1618" spans="2:9" ht="15.75" x14ac:dyDescent="0.25">
      <c r="B1618" s="411" t="s">
        <v>86</v>
      </c>
      <c r="C1618" s="412">
        <v>2017</v>
      </c>
      <c r="D1618" s="412" t="s">
        <v>1898</v>
      </c>
      <c r="E1618" s="413">
        <v>484.59335974520883</v>
      </c>
      <c r="F1618" s="17"/>
      <c r="G1618" s="17"/>
      <c r="H1618" s="17"/>
      <c r="I1618" s="17"/>
    </row>
    <row r="1619" spans="2:9" ht="15.75" x14ac:dyDescent="0.25">
      <c r="B1619" s="411" t="s">
        <v>86</v>
      </c>
      <c r="C1619" s="412">
        <v>2018</v>
      </c>
      <c r="D1619" s="412" t="s">
        <v>1899</v>
      </c>
      <c r="E1619" s="413">
        <v>472.29732870659313</v>
      </c>
      <c r="F1619" s="17"/>
      <c r="G1619" s="17"/>
      <c r="H1619" s="17"/>
      <c r="I1619" s="17"/>
    </row>
    <row r="1620" spans="2:9" ht="15.75" x14ac:dyDescent="0.25">
      <c r="B1620" s="411" t="s">
        <v>86</v>
      </c>
      <c r="C1620" s="412">
        <v>2019</v>
      </c>
      <c r="D1620" s="412" t="s">
        <v>1900</v>
      </c>
      <c r="E1620" s="413">
        <v>456.94405470804156</v>
      </c>
      <c r="F1620" s="17"/>
      <c r="G1620" s="17"/>
      <c r="H1620" s="17"/>
      <c r="I1620" s="17"/>
    </row>
    <row r="1621" spans="2:9" ht="15.75" x14ac:dyDescent="0.25">
      <c r="B1621" s="411" t="s">
        <v>86</v>
      </c>
      <c r="C1621" s="412">
        <v>2020</v>
      </c>
      <c r="D1621" s="412" t="s">
        <v>1901</v>
      </c>
      <c r="E1621" s="413">
        <v>443.96495712335724</v>
      </c>
      <c r="F1621" s="17"/>
      <c r="G1621" s="17"/>
      <c r="H1621" s="17"/>
      <c r="I1621" s="17"/>
    </row>
    <row r="1622" spans="2:9" ht="15.75" x14ac:dyDescent="0.25">
      <c r="B1622" s="411" t="s">
        <v>86</v>
      </c>
      <c r="C1622" s="412">
        <v>2021</v>
      </c>
      <c r="D1622" s="412" t="s">
        <v>1902</v>
      </c>
      <c r="E1622" s="413">
        <v>430.83508489255451</v>
      </c>
      <c r="F1622" s="17"/>
      <c r="G1622" s="17"/>
      <c r="H1622" s="17"/>
      <c r="I1622" s="17"/>
    </row>
    <row r="1623" spans="2:9" ht="15.75" x14ac:dyDescent="0.25">
      <c r="B1623" s="411" t="s">
        <v>86</v>
      </c>
      <c r="C1623" s="412">
        <v>2022</v>
      </c>
      <c r="D1623" s="412" t="s">
        <v>1903</v>
      </c>
      <c r="E1623" s="413">
        <v>417.85375312831712</v>
      </c>
      <c r="F1623" s="17"/>
      <c r="G1623" s="17"/>
      <c r="H1623" s="17"/>
      <c r="I1623" s="17"/>
    </row>
    <row r="1624" spans="2:9" ht="15.75" x14ac:dyDescent="0.25">
      <c r="B1624" s="411" t="s">
        <v>86</v>
      </c>
      <c r="C1624" s="412">
        <v>2023</v>
      </c>
      <c r="D1624" s="412" t="s">
        <v>1904</v>
      </c>
      <c r="E1624" s="413">
        <v>404.98765611460038</v>
      </c>
      <c r="F1624" s="17"/>
      <c r="G1624" s="17"/>
      <c r="H1624" s="17"/>
      <c r="I1624" s="17"/>
    </row>
    <row r="1625" spans="2:9" ht="15.75" x14ac:dyDescent="0.25">
      <c r="B1625" s="411" t="s">
        <v>86</v>
      </c>
      <c r="C1625" s="412">
        <v>2024</v>
      </c>
      <c r="D1625" s="412" t="s">
        <v>1905</v>
      </c>
      <c r="E1625" s="413">
        <v>392.30075766765384</v>
      </c>
      <c r="F1625" s="17"/>
      <c r="G1625" s="17"/>
      <c r="H1625" s="17"/>
      <c r="I1625" s="17"/>
    </row>
    <row r="1626" spans="2:9" ht="15.75" x14ac:dyDescent="0.25">
      <c r="B1626" s="411" t="s">
        <v>86</v>
      </c>
      <c r="C1626" s="412">
        <v>2025</v>
      </c>
      <c r="D1626" s="412" t="s">
        <v>1906</v>
      </c>
      <c r="E1626" s="413">
        <v>379.76482157992757</v>
      </c>
      <c r="F1626" s="17"/>
      <c r="G1626" s="17"/>
      <c r="H1626" s="17"/>
      <c r="I1626" s="17"/>
    </row>
    <row r="1627" spans="2:9" ht="15.75" x14ac:dyDescent="0.25">
      <c r="B1627" s="411" t="s">
        <v>86</v>
      </c>
      <c r="C1627" s="412">
        <v>2026</v>
      </c>
      <c r="D1627" s="412" t="s">
        <v>1907</v>
      </c>
      <c r="E1627" s="413">
        <v>368.27063274234575</v>
      </c>
      <c r="F1627" s="17"/>
      <c r="G1627" s="17"/>
      <c r="H1627" s="17"/>
      <c r="I1627" s="17"/>
    </row>
    <row r="1628" spans="2:9" ht="15.75" x14ac:dyDescent="0.25">
      <c r="B1628" s="411" t="s">
        <v>86</v>
      </c>
      <c r="C1628" s="412">
        <v>2027</v>
      </c>
      <c r="D1628" s="412" t="s">
        <v>1908</v>
      </c>
      <c r="E1628" s="413">
        <v>357.72266041628876</v>
      </c>
      <c r="F1628" s="17"/>
      <c r="G1628" s="17"/>
      <c r="H1628" s="17"/>
      <c r="I1628" s="17"/>
    </row>
    <row r="1629" spans="2:9" ht="15.75" x14ac:dyDescent="0.25">
      <c r="B1629" s="411" t="s">
        <v>86</v>
      </c>
      <c r="C1629" s="412">
        <v>2028</v>
      </c>
      <c r="D1629" s="412" t="s">
        <v>1909</v>
      </c>
      <c r="E1629" s="413">
        <v>348.20984327100746</v>
      </c>
      <c r="F1629" s="17"/>
      <c r="G1629" s="17"/>
      <c r="H1629" s="17"/>
      <c r="I1629" s="17"/>
    </row>
    <row r="1630" spans="2:9" ht="15.75" x14ac:dyDescent="0.25">
      <c r="B1630" s="411" t="s">
        <v>86</v>
      </c>
      <c r="C1630" s="412">
        <v>2029</v>
      </c>
      <c r="D1630" s="412" t="s">
        <v>1910</v>
      </c>
      <c r="E1630" s="413">
        <v>339.67863897059323</v>
      </c>
      <c r="F1630" s="17"/>
      <c r="G1630" s="17"/>
      <c r="H1630" s="17"/>
      <c r="I1630" s="17"/>
    </row>
    <row r="1631" spans="2:9" ht="15.75" x14ac:dyDescent="0.25">
      <c r="B1631" s="411" t="s">
        <v>86</v>
      </c>
      <c r="C1631" s="412">
        <v>2030</v>
      </c>
      <c r="D1631" s="412" t="s">
        <v>1911</v>
      </c>
      <c r="E1631" s="413">
        <v>332.07900062121519</v>
      </c>
      <c r="F1631" s="17"/>
      <c r="G1631" s="17"/>
      <c r="H1631" s="17"/>
      <c r="I1631" s="17"/>
    </row>
    <row r="1632" spans="2:9" ht="15.75" x14ac:dyDescent="0.25">
      <c r="B1632" s="411" t="s">
        <v>86</v>
      </c>
      <c r="C1632" s="412">
        <v>2031</v>
      </c>
      <c r="D1632" s="412" t="s">
        <v>1912</v>
      </c>
      <c r="E1632" s="413">
        <v>325.34881501270888</v>
      </c>
      <c r="F1632" s="17"/>
      <c r="G1632" s="17"/>
      <c r="H1632" s="17"/>
      <c r="I1632" s="17"/>
    </row>
    <row r="1633" spans="2:9" ht="15.75" x14ac:dyDescent="0.25">
      <c r="B1633" s="411" t="s">
        <v>86</v>
      </c>
      <c r="C1633" s="412">
        <v>2032</v>
      </c>
      <c r="D1633" s="412" t="s">
        <v>1913</v>
      </c>
      <c r="E1633" s="413">
        <v>319.4136155022336</v>
      </c>
      <c r="F1633" s="17"/>
      <c r="G1633" s="17"/>
      <c r="H1633" s="17"/>
      <c r="I1633" s="17"/>
    </row>
    <row r="1634" spans="2:9" ht="15.75" x14ac:dyDescent="0.25">
      <c r="B1634" s="411" t="s">
        <v>86</v>
      </c>
      <c r="C1634" s="412">
        <v>2033</v>
      </c>
      <c r="D1634" s="412" t="s">
        <v>1914</v>
      </c>
      <c r="E1634" s="413">
        <v>314.2167570118832</v>
      </c>
      <c r="F1634" s="17"/>
      <c r="G1634" s="17"/>
      <c r="H1634" s="17"/>
      <c r="I1634" s="17"/>
    </row>
    <row r="1635" spans="2:9" ht="15.75" x14ac:dyDescent="0.25">
      <c r="B1635" s="411" t="s">
        <v>86</v>
      </c>
      <c r="C1635" s="412">
        <v>2034</v>
      </c>
      <c r="D1635" s="412" t="s">
        <v>1915</v>
      </c>
      <c r="E1635" s="413">
        <v>309.68374284493217</v>
      </c>
      <c r="F1635" s="17"/>
      <c r="G1635" s="17"/>
      <c r="H1635" s="17"/>
      <c r="I1635" s="17"/>
    </row>
    <row r="1636" spans="2:9" ht="15.75" x14ac:dyDescent="0.25">
      <c r="B1636" s="411" t="s">
        <v>86</v>
      </c>
      <c r="C1636" s="412">
        <v>2035</v>
      </c>
      <c r="D1636" s="412" t="s">
        <v>1916</v>
      </c>
      <c r="E1636" s="413">
        <v>305.76309763838162</v>
      </c>
      <c r="F1636" s="17"/>
      <c r="G1636" s="17"/>
      <c r="H1636" s="17"/>
      <c r="I1636" s="17"/>
    </row>
    <row r="1637" spans="2:9" ht="15.75" x14ac:dyDescent="0.25">
      <c r="B1637" s="411" t="s">
        <v>86</v>
      </c>
      <c r="C1637" s="412">
        <v>2036</v>
      </c>
      <c r="D1637" s="412" t="s">
        <v>1917</v>
      </c>
      <c r="E1637" s="413">
        <v>302.39108723012055</v>
      </c>
      <c r="F1637" s="17"/>
      <c r="G1637" s="17"/>
      <c r="H1637" s="17"/>
      <c r="I1637" s="17"/>
    </row>
    <row r="1638" spans="2:9" ht="15.75" x14ac:dyDescent="0.25">
      <c r="B1638" s="411" t="s">
        <v>86</v>
      </c>
      <c r="C1638" s="412">
        <v>2037</v>
      </c>
      <c r="D1638" s="412" t="s">
        <v>1918</v>
      </c>
      <c r="E1638" s="413">
        <v>299.51766457396093</v>
      </c>
      <c r="F1638" s="17"/>
      <c r="G1638" s="17"/>
      <c r="H1638" s="17"/>
      <c r="I1638" s="17"/>
    </row>
    <row r="1639" spans="2:9" ht="15.75" x14ac:dyDescent="0.25">
      <c r="B1639" s="411" t="s">
        <v>86</v>
      </c>
      <c r="C1639" s="412">
        <v>2038</v>
      </c>
      <c r="D1639" s="412" t="s">
        <v>1919</v>
      </c>
      <c r="E1639" s="413">
        <v>297.09201603664724</v>
      </c>
      <c r="F1639" s="17"/>
      <c r="G1639" s="17"/>
      <c r="H1639" s="17"/>
      <c r="I1639" s="17"/>
    </row>
    <row r="1640" spans="2:9" ht="15.75" x14ac:dyDescent="0.25">
      <c r="B1640" s="411" t="s">
        <v>86</v>
      </c>
      <c r="C1640" s="412">
        <v>2039</v>
      </c>
      <c r="D1640" s="412" t="s">
        <v>1920</v>
      </c>
      <c r="E1640" s="413">
        <v>295.04438368281467</v>
      </c>
      <c r="F1640" s="17"/>
      <c r="G1640" s="17"/>
      <c r="H1640" s="17"/>
      <c r="I1640" s="17"/>
    </row>
    <row r="1641" spans="2:9" ht="15.75" x14ac:dyDescent="0.25">
      <c r="B1641" s="411" t="s">
        <v>86</v>
      </c>
      <c r="C1641" s="412">
        <v>2040</v>
      </c>
      <c r="D1641" s="412" t="s">
        <v>1921</v>
      </c>
      <c r="E1641" s="413">
        <v>293.33799730747108</v>
      </c>
      <c r="F1641" s="17"/>
      <c r="G1641" s="17"/>
      <c r="H1641" s="17"/>
      <c r="I1641" s="17"/>
    </row>
    <row r="1642" spans="2:9" ht="15.75" x14ac:dyDescent="0.25">
      <c r="B1642" s="411" t="s">
        <v>86</v>
      </c>
      <c r="C1642" s="412">
        <v>2041</v>
      </c>
      <c r="D1642" s="412" t="s">
        <v>1922</v>
      </c>
      <c r="E1642" s="413">
        <v>291.93100750645789</v>
      </c>
      <c r="F1642" s="17"/>
      <c r="G1642" s="17"/>
      <c r="H1642" s="17"/>
      <c r="I1642" s="17"/>
    </row>
    <row r="1643" spans="2:9" ht="15.75" x14ac:dyDescent="0.25">
      <c r="B1643" s="411" t="s">
        <v>86</v>
      </c>
      <c r="C1643" s="412">
        <v>2042</v>
      </c>
      <c r="D1643" s="412" t="s">
        <v>1923</v>
      </c>
      <c r="E1643" s="413">
        <v>290.76636783685041</v>
      </c>
      <c r="F1643" s="17"/>
      <c r="G1643" s="17"/>
      <c r="H1643" s="17"/>
      <c r="I1643" s="17"/>
    </row>
    <row r="1644" spans="2:9" ht="15.75" x14ac:dyDescent="0.25">
      <c r="B1644" s="411" t="s">
        <v>86</v>
      </c>
      <c r="C1644" s="412">
        <v>2043</v>
      </c>
      <c r="D1644" s="412" t="s">
        <v>1924</v>
      </c>
      <c r="E1644" s="413">
        <v>289.81457821580784</v>
      </c>
      <c r="F1644" s="17"/>
      <c r="G1644" s="17"/>
      <c r="H1644" s="17"/>
      <c r="I1644" s="17"/>
    </row>
    <row r="1645" spans="2:9" ht="15.75" x14ac:dyDescent="0.25">
      <c r="B1645" s="411" t="s">
        <v>86</v>
      </c>
      <c r="C1645" s="412">
        <v>2044</v>
      </c>
      <c r="D1645" s="412" t="s">
        <v>1925</v>
      </c>
      <c r="E1645" s="413">
        <v>289.03103989555137</v>
      </c>
      <c r="F1645" s="17"/>
      <c r="G1645" s="17"/>
      <c r="H1645" s="17"/>
      <c r="I1645" s="17"/>
    </row>
    <row r="1646" spans="2:9" ht="15.75" x14ac:dyDescent="0.25">
      <c r="B1646" s="411" t="s">
        <v>86</v>
      </c>
      <c r="C1646" s="412">
        <v>2045</v>
      </c>
      <c r="D1646" s="412" t="s">
        <v>1926</v>
      </c>
      <c r="E1646" s="413">
        <v>288.37802431644758</v>
      </c>
      <c r="F1646" s="17"/>
      <c r="G1646" s="17"/>
      <c r="H1646" s="17"/>
      <c r="I1646" s="17"/>
    </row>
    <row r="1647" spans="2:9" ht="15.75" x14ac:dyDescent="0.25">
      <c r="B1647" s="411" t="s">
        <v>86</v>
      </c>
      <c r="C1647" s="412">
        <v>2046</v>
      </c>
      <c r="D1647" s="412" t="s">
        <v>1927</v>
      </c>
      <c r="E1647" s="413">
        <v>287.83640517231339</v>
      </c>
      <c r="F1647" s="17"/>
      <c r="G1647" s="17"/>
      <c r="H1647" s="17"/>
      <c r="I1647" s="17"/>
    </row>
    <row r="1648" spans="2:9" ht="15.75" x14ac:dyDescent="0.25">
      <c r="B1648" s="411" t="s">
        <v>86</v>
      </c>
      <c r="C1648" s="412">
        <v>2047</v>
      </c>
      <c r="D1648" s="412" t="s">
        <v>1928</v>
      </c>
      <c r="E1648" s="413">
        <v>287.38853050541633</v>
      </c>
      <c r="F1648" s="17"/>
      <c r="G1648" s="17"/>
      <c r="H1648" s="17"/>
      <c r="I1648" s="17"/>
    </row>
    <row r="1649" spans="2:9" ht="15.75" x14ac:dyDescent="0.25">
      <c r="B1649" s="411" t="s">
        <v>86</v>
      </c>
      <c r="C1649" s="412">
        <v>2048</v>
      </c>
      <c r="D1649" s="412" t="s">
        <v>1929</v>
      </c>
      <c r="E1649" s="413">
        <v>287.02599678486871</v>
      </c>
      <c r="F1649" s="17"/>
      <c r="G1649" s="17"/>
      <c r="H1649" s="17"/>
      <c r="I1649" s="17"/>
    </row>
    <row r="1650" spans="2:9" ht="15.75" x14ac:dyDescent="0.25">
      <c r="B1650" s="411" t="s">
        <v>86</v>
      </c>
      <c r="C1650" s="412">
        <v>2049</v>
      </c>
      <c r="D1650" s="412" t="s">
        <v>1930</v>
      </c>
      <c r="E1650" s="413">
        <v>286.72500348800446</v>
      </c>
      <c r="F1650" s="17"/>
      <c r="G1650" s="17"/>
      <c r="H1650" s="17"/>
      <c r="I1650" s="17"/>
    </row>
    <row r="1651" spans="2:9" ht="15.75" x14ac:dyDescent="0.25">
      <c r="B1651" s="411" t="s">
        <v>86</v>
      </c>
      <c r="C1651" s="412">
        <v>2050</v>
      </c>
      <c r="D1651" s="412" t="s">
        <v>1931</v>
      </c>
      <c r="E1651" s="413">
        <v>286.48062172063487</v>
      </c>
      <c r="F1651" s="17"/>
      <c r="G1651" s="17"/>
      <c r="H1651" s="17"/>
      <c r="I1651" s="17"/>
    </row>
    <row r="1652" spans="2:9" ht="15.75" x14ac:dyDescent="0.25">
      <c r="B1652" s="414" t="s">
        <v>271</v>
      </c>
      <c r="C1652" s="415">
        <v>2015</v>
      </c>
      <c r="D1652" s="415" t="s">
        <v>1932</v>
      </c>
      <c r="E1652" s="410">
        <v>516.76839193354749</v>
      </c>
      <c r="F1652" s="17"/>
      <c r="G1652" s="17"/>
      <c r="H1652" s="17"/>
      <c r="I1652" s="17"/>
    </row>
    <row r="1653" spans="2:9" ht="15.75" x14ac:dyDescent="0.25">
      <c r="B1653" s="414" t="s">
        <v>271</v>
      </c>
      <c r="C1653" s="415">
        <v>2016</v>
      </c>
      <c r="D1653" s="415" t="s">
        <v>1933</v>
      </c>
      <c r="E1653" s="410">
        <v>506.45850347472577</v>
      </c>
      <c r="F1653" s="17"/>
      <c r="G1653" s="17"/>
      <c r="H1653" s="17"/>
      <c r="I1653" s="17"/>
    </row>
    <row r="1654" spans="2:9" ht="15.75" x14ac:dyDescent="0.25">
      <c r="B1654" s="416" t="s">
        <v>271</v>
      </c>
      <c r="C1654" s="417">
        <v>2017</v>
      </c>
      <c r="D1654" s="417" t="s">
        <v>1934</v>
      </c>
      <c r="E1654" s="413">
        <v>494.82377191095105</v>
      </c>
      <c r="F1654" s="17"/>
      <c r="G1654" s="17"/>
      <c r="H1654" s="17"/>
      <c r="I1654" s="17"/>
    </row>
    <row r="1655" spans="2:9" ht="15.75" x14ac:dyDescent="0.25">
      <c r="B1655" s="416" t="s">
        <v>271</v>
      </c>
      <c r="C1655" s="417">
        <v>2018</v>
      </c>
      <c r="D1655" s="417" t="s">
        <v>1935</v>
      </c>
      <c r="E1655" s="413">
        <v>482.23608072976128</v>
      </c>
      <c r="F1655" s="17"/>
      <c r="G1655" s="17"/>
      <c r="H1655" s="17"/>
      <c r="I1655" s="17"/>
    </row>
    <row r="1656" spans="2:9" ht="15.75" x14ac:dyDescent="0.25">
      <c r="B1656" s="416" t="s">
        <v>271</v>
      </c>
      <c r="C1656" s="417">
        <v>2019</v>
      </c>
      <c r="D1656" s="417" t="s">
        <v>1936</v>
      </c>
      <c r="E1656" s="413">
        <v>469.01336781464209</v>
      </c>
      <c r="F1656" s="17"/>
      <c r="G1656" s="17"/>
      <c r="H1656" s="17"/>
      <c r="I1656" s="17"/>
    </row>
    <row r="1657" spans="2:9" ht="15.75" x14ac:dyDescent="0.25">
      <c r="B1657" s="416" t="s">
        <v>271</v>
      </c>
      <c r="C1657" s="417">
        <v>2020</v>
      </c>
      <c r="D1657" s="417" t="s">
        <v>1937</v>
      </c>
      <c r="E1657" s="413">
        <v>455.74161216143966</v>
      </c>
      <c r="F1657" s="17"/>
      <c r="G1657" s="17"/>
      <c r="H1657" s="17"/>
      <c r="I1657" s="17"/>
    </row>
    <row r="1658" spans="2:9" ht="15.75" x14ac:dyDescent="0.25">
      <c r="B1658" s="416" t="s">
        <v>271</v>
      </c>
      <c r="C1658" s="417">
        <v>2021</v>
      </c>
      <c r="D1658" s="417" t="s">
        <v>1938</v>
      </c>
      <c r="E1658" s="413">
        <v>442.3241448089542</v>
      </c>
      <c r="F1658" s="17"/>
      <c r="G1658" s="17"/>
      <c r="H1658" s="17"/>
      <c r="I1658" s="17"/>
    </row>
    <row r="1659" spans="2:9" ht="15.75" x14ac:dyDescent="0.25">
      <c r="B1659" s="416" t="s">
        <v>271</v>
      </c>
      <c r="C1659" s="417">
        <v>2022</v>
      </c>
      <c r="D1659" s="417" t="s">
        <v>1939</v>
      </c>
      <c r="E1659" s="413">
        <v>428.98474097914504</v>
      </c>
      <c r="F1659" s="17"/>
      <c r="G1659" s="17"/>
      <c r="H1659" s="17"/>
      <c r="I1659" s="17"/>
    </row>
    <row r="1660" spans="2:9" ht="15.75" x14ac:dyDescent="0.25">
      <c r="B1660" s="416" t="s">
        <v>271</v>
      </c>
      <c r="C1660" s="417">
        <v>2023</v>
      </c>
      <c r="D1660" s="417" t="s">
        <v>1940</v>
      </c>
      <c r="E1660" s="413">
        <v>415.75556235656921</v>
      </c>
      <c r="F1660" s="17"/>
      <c r="G1660" s="17"/>
      <c r="H1660" s="17"/>
      <c r="I1660" s="17"/>
    </row>
    <row r="1661" spans="2:9" ht="15.75" x14ac:dyDescent="0.25">
      <c r="B1661" s="416" t="s">
        <v>271</v>
      </c>
      <c r="C1661" s="417">
        <v>2024</v>
      </c>
      <c r="D1661" s="417" t="s">
        <v>1941</v>
      </c>
      <c r="E1661" s="413">
        <v>404.69800357595369</v>
      </c>
      <c r="F1661" s="17"/>
      <c r="G1661" s="17"/>
      <c r="H1661" s="17"/>
      <c r="I1661" s="17"/>
    </row>
    <row r="1662" spans="2:9" ht="15.75" x14ac:dyDescent="0.25">
      <c r="B1662" s="416" t="s">
        <v>271</v>
      </c>
      <c r="C1662" s="417">
        <v>2025</v>
      </c>
      <c r="D1662" s="417" t="s">
        <v>1942</v>
      </c>
      <c r="E1662" s="413">
        <v>391.76094185440479</v>
      </c>
      <c r="F1662" s="17"/>
      <c r="G1662" s="17"/>
      <c r="H1662" s="17"/>
      <c r="I1662" s="17"/>
    </row>
    <row r="1663" spans="2:9" ht="15.75" x14ac:dyDescent="0.25">
      <c r="B1663" s="416" t="s">
        <v>271</v>
      </c>
      <c r="C1663" s="417">
        <v>2026</v>
      </c>
      <c r="D1663" s="417" t="s">
        <v>1943</v>
      </c>
      <c r="E1663" s="413">
        <v>380.09165535454753</v>
      </c>
      <c r="F1663" s="17"/>
      <c r="G1663" s="17"/>
      <c r="H1663" s="17"/>
      <c r="I1663" s="17"/>
    </row>
    <row r="1664" spans="2:9" ht="15.75" x14ac:dyDescent="0.25">
      <c r="B1664" s="416" t="s">
        <v>271</v>
      </c>
      <c r="C1664" s="417">
        <v>2027</v>
      </c>
      <c r="D1664" s="417" t="s">
        <v>1944</v>
      </c>
      <c r="E1664" s="413">
        <v>369.56074960611625</v>
      </c>
      <c r="F1664" s="17"/>
      <c r="G1664" s="17"/>
      <c r="H1664" s="17"/>
      <c r="I1664" s="17"/>
    </row>
    <row r="1665" spans="2:9" ht="15.75" x14ac:dyDescent="0.25">
      <c r="B1665" s="416" t="s">
        <v>271</v>
      </c>
      <c r="C1665" s="417">
        <v>2028</v>
      </c>
      <c r="D1665" s="417" t="s">
        <v>1945</v>
      </c>
      <c r="E1665" s="413">
        <v>360.17553347901384</v>
      </c>
      <c r="F1665" s="17"/>
      <c r="G1665" s="17"/>
      <c r="H1665" s="17"/>
      <c r="I1665" s="17"/>
    </row>
    <row r="1666" spans="2:9" ht="15.75" x14ac:dyDescent="0.25">
      <c r="B1666" s="416" t="s">
        <v>271</v>
      </c>
      <c r="C1666" s="417">
        <v>2029</v>
      </c>
      <c r="D1666" s="417" t="s">
        <v>1946</v>
      </c>
      <c r="E1666" s="413">
        <v>351.78762883332502</v>
      </c>
      <c r="F1666" s="17"/>
      <c r="G1666" s="17"/>
      <c r="H1666" s="17"/>
      <c r="I1666" s="17"/>
    </row>
    <row r="1667" spans="2:9" ht="15.75" x14ac:dyDescent="0.25">
      <c r="B1667" s="416" t="s">
        <v>271</v>
      </c>
      <c r="C1667" s="417">
        <v>2030</v>
      </c>
      <c r="D1667" s="417" t="s">
        <v>1947</v>
      </c>
      <c r="E1667" s="413">
        <v>344.33761578237022</v>
      </c>
      <c r="F1667" s="17"/>
      <c r="G1667" s="17"/>
      <c r="H1667" s="17"/>
      <c r="I1667" s="17"/>
    </row>
    <row r="1668" spans="2:9" ht="15.75" x14ac:dyDescent="0.25">
      <c r="B1668" s="416" t="s">
        <v>271</v>
      </c>
      <c r="C1668" s="417">
        <v>2031</v>
      </c>
      <c r="D1668" s="417" t="s">
        <v>1948</v>
      </c>
      <c r="E1668" s="413">
        <v>340.12203518933813</v>
      </c>
      <c r="F1668" s="17"/>
      <c r="G1668" s="17"/>
      <c r="H1668" s="17"/>
      <c r="I1668" s="17"/>
    </row>
    <row r="1669" spans="2:9" ht="15.75" x14ac:dyDescent="0.25">
      <c r="B1669" s="416" t="s">
        <v>271</v>
      </c>
      <c r="C1669" s="417">
        <v>2032</v>
      </c>
      <c r="D1669" s="417" t="s">
        <v>1949</v>
      </c>
      <c r="E1669" s="413">
        <v>334.24287372771067</v>
      </c>
      <c r="F1669" s="17"/>
      <c r="G1669" s="17"/>
      <c r="H1669" s="17"/>
      <c r="I1669" s="17"/>
    </row>
    <row r="1670" spans="2:9" ht="15.75" x14ac:dyDescent="0.25">
      <c r="B1670" s="416" t="s">
        <v>271</v>
      </c>
      <c r="C1670" s="417">
        <v>2033</v>
      </c>
      <c r="D1670" s="417" t="s">
        <v>1950</v>
      </c>
      <c r="E1670" s="413">
        <v>329.0655596330601</v>
      </c>
      <c r="F1670" s="17"/>
      <c r="G1670" s="17"/>
      <c r="H1670" s="17"/>
      <c r="I1670" s="17"/>
    </row>
    <row r="1671" spans="2:9" ht="15.75" x14ac:dyDescent="0.25">
      <c r="B1671" s="416" t="s">
        <v>271</v>
      </c>
      <c r="C1671" s="417">
        <v>2034</v>
      </c>
      <c r="D1671" s="417" t="s">
        <v>1951</v>
      </c>
      <c r="E1671" s="413">
        <v>324.50607505004325</v>
      </c>
      <c r="F1671" s="17"/>
      <c r="G1671" s="17"/>
      <c r="H1671" s="17"/>
      <c r="I1671" s="17"/>
    </row>
    <row r="1672" spans="2:9" ht="15.75" x14ac:dyDescent="0.25">
      <c r="B1672" s="416" t="s">
        <v>271</v>
      </c>
      <c r="C1672" s="417">
        <v>2035</v>
      </c>
      <c r="D1672" s="417" t="s">
        <v>1952</v>
      </c>
      <c r="E1672" s="413">
        <v>320.53265412409354</v>
      </c>
      <c r="F1672" s="17"/>
      <c r="G1672" s="17"/>
      <c r="H1672" s="17"/>
      <c r="I1672" s="17"/>
    </row>
    <row r="1673" spans="2:9" ht="15.75" x14ac:dyDescent="0.25">
      <c r="B1673" s="416" t="s">
        <v>271</v>
      </c>
      <c r="C1673" s="417">
        <v>2036</v>
      </c>
      <c r="D1673" s="417" t="s">
        <v>1953</v>
      </c>
      <c r="E1673" s="413">
        <v>317.08139999064815</v>
      </c>
      <c r="F1673" s="17"/>
      <c r="G1673" s="17"/>
      <c r="H1673" s="17"/>
      <c r="I1673" s="17"/>
    </row>
    <row r="1674" spans="2:9" ht="15.75" x14ac:dyDescent="0.25">
      <c r="B1674" s="416" t="s">
        <v>271</v>
      </c>
      <c r="C1674" s="417">
        <v>2037</v>
      </c>
      <c r="D1674" s="417" t="s">
        <v>1954</v>
      </c>
      <c r="E1674" s="413">
        <v>314.11138271707</v>
      </c>
      <c r="F1674" s="17"/>
      <c r="G1674" s="17"/>
      <c r="H1674" s="17"/>
      <c r="I1674" s="17"/>
    </row>
    <row r="1675" spans="2:9" ht="15.75" x14ac:dyDescent="0.25">
      <c r="B1675" s="416" t="s">
        <v>271</v>
      </c>
      <c r="C1675" s="417">
        <v>2038</v>
      </c>
      <c r="D1675" s="417" t="s">
        <v>1955</v>
      </c>
      <c r="E1675" s="413">
        <v>311.56924206350016</v>
      </c>
      <c r="F1675" s="17"/>
      <c r="G1675" s="17"/>
      <c r="H1675" s="17"/>
      <c r="I1675" s="17"/>
    </row>
    <row r="1676" spans="2:9" ht="15.75" x14ac:dyDescent="0.25">
      <c r="B1676" s="416" t="s">
        <v>271</v>
      </c>
      <c r="C1676" s="417">
        <v>2039</v>
      </c>
      <c r="D1676" s="417" t="s">
        <v>1956</v>
      </c>
      <c r="E1676" s="413">
        <v>309.38917282833205</v>
      </c>
      <c r="F1676" s="17"/>
      <c r="G1676" s="17"/>
      <c r="H1676" s="17"/>
      <c r="I1676" s="17"/>
    </row>
    <row r="1677" spans="2:9" ht="15.75" x14ac:dyDescent="0.25">
      <c r="B1677" s="416" t="s">
        <v>271</v>
      </c>
      <c r="C1677" s="417">
        <v>2040</v>
      </c>
      <c r="D1677" s="417" t="s">
        <v>1957</v>
      </c>
      <c r="E1677" s="413">
        <v>307.54627067558624</v>
      </c>
      <c r="F1677" s="17"/>
      <c r="G1677" s="17"/>
      <c r="H1677" s="17"/>
      <c r="I1677" s="17"/>
    </row>
    <row r="1678" spans="2:9" ht="15.75" x14ac:dyDescent="0.25">
      <c r="B1678" s="416" t="s">
        <v>271</v>
      </c>
      <c r="C1678" s="417">
        <v>2041</v>
      </c>
      <c r="D1678" s="417" t="s">
        <v>1958</v>
      </c>
      <c r="E1678" s="413">
        <v>306.00666561072313</v>
      </c>
      <c r="F1678" s="17"/>
      <c r="G1678" s="17"/>
      <c r="H1678" s="17"/>
      <c r="I1678" s="17"/>
    </row>
    <row r="1679" spans="2:9" ht="15.75" x14ac:dyDescent="0.25">
      <c r="B1679" s="416" t="s">
        <v>271</v>
      </c>
      <c r="C1679" s="417">
        <v>2042</v>
      </c>
      <c r="D1679" s="417" t="s">
        <v>1959</v>
      </c>
      <c r="E1679" s="413">
        <v>304.69431483704534</v>
      </c>
      <c r="F1679" s="17"/>
      <c r="G1679" s="17"/>
      <c r="H1679" s="17"/>
      <c r="I1679" s="17"/>
    </row>
    <row r="1680" spans="2:9" ht="15.75" x14ac:dyDescent="0.25">
      <c r="B1680" s="416" t="s">
        <v>271</v>
      </c>
      <c r="C1680" s="417">
        <v>2043</v>
      </c>
      <c r="D1680" s="417" t="s">
        <v>1960</v>
      </c>
      <c r="E1680" s="413">
        <v>303.6034986726583</v>
      </c>
      <c r="F1680" s="17"/>
      <c r="G1680" s="17"/>
      <c r="H1680" s="17"/>
      <c r="I1680" s="17"/>
    </row>
    <row r="1681" spans="2:9" ht="15.75" x14ac:dyDescent="0.25">
      <c r="B1681" s="416" t="s">
        <v>271</v>
      </c>
      <c r="C1681" s="417">
        <v>2044</v>
      </c>
      <c r="D1681" s="417" t="s">
        <v>1961</v>
      </c>
      <c r="E1681" s="413">
        <v>302.68090625587422</v>
      </c>
      <c r="F1681" s="17"/>
      <c r="G1681" s="17"/>
      <c r="H1681" s="17"/>
      <c r="I1681" s="17"/>
    </row>
    <row r="1682" spans="2:9" ht="15.75" x14ac:dyDescent="0.25">
      <c r="B1682" s="416" t="s">
        <v>271</v>
      </c>
      <c r="C1682" s="417">
        <v>2045</v>
      </c>
      <c r="D1682" s="417" t="s">
        <v>1962</v>
      </c>
      <c r="E1682" s="413">
        <v>301.87042759070704</v>
      </c>
      <c r="F1682" s="17"/>
      <c r="G1682" s="17"/>
      <c r="H1682" s="17"/>
      <c r="I1682" s="17"/>
    </row>
    <row r="1683" spans="2:9" ht="15.75" x14ac:dyDescent="0.25">
      <c r="B1683" s="416" t="s">
        <v>271</v>
      </c>
      <c r="C1683" s="417">
        <v>2046</v>
      </c>
      <c r="D1683" s="417" t="s">
        <v>1963</v>
      </c>
      <c r="E1683" s="413">
        <v>301.1737577079985</v>
      </c>
      <c r="F1683" s="17"/>
      <c r="G1683" s="17"/>
      <c r="H1683" s="17"/>
      <c r="I1683" s="17"/>
    </row>
    <row r="1684" spans="2:9" ht="15.75" x14ac:dyDescent="0.25">
      <c r="B1684" s="416" t="s">
        <v>271</v>
      </c>
      <c r="C1684" s="417">
        <v>2047</v>
      </c>
      <c r="D1684" s="417" t="s">
        <v>1964</v>
      </c>
      <c r="E1684" s="413">
        <v>300.58919837985383</v>
      </c>
      <c r="F1684" s="17"/>
      <c r="G1684" s="17"/>
      <c r="H1684" s="17"/>
      <c r="I1684" s="17"/>
    </row>
    <row r="1685" spans="2:9" ht="15.75" x14ac:dyDescent="0.25">
      <c r="B1685" s="416" t="s">
        <v>271</v>
      </c>
      <c r="C1685" s="417">
        <v>2048</v>
      </c>
      <c r="D1685" s="417" t="s">
        <v>1965</v>
      </c>
      <c r="E1685" s="413">
        <v>300.08637036807971</v>
      </c>
      <c r="F1685" s="17"/>
      <c r="G1685" s="17"/>
      <c r="H1685" s="17"/>
      <c r="I1685" s="17"/>
    </row>
    <row r="1686" spans="2:9" ht="15.75" x14ac:dyDescent="0.25">
      <c r="B1686" s="416" t="s">
        <v>271</v>
      </c>
      <c r="C1686" s="417">
        <v>2049</v>
      </c>
      <c r="D1686" s="417" t="s">
        <v>1966</v>
      </c>
      <c r="E1686" s="413">
        <v>299.65399157463492</v>
      </c>
      <c r="F1686" s="17"/>
      <c r="G1686" s="17"/>
      <c r="H1686" s="17"/>
      <c r="I1686" s="17"/>
    </row>
    <row r="1687" spans="2:9" ht="15.75" x14ac:dyDescent="0.25">
      <c r="B1687" s="416" t="s">
        <v>271</v>
      </c>
      <c r="C1687" s="417">
        <v>2050</v>
      </c>
      <c r="D1687" s="417" t="s">
        <v>1967</v>
      </c>
      <c r="E1687" s="413">
        <v>299.29288319941725</v>
      </c>
      <c r="F1687" s="17"/>
      <c r="G1687" s="17"/>
      <c r="H1687" s="17"/>
      <c r="I1687" s="17"/>
    </row>
    <row r="1688" spans="2:9" ht="15.75" x14ac:dyDescent="0.25">
      <c r="B1688" s="407" t="s">
        <v>87</v>
      </c>
      <c r="C1688" s="408">
        <v>2015</v>
      </c>
      <c r="D1688" s="409" t="s">
        <v>272</v>
      </c>
      <c r="E1688" s="410">
        <v>513.75726374025703</v>
      </c>
      <c r="F1688" s="17"/>
      <c r="G1688" s="17"/>
      <c r="H1688" s="17"/>
      <c r="I1688" s="17"/>
    </row>
    <row r="1689" spans="2:9" ht="15.75" x14ac:dyDescent="0.25">
      <c r="B1689" s="407" t="s">
        <v>87</v>
      </c>
      <c r="C1689" s="408">
        <v>2016</v>
      </c>
      <c r="D1689" s="409" t="s">
        <v>273</v>
      </c>
      <c r="E1689" s="410">
        <v>502.73371678484392</v>
      </c>
      <c r="F1689" s="17"/>
      <c r="G1689" s="17"/>
      <c r="H1689" s="17"/>
      <c r="I1689" s="17"/>
    </row>
    <row r="1690" spans="2:9" ht="15.75" x14ac:dyDescent="0.25">
      <c r="B1690" s="411" t="s">
        <v>87</v>
      </c>
      <c r="C1690" s="412">
        <v>2017</v>
      </c>
      <c r="D1690" s="412" t="s">
        <v>1968</v>
      </c>
      <c r="E1690" s="413">
        <v>489.72597619082291</v>
      </c>
      <c r="F1690" s="17"/>
      <c r="G1690" s="17"/>
      <c r="H1690" s="17"/>
      <c r="I1690" s="17"/>
    </row>
    <row r="1691" spans="2:9" ht="15.75" x14ac:dyDescent="0.25">
      <c r="B1691" s="411" t="s">
        <v>87</v>
      </c>
      <c r="C1691" s="412">
        <v>2018</v>
      </c>
      <c r="D1691" s="412" t="s">
        <v>1969</v>
      </c>
      <c r="E1691" s="413">
        <v>476.02433453712467</v>
      </c>
      <c r="F1691" s="17"/>
      <c r="G1691" s="17"/>
      <c r="H1691" s="17"/>
      <c r="I1691" s="17"/>
    </row>
    <row r="1692" spans="2:9" ht="15.75" x14ac:dyDescent="0.25">
      <c r="B1692" s="411" t="s">
        <v>87</v>
      </c>
      <c r="C1692" s="412">
        <v>2019</v>
      </c>
      <c r="D1692" s="412" t="s">
        <v>1970</v>
      </c>
      <c r="E1692" s="413">
        <v>462.11262939773826</v>
      </c>
      <c r="F1692" s="17"/>
      <c r="G1692" s="17"/>
      <c r="H1692" s="17"/>
      <c r="I1692" s="17"/>
    </row>
    <row r="1693" spans="2:9" ht="15.75" x14ac:dyDescent="0.25">
      <c r="B1693" s="411" t="s">
        <v>87</v>
      </c>
      <c r="C1693" s="412">
        <v>2020</v>
      </c>
      <c r="D1693" s="412" t="s">
        <v>1971</v>
      </c>
      <c r="E1693" s="413">
        <v>448.17834604634248</v>
      </c>
      <c r="F1693" s="17"/>
      <c r="G1693" s="17"/>
      <c r="H1693" s="17"/>
      <c r="I1693" s="17"/>
    </row>
    <row r="1694" spans="2:9" ht="15.75" x14ac:dyDescent="0.25">
      <c r="B1694" s="411" t="s">
        <v>87</v>
      </c>
      <c r="C1694" s="412">
        <v>2021</v>
      </c>
      <c r="D1694" s="412" t="s">
        <v>1972</v>
      </c>
      <c r="E1694" s="413">
        <v>434.75180787978616</v>
      </c>
      <c r="F1694" s="17"/>
      <c r="G1694" s="17"/>
      <c r="H1694" s="17"/>
      <c r="I1694" s="17"/>
    </row>
    <row r="1695" spans="2:9" ht="15.75" x14ac:dyDescent="0.25">
      <c r="B1695" s="411" t="s">
        <v>87</v>
      </c>
      <c r="C1695" s="412">
        <v>2022</v>
      </c>
      <c r="D1695" s="412" t="s">
        <v>1973</v>
      </c>
      <c r="E1695" s="413">
        <v>421.22515755435023</v>
      </c>
      <c r="F1695" s="17"/>
      <c r="G1695" s="17"/>
      <c r="H1695" s="17"/>
      <c r="I1695" s="17"/>
    </row>
    <row r="1696" spans="2:9" ht="15.75" x14ac:dyDescent="0.25">
      <c r="B1696" s="411" t="s">
        <v>87</v>
      </c>
      <c r="C1696" s="412">
        <v>2023</v>
      </c>
      <c r="D1696" s="412" t="s">
        <v>1974</v>
      </c>
      <c r="E1696" s="413">
        <v>407.90373112802661</v>
      </c>
      <c r="F1696" s="17"/>
      <c r="G1696" s="17"/>
      <c r="H1696" s="17"/>
      <c r="I1696" s="17"/>
    </row>
    <row r="1697" spans="2:9" ht="15.75" x14ac:dyDescent="0.25">
      <c r="B1697" s="411" t="s">
        <v>87</v>
      </c>
      <c r="C1697" s="412">
        <v>2024</v>
      </c>
      <c r="D1697" s="412" t="s">
        <v>1975</v>
      </c>
      <c r="E1697" s="413">
        <v>394.88158693027117</v>
      </c>
      <c r="F1697" s="17"/>
      <c r="G1697" s="17"/>
      <c r="H1697" s="17"/>
      <c r="I1697" s="17"/>
    </row>
    <row r="1698" spans="2:9" ht="15.75" x14ac:dyDescent="0.25">
      <c r="B1698" s="411" t="s">
        <v>87</v>
      </c>
      <c r="C1698" s="412">
        <v>2025</v>
      </c>
      <c r="D1698" s="412" t="s">
        <v>1976</v>
      </c>
      <c r="E1698" s="413">
        <v>382.11637924689762</v>
      </c>
      <c r="F1698" s="17"/>
      <c r="G1698" s="17"/>
      <c r="H1698" s="17"/>
      <c r="I1698" s="17"/>
    </row>
    <row r="1699" spans="2:9" ht="15.75" x14ac:dyDescent="0.25">
      <c r="B1699" s="411" t="s">
        <v>87</v>
      </c>
      <c r="C1699" s="412">
        <v>2026</v>
      </c>
      <c r="D1699" s="412" t="s">
        <v>1977</v>
      </c>
      <c r="E1699" s="413">
        <v>370.06389088268503</v>
      </c>
      <c r="F1699" s="17"/>
      <c r="G1699" s="17"/>
      <c r="H1699" s="17"/>
      <c r="I1699" s="17"/>
    </row>
    <row r="1700" spans="2:9" ht="15.75" x14ac:dyDescent="0.25">
      <c r="B1700" s="411" t="s">
        <v>87</v>
      </c>
      <c r="C1700" s="412">
        <v>2027</v>
      </c>
      <c r="D1700" s="412" t="s">
        <v>1978</v>
      </c>
      <c r="E1700" s="413">
        <v>359.37434694331142</v>
      </c>
      <c r="F1700" s="17"/>
      <c r="G1700" s="17"/>
      <c r="H1700" s="17"/>
      <c r="I1700" s="17"/>
    </row>
    <row r="1701" spans="2:9" ht="15.75" x14ac:dyDescent="0.25">
      <c r="B1701" s="411" t="s">
        <v>87</v>
      </c>
      <c r="C1701" s="412">
        <v>2028</v>
      </c>
      <c r="D1701" s="412" t="s">
        <v>1979</v>
      </c>
      <c r="E1701" s="413">
        <v>349.72578293235136</v>
      </c>
      <c r="F1701" s="17"/>
      <c r="G1701" s="17"/>
      <c r="H1701" s="17"/>
      <c r="I1701" s="17"/>
    </row>
    <row r="1702" spans="2:9" ht="15.75" x14ac:dyDescent="0.25">
      <c r="B1702" s="411" t="s">
        <v>87</v>
      </c>
      <c r="C1702" s="412">
        <v>2029</v>
      </c>
      <c r="D1702" s="412" t="s">
        <v>1980</v>
      </c>
      <c r="E1702" s="413">
        <v>341.06400121381824</v>
      </c>
      <c r="F1702" s="17"/>
      <c r="G1702" s="17"/>
      <c r="H1702" s="17"/>
      <c r="I1702" s="17"/>
    </row>
    <row r="1703" spans="2:9" ht="15.75" x14ac:dyDescent="0.25">
      <c r="B1703" s="411" t="s">
        <v>87</v>
      </c>
      <c r="C1703" s="412">
        <v>2030</v>
      </c>
      <c r="D1703" s="412" t="s">
        <v>1981</v>
      </c>
      <c r="E1703" s="413">
        <v>333.31964580597059</v>
      </c>
      <c r="F1703" s="17"/>
      <c r="G1703" s="17"/>
      <c r="H1703" s="17"/>
      <c r="I1703" s="17"/>
    </row>
    <row r="1704" spans="2:9" ht="15.75" x14ac:dyDescent="0.25">
      <c r="B1704" s="411" t="s">
        <v>87</v>
      </c>
      <c r="C1704" s="412">
        <v>2031</v>
      </c>
      <c r="D1704" s="412" t="s">
        <v>1982</v>
      </c>
      <c r="E1704" s="413">
        <v>326.45290542646842</v>
      </c>
      <c r="F1704" s="17"/>
      <c r="G1704" s="17"/>
      <c r="H1704" s="17"/>
      <c r="I1704" s="17"/>
    </row>
    <row r="1705" spans="2:9" ht="15.75" x14ac:dyDescent="0.25">
      <c r="B1705" s="411" t="s">
        <v>87</v>
      </c>
      <c r="C1705" s="412">
        <v>2032</v>
      </c>
      <c r="D1705" s="412" t="s">
        <v>1983</v>
      </c>
      <c r="E1705" s="413">
        <v>320.35417523422308</v>
      </c>
      <c r="F1705" s="17"/>
      <c r="G1705" s="17"/>
      <c r="H1705" s="17"/>
      <c r="I1705" s="17"/>
    </row>
    <row r="1706" spans="2:9" ht="15.75" x14ac:dyDescent="0.25">
      <c r="B1706" s="411" t="s">
        <v>87</v>
      </c>
      <c r="C1706" s="412">
        <v>2033</v>
      </c>
      <c r="D1706" s="412" t="s">
        <v>1984</v>
      </c>
      <c r="E1706" s="413">
        <v>314.97191058307595</v>
      </c>
      <c r="F1706" s="17"/>
      <c r="G1706" s="17"/>
      <c r="H1706" s="17"/>
      <c r="I1706" s="17"/>
    </row>
    <row r="1707" spans="2:9" ht="15.75" x14ac:dyDescent="0.25">
      <c r="B1707" s="411" t="s">
        <v>87</v>
      </c>
      <c r="C1707" s="412">
        <v>2034</v>
      </c>
      <c r="D1707" s="412" t="s">
        <v>1985</v>
      </c>
      <c r="E1707" s="413">
        <v>310.24108588640337</v>
      </c>
      <c r="F1707" s="17"/>
      <c r="G1707" s="17"/>
      <c r="H1707" s="17"/>
      <c r="I1707" s="17"/>
    </row>
    <row r="1708" spans="2:9" ht="15.75" x14ac:dyDescent="0.25">
      <c r="B1708" s="411" t="s">
        <v>87</v>
      </c>
      <c r="C1708" s="412">
        <v>2035</v>
      </c>
      <c r="D1708" s="412" t="s">
        <v>1986</v>
      </c>
      <c r="E1708" s="413">
        <v>306.10432190393277</v>
      </c>
      <c r="F1708" s="17"/>
      <c r="G1708" s="17"/>
      <c r="H1708" s="17"/>
      <c r="I1708" s="17"/>
    </row>
    <row r="1709" spans="2:9" ht="15.75" x14ac:dyDescent="0.25">
      <c r="B1709" s="411" t="s">
        <v>87</v>
      </c>
      <c r="C1709" s="412">
        <v>2036</v>
      </c>
      <c r="D1709" s="412" t="s">
        <v>1987</v>
      </c>
      <c r="E1709" s="413">
        <v>302.50722861756935</v>
      </c>
      <c r="F1709" s="17"/>
      <c r="G1709" s="17"/>
      <c r="H1709" s="17"/>
      <c r="I1709" s="17"/>
    </row>
    <row r="1710" spans="2:9" ht="15.75" x14ac:dyDescent="0.25">
      <c r="B1710" s="411" t="s">
        <v>87</v>
      </c>
      <c r="C1710" s="412">
        <v>2037</v>
      </c>
      <c r="D1710" s="412" t="s">
        <v>1988</v>
      </c>
      <c r="E1710" s="413">
        <v>299.41009232741243</v>
      </c>
      <c r="F1710" s="17"/>
      <c r="G1710" s="17"/>
      <c r="H1710" s="17"/>
      <c r="I1710" s="17"/>
    </row>
    <row r="1711" spans="2:9" ht="15.75" x14ac:dyDescent="0.25">
      <c r="B1711" s="411" t="s">
        <v>87</v>
      </c>
      <c r="C1711" s="412">
        <v>2038</v>
      </c>
      <c r="D1711" s="412" t="s">
        <v>1989</v>
      </c>
      <c r="E1711" s="413">
        <v>296.76138065670511</v>
      </c>
      <c r="F1711" s="17"/>
      <c r="G1711" s="17"/>
      <c r="H1711" s="17"/>
      <c r="I1711" s="17"/>
    </row>
    <row r="1712" spans="2:9" ht="15.75" x14ac:dyDescent="0.25">
      <c r="B1712" s="411" t="s">
        <v>87</v>
      </c>
      <c r="C1712" s="412">
        <v>2039</v>
      </c>
      <c r="D1712" s="412" t="s">
        <v>1990</v>
      </c>
      <c r="E1712" s="413">
        <v>294.50043898057703</v>
      </c>
      <c r="F1712" s="17"/>
      <c r="G1712" s="17"/>
      <c r="H1712" s="17"/>
      <c r="I1712" s="17"/>
    </row>
    <row r="1713" spans="2:9" ht="15.75" x14ac:dyDescent="0.25">
      <c r="B1713" s="411" t="s">
        <v>87</v>
      </c>
      <c r="C1713" s="412">
        <v>2040</v>
      </c>
      <c r="D1713" s="412" t="s">
        <v>1991</v>
      </c>
      <c r="E1713" s="413">
        <v>292.5936542760744</v>
      </c>
      <c r="F1713" s="17"/>
      <c r="G1713" s="17"/>
      <c r="H1713" s="17"/>
      <c r="I1713" s="17"/>
    </row>
    <row r="1714" spans="2:9" ht="15.75" x14ac:dyDescent="0.25">
      <c r="B1714" s="411" t="s">
        <v>87</v>
      </c>
      <c r="C1714" s="412">
        <v>2041</v>
      </c>
      <c r="D1714" s="412" t="s">
        <v>1992</v>
      </c>
      <c r="E1714" s="413">
        <v>291.01018590241057</v>
      </c>
      <c r="F1714" s="17"/>
      <c r="G1714" s="17"/>
      <c r="H1714" s="17"/>
      <c r="I1714" s="17"/>
    </row>
    <row r="1715" spans="2:9" ht="15.75" x14ac:dyDescent="0.25">
      <c r="B1715" s="411" t="s">
        <v>87</v>
      </c>
      <c r="C1715" s="412">
        <v>2042</v>
      </c>
      <c r="D1715" s="412" t="s">
        <v>1993</v>
      </c>
      <c r="E1715" s="413">
        <v>289.68742474724536</v>
      </c>
      <c r="F1715" s="17"/>
      <c r="G1715" s="17"/>
      <c r="H1715" s="17"/>
      <c r="I1715" s="17"/>
    </row>
    <row r="1716" spans="2:9" ht="15.75" x14ac:dyDescent="0.25">
      <c r="B1716" s="411" t="s">
        <v>87</v>
      </c>
      <c r="C1716" s="412">
        <v>2043</v>
      </c>
      <c r="D1716" s="412" t="s">
        <v>1994</v>
      </c>
      <c r="E1716" s="413">
        <v>288.59948694972184</v>
      </c>
      <c r="F1716" s="17"/>
      <c r="G1716" s="17"/>
      <c r="H1716" s="17"/>
      <c r="I1716" s="17"/>
    </row>
    <row r="1717" spans="2:9" ht="15.75" x14ac:dyDescent="0.25">
      <c r="B1717" s="411" t="s">
        <v>87</v>
      </c>
      <c r="C1717" s="412">
        <v>2044</v>
      </c>
      <c r="D1717" s="412" t="s">
        <v>1995</v>
      </c>
      <c r="E1717" s="413">
        <v>287.70194781665157</v>
      </c>
      <c r="F1717" s="17"/>
      <c r="G1717" s="17"/>
      <c r="H1717" s="17"/>
      <c r="I1717" s="17"/>
    </row>
    <row r="1718" spans="2:9" ht="15.75" x14ac:dyDescent="0.25">
      <c r="B1718" s="411" t="s">
        <v>87</v>
      </c>
      <c r="C1718" s="412">
        <v>2045</v>
      </c>
      <c r="D1718" s="412" t="s">
        <v>1996</v>
      </c>
      <c r="E1718" s="413">
        <v>286.95850291683519</v>
      </c>
      <c r="F1718" s="17"/>
      <c r="G1718" s="17"/>
      <c r="H1718" s="17"/>
      <c r="I1718" s="17"/>
    </row>
    <row r="1719" spans="2:9" ht="15.75" x14ac:dyDescent="0.25">
      <c r="B1719" s="411" t="s">
        <v>87</v>
      </c>
      <c r="C1719" s="412">
        <v>2046</v>
      </c>
      <c r="D1719" s="412" t="s">
        <v>1997</v>
      </c>
      <c r="E1719" s="413">
        <v>286.35194811694413</v>
      </c>
      <c r="F1719" s="17"/>
      <c r="G1719" s="17"/>
      <c r="H1719" s="17"/>
      <c r="I1719" s="17"/>
    </row>
    <row r="1720" spans="2:9" ht="15.75" x14ac:dyDescent="0.25">
      <c r="B1720" s="411" t="s">
        <v>87</v>
      </c>
      <c r="C1720" s="412">
        <v>2047</v>
      </c>
      <c r="D1720" s="412" t="s">
        <v>1998</v>
      </c>
      <c r="E1720" s="413">
        <v>285.86048370738251</v>
      </c>
      <c r="F1720" s="17"/>
      <c r="G1720" s="17"/>
      <c r="H1720" s="17"/>
      <c r="I1720" s="17"/>
    </row>
    <row r="1721" spans="2:9" ht="15.75" x14ac:dyDescent="0.25">
      <c r="B1721" s="411" t="s">
        <v>87</v>
      </c>
      <c r="C1721" s="412">
        <v>2048</v>
      </c>
      <c r="D1721" s="412" t="s">
        <v>1999</v>
      </c>
      <c r="E1721" s="413">
        <v>285.46878808772522</v>
      </c>
      <c r="F1721" s="17"/>
      <c r="G1721" s="17"/>
      <c r="H1721" s="17"/>
      <c r="I1721" s="17"/>
    </row>
    <row r="1722" spans="2:9" ht="15.75" x14ac:dyDescent="0.25">
      <c r="B1722" s="411" t="s">
        <v>87</v>
      </c>
      <c r="C1722" s="412">
        <v>2049</v>
      </c>
      <c r="D1722" s="412" t="s">
        <v>2000</v>
      </c>
      <c r="E1722" s="413">
        <v>285.14628228361988</v>
      </c>
      <c r="F1722" s="17"/>
      <c r="G1722" s="17"/>
      <c r="H1722" s="17"/>
      <c r="I1722" s="17"/>
    </row>
    <row r="1723" spans="2:9" ht="15.75" x14ac:dyDescent="0.25">
      <c r="B1723" s="411" t="s">
        <v>87</v>
      </c>
      <c r="C1723" s="412">
        <v>2050</v>
      </c>
      <c r="D1723" s="412" t="s">
        <v>2001</v>
      </c>
      <c r="E1723" s="413">
        <v>284.89331149574303</v>
      </c>
      <c r="F1723" s="17"/>
      <c r="G1723" s="17"/>
      <c r="H1723" s="17"/>
      <c r="I1723" s="17"/>
    </row>
    <row r="1724" spans="2:9" ht="15.75" x14ac:dyDescent="0.25">
      <c r="B1724" s="407" t="s">
        <v>274</v>
      </c>
      <c r="C1724" s="408">
        <v>2015</v>
      </c>
      <c r="D1724" s="409" t="s">
        <v>275</v>
      </c>
      <c r="E1724" s="410">
        <v>499.97249591790796</v>
      </c>
      <c r="F1724" s="17"/>
      <c r="G1724" s="17"/>
      <c r="H1724" s="17"/>
      <c r="I1724" s="17"/>
    </row>
    <row r="1725" spans="2:9" ht="15.75" x14ac:dyDescent="0.25">
      <c r="B1725" s="407" t="s">
        <v>274</v>
      </c>
      <c r="C1725" s="408">
        <v>2016</v>
      </c>
      <c r="D1725" s="409" t="s">
        <v>276</v>
      </c>
      <c r="E1725" s="410">
        <v>489.54461827388269</v>
      </c>
      <c r="F1725" s="17"/>
      <c r="G1725" s="17"/>
      <c r="H1725" s="17"/>
      <c r="I1725" s="17"/>
    </row>
    <row r="1726" spans="2:9" ht="15.75" x14ac:dyDescent="0.25">
      <c r="B1726" s="411" t="s">
        <v>274</v>
      </c>
      <c r="C1726" s="412">
        <v>2017</v>
      </c>
      <c r="D1726" s="412" t="s">
        <v>2002</v>
      </c>
      <c r="E1726" s="413">
        <v>478.00214066733264</v>
      </c>
      <c r="F1726" s="17"/>
      <c r="G1726" s="17"/>
      <c r="H1726" s="17"/>
      <c r="I1726" s="17"/>
    </row>
    <row r="1727" spans="2:9" ht="15.75" x14ac:dyDescent="0.25">
      <c r="B1727" s="411" t="s">
        <v>274</v>
      </c>
      <c r="C1727" s="412">
        <v>2018</v>
      </c>
      <c r="D1727" s="412" t="s">
        <v>2003</v>
      </c>
      <c r="E1727" s="413">
        <v>465.8660916931517</v>
      </c>
      <c r="F1727" s="17"/>
      <c r="G1727" s="17"/>
      <c r="H1727" s="17"/>
      <c r="I1727" s="17"/>
    </row>
    <row r="1728" spans="2:9" ht="15.75" x14ac:dyDescent="0.25">
      <c r="B1728" s="411" t="s">
        <v>274</v>
      </c>
      <c r="C1728" s="412">
        <v>2019</v>
      </c>
      <c r="D1728" s="412" t="s">
        <v>2004</v>
      </c>
      <c r="E1728" s="413">
        <v>452.70783951457611</v>
      </c>
      <c r="F1728" s="17"/>
      <c r="G1728" s="17"/>
      <c r="H1728" s="17"/>
      <c r="I1728" s="17"/>
    </row>
    <row r="1729" spans="2:9" ht="15.75" x14ac:dyDescent="0.25">
      <c r="B1729" s="411" t="s">
        <v>274</v>
      </c>
      <c r="C1729" s="412">
        <v>2020</v>
      </c>
      <c r="D1729" s="412" t="s">
        <v>2005</v>
      </c>
      <c r="E1729" s="413">
        <v>439.99501142650018</v>
      </c>
      <c r="F1729" s="17"/>
      <c r="G1729" s="17"/>
      <c r="H1729" s="17"/>
      <c r="I1729" s="17"/>
    </row>
    <row r="1730" spans="2:9" ht="15.75" x14ac:dyDescent="0.25">
      <c r="B1730" s="411" t="s">
        <v>274</v>
      </c>
      <c r="C1730" s="412">
        <v>2021</v>
      </c>
      <c r="D1730" s="412" t="s">
        <v>2006</v>
      </c>
      <c r="E1730" s="413">
        <v>427.67189745973735</v>
      </c>
      <c r="F1730" s="17"/>
      <c r="G1730" s="17"/>
      <c r="H1730" s="17"/>
      <c r="I1730" s="17"/>
    </row>
    <row r="1731" spans="2:9" ht="15.75" x14ac:dyDescent="0.25">
      <c r="B1731" s="411" t="s">
        <v>274</v>
      </c>
      <c r="C1731" s="412">
        <v>2022</v>
      </c>
      <c r="D1731" s="412" t="s">
        <v>2007</v>
      </c>
      <c r="E1731" s="413">
        <v>414.91215304666667</v>
      </c>
      <c r="F1731" s="17"/>
      <c r="G1731" s="17"/>
      <c r="H1731" s="17"/>
      <c r="I1731" s="17"/>
    </row>
    <row r="1732" spans="2:9" ht="15.75" x14ac:dyDescent="0.25">
      <c r="B1732" s="411" t="s">
        <v>274</v>
      </c>
      <c r="C1732" s="412">
        <v>2023</v>
      </c>
      <c r="D1732" s="412" t="s">
        <v>2008</v>
      </c>
      <c r="E1732" s="413">
        <v>402.22359171218289</v>
      </c>
      <c r="F1732" s="17"/>
      <c r="G1732" s="17"/>
      <c r="H1732" s="17"/>
      <c r="I1732" s="17"/>
    </row>
    <row r="1733" spans="2:9" ht="15.75" x14ac:dyDescent="0.25">
      <c r="B1733" s="411" t="s">
        <v>274</v>
      </c>
      <c r="C1733" s="412">
        <v>2024</v>
      </c>
      <c r="D1733" s="412" t="s">
        <v>2009</v>
      </c>
      <c r="E1733" s="413">
        <v>391.31942436956268</v>
      </c>
      <c r="F1733" s="17"/>
      <c r="G1733" s="17"/>
      <c r="H1733" s="17"/>
      <c r="I1733" s="17"/>
    </row>
    <row r="1734" spans="2:9" ht="15.75" x14ac:dyDescent="0.25">
      <c r="B1734" s="411" t="s">
        <v>274</v>
      </c>
      <c r="C1734" s="412">
        <v>2025</v>
      </c>
      <c r="D1734" s="412" t="s">
        <v>2010</v>
      </c>
      <c r="E1734" s="413">
        <v>378.87250777048951</v>
      </c>
      <c r="F1734" s="17"/>
      <c r="G1734" s="17"/>
      <c r="H1734" s="17"/>
      <c r="I1734" s="17"/>
    </row>
    <row r="1735" spans="2:9" ht="15.75" x14ac:dyDescent="0.25">
      <c r="B1735" s="411" t="s">
        <v>274</v>
      </c>
      <c r="C1735" s="412">
        <v>2026</v>
      </c>
      <c r="D1735" s="412" t="s">
        <v>2011</v>
      </c>
      <c r="E1735" s="413">
        <v>367.58498853542511</v>
      </c>
      <c r="F1735" s="17"/>
      <c r="G1735" s="17"/>
      <c r="H1735" s="17"/>
      <c r="I1735" s="17"/>
    </row>
    <row r="1736" spans="2:9" ht="15.75" x14ac:dyDescent="0.25">
      <c r="B1736" s="411" t="s">
        <v>274</v>
      </c>
      <c r="C1736" s="412">
        <v>2027</v>
      </c>
      <c r="D1736" s="412" t="s">
        <v>2012</v>
      </c>
      <c r="E1736" s="413">
        <v>357.34027911583655</v>
      </c>
      <c r="F1736" s="17"/>
      <c r="G1736" s="17"/>
      <c r="H1736" s="17"/>
      <c r="I1736" s="17"/>
    </row>
    <row r="1737" spans="2:9" ht="15.75" x14ac:dyDescent="0.25">
      <c r="B1737" s="411" t="s">
        <v>274</v>
      </c>
      <c r="C1737" s="412">
        <v>2028</v>
      </c>
      <c r="D1737" s="412" t="s">
        <v>2013</v>
      </c>
      <c r="E1737" s="413">
        <v>348.18301072818559</v>
      </c>
      <c r="F1737" s="17"/>
      <c r="G1737" s="17"/>
      <c r="H1737" s="17"/>
      <c r="I1737" s="17"/>
    </row>
    <row r="1738" spans="2:9" ht="15.75" x14ac:dyDescent="0.25">
      <c r="B1738" s="411" t="s">
        <v>274</v>
      </c>
      <c r="C1738" s="412">
        <v>2029</v>
      </c>
      <c r="D1738" s="412" t="s">
        <v>2014</v>
      </c>
      <c r="E1738" s="413">
        <v>340.01505842131894</v>
      </c>
      <c r="F1738" s="17"/>
      <c r="G1738" s="17"/>
      <c r="H1738" s="17"/>
      <c r="I1738" s="17"/>
    </row>
    <row r="1739" spans="2:9" ht="15.75" x14ac:dyDescent="0.25">
      <c r="B1739" s="411" t="s">
        <v>274</v>
      </c>
      <c r="C1739" s="412">
        <v>2030</v>
      </c>
      <c r="D1739" s="412" t="s">
        <v>2015</v>
      </c>
      <c r="E1739" s="413">
        <v>332.76939500102901</v>
      </c>
      <c r="F1739" s="17"/>
      <c r="G1739" s="17"/>
      <c r="H1739" s="17"/>
      <c r="I1739" s="17"/>
    </row>
    <row r="1740" spans="2:9" ht="15.75" x14ac:dyDescent="0.25">
      <c r="B1740" s="411" t="s">
        <v>274</v>
      </c>
      <c r="C1740" s="412">
        <v>2031</v>
      </c>
      <c r="D1740" s="412" t="s">
        <v>2016</v>
      </c>
      <c r="E1740" s="413">
        <v>326.68078482664765</v>
      </c>
      <c r="F1740" s="17"/>
      <c r="G1740" s="17"/>
      <c r="H1740" s="17"/>
      <c r="I1740" s="17"/>
    </row>
    <row r="1741" spans="2:9" ht="15.75" x14ac:dyDescent="0.25">
      <c r="B1741" s="411" t="s">
        <v>274</v>
      </c>
      <c r="C1741" s="412">
        <v>2032</v>
      </c>
      <c r="D1741" s="412" t="s">
        <v>2017</v>
      </c>
      <c r="E1741" s="413">
        <v>321.02576286094188</v>
      </c>
      <c r="F1741" s="17"/>
      <c r="G1741" s="17"/>
      <c r="H1741" s="17"/>
      <c r="I1741" s="17"/>
    </row>
    <row r="1742" spans="2:9" ht="15.75" x14ac:dyDescent="0.25">
      <c r="B1742" s="411" t="s">
        <v>274</v>
      </c>
      <c r="C1742" s="412">
        <v>2033</v>
      </c>
      <c r="D1742" s="412" t="s">
        <v>2018</v>
      </c>
      <c r="E1742" s="413">
        <v>316.058120565808</v>
      </c>
      <c r="F1742" s="17"/>
      <c r="G1742" s="17"/>
      <c r="H1742" s="17"/>
      <c r="I1742" s="17"/>
    </row>
    <row r="1743" spans="2:9" ht="15.75" x14ac:dyDescent="0.25">
      <c r="B1743" s="411" t="s">
        <v>274</v>
      </c>
      <c r="C1743" s="412">
        <v>2034</v>
      </c>
      <c r="D1743" s="412" t="s">
        <v>2019</v>
      </c>
      <c r="E1743" s="413">
        <v>311.70775256852755</v>
      </c>
      <c r="F1743" s="17"/>
      <c r="G1743" s="17"/>
      <c r="H1743" s="17"/>
      <c r="I1743" s="17"/>
    </row>
    <row r="1744" spans="2:9" ht="15.75" x14ac:dyDescent="0.25">
      <c r="B1744" s="411" t="s">
        <v>274</v>
      </c>
      <c r="C1744" s="412">
        <v>2035</v>
      </c>
      <c r="D1744" s="412" t="s">
        <v>2020</v>
      </c>
      <c r="E1744" s="413">
        <v>307.92864001532843</v>
      </c>
      <c r="F1744" s="17"/>
      <c r="G1744" s="17"/>
      <c r="H1744" s="17"/>
      <c r="I1744" s="17"/>
    </row>
    <row r="1745" spans="2:9" ht="15.75" x14ac:dyDescent="0.25">
      <c r="B1745" s="411" t="s">
        <v>274</v>
      </c>
      <c r="C1745" s="412">
        <v>2036</v>
      </c>
      <c r="D1745" s="412" t="s">
        <v>2021</v>
      </c>
      <c r="E1745" s="413">
        <v>304.6575768406363</v>
      </c>
      <c r="F1745" s="17"/>
      <c r="G1745" s="17"/>
      <c r="H1745" s="17"/>
      <c r="I1745" s="17"/>
    </row>
    <row r="1746" spans="2:9" ht="15.75" x14ac:dyDescent="0.25">
      <c r="B1746" s="411" t="s">
        <v>274</v>
      </c>
      <c r="C1746" s="412">
        <v>2037</v>
      </c>
      <c r="D1746" s="412" t="s">
        <v>2022</v>
      </c>
      <c r="E1746" s="413">
        <v>301.85390663536435</v>
      </c>
      <c r="F1746" s="17"/>
      <c r="G1746" s="17"/>
      <c r="H1746" s="17"/>
      <c r="I1746" s="17"/>
    </row>
    <row r="1747" spans="2:9" ht="15.75" x14ac:dyDescent="0.25">
      <c r="B1747" s="411" t="s">
        <v>274</v>
      </c>
      <c r="C1747" s="412">
        <v>2038</v>
      </c>
      <c r="D1747" s="412" t="s">
        <v>2023</v>
      </c>
      <c r="E1747" s="413">
        <v>299.47116053448946</v>
      </c>
      <c r="F1747" s="17"/>
      <c r="G1747" s="17"/>
      <c r="H1747" s="17"/>
      <c r="I1747" s="17"/>
    </row>
    <row r="1748" spans="2:9" ht="15.75" x14ac:dyDescent="0.25">
      <c r="B1748" s="411" t="s">
        <v>274</v>
      </c>
      <c r="C1748" s="412">
        <v>2039</v>
      </c>
      <c r="D1748" s="412" t="s">
        <v>2024</v>
      </c>
      <c r="E1748" s="413">
        <v>297.45121283539964</v>
      </c>
      <c r="F1748" s="17"/>
      <c r="G1748" s="17"/>
      <c r="H1748" s="17"/>
      <c r="I1748" s="17"/>
    </row>
    <row r="1749" spans="2:9" ht="15.75" x14ac:dyDescent="0.25">
      <c r="B1749" s="411" t="s">
        <v>274</v>
      </c>
      <c r="C1749" s="412">
        <v>2040</v>
      </c>
      <c r="D1749" s="412" t="s">
        <v>2025</v>
      </c>
      <c r="E1749" s="413">
        <v>295.75446299229441</v>
      </c>
      <c r="F1749" s="17"/>
      <c r="G1749" s="17"/>
      <c r="H1749" s="17"/>
      <c r="I1749" s="17"/>
    </row>
    <row r="1750" spans="2:9" ht="15.75" x14ac:dyDescent="0.25">
      <c r="B1750" s="411" t="s">
        <v>274</v>
      </c>
      <c r="C1750" s="412">
        <v>2041</v>
      </c>
      <c r="D1750" s="412" t="s">
        <v>2026</v>
      </c>
      <c r="E1750" s="413">
        <v>294.35379229723395</v>
      </c>
      <c r="F1750" s="17"/>
      <c r="G1750" s="17"/>
      <c r="H1750" s="17"/>
      <c r="I1750" s="17"/>
    </row>
    <row r="1751" spans="2:9" ht="15.75" x14ac:dyDescent="0.25">
      <c r="B1751" s="411" t="s">
        <v>274</v>
      </c>
      <c r="C1751" s="412">
        <v>2042</v>
      </c>
      <c r="D1751" s="412" t="s">
        <v>2027</v>
      </c>
      <c r="E1751" s="413">
        <v>293.17969066807865</v>
      </c>
      <c r="F1751" s="17"/>
      <c r="G1751" s="17"/>
      <c r="H1751" s="17"/>
      <c r="I1751" s="17"/>
    </row>
    <row r="1752" spans="2:9" ht="15.75" x14ac:dyDescent="0.25">
      <c r="B1752" s="411" t="s">
        <v>274</v>
      </c>
      <c r="C1752" s="412">
        <v>2043</v>
      </c>
      <c r="D1752" s="412" t="s">
        <v>2028</v>
      </c>
      <c r="E1752" s="413">
        <v>292.21336400026951</v>
      </c>
      <c r="F1752" s="17"/>
      <c r="G1752" s="17"/>
      <c r="H1752" s="17"/>
      <c r="I1752" s="17"/>
    </row>
    <row r="1753" spans="2:9" ht="15.75" x14ac:dyDescent="0.25">
      <c r="B1753" s="411" t="s">
        <v>274</v>
      </c>
      <c r="C1753" s="412">
        <v>2044</v>
      </c>
      <c r="D1753" s="412" t="s">
        <v>2029</v>
      </c>
      <c r="E1753" s="413">
        <v>291.4056527384671</v>
      </c>
      <c r="F1753" s="17"/>
      <c r="G1753" s="17"/>
      <c r="H1753" s="17"/>
      <c r="I1753" s="17"/>
    </row>
    <row r="1754" spans="2:9" ht="15.75" x14ac:dyDescent="0.25">
      <c r="B1754" s="411" t="s">
        <v>274</v>
      </c>
      <c r="C1754" s="412">
        <v>2045</v>
      </c>
      <c r="D1754" s="412" t="s">
        <v>2030</v>
      </c>
      <c r="E1754" s="413">
        <v>290.71874992899166</v>
      </c>
      <c r="F1754" s="17"/>
      <c r="G1754" s="17"/>
      <c r="H1754" s="17"/>
      <c r="I1754" s="17"/>
    </row>
    <row r="1755" spans="2:9" ht="15.75" x14ac:dyDescent="0.25">
      <c r="B1755" s="411" t="s">
        <v>274</v>
      </c>
      <c r="C1755" s="412">
        <v>2046</v>
      </c>
      <c r="D1755" s="412" t="s">
        <v>2031</v>
      </c>
      <c r="E1755" s="413">
        <v>290.14148482298214</v>
      </c>
      <c r="F1755" s="17"/>
      <c r="G1755" s="17"/>
      <c r="H1755" s="17"/>
      <c r="I1755" s="17"/>
    </row>
    <row r="1756" spans="2:9" ht="15.75" x14ac:dyDescent="0.25">
      <c r="B1756" s="411" t="s">
        <v>274</v>
      </c>
      <c r="C1756" s="412">
        <v>2047</v>
      </c>
      <c r="D1756" s="412" t="s">
        <v>2032</v>
      </c>
      <c r="E1756" s="413">
        <v>289.65484769110225</v>
      </c>
      <c r="F1756" s="17"/>
      <c r="G1756" s="17"/>
      <c r="H1756" s="17"/>
      <c r="I1756" s="17"/>
    </row>
    <row r="1757" spans="2:9" ht="15.75" x14ac:dyDescent="0.25">
      <c r="B1757" s="411" t="s">
        <v>274</v>
      </c>
      <c r="C1757" s="412">
        <v>2048</v>
      </c>
      <c r="D1757" s="412" t="s">
        <v>2033</v>
      </c>
      <c r="E1757" s="413">
        <v>289.24251238116341</v>
      </c>
      <c r="F1757" s="17"/>
      <c r="G1757" s="17"/>
      <c r="H1757" s="17"/>
      <c r="I1757" s="17"/>
    </row>
    <row r="1758" spans="2:9" ht="15.75" x14ac:dyDescent="0.25">
      <c r="B1758" s="411" t="s">
        <v>274</v>
      </c>
      <c r="C1758" s="412">
        <v>2049</v>
      </c>
      <c r="D1758" s="412" t="s">
        <v>2034</v>
      </c>
      <c r="E1758" s="413">
        <v>288.88771073097848</v>
      </c>
      <c r="F1758" s="17"/>
      <c r="G1758" s="17"/>
      <c r="H1758" s="17"/>
      <c r="I1758" s="17"/>
    </row>
    <row r="1759" spans="2:9" ht="15.75" x14ac:dyDescent="0.25">
      <c r="B1759" s="411" t="s">
        <v>274</v>
      </c>
      <c r="C1759" s="412">
        <v>2050</v>
      </c>
      <c r="D1759" s="412" t="s">
        <v>2035</v>
      </c>
      <c r="E1759" s="413">
        <v>288.60157742050541</v>
      </c>
      <c r="F1759" s="17"/>
      <c r="G1759" s="17"/>
      <c r="H1759" s="17"/>
      <c r="I1759" s="17"/>
    </row>
    <row r="1760" spans="2:9" ht="15.75" x14ac:dyDescent="0.25">
      <c r="B1760" s="416" t="s">
        <v>277</v>
      </c>
      <c r="C1760" s="415">
        <v>2015</v>
      </c>
      <c r="D1760" s="415" t="s">
        <v>2036</v>
      </c>
      <c r="E1760" s="410">
        <v>504.85258869878572</v>
      </c>
      <c r="F1760" s="17"/>
      <c r="G1760" s="17"/>
      <c r="H1760" s="17"/>
      <c r="I1760" s="17"/>
    </row>
    <row r="1761" spans="2:9" ht="15.75" x14ac:dyDescent="0.25">
      <c r="B1761" s="414" t="s">
        <v>277</v>
      </c>
      <c r="C1761" s="415">
        <v>2016</v>
      </c>
      <c r="D1761" s="415" t="s">
        <v>2037</v>
      </c>
      <c r="E1761" s="410">
        <v>494.72635886924218</v>
      </c>
      <c r="F1761" s="17"/>
      <c r="G1761" s="17"/>
      <c r="H1761" s="17"/>
      <c r="I1761" s="17"/>
    </row>
    <row r="1762" spans="2:9" ht="15.75" x14ac:dyDescent="0.25">
      <c r="B1762" s="416" t="s">
        <v>277</v>
      </c>
      <c r="C1762" s="417">
        <v>2017</v>
      </c>
      <c r="D1762" s="417" t="s">
        <v>2038</v>
      </c>
      <c r="E1762" s="413">
        <v>482.78026600294794</v>
      </c>
      <c r="F1762" s="17"/>
      <c r="G1762" s="17"/>
      <c r="H1762" s="17"/>
      <c r="I1762" s="17"/>
    </row>
    <row r="1763" spans="2:9" ht="15.75" x14ac:dyDescent="0.25">
      <c r="B1763" s="416" t="s">
        <v>277</v>
      </c>
      <c r="C1763" s="417">
        <v>2018</v>
      </c>
      <c r="D1763" s="417" t="s">
        <v>2039</v>
      </c>
      <c r="E1763" s="413">
        <v>470.27751018750115</v>
      </c>
      <c r="F1763" s="17"/>
      <c r="G1763" s="17"/>
      <c r="H1763" s="17"/>
      <c r="I1763" s="17"/>
    </row>
    <row r="1764" spans="2:9" ht="15.75" x14ac:dyDescent="0.25">
      <c r="B1764" s="416" t="s">
        <v>277</v>
      </c>
      <c r="C1764" s="417">
        <v>2019</v>
      </c>
      <c r="D1764" s="417" t="s">
        <v>2040</v>
      </c>
      <c r="E1764" s="413">
        <v>457.39963513622951</v>
      </c>
      <c r="F1764" s="17"/>
      <c r="G1764" s="17"/>
      <c r="H1764" s="17"/>
      <c r="I1764" s="17"/>
    </row>
    <row r="1765" spans="2:9" ht="15.75" x14ac:dyDescent="0.25">
      <c r="B1765" s="416" t="s">
        <v>277</v>
      </c>
      <c r="C1765" s="417">
        <v>2020</v>
      </c>
      <c r="D1765" s="417" t="s">
        <v>2041</v>
      </c>
      <c r="E1765" s="413">
        <v>444.28927589004707</v>
      </c>
      <c r="F1765" s="17"/>
      <c r="G1765" s="17"/>
      <c r="H1765" s="17"/>
      <c r="I1765" s="17"/>
    </row>
    <row r="1766" spans="2:9" ht="15.75" x14ac:dyDescent="0.25">
      <c r="B1766" s="416" t="s">
        <v>277</v>
      </c>
      <c r="C1766" s="417">
        <v>2021</v>
      </c>
      <c r="D1766" s="417" t="s">
        <v>2042</v>
      </c>
      <c r="E1766" s="413">
        <v>431.41512012465296</v>
      </c>
      <c r="F1766" s="17"/>
      <c r="G1766" s="17"/>
      <c r="H1766" s="17"/>
      <c r="I1766" s="17"/>
    </row>
    <row r="1767" spans="2:9" ht="15.75" x14ac:dyDescent="0.25">
      <c r="B1767" s="416" t="s">
        <v>277</v>
      </c>
      <c r="C1767" s="417">
        <v>2022</v>
      </c>
      <c r="D1767" s="417" t="s">
        <v>2043</v>
      </c>
      <c r="E1767" s="413">
        <v>418.36059543748041</v>
      </c>
      <c r="F1767" s="17"/>
      <c r="G1767" s="17"/>
      <c r="H1767" s="17"/>
      <c r="I1767" s="17"/>
    </row>
    <row r="1768" spans="2:9" ht="15.75" x14ac:dyDescent="0.25">
      <c r="B1768" s="416" t="s">
        <v>277</v>
      </c>
      <c r="C1768" s="417">
        <v>2023</v>
      </c>
      <c r="D1768" s="417" t="s">
        <v>2044</v>
      </c>
      <c r="E1768" s="413">
        <v>405.41543700873558</v>
      </c>
      <c r="F1768" s="17"/>
      <c r="G1768" s="17"/>
      <c r="H1768" s="17"/>
      <c r="I1768" s="17"/>
    </row>
    <row r="1769" spans="2:9" ht="15.75" x14ac:dyDescent="0.25">
      <c r="B1769" s="416" t="s">
        <v>277</v>
      </c>
      <c r="C1769" s="417">
        <v>2024</v>
      </c>
      <c r="D1769" s="417" t="s">
        <v>2045</v>
      </c>
      <c r="E1769" s="413">
        <v>392.64281039178741</v>
      </c>
      <c r="F1769" s="17"/>
      <c r="G1769" s="17"/>
      <c r="H1769" s="17"/>
      <c r="I1769" s="17"/>
    </row>
    <row r="1770" spans="2:9" ht="15.75" x14ac:dyDescent="0.25">
      <c r="B1770" s="416" t="s">
        <v>277</v>
      </c>
      <c r="C1770" s="417">
        <v>2025</v>
      </c>
      <c r="D1770" s="417" t="s">
        <v>2046</v>
      </c>
      <c r="E1770" s="413">
        <v>380.01077101975994</v>
      </c>
      <c r="F1770" s="17"/>
      <c r="G1770" s="17"/>
      <c r="H1770" s="17"/>
      <c r="I1770" s="17"/>
    </row>
    <row r="1771" spans="2:9" ht="15.75" x14ac:dyDescent="0.25">
      <c r="B1771" s="416" t="s">
        <v>277</v>
      </c>
      <c r="C1771" s="417">
        <v>2026</v>
      </c>
      <c r="D1771" s="417" t="s">
        <v>2047</v>
      </c>
      <c r="E1771" s="413">
        <v>368.65977153061357</v>
      </c>
      <c r="F1771" s="17"/>
      <c r="G1771" s="17"/>
      <c r="H1771" s="17"/>
      <c r="I1771" s="17"/>
    </row>
    <row r="1772" spans="2:9" ht="15.75" x14ac:dyDescent="0.25">
      <c r="B1772" s="416" t="s">
        <v>277</v>
      </c>
      <c r="C1772" s="417">
        <v>2027</v>
      </c>
      <c r="D1772" s="417" t="s">
        <v>2048</v>
      </c>
      <c r="E1772" s="413">
        <v>358.4144642777581</v>
      </c>
      <c r="F1772" s="17"/>
      <c r="G1772" s="17"/>
      <c r="H1772" s="17"/>
      <c r="I1772" s="17"/>
    </row>
    <row r="1773" spans="2:9" ht="15.75" x14ac:dyDescent="0.25">
      <c r="B1773" s="416" t="s">
        <v>277</v>
      </c>
      <c r="C1773" s="417">
        <v>2028</v>
      </c>
      <c r="D1773" s="417" t="s">
        <v>2049</v>
      </c>
      <c r="E1773" s="413">
        <v>349.26892391873054</v>
      </c>
      <c r="F1773" s="17"/>
      <c r="G1773" s="17"/>
      <c r="H1773" s="17"/>
      <c r="I1773" s="17"/>
    </row>
    <row r="1774" spans="2:9" ht="15.75" x14ac:dyDescent="0.25">
      <c r="B1774" s="416" t="s">
        <v>277</v>
      </c>
      <c r="C1774" s="417">
        <v>2029</v>
      </c>
      <c r="D1774" s="417" t="s">
        <v>2050</v>
      </c>
      <c r="E1774" s="413">
        <v>341.1170678729855</v>
      </c>
      <c r="F1774" s="17"/>
      <c r="G1774" s="17"/>
      <c r="H1774" s="17"/>
      <c r="I1774" s="17"/>
    </row>
    <row r="1775" spans="2:9" ht="15.75" x14ac:dyDescent="0.25">
      <c r="B1775" s="416" t="s">
        <v>277</v>
      </c>
      <c r="C1775" s="417">
        <v>2030</v>
      </c>
      <c r="D1775" s="417" t="s">
        <v>2051</v>
      </c>
      <c r="E1775" s="413">
        <v>333.88728677430566</v>
      </c>
      <c r="F1775" s="17"/>
      <c r="G1775" s="17"/>
      <c r="H1775" s="17"/>
      <c r="I1775" s="17"/>
    </row>
    <row r="1776" spans="2:9" ht="15.75" x14ac:dyDescent="0.25">
      <c r="B1776" s="416" t="s">
        <v>277</v>
      </c>
      <c r="C1776" s="417">
        <v>2031</v>
      </c>
      <c r="D1776" s="417" t="s">
        <v>2052</v>
      </c>
      <c r="E1776" s="413">
        <v>327.51052283169111</v>
      </c>
      <c r="F1776" s="17"/>
      <c r="G1776" s="17"/>
      <c r="H1776" s="17"/>
      <c r="I1776" s="17"/>
    </row>
    <row r="1777" spans="2:9" ht="15.75" x14ac:dyDescent="0.25">
      <c r="B1777" s="416" t="s">
        <v>277</v>
      </c>
      <c r="C1777" s="417">
        <v>2032</v>
      </c>
      <c r="D1777" s="417" t="s">
        <v>2053</v>
      </c>
      <c r="E1777" s="413">
        <v>321.91278125793684</v>
      </c>
      <c r="F1777" s="17"/>
      <c r="G1777" s="17"/>
      <c r="H1777" s="17"/>
      <c r="I1777" s="17"/>
    </row>
    <row r="1778" spans="2:9" ht="15.75" x14ac:dyDescent="0.25">
      <c r="B1778" s="416" t="s">
        <v>277</v>
      </c>
      <c r="C1778" s="417">
        <v>2033</v>
      </c>
      <c r="D1778" s="417" t="s">
        <v>2054</v>
      </c>
      <c r="E1778" s="413">
        <v>317.03227348632032</v>
      </c>
      <c r="F1778" s="17"/>
      <c r="G1778" s="17"/>
      <c r="H1778" s="17"/>
      <c r="I1778" s="17"/>
    </row>
    <row r="1779" spans="2:9" ht="15.75" x14ac:dyDescent="0.25">
      <c r="B1779" s="416" t="s">
        <v>277</v>
      </c>
      <c r="C1779" s="417">
        <v>2034</v>
      </c>
      <c r="D1779" s="417" t="s">
        <v>2055</v>
      </c>
      <c r="E1779" s="413">
        <v>312.80098856425207</v>
      </c>
      <c r="F1779" s="17"/>
      <c r="G1779" s="17"/>
      <c r="H1779" s="17"/>
      <c r="I1779" s="17"/>
    </row>
    <row r="1780" spans="2:9" ht="15.75" x14ac:dyDescent="0.25">
      <c r="B1780" s="416" t="s">
        <v>277</v>
      </c>
      <c r="C1780" s="417">
        <v>2035</v>
      </c>
      <c r="D1780" s="417" t="s">
        <v>2056</v>
      </c>
      <c r="E1780" s="413">
        <v>309.1689264825053</v>
      </c>
      <c r="F1780" s="17"/>
      <c r="G1780" s="17"/>
      <c r="H1780" s="17"/>
      <c r="I1780" s="17"/>
    </row>
    <row r="1781" spans="2:9" ht="15.75" x14ac:dyDescent="0.25">
      <c r="B1781" s="416" t="s">
        <v>277</v>
      </c>
      <c r="C1781" s="417">
        <v>2036</v>
      </c>
      <c r="D1781" s="417" t="s">
        <v>2057</v>
      </c>
      <c r="E1781" s="413">
        <v>306.06913986634243</v>
      </c>
      <c r="F1781" s="17"/>
      <c r="G1781" s="17"/>
      <c r="H1781" s="17"/>
      <c r="I1781" s="17"/>
    </row>
    <row r="1782" spans="2:9" ht="15.75" x14ac:dyDescent="0.25">
      <c r="B1782" s="416" t="s">
        <v>277</v>
      </c>
      <c r="C1782" s="417">
        <v>2037</v>
      </c>
      <c r="D1782" s="417" t="s">
        <v>2058</v>
      </c>
      <c r="E1782" s="413">
        <v>303.4530064261055</v>
      </c>
      <c r="F1782" s="17"/>
      <c r="G1782" s="17"/>
      <c r="H1782" s="17"/>
      <c r="I1782" s="17"/>
    </row>
    <row r="1783" spans="2:9" ht="15.75" x14ac:dyDescent="0.25">
      <c r="B1783" s="416" t="s">
        <v>277</v>
      </c>
      <c r="C1783" s="417">
        <v>2038</v>
      </c>
      <c r="D1783" s="417" t="s">
        <v>2059</v>
      </c>
      <c r="E1783" s="413">
        <v>301.25809696784592</v>
      </c>
      <c r="F1783" s="17"/>
      <c r="G1783" s="17"/>
      <c r="H1783" s="17"/>
      <c r="I1783" s="17"/>
    </row>
    <row r="1784" spans="2:9" ht="15.75" x14ac:dyDescent="0.25">
      <c r="B1784" s="416" t="s">
        <v>277</v>
      </c>
      <c r="C1784" s="417">
        <v>2039</v>
      </c>
      <c r="D1784" s="417" t="s">
        <v>2060</v>
      </c>
      <c r="E1784" s="413">
        <v>299.42981405718774</v>
      </c>
      <c r="F1784" s="17"/>
      <c r="G1784" s="17"/>
      <c r="H1784" s="17"/>
      <c r="I1784" s="17"/>
    </row>
    <row r="1785" spans="2:9" ht="15.75" x14ac:dyDescent="0.25">
      <c r="B1785" s="416" t="s">
        <v>277</v>
      </c>
      <c r="C1785" s="417">
        <v>2040</v>
      </c>
      <c r="D1785" s="417" t="s">
        <v>2061</v>
      </c>
      <c r="E1785" s="413">
        <v>297.91365956328985</v>
      </c>
      <c r="F1785" s="17"/>
      <c r="G1785" s="17"/>
      <c r="H1785" s="17"/>
      <c r="I1785" s="17"/>
    </row>
    <row r="1786" spans="2:9" ht="15.75" x14ac:dyDescent="0.25">
      <c r="B1786" s="416" t="s">
        <v>277</v>
      </c>
      <c r="C1786" s="417">
        <v>2041</v>
      </c>
      <c r="D1786" s="417" t="s">
        <v>2062</v>
      </c>
      <c r="E1786" s="413">
        <v>296.67633139241894</v>
      </c>
      <c r="F1786" s="17"/>
      <c r="G1786" s="17"/>
      <c r="H1786" s="17"/>
      <c r="I1786" s="17"/>
    </row>
    <row r="1787" spans="2:9" ht="15.75" x14ac:dyDescent="0.25">
      <c r="B1787" s="416" t="s">
        <v>277</v>
      </c>
      <c r="C1787" s="417">
        <v>2042</v>
      </c>
      <c r="D1787" s="417" t="s">
        <v>2063</v>
      </c>
      <c r="E1787" s="413">
        <v>295.65480167200883</v>
      </c>
      <c r="F1787" s="17"/>
      <c r="G1787" s="17"/>
      <c r="H1787" s="17"/>
      <c r="I1787" s="17"/>
    </row>
    <row r="1788" spans="2:9" ht="15.75" x14ac:dyDescent="0.25">
      <c r="B1788" s="416" t="s">
        <v>277</v>
      </c>
      <c r="C1788" s="417">
        <v>2043</v>
      </c>
      <c r="D1788" s="417" t="s">
        <v>2064</v>
      </c>
      <c r="E1788" s="413">
        <v>294.81934779302259</v>
      </c>
      <c r="F1788" s="17"/>
      <c r="G1788" s="17"/>
      <c r="H1788" s="17"/>
      <c r="I1788" s="17"/>
    </row>
    <row r="1789" spans="2:9" ht="15.75" x14ac:dyDescent="0.25">
      <c r="B1789" s="416" t="s">
        <v>277</v>
      </c>
      <c r="C1789" s="417">
        <v>2044</v>
      </c>
      <c r="D1789" s="417" t="s">
        <v>2065</v>
      </c>
      <c r="E1789" s="413">
        <v>294.13508403149342</v>
      </c>
      <c r="F1789" s="17"/>
      <c r="G1789" s="17"/>
      <c r="H1789" s="17"/>
      <c r="I1789" s="17"/>
    </row>
    <row r="1790" spans="2:9" ht="15.75" x14ac:dyDescent="0.25">
      <c r="B1790" s="416" t="s">
        <v>277</v>
      </c>
      <c r="C1790" s="417">
        <v>2045</v>
      </c>
      <c r="D1790" s="417" t="s">
        <v>2066</v>
      </c>
      <c r="E1790" s="413">
        <v>293.55818294089227</v>
      </c>
      <c r="F1790" s="17"/>
      <c r="G1790" s="17"/>
      <c r="H1790" s="17"/>
      <c r="I1790" s="17"/>
    </row>
    <row r="1791" spans="2:9" ht="15.75" x14ac:dyDescent="0.25">
      <c r="B1791" s="416" t="s">
        <v>277</v>
      </c>
      <c r="C1791" s="417">
        <v>2046</v>
      </c>
      <c r="D1791" s="417" t="s">
        <v>2067</v>
      </c>
      <c r="E1791" s="413">
        <v>293.0849448976731</v>
      </c>
      <c r="F1791" s="17"/>
      <c r="G1791" s="17"/>
      <c r="H1791" s="17"/>
      <c r="I1791" s="17"/>
    </row>
    <row r="1792" spans="2:9" ht="15.75" x14ac:dyDescent="0.25">
      <c r="B1792" s="416" t="s">
        <v>277</v>
      </c>
      <c r="C1792" s="417">
        <v>2047</v>
      </c>
      <c r="D1792" s="417" t="s">
        <v>2068</v>
      </c>
      <c r="E1792" s="413">
        <v>292.68893755688731</v>
      </c>
      <c r="F1792" s="17"/>
      <c r="G1792" s="17"/>
      <c r="H1792" s="17"/>
      <c r="I1792" s="17"/>
    </row>
    <row r="1793" spans="2:9" ht="15.75" x14ac:dyDescent="0.25">
      <c r="B1793" s="416" t="s">
        <v>277</v>
      </c>
      <c r="C1793" s="417">
        <v>2048</v>
      </c>
      <c r="D1793" s="417" t="s">
        <v>2069</v>
      </c>
      <c r="E1793" s="413">
        <v>292.36136109872297</v>
      </c>
      <c r="F1793" s="17"/>
      <c r="G1793" s="17"/>
      <c r="H1793" s="17"/>
      <c r="I1793" s="17"/>
    </row>
    <row r="1794" spans="2:9" ht="15.75" x14ac:dyDescent="0.25">
      <c r="B1794" s="416" t="s">
        <v>277</v>
      </c>
      <c r="C1794" s="417">
        <v>2049</v>
      </c>
      <c r="D1794" s="417" t="s">
        <v>2070</v>
      </c>
      <c r="E1794" s="413">
        <v>292.08465970517682</v>
      </c>
      <c r="F1794" s="17"/>
      <c r="G1794" s="17"/>
      <c r="H1794" s="17"/>
      <c r="I1794" s="17"/>
    </row>
    <row r="1795" spans="2:9" ht="15.75" x14ac:dyDescent="0.25">
      <c r="B1795" s="416" t="s">
        <v>277</v>
      </c>
      <c r="C1795" s="417">
        <v>2050</v>
      </c>
      <c r="D1795" s="417" t="s">
        <v>2071</v>
      </c>
      <c r="E1795" s="413">
        <v>291.86495038648093</v>
      </c>
      <c r="F1795" s="17"/>
      <c r="G1795" s="17"/>
      <c r="H1795" s="17"/>
      <c r="I1795" s="17"/>
    </row>
    <row r="1796" spans="2:9" ht="15.75" x14ac:dyDescent="0.25">
      <c r="B1796" s="407" t="s">
        <v>88</v>
      </c>
      <c r="C1796" s="408">
        <v>2015</v>
      </c>
      <c r="D1796" s="409" t="s">
        <v>278</v>
      </c>
      <c r="E1796" s="410">
        <v>504.85258872998588</v>
      </c>
      <c r="F1796" s="17"/>
      <c r="G1796" s="17"/>
      <c r="H1796" s="17"/>
      <c r="I1796" s="17"/>
    </row>
    <row r="1797" spans="2:9" ht="15.75" x14ac:dyDescent="0.25">
      <c r="B1797" s="407" t="s">
        <v>88</v>
      </c>
      <c r="C1797" s="408">
        <v>2016</v>
      </c>
      <c r="D1797" s="409" t="s">
        <v>279</v>
      </c>
      <c r="E1797" s="410">
        <v>494.72635880062109</v>
      </c>
      <c r="F1797" s="17"/>
      <c r="G1797" s="17"/>
      <c r="H1797" s="17"/>
      <c r="I1797" s="17"/>
    </row>
    <row r="1798" spans="2:9" ht="15.75" x14ac:dyDescent="0.25">
      <c r="B1798" s="411" t="s">
        <v>88</v>
      </c>
      <c r="C1798" s="412">
        <v>2017</v>
      </c>
      <c r="D1798" s="412" t="s">
        <v>2072</v>
      </c>
      <c r="E1798" s="413">
        <v>482.78026597772077</v>
      </c>
      <c r="F1798" s="17"/>
      <c r="G1798" s="17"/>
      <c r="H1798" s="17"/>
      <c r="I1798" s="17"/>
    </row>
    <row r="1799" spans="2:9" ht="15.75" x14ac:dyDescent="0.25">
      <c r="B1799" s="411" t="s">
        <v>88</v>
      </c>
      <c r="C1799" s="412">
        <v>2018</v>
      </c>
      <c r="D1799" s="412" t="s">
        <v>2073</v>
      </c>
      <c r="E1799" s="413">
        <v>470.27751016360332</v>
      </c>
      <c r="F1799" s="17"/>
      <c r="G1799" s="17"/>
      <c r="H1799" s="17"/>
      <c r="I1799" s="17"/>
    </row>
    <row r="1800" spans="2:9" ht="15.75" x14ac:dyDescent="0.25">
      <c r="B1800" s="411" t="s">
        <v>88</v>
      </c>
      <c r="C1800" s="412">
        <v>2019</v>
      </c>
      <c r="D1800" s="412" t="s">
        <v>2074</v>
      </c>
      <c r="E1800" s="413">
        <v>457.39963511520847</v>
      </c>
      <c r="F1800" s="17"/>
      <c r="G1800" s="17"/>
      <c r="H1800" s="17"/>
      <c r="I1800" s="17"/>
    </row>
    <row r="1801" spans="2:9" ht="15.75" x14ac:dyDescent="0.25">
      <c r="B1801" s="411" t="s">
        <v>88</v>
      </c>
      <c r="C1801" s="412">
        <v>2020</v>
      </c>
      <c r="D1801" s="412" t="s">
        <v>2075</v>
      </c>
      <c r="E1801" s="413">
        <v>444.28927591596903</v>
      </c>
      <c r="F1801" s="17"/>
      <c r="G1801" s="17"/>
      <c r="H1801" s="17"/>
      <c r="I1801" s="17"/>
    </row>
    <row r="1802" spans="2:9" ht="15.75" x14ac:dyDescent="0.25">
      <c r="B1802" s="411" t="s">
        <v>88</v>
      </c>
      <c r="C1802" s="412">
        <v>2021</v>
      </c>
      <c r="D1802" s="412" t="s">
        <v>2076</v>
      </c>
      <c r="E1802" s="413">
        <v>431.41512012682091</v>
      </c>
      <c r="F1802" s="17"/>
      <c r="G1802" s="17"/>
      <c r="H1802" s="17"/>
      <c r="I1802" s="17"/>
    </row>
    <row r="1803" spans="2:9" ht="15.75" x14ac:dyDescent="0.25">
      <c r="B1803" s="411" t="s">
        <v>88</v>
      </c>
      <c r="C1803" s="412">
        <v>2022</v>
      </c>
      <c r="D1803" s="412" t="s">
        <v>2077</v>
      </c>
      <c r="E1803" s="413">
        <v>418.36059545416214</v>
      </c>
      <c r="F1803" s="17"/>
      <c r="G1803" s="17"/>
      <c r="H1803" s="17"/>
      <c r="I1803" s="17"/>
    </row>
    <row r="1804" spans="2:9" ht="15.75" x14ac:dyDescent="0.25">
      <c r="B1804" s="411" t="s">
        <v>88</v>
      </c>
      <c r="C1804" s="412">
        <v>2023</v>
      </c>
      <c r="D1804" s="412" t="s">
        <v>2078</v>
      </c>
      <c r="E1804" s="413">
        <v>405.41543697763672</v>
      </c>
      <c r="F1804" s="17"/>
      <c r="G1804" s="17"/>
      <c r="H1804" s="17"/>
      <c r="I1804" s="17"/>
    </row>
    <row r="1805" spans="2:9" ht="15.75" x14ac:dyDescent="0.25">
      <c r="B1805" s="411" t="s">
        <v>88</v>
      </c>
      <c r="C1805" s="412">
        <v>2024</v>
      </c>
      <c r="D1805" s="412" t="s">
        <v>2079</v>
      </c>
      <c r="E1805" s="413">
        <v>392.64281041891553</v>
      </c>
      <c r="F1805" s="17"/>
      <c r="G1805" s="17"/>
      <c r="H1805" s="17"/>
      <c r="I1805" s="17"/>
    </row>
    <row r="1806" spans="2:9" ht="15.75" x14ac:dyDescent="0.25">
      <c r="B1806" s="411" t="s">
        <v>88</v>
      </c>
      <c r="C1806" s="412">
        <v>2025</v>
      </c>
      <c r="D1806" s="412" t="s">
        <v>2080</v>
      </c>
      <c r="E1806" s="413">
        <v>380.01077103443589</v>
      </c>
      <c r="F1806" s="17"/>
      <c r="G1806" s="17"/>
      <c r="H1806" s="17"/>
      <c r="I1806" s="17"/>
    </row>
    <row r="1807" spans="2:9" ht="15.75" x14ac:dyDescent="0.25">
      <c r="B1807" s="411" t="s">
        <v>88</v>
      </c>
      <c r="C1807" s="412">
        <v>2026</v>
      </c>
      <c r="D1807" s="412" t="s">
        <v>2081</v>
      </c>
      <c r="E1807" s="413">
        <v>368.65977148240302</v>
      </c>
      <c r="F1807" s="17"/>
      <c r="G1807" s="17"/>
      <c r="H1807" s="17"/>
      <c r="I1807" s="17"/>
    </row>
    <row r="1808" spans="2:9" ht="15.75" x14ac:dyDescent="0.25">
      <c r="B1808" s="411" t="s">
        <v>88</v>
      </c>
      <c r="C1808" s="412">
        <v>2027</v>
      </c>
      <c r="D1808" s="412" t="s">
        <v>2082</v>
      </c>
      <c r="E1808" s="413">
        <v>358.41446428437195</v>
      </c>
      <c r="F1808" s="17"/>
      <c r="G1808" s="17"/>
      <c r="H1808" s="17"/>
      <c r="I1808" s="17"/>
    </row>
    <row r="1809" spans="2:9" ht="15.75" x14ac:dyDescent="0.25">
      <c r="B1809" s="411" t="s">
        <v>88</v>
      </c>
      <c r="C1809" s="412">
        <v>2028</v>
      </c>
      <c r="D1809" s="412" t="s">
        <v>2083</v>
      </c>
      <c r="E1809" s="413">
        <v>349.26892395076806</v>
      </c>
      <c r="F1809" s="17"/>
      <c r="G1809" s="17"/>
      <c r="H1809" s="17"/>
      <c r="I1809" s="17"/>
    </row>
    <row r="1810" spans="2:9" ht="15.75" x14ac:dyDescent="0.25">
      <c r="B1810" s="411" t="s">
        <v>88</v>
      </c>
      <c r="C1810" s="412">
        <v>2029</v>
      </c>
      <c r="D1810" s="412" t="s">
        <v>2084</v>
      </c>
      <c r="E1810" s="413">
        <v>341.11706787947981</v>
      </c>
      <c r="F1810" s="17"/>
      <c r="G1810" s="17"/>
      <c r="H1810" s="17"/>
      <c r="I1810" s="17"/>
    </row>
    <row r="1811" spans="2:9" ht="15.75" x14ac:dyDescent="0.25">
      <c r="B1811" s="411" t="s">
        <v>88</v>
      </c>
      <c r="C1811" s="412">
        <v>2030</v>
      </c>
      <c r="D1811" s="412" t="s">
        <v>2085</v>
      </c>
      <c r="E1811" s="413">
        <v>333.88728677501592</v>
      </c>
      <c r="F1811" s="17"/>
      <c r="G1811" s="17"/>
      <c r="H1811" s="17"/>
      <c r="I1811" s="17"/>
    </row>
    <row r="1812" spans="2:9" ht="15.75" x14ac:dyDescent="0.25">
      <c r="B1812" s="411" t="s">
        <v>88</v>
      </c>
      <c r="C1812" s="412">
        <v>2031</v>
      </c>
      <c r="D1812" s="412" t="s">
        <v>2086</v>
      </c>
      <c r="E1812" s="413">
        <v>327.51052283542288</v>
      </c>
      <c r="F1812" s="17"/>
      <c r="G1812" s="17"/>
      <c r="H1812" s="17"/>
      <c r="I1812" s="17"/>
    </row>
    <row r="1813" spans="2:9" ht="15.75" x14ac:dyDescent="0.25">
      <c r="B1813" s="411" t="s">
        <v>88</v>
      </c>
      <c r="C1813" s="412">
        <v>2032</v>
      </c>
      <c r="D1813" s="412" t="s">
        <v>2087</v>
      </c>
      <c r="E1813" s="413">
        <v>321.9127812657174</v>
      </c>
      <c r="F1813" s="17"/>
      <c r="G1813" s="17"/>
      <c r="H1813" s="17"/>
      <c r="I1813" s="17"/>
    </row>
    <row r="1814" spans="2:9" ht="15.75" x14ac:dyDescent="0.25">
      <c r="B1814" s="411" t="s">
        <v>88</v>
      </c>
      <c r="C1814" s="412">
        <v>2033</v>
      </c>
      <c r="D1814" s="412" t="s">
        <v>2088</v>
      </c>
      <c r="E1814" s="413">
        <v>317.03227348758242</v>
      </c>
      <c r="F1814" s="17"/>
      <c r="G1814" s="17"/>
      <c r="H1814" s="17"/>
      <c r="I1814" s="17"/>
    </row>
    <row r="1815" spans="2:9" ht="15.75" x14ac:dyDescent="0.25">
      <c r="B1815" s="411" t="s">
        <v>88</v>
      </c>
      <c r="C1815" s="412">
        <v>2034</v>
      </c>
      <c r="D1815" s="412" t="s">
        <v>2089</v>
      </c>
      <c r="E1815" s="413">
        <v>312.8009885617397</v>
      </c>
      <c r="F1815" s="17"/>
      <c r="G1815" s="17"/>
      <c r="H1815" s="17"/>
      <c r="I1815" s="17"/>
    </row>
    <row r="1816" spans="2:9" ht="15.75" x14ac:dyDescent="0.25">
      <c r="B1816" s="411" t="s">
        <v>88</v>
      </c>
      <c r="C1816" s="412">
        <v>2035</v>
      </c>
      <c r="D1816" s="412" t="s">
        <v>2090</v>
      </c>
      <c r="E1816" s="413">
        <v>309.16892646626656</v>
      </c>
      <c r="F1816" s="17"/>
      <c r="G1816" s="17"/>
      <c r="H1816" s="17"/>
      <c r="I1816" s="17"/>
    </row>
    <row r="1817" spans="2:9" ht="15.75" x14ac:dyDescent="0.25">
      <c r="B1817" s="411" t="s">
        <v>88</v>
      </c>
      <c r="C1817" s="412">
        <v>2036</v>
      </c>
      <c r="D1817" s="412" t="s">
        <v>2091</v>
      </c>
      <c r="E1817" s="413">
        <v>306.06913985956987</v>
      </c>
      <c r="F1817" s="17"/>
      <c r="G1817" s="17"/>
      <c r="H1817" s="17"/>
      <c r="I1817" s="17"/>
    </row>
    <row r="1818" spans="2:9" ht="15.75" x14ac:dyDescent="0.25">
      <c r="B1818" s="411" t="s">
        <v>88</v>
      </c>
      <c r="C1818" s="412">
        <v>2037</v>
      </c>
      <c r="D1818" s="412" t="s">
        <v>2092</v>
      </c>
      <c r="E1818" s="413">
        <v>303.45300641730159</v>
      </c>
      <c r="F1818" s="17"/>
      <c r="G1818" s="17"/>
      <c r="H1818" s="17"/>
      <c r="I1818" s="17"/>
    </row>
    <row r="1819" spans="2:9" ht="15.75" x14ac:dyDescent="0.25">
      <c r="B1819" s="411" t="s">
        <v>88</v>
      </c>
      <c r="C1819" s="412">
        <v>2038</v>
      </c>
      <c r="D1819" s="412" t="s">
        <v>2093</v>
      </c>
      <c r="E1819" s="413">
        <v>301.25809697163413</v>
      </c>
      <c r="F1819" s="17"/>
      <c r="G1819" s="17"/>
      <c r="H1819" s="17"/>
      <c r="I1819" s="17"/>
    </row>
    <row r="1820" spans="2:9" ht="15.75" x14ac:dyDescent="0.25">
      <c r="B1820" s="411" t="s">
        <v>88</v>
      </c>
      <c r="C1820" s="412">
        <v>2039</v>
      </c>
      <c r="D1820" s="412" t="s">
        <v>2094</v>
      </c>
      <c r="E1820" s="413">
        <v>299.42981407600547</v>
      </c>
      <c r="F1820" s="17"/>
      <c r="G1820" s="17"/>
      <c r="H1820" s="17"/>
      <c r="I1820" s="17"/>
    </row>
    <row r="1821" spans="2:9" ht="15.75" x14ac:dyDescent="0.25">
      <c r="B1821" s="411" t="s">
        <v>88</v>
      </c>
      <c r="C1821" s="412">
        <v>2040</v>
      </c>
      <c r="D1821" s="412" t="s">
        <v>2095</v>
      </c>
      <c r="E1821" s="413">
        <v>297.9136595364277</v>
      </c>
      <c r="F1821" s="17"/>
      <c r="G1821" s="17"/>
      <c r="H1821" s="17"/>
      <c r="I1821" s="17"/>
    </row>
    <row r="1822" spans="2:9" ht="15.75" x14ac:dyDescent="0.25">
      <c r="B1822" s="411" t="s">
        <v>88</v>
      </c>
      <c r="C1822" s="412">
        <v>2041</v>
      </c>
      <c r="D1822" s="412" t="s">
        <v>2096</v>
      </c>
      <c r="E1822" s="413">
        <v>296.67633140969252</v>
      </c>
      <c r="F1822" s="17"/>
      <c r="G1822" s="17"/>
      <c r="H1822" s="17"/>
      <c r="I1822" s="17"/>
    </row>
    <row r="1823" spans="2:9" ht="15.75" x14ac:dyDescent="0.25">
      <c r="B1823" s="411" t="s">
        <v>88</v>
      </c>
      <c r="C1823" s="412">
        <v>2042</v>
      </c>
      <c r="D1823" s="412" t="s">
        <v>2097</v>
      </c>
      <c r="E1823" s="413">
        <v>295.65480169758092</v>
      </c>
      <c r="F1823" s="17"/>
      <c r="G1823" s="17"/>
      <c r="H1823" s="17"/>
      <c r="I1823" s="17"/>
    </row>
    <row r="1824" spans="2:9" ht="15.75" x14ac:dyDescent="0.25">
      <c r="B1824" s="411" t="s">
        <v>88</v>
      </c>
      <c r="C1824" s="412">
        <v>2043</v>
      </c>
      <c r="D1824" s="412" t="s">
        <v>2098</v>
      </c>
      <c r="E1824" s="413">
        <v>294.81934777453347</v>
      </c>
      <c r="F1824" s="17"/>
      <c r="G1824" s="17"/>
      <c r="H1824" s="17"/>
      <c r="I1824" s="17"/>
    </row>
    <row r="1825" spans="2:9" ht="15.75" x14ac:dyDescent="0.25">
      <c r="B1825" s="411" t="s">
        <v>88</v>
      </c>
      <c r="C1825" s="412">
        <v>2044</v>
      </c>
      <c r="D1825" s="412" t="s">
        <v>2099</v>
      </c>
      <c r="E1825" s="413">
        <v>294.13508403712092</v>
      </c>
      <c r="F1825" s="17"/>
      <c r="G1825" s="17"/>
      <c r="H1825" s="17"/>
      <c r="I1825" s="17"/>
    </row>
    <row r="1826" spans="2:9" ht="15.75" x14ac:dyDescent="0.25">
      <c r="B1826" s="411" t="s">
        <v>88</v>
      </c>
      <c r="C1826" s="412">
        <v>2045</v>
      </c>
      <c r="D1826" s="412" t="s">
        <v>2100</v>
      </c>
      <c r="E1826" s="413">
        <v>293.55818294656598</v>
      </c>
      <c r="F1826" s="17"/>
      <c r="G1826" s="17"/>
      <c r="H1826" s="17"/>
      <c r="I1826" s="17"/>
    </row>
    <row r="1827" spans="2:9" ht="15.75" x14ac:dyDescent="0.25">
      <c r="B1827" s="411" t="s">
        <v>88</v>
      </c>
      <c r="C1827" s="412">
        <v>2046</v>
      </c>
      <c r="D1827" s="412" t="s">
        <v>2101</v>
      </c>
      <c r="E1827" s="413">
        <v>293.08494488209379</v>
      </c>
      <c r="F1827" s="17"/>
      <c r="G1827" s="17"/>
      <c r="H1827" s="17"/>
      <c r="I1827" s="17"/>
    </row>
    <row r="1828" spans="2:9" ht="15.75" x14ac:dyDescent="0.25">
      <c r="B1828" s="411" t="s">
        <v>88</v>
      </c>
      <c r="C1828" s="412">
        <v>2047</v>
      </c>
      <c r="D1828" s="412" t="s">
        <v>2102</v>
      </c>
      <c r="E1828" s="413">
        <v>292.68893758324072</v>
      </c>
      <c r="F1828" s="17"/>
      <c r="G1828" s="17"/>
      <c r="H1828" s="17"/>
      <c r="I1828" s="17"/>
    </row>
    <row r="1829" spans="2:9" ht="15.75" x14ac:dyDescent="0.25">
      <c r="B1829" s="411" t="s">
        <v>88</v>
      </c>
      <c r="C1829" s="412">
        <v>2048</v>
      </c>
      <c r="D1829" s="412" t="s">
        <v>2103</v>
      </c>
      <c r="E1829" s="413">
        <v>292.36136110347445</v>
      </c>
      <c r="F1829" s="17"/>
      <c r="G1829" s="17"/>
      <c r="H1829" s="17"/>
      <c r="I1829" s="17"/>
    </row>
    <row r="1830" spans="2:9" ht="15.75" x14ac:dyDescent="0.25">
      <c r="B1830" s="411" t="s">
        <v>88</v>
      </c>
      <c r="C1830" s="412">
        <v>2049</v>
      </c>
      <c r="D1830" s="412" t="s">
        <v>2104</v>
      </c>
      <c r="E1830" s="413">
        <v>292.08465968592202</v>
      </c>
      <c r="F1830" s="17"/>
      <c r="G1830" s="17"/>
      <c r="H1830" s="17"/>
      <c r="I1830" s="17"/>
    </row>
    <row r="1831" spans="2:9" ht="15.75" x14ac:dyDescent="0.25">
      <c r="B1831" s="411" t="s">
        <v>88</v>
      </c>
      <c r="C1831" s="412">
        <v>2050</v>
      </c>
      <c r="D1831" s="412" t="s">
        <v>2105</v>
      </c>
      <c r="E1831" s="413">
        <v>291.86495038385635</v>
      </c>
      <c r="F1831" s="17"/>
      <c r="G1831" s="17"/>
      <c r="H1831" s="17"/>
      <c r="I1831" s="17"/>
    </row>
    <row r="1832" spans="2:9" ht="15.75" x14ac:dyDescent="0.25">
      <c r="B1832" s="414" t="s">
        <v>280</v>
      </c>
      <c r="C1832" s="415">
        <v>2015</v>
      </c>
      <c r="D1832" s="415" t="s">
        <v>2106</v>
      </c>
      <c r="E1832" s="410">
        <v>487.38317815751674</v>
      </c>
      <c r="F1832" s="17"/>
      <c r="G1832" s="17"/>
      <c r="H1832" s="17"/>
      <c r="I1832" s="17"/>
    </row>
    <row r="1833" spans="2:9" ht="15.75" x14ac:dyDescent="0.25">
      <c r="B1833" s="414" t="s">
        <v>280</v>
      </c>
      <c r="C1833" s="415">
        <v>2016</v>
      </c>
      <c r="D1833" s="415" t="s">
        <v>2107</v>
      </c>
      <c r="E1833" s="410">
        <v>477.45089074526402</v>
      </c>
      <c r="F1833" s="17"/>
      <c r="G1833" s="17"/>
      <c r="H1833" s="17"/>
      <c r="I1833" s="17"/>
    </row>
    <row r="1834" spans="2:9" ht="15.75" x14ac:dyDescent="0.25">
      <c r="B1834" s="416" t="s">
        <v>280</v>
      </c>
      <c r="C1834" s="417">
        <v>2017</v>
      </c>
      <c r="D1834" s="417" t="s">
        <v>2108</v>
      </c>
      <c r="E1834" s="413">
        <v>466.68686040236537</v>
      </c>
      <c r="F1834" s="17"/>
      <c r="G1834" s="17"/>
      <c r="H1834" s="17"/>
      <c r="I1834" s="17"/>
    </row>
    <row r="1835" spans="2:9" ht="15.75" x14ac:dyDescent="0.25">
      <c r="B1835" s="416" t="s">
        <v>280</v>
      </c>
      <c r="C1835" s="417">
        <v>2018</v>
      </c>
      <c r="D1835" s="417" t="s">
        <v>2109</v>
      </c>
      <c r="E1835" s="413">
        <v>455.25468446718014</v>
      </c>
      <c r="F1835" s="17"/>
      <c r="G1835" s="17"/>
      <c r="H1835" s="17"/>
      <c r="I1835" s="17"/>
    </row>
    <row r="1836" spans="2:9" ht="15.75" x14ac:dyDescent="0.25">
      <c r="B1836" s="416" t="s">
        <v>280</v>
      </c>
      <c r="C1836" s="417">
        <v>2019</v>
      </c>
      <c r="D1836" s="417" t="s">
        <v>2110</v>
      </c>
      <c r="E1836" s="413">
        <v>443.42194004403848</v>
      </c>
      <c r="F1836" s="17"/>
      <c r="G1836" s="17"/>
      <c r="H1836" s="17"/>
      <c r="I1836" s="17"/>
    </row>
    <row r="1837" spans="2:9" ht="15.75" x14ac:dyDescent="0.25">
      <c r="B1837" s="416" t="s">
        <v>280</v>
      </c>
      <c r="C1837" s="417">
        <v>2020</v>
      </c>
      <c r="D1837" s="417" t="s">
        <v>2111</v>
      </c>
      <c r="E1837" s="413">
        <v>431.32867358854895</v>
      </c>
      <c r="F1837" s="17"/>
      <c r="G1837" s="17"/>
      <c r="H1837" s="17"/>
      <c r="I1837" s="17"/>
    </row>
    <row r="1838" spans="2:9" ht="15.75" x14ac:dyDescent="0.25">
      <c r="B1838" s="416" t="s">
        <v>280</v>
      </c>
      <c r="C1838" s="417">
        <v>2021</v>
      </c>
      <c r="D1838" s="417" t="s">
        <v>2112</v>
      </c>
      <c r="E1838" s="413">
        <v>419.06784994567585</v>
      </c>
      <c r="F1838" s="17"/>
      <c r="G1838" s="17"/>
      <c r="H1838" s="17"/>
      <c r="I1838" s="17"/>
    </row>
    <row r="1839" spans="2:9" ht="15.75" x14ac:dyDescent="0.25">
      <c r="B1839" s="416" t="s">
        <v>280</v>
      </c>
      <c r="C1839" s="417">
        <v>2022</v>
      </c>
      <c r="D1839" s="417" t="s">
        <v>2113</v>
      </c>
      <c r="E1839" s="413">
        <v>406.96432134028311</v>
      </c>
      <c r="F1839" s="17"/>
      <c r="G1839" s="17"/>
      <c r="H1839" s="17"/>
      <c r="I1839" s="17"/>
    </row>
    <row r="1840" spans="2:9" ht="15.75" x14ac:dyDescent="0.25">
      <c r="B1840" s="416" t="s">
        <v>280</v>
      </c>
      <c r="C1840" s="417">
        <v>2023</v>
      </c>
      <c r="D1840" s="417" t="s">
        <v>2114</v>
      </c>
      <c r="E1840" s="413">
        <v>394.91554630792388</v>
      </c>
      <c r="F1840" s="17"/>
      <c r="G1840" s="17"/>
      <c r="H1840" s="17"/>
      <c r="I1840" s="17"/>
    </row>
    <row r="1841" spans="2:9" ht="15.75" x14ac:dyDescent="0.25">
      <c r="B1841" s="416" t="s">
        <v>280</v>
      </c>
      <c r="C1841" s="417">
        <v>2024</v>
      </c>
      <c r="D1841" s="417" t="s">
        <v>2115</v>
      </c>
      <c r="E1841" s="413">
        <v>382.97921027307439</v>
      </c>
      <c r="F1841" s="17"/>
      <c r="G1841" s="17"/>
      <c r="H1841" s="17"/>
      <c r="I1841" s="17"/>
    </row>
    <row r="1842" spans="2:9" ht="15.75" x14ac:dyDescent="0.25">
      <c r="B1842" s="416" t="s">
        <v>280</v>
      </c>
      <c r="C1842" s="417">
        <v>2025</v>
      </c>
      <c r="D1842" s="417" t="s">
        <v>2116</v>
      </c>
      <c r="E1842" s="413">
        <v>371.14352154451819</v>
      </c>
      <c r="F1842" s="17"/>
      <c r="G1842" s="17"/>
      <c r="H1842" s="17"/>
      <c r="I1842" s="17"/>
    </row>
    <row r="1843" spans="2:9" ht="15.75" x14ac:dyDescent="0.25">
      <c r="B1843" s="416" t="s">
        <v>280</v>
      </c>
      <c r="C1843" s="417">
        <v>2026</v>
      </c>
      <c r="D1843" s="417" t="s">
        <v>2117</v>
      </c>
      <c r="E1843" s="413">
        <v>360.46240269397435</v>
      </c>
      <c r="F1843" s="17"/>
      <c r="G1843" s="17"/>
      <c r="H1843" s="17"/>
      <c r="I1843" s="17"/>
    </row>
    <row r="1844" spans="2:9" ht="15.75" x14ac:dyDescent="0.25">
      <c r="B1844" s="416" t="s">
        <v>280</v>
      </c>
      <c r="C1844" s="417">
        <v>2027</v>
      </c>
      <c r="D1844" s="417" t="s">
        <v>2118</v>
      </c>
      <c r="E1844" s="413">
        <v>350.76309232990002</v>
      </c>
      <c r="F1844" s="17"/>
      <c r="G1844" s="17"/>
      <c r="H1844" s="17"/>
      <c r="I1844" s="17"/>
    </row>
    <row r="1845" spans="2:9" ht="15.75" x14ac:dyDescent="0.25">
      <c r="B1845" s="416" t="s">
        <v>280</v>
      </c>
      <c r="C1845" s="417">
        <v>2028</v>
      </c>
      <c r="D1845" s="417" t="s">
        <v>2119</v>
      </c>
      <c r="E1845" s="413">
        <v>342.05507203577542</v>
      </c>
      <c r="F1845" s="17"/>
      <c r="G1845" s="17"/>
      <c r="H1845" s="17"/>
      <c r="I1845" s="17"/>
    </row>
    <row r="1846" spans="2:9" ht="15.75" x14ac:dyDescent="0.25">
      <c r="B1846" s="416" t="s">
        <v>280</v>
      </c>
      <c r="C1846" s="417">
        <v>2029</v>
      </c>
      <c r="D1846" s="417" t="s">
        <v>2120</v>
      </c>
      <c r="E1846" s="413">
        <v>334.26427761135767</v>
      </c>
      <c r="F1846" s="17"/>
      <c r="G1846" s="17"/>
      <c r="H1846" s="17"/>
      <c r="I1846" s="17"/>
    </row>
    <row r="1847" spans="2:9" ht="15.75" x14ac:dyDescent="0.25">
      <c r="B1847" s="416" t="s">
        <v>280</v>
      </c>
      <c r="C1847" s="417">
        <v>2030</v>
      </c>
      <c r="D1847" s="417" t="s">
        <v>2121</v>
      </c>
      <c r="E1847" s="413">
        <v>327.33783628450158</v>
      </c>
      <c r="F1847" s="17"/>
      <c r="G1847" s="17"/>
      <c r="H1847" s="17"/>
      <c r="I1847" s="17"/>
    </row>
    <row r="1848" spans="2:9" ht="15.75" x14ac:dyDescent="0.25">
      <c r="B1848" s="416" t="s">
        <v>280</v>
      </c>
      <c r="C1848" s="417">
        <v>2031</v>
      </c>
      <c r="D1848" s="417" t="s">
        <v>2122</v>
      </c>
      <c r="E1848" s="413">
        <v>321.19650158351863</v>
      </c>
      <c r="F1848" s="17"/>
      <c r="G1848" s="17"/>
      <c r="H1848" s="17"/>
      <c r="I1848" s="17"/>
    </row>
    <row r="1849" spans="2:9" ht="15.75" x14ac:dyDescent="0.25">
      <c r="B1849" s="416" t="s">
        <v>280</v>
      </c>
      <c r="C1849" s="417">
        <v>2032</v>
      </c>
      <c r="D1849" s="417" t="s">
        <v>2123</v>
      </c>
      <c r="E1849" s="413">
        <v>315.78238125104002</v>
      </c>
      <c r="F1849" s="17"/>
      <c r="G1849" s="17"/>
      <c r="H1849" s="17"/>
      <c r="I1849" s="17"/>
    </row>
    <row r="1850" spans="2:9" ht="15.75" x14ac:dyDescent="0.25">
      <c r="B1850" s="416" t="s">
        <v>280</v>
      </c>
      <c r="C1850" s="417">
        <v>2033</v>
      </c>
      <c r="D1850" s="417" t="s">
        <v>2124</v>
      </c>
      <c r="E1850" s="413">
        <v>311.04010808781692</v>
      </c>
      <c r="F1850" s="17"/>
      <c r="G1850" s="17"/>
      <c r="H1850" s="17"/>
      <c r="I1850" s="17"/>
    </row>
    <row r="1851" spans="2:9" ht="15.75" x14ac:dyDescent="0.25">
      <c r="B1851" s="416" t="s">
        <v>280</v>
      </c>
      <c r="C1851" s="417">
        <v>2034</v>
      </c>
      <c r="D1851" s="417" t="s">
        <v>2125</v>
      </c>
      <c r="E1851" s="413">
        <v>306.9004214077699</v>
      </c>
      <c r="F1851" s="17"/>
      <c r="G1851" s="17"/>
      <c r="H1851" s="17"/>
      <c r="I1851" s="17"/>
    </row>
    <row r="1852" spans="2:9" ht="15.75" x14ac:dyDescent="0.25">
      <c r="B1852" s="416" t="s">
        <v>280</v>
      </c>
      <c r="C1852" s="417">
        <v>2035</v>
      </c>
      <c r="D1852" s="417" t="s">
        <v>2126</v>
      </c>
      <c r="E1852" s="413">
        <v>303.31550025203563</v>
      </c>
      <c r="F1852" s="17"/>
      <c r="G1852" s="17"/>
      <c r="H1852" s="17"/>
      <c r="I1852" s="17"/>
    </row>
    <row r="1853" spans="2:9" ht="15.75" x14ac:dyDescent="0.25">
      <c r="B1853" s="416" t="s">
        <v>280</v>
      </c>
      <c r="C1853" s="417">
        <v>2036</v>
      </c>
      <c r="D1853" s="417" t="s">
        <v>2127</v>
      </c>
      <c r="E1853" s="413">
        <v>300.23589983856465</v>
      </c>
      <c r="F1853" s="17"/>
      <c r="G1853" s="17"/>
      <c r="H1853" s="17"/>
      <c r="I1853" s="17"/>
    </row>
    <row r="1854" spans="2:9" ht="15.75" x14ac:dyDescent="0.25">
      <c r="B1854" s="416" t="s">
        <v>280</v>
      </c>
      <c r="C1854" s="417">
        <v>2037</v>
      </c>
      <c r="D1854" s="417" t="s">
        <v>2128</v>
      </c>
      <c r="E1854" s="413">
        <v>297.61817499694808</v>
      </c>
      <c r="F1854" s="17"/>
      <c r="G1854" s="17"/>
      <c r="H1854" s="17"/>
      <c r="I1854" s="17"/>
    </row>
    <row r="1855" spans="2:9" ht="15.75" x14ac:dyDescent="0.25">
      <c r="B1855" s="416" t="s">
        <v>280</v>
      </c>
      <c r="C1855" s="417">
        <v>2038</v>
      </c>
      <c r="D1855" s="417" t="s">
        <v>2129</v>
      </c>
      <c r="E1855" s="413">
        <v>295.41328926650505</v>
      </c>
      <c r="F1855" s="17"/>
      <c r="G1855" s="17"/>
      <c r="H1855" s="17"/>
      <c r="I1855" s="17"/>
    </row>
    <row r="1856" spans="2:9" ht="15.75" x14ac:dyDescent="0.25">
      <c r="B1856" s="416" t="s">
        <v>280</v>
      </c>
      <c r="C1856" s="417">
        <v>2039</v>
      </c>
      <c r="D1856" s="417" t="s">
        <v>2130</v>
      </c>
      <c r="E1856" s="413">
        <v>293.56714980691265</v>
      </c>
      <c r="F1856" s="17"/>
      <c r="G1856" s="17"/>
      <c r="H1856" s="17"/>
      <c r="I1856" s="17"/>
    </row>
    <row r="1857" spans="2:9" ht="15.75" x14ac:dyDescent="0.25">
      <c r="B1857" s="416" t="s">
        <v>280</v>
      </c>
      <c r="C1857" s="417">
        <v>2040</v>
      </c>
      <c r="D1857" s="417" t="s">
        <v>2131</v>
      </c>
      <c r="E1857" s="413">
        <v>292.02889951846919</v>
      </c>
      <c r="F1857" s="17"/>
      <c r="G1857" s="17"/>
      <c r="H1857" s="17"/>
      <c r="I1857" s="17"/>
    </row>
    <row r="1858" spans="2:9" ht="15.75" x14ac:dyDescent="0.25">
      <c r="B1858" s="416" t="s">
        <v>280</v>
      </c>
      <c r="C1858" s="417">
        <v>2041</v>
      </c>
      <c r="D1858" s="417" t="s">
        <v>2132</v>
      </c>
      <c r="E1858" s="413">
        <v>290.76967435599624</v>
      </c>
      <c r="F1858" s="17"/>
      <c r="G1858" s="17"/>
      <c r="H1858" s="17"/>
      <c r="I1858" s="17"/>
    </row>
    <row r="1859" spans="2:9" ht="15.75" x14ac:dyDescent="0.25">
      <c r="B1859" s="416" t="s">
        <v>280</v>
      </c>
      <c r="C1859" s="417">
        <v>2042</v>
      </c>
      <c r="D1859" s="417" t="s">
        <v>2133</v>
      </c>
      <c r="E1859" s="413">
        <v>289.73036708816716</v>
      </c>
      <c r="F1859" s="17"/>
      <c r="G1859" s="17"/>
      <c r="H1859" s="17"/>
      <c r="I1859" s="17"/>
    </row>
    <row r="1860" spans="2:9" ht="15.75" x14ac:dyDescent="0.25">
      <c r="B1860" s="416" t="s">
        <v>280</v>
      </c>
      <c r="C1860" s="417">
        <v>2043</v>
      </c>
      <c r="D1860" s="417" t="s">
        <v>2134</v>
      </c>
      <c r="E1860" s="413">
        <v>288.8831769895292</v>
      </c>
      <c r="F1860" s="17"/>
      <c r="G1860" s="17"/>
      <c r="H1860" s="17"/>
      <c r="I1860" s="17"/>
    </row>
    <row r="1861" spans="2:9" ht="15.75" x14ac:dyDescent="0.25">
      <c r="B1861" s="416" t="s">
        <v>280</v>
      </c>
      <c r="C1861" s="417">
        <v>2044</v>
      </c>
      <c r="D1861" s="417" t="s">
        <v>2135</v>
      </c>
      <c r="E1861" s="413">
        <v>288.18976779583932</v>
      </c>
      <c r="F1861" s="17"/>
      <c r="G1861" s="17"/>
      <c r="H1861" s="17"/>
      <c r="I1861" s="17"/>
    </row>
    <row r="1862" spans="2:9" ht="15.75" x14ac:dyDescent="0.25">
      <c r="B1862" s="416" t="s">
        <v>280</v>
      </c>
      <c r="C1862" s="417">
        <v>2045</v>
      </c>
      <c r="D1862" s="417" t="s">
        <v>2136</v>
      </c>
      <c r="E1862" s="413">
        <v>287.60977902275346</v>
      </c>
      <c r="F1862" s="17"/>
      <c r="G1862" s="17"/>
      <c r="H1862" s="17"/>
      <c r="I1862" s="17"/>
    </row>
    <row r="1863" spans="2:9" ht="15.75" x14ac:dyDescent="0.25">
      <c r="B1863" s="416" t="s">
        <v>280</v>
      </c>
      <c r="C1863" s="417">
        <v>2046</v>
      </c>
      <c r="D1863" s="417" t="s">
        <v>2137</v>
      </c>
      <c r="E1863" s="413">
        <v>287.13529780531599</v>
      </c>
      <c r="F1863" s="17"/>
      <c r="G1863" s="17"/>
      <c r="H1863" s="17"/>
      <c r="I1863" s="17"/>
    </row>
    <row r="1864" spans="2:9" ht="15.75" x14ac:dyDescent="0.25">
      <c r="B1864" s="416" t="s">
        <v>280</v>
      </c>
      <c r="C1864" s="417">
        <v>2047</v>
      </c>
      <c r="D1864" s="417" t="s">
        <v>2138</v>
      </c>
      <c r="E1864" s="413">
        <v>286.74868076354392</v>
      </c>
      <c r="F1864" s="17"/>
      <c r="G1864" s="17"/>
      <c r="H1864" s="17"/>
      <c r="I1864" s="17"/>
    </row>
    <row r="1865" spans="2:9" ht="15.75" x14ac:dyDescent="0.25">
      <c r="B1865" s="416" t="s">
        <v>280</v>
      </c>
      <c r="C1865" s="417">
        <v>2048</v>
      </c>
      <c r="D1865" s="417" t="s">
        <v>2139</v>
      </c>
      <c r="E1865" s="413">
        <v>286.43499776038936</v>
      </c>
      <c r="F1865" s="17"/>
      <c r="G1865" s="17"/>
      <c r="H1865" s="17"/>
      <c r="I1865" s="17"/>
    </row>
    <row r="1866" spans="2:9" ht="15.75" x14ac:dyDescent="0.25">
      <c r="B1866" s="416" t="s">
        <v>280</v>
      </c>
      <c r="C1866" s="417">
        <v>2049</v>
      </c>
      <c r="D1866" s="417" t="s">
        <v>2140</v>
      </c>
      <c r="E1866" s="413">
        <v>286.17563222233775</v>
      </c>
      <c r="F1866" s="17"/>
      <c r="G1866" s="17"/>
      <c r="H1866" s="17"/>
      <c r="I1866" s="17"/>
    </row>
    <row r="1867" spans="2:9" ht="15.75" x14ac:dyDescent="0.25">
      <c r="B1867" s="416" t="s">
        <v>280</v>
      </c>
      <c r="C1867" s="417">
        <v>2050</v>
      </c>
      <c r="D1867" s="417" t="s">
        <v>2141</v>
      </c>
      <c r="E1867" s="413">
        <v>285.9695311720277</v>
      </c>
      <c r="F1867" s="17"/>
      <c r="G1867" s="17"/>
      <c r="H1867" s="17"/>
      <c r="I1867" s="17"/>
    </row>
    <row r="1868" spans="2:9" ht="15.75" x14ac:dyDescent="0.25">
      <c r="B1868" s="407" t="s">
        <v>89</v>
      </c>
      <c r="C1868" s="408">
        <v>2015</v>
      </c>
      <c r="D1868" s="409" t="s">
        <v>281</v>
      </c>
      <c r="E1868" s="410">
        <v>497.17112773766729</v>
      </c>
      <c r="F1868" s="17"/>
      <c r="G1868" s="17"/>
      <c r="H1868" s="17"/>
      <c r="I1868" s="17"/>
    </row>
    <row r="1869" spans="2:9" ht="15.75" x14ac:dyDescent="0.25">
      <c r="B1869" s="407" t="s">
        <v>89</v>
      </c>
      <c r="C1869" s="408">
        <v>2016</v>
      </c>
      <c r="D1869" s="409" t="s">
        <v>282</v>
      </c>
      <c r="E1869" s="410">
        <v>487.95726330129344</v>
      </c>
      <c r="F1869" s="17"/>
      <c r="G1869" s="17"/>
      <c r="H1869" s="17"/>
      <c r="I1869" s="17"/>
    </row>
    <row r="1870" spans="2:9" ht="15.75" x14ac:dyDescent="0.25">
      <c r="B1870" s="411" t="s">
        <v>89</v>
      </c>
      <c r="C1870" s="412">
        <v>2017</v>
      </c>
      <c r="D1870" s="412" t="s">
        <v>2142</v>
      </c>
      <c r="E1870" s="413">
        <v>477.79562860704834</v>
      </c>
      <c r="F1870" s="17"/>
      <c r="G1870" s="17"/>
      <c r="H1870" s="17"/>
      <c r="I1870" s="17"/>
    </row>
    <row r="1871" spans="2:9" ht="15.75" x14ac:dyDescent="0.25">
      <c r="B1871" s="411" t="s">
        <v>89</v>
      </c>
      <c r="C1871" s="412">
        <v>2018</v>
      </c>
      <c r="D1871" s="412" t="s">
        <v>2143</v>
      </c>
      <c r="E1871" s="413">
        <v>466.95846761932239</v>
      </c>
      <c r="F1871" s="17"/>
      <c r="G1871" s="17"/>
      <c r="H1871" s="17"/>
      <c r="I1871" s="17"/>
    </row>
    <row r="1872" spans="2:9" ht="15.75" x14ac:dyDescent="0.25">
      <c r="B1872" s="411" t="s">
        <v>89</v>
      </c>
      <c r="C1872" s="412">
        <v>2019</v>
      </c>
      <c r="D1872" s="412" t="s">
        <v>2144</v>
      </c>
      <c r="E1872" s="413">
        <v>455.6386047355125</v>
      </c>
      <c r="F1872" s="17"/>
      <c r="G1872" s="17"/>
      <c r="H1872" s="17"/>
      <c r="I1872" s="17"/>
    </row>
    <row r="1873" spans="2:9" ht="15.75" x14ac:dyDescent="0.25">
      <c r="B1873" s="411" t="s">
        <v>89</v>
      </c>
      <c r="C1873" s="412">
        <v>2020</v>
      </c>
      <c r="D1873" s="412" t="s">
        <v>2145</v>
      </c>
      <c r="E1873" s="413">
        <v>444.02475645289331</v>
      </c>
      <c r="F1873" s="17"/>
      <c r="G1873" s="17"/>
      <c r="H1873" s="17"/>
      <c r="I1873" s="17"/>
    </row>
    <row r="1874" spans="2:9" ht="15.75" x14ac:dyDescent="0.25">
      <c r="B1874" s="411" t="s">
        <v>89</v>
      </c>
      <c r="C1874" s="412">
        <v>2021</v>
      </c>
      <c r="D1874" s="412" t="s">
        <v>2146</v>
      </c>
      <c r="E1874" s="413">
        <v>432.1843239927486</v>
      </c>
      <c r="F1874" s="17"/>
      <c r="G1874" s="17"/>
      <c r="H1874" s="17"/>
      <c r="I1874" s="17"/>
    </row>
    <row r="1875" spans="2:9" ht="15.75" x14ac:dyDescent="0.25">
      <c r="B1875" s="411" t="s">
        <v>89</v>
      </c>
      <c r="C1875" s="412">
        <v>2022</v>
      </c>
      <c r="D1875" s="412" t="s">
        <v>2147</v>
      </c>
      <c r="E1875" s="413">
        <v>420.43185644039335</v>
      </c>
      <c r="F1875" s="17"/>
      <c r="G1875" s="17"/>
      <c r="H1875" s="17"/>
      <c r="I1875" s="17"/>
    </row>
    <row r="1876" spans="2:9" ht="15.75" x14ac:dyDescent="0.25">
      <c r="B1876" s="411" t="s">
        <v>89</v>
      </c>
      <c r="C1876" s="412">
        <v>2023</v>
      </c>
      <c r="D1876" s="412" t="s">
        <v>2148</v>
      </c>
      <c r="E1876" s="413">
        <v>408.64395052133057</v>
      </c>
      <c r="F1876" s="17"/>
      <c r="G1876" s="17"/>
      <c r="H1876" s="17"/>
      <c r="I1876" s="17"/>
    </row>
    <row r="1877" spans="2:9" ht="15.75" x14ac:dyDescent="0.25">
      <c r="B1877" s="411" t="s">
        <v>89</v>
      </c>
      <c r="C1877" s="412">
        <v>2024</v>
      </c>
      <c r="D1877" s="412" t="s">
        <v>2149</v>
      </c>
      <c r="E1877" s="413">
        <v>396.87428685448629</v>
      </c>
      <c r="F1877" s="17"/>
      <c r="G1877" s="17"/>
      <c r="H1877" s="17"/>
      <c r="I1877" s="17"/>
    </row>
    <row r="1878" spans="2:9" ht="15.75" x14ac:dyDescent="0.25">
      <c r="B1878" s="411" t="s">
        <v>89</v>
      </c>
      <c r="C1878" s="412">
        <v>2025</v>
      </c>
      <c r="D1878" s="412" t="s">
        <v>2150</v>
      </c>
      <c r="E1878" s="413">
        <v>385.10006906872883</v>
      </c>
      <c r="F1878" s="17"/>
      <c r="G1878" s="17"/>
      <c r="H1878" s="17"/>
      <c r="I1878" s="17"/>
    </row>
    <row r="1879" spans="2:9" ht="15.75" x14ac:dyDescent="0.25">
      <c r="B1879" s="411" t="s">
        <v>89</v>
      </c>
      <c r="C1879" s="412">
        <v>2026</v>
      </c>
      <c r="D1879" s="412" t="s">
        <v>2151</v>
      </c>
      <c r="E1879" s="413">
        <v>374.52095073256419</v>
      </c>
      <c r="F1879" s="17"/>
      <c r="G1879" s="17"/>
      <c r="H1879" s="17"/>
      <c r="I1879" s="17"/>
    </row>
    <row r="1880" spans="2:9" ht="15.75" x14ac:dyDescent="0.25">
      <c r="B1880" s="411" t="s">
        <v>89</v>
      </c>
      <c r="C1880" s="412">
        <v>2027</v>
      </c>
      <c r="D1880" s="412" t="s">
        <v>2152</v>
      </c>
      <c r="E1880" s="413">
        <v>365.01018147331399</v>
      </c>
      <c r="F1880" s="17"/>
      <c r="G1880" s="17"/>
      <c r="H1880" s="17"/>
      <c r="I1880" s="17"/>
    </row>
    <row r="1881" spans="2:9" ht="15.75" x14ac:dyDescent="0.25">
      <c r="B1881" s="411" t="s">
        <v>89</v>
      </c>
      <c r="C1881" s="412">
        <v>2028</v>
      </c>
      <c r="D1881" s="412" t="s">
        <v>2153</v>
      </c>
      <c r="E1881" s="413">
        <v>356.56280526477218</v>
      </c>
      <c r="F1881" s="17"/>
      <c r="G1881" s="17"/>
      <c r="H1881" s="17"/>
      <c r="I1881" s="17"/>
    </row>
    <row r="1882" spans="2:9" ht="15.75" x14ac:dyDescent="0.25">
      <c r="B1882" s="411" t="s">
        <v>89</v>
      </c>
      <c r="C1882" s="412">
        <v>2029</v>
      </c>
      <c r="D1882" s="412" t="s">
        <v>2154</v>
      </c>
      <c r="E1882" s="413">
        <v>349.06607317887091</v>
      </c>
      <c r="F1882" s="17"/>
      <c r="G1882" s="17"/>
      <c r="H1882" s="17"/>
      <c r="I1882" s="17"/>
    </row>
    <row r="1883" spans="2:9" ht="15.75" x14ac:dyDescent="0.25">
      <c r="B1883" s="411" t="s">
        <v>89</v>
      </c>
      <c r="C1883" s="412">
        <v>2030</v>
      </c>
      <c r="D1883" s="412" t="s">
        <v>2155</v>
      </c>
      <c r="E1883" s="413">
        <v>342.45508759477838</v>
      </c>
      <c r="F1883" s="17"/>
      <c r="G1883" s="17"/>
      <c r="H1883" s="17"/>
      <c r="I1883" s="17"/>
    </row>
    <row r="1884" spans="2:9" ht="15.75" x14ac:dyDescent="0.25">
      <c r="B1884" s="411" t="s">
        <v>89</v>
      </c>
      <c r="C1884" s="412">
        <v>2031</v>
      </c>
      <c r="D1884" s="412" t="s">
        <v>2156</v>
      </c>
      <c r="E1884" s="413">
        <v>336.64585460990349</v>
      </c>
      <c r="F1884" s="17"/>
      <c r="G1884" s="17"/>
      <c r="H1884" s="17"/>
      <c r="I1884" s="17"/>
    </row>
    <row r="1885" spans="2:9" ht="15.75" x14ac:dyDescent="0.25">
      <c r="B1885" s="411" t="s">
        <v>89</v>
      </c>
      <c r="C1885" s="412">
        <v>2032</v>
      </c>
      <c r="D1885" s="412" t="s">
        <v>2157</v>
      </c>
      <c r="E1885" s="413">
        <v>331.56786965357878</v>
      </c>
      <c r="F1885" s="17"/>
      <c r="G1885" s="17"/>
      <c r="H1885" s="17"/>
      <c r="I1885" s="17"/>
    </row>
    <row r="1886" spans="2:9" ht="15.75" x14ac:dyDescent="0.25">
      <c r="B1886" s="411" t="s">
        <v>89</v>
      </c>
      <c r="C1886" s="412">
        <v>2033</v>
      </c>
      <c r="D1886" s="412" t="s">
        <v>2158</v>
      </c>
      <c r="E1886" s="413">
        <v>327.16568918608169</v>
      </c>
      <c r="F1886" s="17"/>
      <c r="G1886" s="17"/>
      <c r="H1886" s="17"/>
      <c r="I1886" s="17"/>
    </row>
    <row r="1887" spans="2:9" ht="15.75" x14ac:dyDescent="0.25">
      <c r="B1887" s="411" t="s">
        <v>89</v>
      </c>
      <c r="C1887" s="412">
        <v>2034</v>
      </c>
      <c r="D1887" s="412" t="s">
        <v>2159</v>
      </c>
      <c r="E1887" s="413">
        <v>323.36564773382213</v>
      </c>
      <c r="F1887" s="17"/>
      <c r="G1887" s="17"/>
      <c r="H1887" s="17"/>
      <c r="I1887" s="17"/>
    </row>
    <row r="1888" spans="2:9" ht="15.75" x14ac:dyDescent="0.25">
      <c r="B1888" s="411" t="s">
        <v>89</v>
      </c>
      <c r="C1888" s="412">
        <v>2035</v>
      </c>
      <c r="D1888" s="412" t="s">
        <v>2160</v>
      </c>
      <c r="E1888" s="413">
        <v>320.11196975389436</v>
      </c>
      <c r="F1888" s="17"/>
      <c r="G1888" s="17"/>
      <c r="H1888" s="17"/>
      <c r="I1888" s="17"/>
    </row>
    <row r="1889" spans="2:9" ht="15.75" x14ac:dyDescent="0.25">
      <c r="B1889" s="411" t="s">
        <v>89</v>
      </c>
      <c r="C1889" s="412">
        <v>2036</v>
      </c>
      <c r="D1889" s="412" t="s">
        <v>2161</v>
      </c>
      <c r="E1889" s="413">
        <v>317.34933771219511</v>
      </c>
      <c r="F1889" s="17"/>
      <c r="G1889" s="17"/>
      <c r="H1889" s="17"/>
      <c r="I1889" s="17"/>
    </row>
    <row r="1890" spans="2:9" ht="15.75" x14ac:dyDescent="0.25">
      <c r="B1890" s="411" t="s">
        <v>89</v>
      </c>
      <c r="C1890" s="412">
        <v>2037</v>
      </c>
      <c r="D1890" s="412" t="s">
        <v>2162</v>
      </c>
      <c r="E1890" s="413">
        <v>315.02567166091717</v>
      </c>
      <c r="F1890" s="17"/>
      <c r="G1890" s="17"/>
      <c r="H1890" s="17"/>
      <c r="I1890" s="17"/>
    </row>
    <row r="1891" spans="2:9" ht="15.75" x14ac:dyDescent="0.25">
      <c r="B1891" s="411" t="s">
        <v>89</v>
      </c>
      <c r="C1891" s="412">
        <v>2038</v>
      </c>
      <c r="D1891" s="412" t="s">
        <v>2163</v>
      </c>
      <c r="E1891" s="413">
        <v>313.08901980084642</v>
      </c>
      <c r="F1891" s="17"/>
      <c r="G1891" s="17"/>
      <c r="H1891" s="17"/>
      <c r="I1891" s="17"/>
    </row>
    <row r="1892" spans="2:9" ht="15.75" x14ac:dyDescent="0.25">
      <c r="B1892" s="411" t="s">
        <v>89</v>
      </c>
      <c r="C1892" s="412">
        <v>2039</v>
      </c>
      <c r="D1892" s="412" t="s">
        <v>2164</v>
      </c>
      <c r="E1892" s="413">
        <v>311.48480536553899</v>
      </c>
      <c r="F1892" s="17"/>
      <c r="G1892" s="17"/>
      <c r="H1892" s="17"/>
      <c r="I1892" s="17"/>
    </row>
    <row r="1893" spans="2:9" ht="15.75" x14ac:dyDescent="0.25">
      <c r="B1893" s="411" t="s">
        <v>89</v>
      </c>
      <c r="C1893" s="412">
        <v>2040</v>
      </c>
      <c r="D1893" s="412" t="s">
        <v>2165</v>
      </c>
      <c r="E1893" s="413">
        <v>310.16186832904219</v>
      </c>
      <c r="F1893" s="17"/>
      <c r="G1893" s="17"/>
      <c r="H1893" s="17"/>
      <c r="I1893" s="17"/>
    </row>
    <row r="1894" spans="2:9" ht="15.75" x14ac:dyDescent="0.25">
      <c r="B1894" s="411" t="s">
        <v>89</v>
      </c>
      <c r="C1894" s="412">
        <v>2041</v>
      </c>
      <c r="D1894" s="412" t="s">
        <v>2166</v>
      </c>
      <c r="E1894" s="413">
        <v>309.08382912449906</v>
      </c>
      <c r="F1894" s="17"/>
      <c r="G1894" s="17"/>
      <c r="H1894" s="17"/>
      <c r="I1894" s="17"/>
    </row>
    <row r="1895" spans="2:9" ht="15.75" x14ac:dyDescent="0.25">
      <c r="B1895" s="411" t="s">
        <v>89</v>
      </c>
      <c r="C1895" s="412">
        <v>2042</v>
      </c>
      <c r="D1895" s="412" t="s">
        <v>2167</v>
      </c>
      <c r="E1895" s="413">
        <v>308.20216497093168</v>
      </c>
      <c r="F1895" s="17"/>
      <c r="G1895" s="17"/>
      <c r="H1895" s="17"/>
      <c r="I1895" s="17"/>
    </row>
    <row r="1896" spans="2:9" ht="15.75" x14ac:dyDescent="0.25">
      <c r="B1896" s="411" t="s">
        <v>89</v>
      </c>
      <c r="C1896" s="412">
        <v>2043</v>
      </c>
      <c r="D1896" s="412" t="s">
        <v>2168</v>
      </c>
      <c r="E1896" s="413">
        <v>307.48690025406438</v>
      </c>
      <c r="F1896" s="17"/>
      <c r="G1896" s="17"/>
      <c r="H1896" s="17"/>
      <c r="I1896" s="17"/>
    </row>
    <row r="1897" spans="2:9" ht="15.75" x14ac:dyDescent="0.25">
      <c r="B1897" s="411" t="s">
        <v>89</v>
      </c>
      <c r="C1897" s="412">
        <v>2044</v>
      </c>
      <c r="D1897" s="412" t="s">
        <v>2169</v>
      </c>
      <c r="E1897" s="413">
        <v>306.90698502371572</v>
      </c>
      <c r="F1897" s="17"/>
      <c r="G1897" s="17"/>
      <c r="H1897" s="17"/>
      <c r="I1897" s="17"/>
    </row>
    <row r="1898" spans="2:9" ht="15.75" x14ac:dyDescent="0.25">
      <c r="B1898" s="411" t="s">
        <v>89</v>
      </c>
      <c r="C1898" s="412">
        <v>2045</v>
      </c>
      <c r="D1898" s="412" t="s">
        <v>2170</v>
      </c>
      <c r="E1898" s="413">
        <v>306.42830480942462</v>
      </c>
      <c r="F1898" s="17"/>
      <c r="G1898" s="17"/>
      <c r="H1898" s="17"/>
      <c r="I1898" s="17"/>
    </row>
    <row r="1899" spans="2:9" ht="15.75" x14ac:dyDescent="0.25">
      <c r="B1899" s="411" t="s">
        <v>89</v>
      </c>
      <c r="C1899" s="412">
        <v>2046</v>
      </c>
      <c r="D1899" s="412" t="s">
        <v>2171</v>
      </c>
      <c r="E1899" s="413">
        <v>306.04142310730521</v>
      </c>
      <c r="F1899" s="17"/>
      <c r="G1899" s="17"/>
      <c r="H1899" s="17"/>
      <c r="I1899" s="17"/>
    </row>
    <row r="1900" spans="2:9" ht="15.75" x14ac:dyDescent="0.25">
      <c r="B1900" s="411" t="s">
        <v>89</v>
      </c>
      <c r="C1900" s="412">
        <v>2047</v>
      </c>
      <c r="D1900" s="412" t="s">
        <v>2172</v>
      </c>
      <c r="E1900" s="413">
        <v>305.72471257425616</v>
      </c>
      <c r="F1900" s="17"/>
      <c r="G1900" s="17"/>
      <c r="H1900" s="17"/>
      <c r="I1900" s="17"/>
    </row>
    <row r="1901" spans="2:9" ht="15.75" x14ac:dyDescent="0.25">
      <c r="B1901" s="411" t="s">
        <v>89</v>
      </c>
      <c r="C1901" s="412">
        <v>2048</v>
      </c>
      <c r="D1901" s="412" t="s">
        <v>2173</v>
      </c>
      <c r="E1901" s="413">
        <v>305.46878559854213</v>
      </c>
      <c r="F1901" s="17"/>
      <c r="G1901" s="17"/>
      <c r="H1901" s="17"/>
      <c r="I1901" s="17"/>
    </row>
    <row r="1902" spans="2:9" ht="15.75" x14ac:dyDescent="0.25">
      <c r="B1902" s="411" t="s">
        <v>89</v>
      </c>
      <c r="C1902" s="412">
        <v>2049</v>
      </c>
      <c r="D1902" s="412" t="s">
        <v>2174</v>
      </c>
      <c r="E1902" s="413">
        <v>305.25433229068085</v>
      </c>
      <c r="F1902" s="17"/>
      <c r="G1902" s="17"/>
      <c r="H1902" s="17"/>
      <c r="I1902" s="17"/>
    </row>
    <row r="1903" spans="2:9" ht="15.75" x14ac:dyDescent="0.25">
      <c r="B1903" s="411" t="s">
        <v>89</v>
      </c>
      <c r="C1903" s="412">
        <v>2050</v>
      </c>
      <c r="D1903" s="412" t="s">
        <v>2175</v>
      </c>
      <c r="E1903" s="413">
        <v>305.08389279914041</v>
      </c>
      <c r="F1903" s="17"/>
      <c r="G1903" s="17"/>
      <c r="H1903" s="17"/>
      <c r="I1903" s="17"/>
    </row>
    <row r="1904" spans="2:9" ht="15.75" x14ac:dyDescent="0.25">
      <c r="B1904" s="414" t="s">
        <v>283</v>
      </c>
      <c r="C1904" s="415">
        <v>2015</v>
      </c>
      <c r="D1904" s="415" t="s">
        <v>2176</v>
      </c>
      <c r="E1904" s="410">
        <v>523.89345120847304</v>
      </c>
      <c r="F1904" s="17"/>
      <c r="G1904" s="17"/>
      <c r="H1904" s="17"/>
      <c r="I1904" s="17"/>
    </row>
    <row r="1905" spans="2:9" ht="15.75" x14ac:dyDescent="0.25">
      <c r="B1905" s="414" t="s">
        <v>283</v>
      </c>
      <c r="C1905" s="415">
        <v>2016</v>
      </c>
      <c r="D1905" s="415" t="s">
        <v>2177</v>
      </c>
      <c r="E1905" s="410">
        <v>513.04065397506542</v>
      </c>
      <c r="F1905" s="17"/>
      <c r="G1905" s="17"/>
      <c r="H1905" s="17"/>
      <c r="I1905" s="17"/>
    </row>
    <row r="1906" spans="2:9" ht="15.75" x14ac:dyDescent="0.25">
      <c r="B1906" s="416" t="s">
        <v>283</v>
      </c>
      <c r="C1906" s="417">
        <v>2017</v>
      </c>
      <c r="D1906" s="417" t="s">
        <v>2178</v>
      </c>
      <c r="E1906" s="413">
        <v>500.69556248955399</v>
      </c>
      <c r="F1906" s="17"/>
      <c r="G1906" s="17"/>
      <c r="H1906" s="17"/>
      <c r="I1906" s="17"/>
    </row>
    <row r="1907" spans="2:9" ht="15.75" x14ac:dyDescent="0.25">
      <c r="B1907" s="416" t="s">
        <v>283</v>
      </c>
      <c r="C1907" s="417">
        <v>2018</v>
      </c>
      <c r="D1907" s="417" t="s">
        <v>2179</v>
      </c>
      <c r="E1907" s="413">
        <v>488.0151592610344</v>
      </c>
      <c r="F1907" s="17"/>
      <c r="G1907" s="17"/>
      <c r="H1907" s="17"/>
      <c r="I1907" s="17"/>
    </row>
    <row r="1908" spans="2:9" ht="15.75" x14ac:dyDescent="0.25">
      <c r="B1908" s="416" t="s">
        <v>283</v>
      </c>
      <c r="C1908" s="417">
        <v>2019</v>
      </c>
      <c r="D1908" s="417" t="s">
        <v>2180</v>
      </c>
      <c r="E1908" s="413">
        <v>474.25853932098062</v>
      </c>
      <c r="F1908" s="17"/>
      <c r="G1908" s="17"/>
      <c r="H1908" s="17"/>
      <c r="I1908" s="17"/>
    </row>
    <row r="1909" spans="2:9" ht="15.75" x14ac:dyDescent="0.25">
      <c r="B1909" s="416" t="s">
        <v>283</v>
      </c>
      <c r="C1909" s="417">
        <v>2020</v>
      </c>
      <c r="D1909" s="417" t="s">
        <v>2181</v>
      </c>
      <c r="E1909" s="413">
        <v>460.2665287618089</v>
      </c>
      <c r="F1909" s="17"/>
      <c r="G1909" s="17"/>
      <c r="H1909" s="17"/>
      <c r="I1909" s="17"/>
    </row>
    <row r="1910" spans="2:9" ht="15.75" x14ac:dyDescent="0.25">
      <c r="B1910" s="416" t="s">
        <v>283</v>
      </c>
      <c r="C1910" s="417">
        <v>2021</v>
      </c>
      <c r="D1910" s="417" t="s">
        <v>2182</v>
      </c>
      <c r="E1910" s="413">
        <v>446.20644201213065</v>
      </c>
      <c r="F1910" s="17"/>
      <c r="G1910" s="17"/>
      <c r="H1910" s="17"/>
      <c r="I1910" s="17"/>
    </row>
    <row r="1911" spans="2:9" ht="15.75" x14ac:dyDescent="0.25">
      <c r="B1911" s="416" t="s">
        <v>283</v>
      </c>
      <c r="C1911" s="417">
        <v>2022</v>
      </c>
      <c r="D1911" s="417" t="s">
        <v>2183</v>
      </c>
      <c r="E1911" s="413">
        <v>432.30068276869713</v>
      </c>
      <c r="F1911" s="17"/>
      <c r="G1911" s="17"/>
      <c r="H1911" s="17"/>
      <c r="I1911" s="17"/>
    </row>
    <row r="1912" spans="2:9" ht="15.75" x14ac:dyDescent="0.25">
      <c r="B1912" s="416" t="s">
        <v>283</v>
      </c>
      <c r="C1912" s="417">
        <v>2023</v>
      </c>
      <c r="D1912" s="417" t="s">
        <v>2184</v>
      </c>
      <c r="E1912" s="413">
        <v>418.54783387960282</v>
      </c>
      <c r="F1912" s="17"/>
      <c r="G1912" s="17"/>
      <c r="H1912" s="17"/>
      <c r="I1912" s="17"/>
    </row>
    <row r="1913" spans="2:9" ht="15.75" x14ac:dyDescent="0.25">
      <c r="B1913" s="416" t="s">
        <v>283</v>
      </c>
      <c r="C1913" s="417">
        <v>2024</v>
      </c>
      <c r="D1913" s="417" t="s">
        <v>2185</v>
      </c>
      <c r="E1913" s="413">
        <v>405.08672457694769</v>
      </c>
      <c r="F1913" s="17"/>
      <c r="G1913" s="17"/>
      <c r="H1913" s="17"/>
      <c r="I1913" s="17"/>
    </row>
    <row r="1914" spans="2:9" ht="15.75" x14ac:dyDescent="0.25">
      <c r="B1914" s="416" t="s">
        <v>283</v>
      </c>
      <c r="C1914" s="417">
        <v>2025</v>
      </c>
      <c r="D1914" s="417" t="s">
        <v>2186</v>
      </c>
      <c r="E1914" s="413">
        <v>391.78382637298745</v>
      </c>
      <c r="F1914" s="17"/>
      <c r="G1914" s="17"/>
      <c r="H1914" s="17"/>
      <c r="I1914" s="17"/>
    </row>
    <row r="1915" spans="2:9" ht="15.75" x14ac:dyDescent="0.25">
      <c r="B1915" s="416" t="s">
        <v>283</v>
      </c>
      <c r="C1915" s="417">
        <v>2026</v>
      </c>
      <c r="D1915" s="417" t="s">
        <v>2187</v>
      </c>
      <c r="E1915" s="413">
        <v>379.93176516887786</v>
      </c>
      <c r="F1915" s="17"/>
      <c r="G1915" s="17"/>
      <c r="H1915" s="17"/>
      <c r="I1915" s="17"/>
    </row>
    <row r="1916" spans="2:9" ht="15.75" x14ac:dyDescent="0.25">
      <c r="B1916" s="416" t="s">
        <v>283</v>
      </c>
      <c r="C1916" s="417">
        <v>2027</v>
      </c>
      <c r="D1916" s="417" t="s">
        <v>2188</v>
      </c>
      <c r="E1916" s="413">
        <v>368.75002603444761</v>
      </c>
      <c r="F1916" s="17"/>
      <c r="G1916" s="17"/>
      <c r="H1916" s="17"/>
      <c r="I1916" s="17"/>
    </row>
    <row r="1917" spans="2:9" ht="15.75" x14ac:dyDescent="0.25">
      <c r="B1917" s="416" t="s">
        <v>283</v>
      </c>
      <c r="C1917" s="417">
        <v>2028</v>
      </c>
      <c r="D1917" s="417" t="s">
        <v>2189</v>
      </c>
      <c r="E1917" s="413">
        <v>358.67266330081208</v>
      </c>
      <c r="F1917" s="17"/>
      <c r="G1917" s="17"/>
      <c r="H1917" s="17"/>
      <c r="I1917" s="17"/>
    </row>
    <row r="1918" spans="2:9" ht="15.75" x14ac:dyDescent="0.25">
      <c r="B1918" s="416" t="s">
        <v>283</v>
      </c>
      <c r="C1918" s="417">
        <v>2029</v>
      </c>
      <c r="D1918" s="417" t="s">
        <v>2190</v>
      </c>
      <c r="E1918" s="413">
        <v>349.62316895068358</v>
      </c>
      <c r="F1918" s="17"/>
      <c r="G1918" s="17"/>
      <c r="H1918" s="17"/>
      <c r="I1918" s="17"/>
    </row>
    <row r="1919" spans="2:9" ht="15.75" x14ac:dyDescent="0.25">
      <c r="B1919" s="416" t="s">
        <v>283</v>
      </c>
      <c r="C1919" s="417">
        <v>2030</v>
      </c>
      <c r="D1919" s="417" t="s">
        <v>2191</v>
      </c>
      <c r="E1919" s="413">
        <v>341.54424597939163</v>
      </c>
      <c r="F1919" s="17"/>
      <c r="G1919" s="17"/>
      <c r="H1919" s="17"/>
      <c r="I1919" s="17"/>
    </row>
    <row r="1920" spans="2:9" ht="15.75" x14ac:dyDescent="0.25">
      <c r="B1920" s="416" t="s">
        <v>283</v>
      </c>
      <c r="C1920" s="417">
        <v>2031</v>
      </c>
      <c r="D1920" s="417" t="s">
        <v>2192</v>
      </c>
      <c r="E1920" s="413">
        <v>334.36905545628412</v>
      </c>
      <c r="F1920" s="17"/>
      <c r="G1920" s="17"/>
      <c r="H1920" s="17"/>
      <c r="I1920" s="17"/>
    </row>
    <row r="1921" spans="2:9" ht="15.75" x14ac:dyDescent="0.25">
      <c r="B1921" s="416" t="s">
        <v>283</v>
      </c>
      <c r="C1921" s="417">
        <v>2032</v>
      </c>
      <c r="D1921" s="417" t="s">
        <v>2193</v>
      </c>
      <c r="E1921" s="413">
        <v>328.02434932125863</v>
      </c>
      <c r="F1921" s="17"/>
      <c r="G1921" s="17"/>
      <c r="H1921" s="17"/>
      <c r="I1921" s="17"/>
    </row>
    <row r="1922" spans="2:9" ht="15.75" x14ac:dyDescent="0.25">
      <c r="B1922" s="416" t="s">
        <v>283</v>
      </c>
      <c r="C1922" s="417">
        <v>2033</v>
      </c>
      <c r="D1922" s="417" t="s">
        <v>2194</v>
      </c>
      <c r="E1922" s="413">
        <v>322.43633796331181</v>
      </c>
      <c r="F1922" s="17"/>
      <c r="G1922" s="17"/>
      <c r="H1922" s="17"/>
      <c r="I1922" s="17"/>
    </row>
    <row r="1923" spans="2:9" ht="15.75" x14ac:dyDescent="0.25">
      <c r="B1923" s="416" t="s">
        <v>283</v>
      </c>
      <c r="C1923" s="417">
        <v>2034</v>
      </c>
      <c r="D1923" s="417" t="s">
        <v>2195</v>
      </c>
      <c r="E1923" s="413">
        <v>317.54434797756966</v>
      </c>
      <c r="F1923" s="17"/>
      <c r="G1923" s="17"/>
      <c r="H1923" s="17"/>
      <c r="I1923" s="17"/>
    </row>
    <row r="1924" spans="2:9" ht="15.75" x14ac:dyDescent="0.25">
      <c r="B1924" s="416" t="s">
        <v>283</v>
      </c>
      <c r="C1924" s="417">
        <v>2035</v>
      </c>
      <c r="D1924" s="417" t="s">
        <v>2196</v>
      </c>
      <c r="E1924" s="413">
        <v>313.29383430843615</v>
      </c>
      <c r="F1924" s="17"/>
      <c r="G1924" s="17"/>
      <c r="H1924" s="17"/>
      <c r="I1924" s="17"/>
    </row>
    <row r="1925" spans="2:9" ht="15.75" x14ac:dyDescent="0.25">
      <c r="B1925" s="416" t="s">
        <v>283</v>
      </c>
      <c r="C1925" s="417">
        <v>2036</v>
      </c>
      <c r="D1925" s="417" t="s">
        <v>2197</v>
      </c>
      <c r="E1925" s="413">
        <v>309.6168158973673</v>
      </c>
      <c r="F1925" s="17"/>
      <c r="G1925" s="17"/>
      <c r="H1925" s="17"/>
      <c r="I1925" s="17"/>
    </row>
    <row r="1926" spans="2:9" ht="15.75" x14ac:dyDescent="0.25">
      <c r="B1926" s="416" t="s">
        <v>283</v>
      </c>
      <c r="C1926" s="417">
        <v>2037</v>
      </c>
      <c r="D1926" s="417" t="s">
        <v>2198</v>
      </c>
      <c r="E1926" s="413">
        <v>306.47208728364512</v>
      </c>
      <c r="F1926" s="17"/>
      <c r="G1926" s="17"/>
      <c r="H1926" s="17"/>
      <c r="I1926" s="17"/>
    </row>
    <row r="1927" spans="2:9" ht="15.75" x14ac:dyDescent="0.25">
      <c r="B1927" s="416" t="s">
        <v>283</v>
      </c>
      <c r="C1927" s="417">
        <v>2038</v>
      </c>
      <c r="D1927" s="417" t="s">
        <v>2199</v>
      </c>
      <c r="E1927" s="413">
        <v>303.80596489399869</v>
      </c>
      <c r="F1927" s="17"/>
      <c r="G1927" s="17"/>
      <c r="H1927" s="17"/>
      <c r="I1927" s="17"/>
    </row>
    <row r="1928" spans="2:9" ht="15.75" x14ac:dyDescent="0.25">
      <c r="B1928" s="416" t="s">
        <v>283</v>
      </c>
      <c r="C1928" s="417">
        <v>2039</v>
      </c>
      <c r="D1928" s="417" t="s">
        <v>2200</v>
      </c>
      <c r="E1928" s="413">
        <v>301.55681736634733</v>
      </c>
      <c r="F1928" s="17"/>
      <c r="G1928" s="17"/>
      <c r="H1928" s="17"/>
      <c r="I1928" s="17"/>
    </row>
    <row r="1929" spans="2:9" ht="15.75" x14ac:dyDescent="0.25">
      <c r="B1929" s="416" t="s">
        <v>283</v>
      </c>
      <c r="C1929" s="417">
        <v>2040</v>
      </c>
      <c r="D1929" s="417" t="s">
        <v>2201</v>
      </c>
      <c r="E1929" s="413">
        <v>299.67844353072906</v>
      </c>
      <c r="F1929" s="17"/>
      <c r="G1929" s="17"/>
      <c r="H1929" s="17"/>
      <c r="I1929" s="17"/>
    </row>
    <row r="1930" spans="2:9" ht="15.75" x14ac:dyDescent="0.25">
      <c r="B1930" s="416" t="s">
        <v>283</v>
      </c>
      <c r="C1930" s="417">
        <v>2041</v>
      </c>
      <c r="D1930" s="417" t="s">
        <v>2202</v>
      </c>
      <c r="E1930" s="413">
        <v>298.13658879737284</v>
      </c>
      <c r="F1930" s="17"/>
      <c r="G1930" s="17"/>
      <c r="H1930" s="17"/>
      <c r="I1930" s="17"/>
    </row>
    <row r="1931" spans="2:9" ht="15.75" x14ac:dyDescent="0.25">
      <c r="B1931" s="416" t="s">
        <v>283</v>
      </c>
      <c r="C1931" s="417">
        <v>2042</v>
      </c>
      <c r="D1931" s="417" t="s">
        <v>2203</v>
      </c>
      <c r="E1931" s="413">
        <v>296.86058652800119</v>
      </c>
      <c r="F1931" s="17"/>
      <c r="G1931" s="17"/>
      <c r="H1931" s="17"/>
      <c r="I1931" s="17"/>
    </row>
    <row r="1932" spans="2:9" ht="15.75" x14ac:dyDescent="0.25">
      <c r="B1932" s="416" t="s">
        <v>283</v>
      </c>
      <c r="C1932" s="417">
        <v>2043</v>
      </c>
      <c r="D1932" s="417" t="s">
        <v>2204</v>
      </c>
      <c r="E1932" s="413">
        <v>295.82031593984027</v>
      </c>
      <c r="F1932" s="17"/>
      <c r="G1932" s="17"/>
      <c r="H1932" s="17"/>
      <c r="I1932" s="17"/>
    </row>
    <row r="1933" spans="2:9" ht="15.75" x14ac:dyDescent="0.25">
      <c r="B1933" s="416" t="s">
        <v>283</v>
      </c>
      <c r="C1933" s="417">
        <v>2044</v>
      </c>
      <c r="D1933" s="417" t="s">
        <v>2205</v>
      </c>
      <c r="E1933" s="413">
        <v>294.96526334649189</v>
      </c>
      <c r="F1933" s="17"/>
      <c r="G1933" s="17"/>
      <c r="H1933" s="17"/>
      <c r="I1933" s="17"/>
    </row>
    <row r="1934" spans="2:9" ht="15.75" x14ac:dyDescent="0.25">
      <c r="B1934" s="416" t="s">
        <v>283</v>
      </c>
      <c r="C1934" s="417">
        <v>2045</v>
      </c>
      <c r="D1934" s="417" t="s">
        <v>2206</v>
      </c>
      <c r="E1934" s="413">
        <v>294.25334737829809</v>
      </c>
      <c r="F1934" s="17"/>
      <c r="G1934" s="17"/>
      <c r="H1934" s="17"/>
      <c r="I1934" s="17"/>
    </row>
    <row r="1935" spans="2:9" ht="15.75" x14ac:dyDescent="0.25">
      <c r="B1935" s="416" t="s">
        <v>283</v>
      </c>
      <c r="C1935" s="417">
        <v>2046</v>
      </c>
      <c r="D1935" s="417" t="s">
        <v>2207</v>
      </c>
      <c r="E1935" s="413">
        <v>293.66416935846757</v>
      </c>
      <c r="F1935" s="17"/>
      <c r="G1935" s="17"/>
      <c r="H1935" s="17"/>
      <c r="I1935" s="17"/>
    </row>
    <row r="1936" spans="2:9" ht="15.75" x14ac:dyDescent="0.25">
      <c r="B1936" s="416" t="s">
        <v>283</v>
      </c>
      <c r="C1936" s="417">
        <v>2047</v>
      </c>
      <c r="D1936" s="417" t="s">
        <v>2208</v>
      </c>
      <c r="E1936" s="413">
        <v>293.18446491448213</v>
      </c>
      <c r="F1936" s="17"/>
      <c r="G1936" s="17"/>
      <c r="H1936" s="17"/>
      <c r="I1936" s="17"/>
    </row>
    <row r="1937" spans="2:9" ht="15.75" x14ac:dyDescent="0.25">
      <c r="B1937" s="416" t="s">
        <v>283</v>
      </c>
      <c r="C1937" s="417">
        <v>2048</v>
      </c>
      <c r="D1937" s="417" t="s">
        <v>2209</v>
      </c>
      <c r="E1937" s="413">
        <v>292.79214525723376</v>
      </c>
      <c r="F1937" s="17"/>
      <c r="G1937" s="17"/>
      <c r="H1937" s="17"/>
      <c r="I1937" s="17"/>
    </row>
    <row r="1938" spans="2:9" ht="15.75" x14ac:dyDescent="0.25">
      <c r="B1938" s="416" t="s">
        <v>283</v>
      </c>
      <c r="C1938" s="417">
        <v>2049</v>
      </c>
      <c r="D1938" s="417" t="s">
        <v>2210</v>
      </c>
      <c r="E1938" s="413">
        <v>292.47139344945504</v>
      </c>
      <c r="F1938" s="17"/>
      <c r="G1938" s="17"/>
      <c r="H1938" s="17"/>
      <c r="I1938" s="17"/>
    </row>
    <row r="1939" spans="2:9" ht="15.75" x14ac:dyDescent="0.25">
      <c r="B1939" s="416" t="s">
        <v>283</v>
      </c>
      <c r="C1939" s="417">
        <v>2050</v>
      </c>
      <c r="D1939" s="417" t="s">
        <v>2211</v>
      </c>
      <c r="E1939" s="413">
        <v>292.21505616520932</v>
      </c>
      <c r="F1939" s="17"/>
      <c r="G1939" s="17"/>
      <c r="H1939" s="17"/>
      <c r="I1939" s="17"/>
    </row>
    <row r="1940" spans="2:9" ht="15.75" x14ac:dyDescent="0.25">
      <c r="B1940" s="418" t="s">
        <v>90</v>
      </c>
      <c r="C1940" s="409">
        <v>2015</v>
      </c>
      <c r="D1940" s="409" t="s">
        <v>284</v>
      </c>
      <c r="E1940" s="410">
        <v>510.8855845641113</v>
      </c>
      <c r="F1940" s="17"/>
      <c r="G1940" s="17"/>
      <c r="H1940" s="17"/>
      <c r="I1940" s="17"/>
    </row>
    <row r="1941" spans="2:9" ht="15.75" x14ac:dyDescent="0.25">
      <c r="B1941" s="418" t="s">
        <v>90</v>
      </c>
      <c r="C1941" s="409">
        <v>2016</v>
      </c>
      <c r="D1941" s="409" t="s">
        <v>285</v>
      </c>
      <c r="E1941" s="410">
        <v>499.98243344121795</v>
      </c>
      <c r="F1941" s="17"/>
      <c r="G1941" s="17"/>
      <c r="H1941" s="17"/>
      <c r="I1941" s="17"/>
    </row>
    <row r="1942" spans="2:9" ht="15.75" x14ac:dyDescent="0.25">
      <c r="B1942" s="411" t="s">
        <v>90</v>
      </c>
      <c r="C1942" s="412">
        <v>2017</v>
      </c>
      <c r="D1942" s="412" t="s">
        <v>2212</v>
      </c>
      <c r="E1942" s="413">
        <v>487.77539854943649</v>
      </c>
      <c r="F1942" s="17"/>
      <c r="G1942" s="17"/>
      <c r="H1942" s="17"/>
      <c r="I1942" s="17"/>
    </row>
    <row r="1943" spans="2:9" ht="15.75" x14ac:dyDescent="0.25">
      <c r="B1943" s="411" t="s">
        <v>90</v>
      </c>
      <c r="C1943" s="412">
        <v>2018</v>
      </c>
      <c r="D1943" s="412" t="s">
        <v>2213</v>
      </c>
      <c r="E1943" s="413">
        <v>473.90118280984547</v>
      </c>
      <c r="F1943" s="17"/>
      <c r="G1943" s="17"/>
      <c r="H1943" s="17"/>
      <c r="I1943" s="17"/>
    </row>
    <row r="1944" spans="2:9" ht="15.75" x14ac:dyDescent="0.25">
      <c r="B1944" s="411" t="s">
        <v>90</v>
      </c>
      <c r="C1944" s="412">
        <v>2019</v>
      </c>
      <c r="D1944" s="412" t="s">
        <v>2214</v>
      </c>
      <c r="E1944" s="413">
        <v>460.40773779683735</v>
      </c>
      <c r="F1944" s="17"/>
      <c r="G1944" s="17"/>
      <c r="H1944" s="17"/>
      <c r="I1944" s="17"/>
    </row>
    <row r="1945" spans="2:9" ht="15.75" x14ac:dyDescent="0.25">
      <c r="B1945" s="411" t="s">
        <v>90</v>
      </c>
      <c r="C1945" s="412">
        <v>2020</v>
      </c>
      <c r="D1945" s="412" t="s">
        <v>2215</v>
      </c>
      <c r="E1945" s="413">
        <v>446.74117131644772</v>
      </c>
      <c r="F1945" s="17"/>
      <c r="G1945" s="17"/>
      <c r="H1945" s="17"/>
      <c r="I1945" s="17"/>
    </row>
    <row r="1946" spans="2:9" ht="15.75" x14ac:dyDescent="0.25">
      <c r="B1946" s="411" t="s">
        <v>90</v>
      </c>
      <c r="C1946" s="412">
        <v>2021</v>
      </c>
      <c r="D1946" s="412" t="s">
        <v>2216</v>
      </c>
      <c r="E1946" s="413">
        <v>432.43626176007325</v>
      </c>
      <c r="F1946" s="17"/>
      <c r="G1946" s="17"/>
      <c r="H1946" s="17"/>
      <c r="I1946" s="17"/>
    </row>
    <row r="1947" spans="2:9" ht="15.75" x14ac:dyDescent="0.25">
      <c r="B1947" s="411" t="s">
        <v>90</v>
      </c>
      <c r="C1947" s="412">
        <v>2022</v>
      </c>
      <c r="D1947" s="412" t="s">
        <v>2217</v>
      </c>
      <c r="E1947" s="413">
        <v>419.00408102987342</v>
      </c>
      <c r="F1947" s="17"/>
      <c r="G1947" s="17"/>
      <c r="H1947" s="17"/>
      <c r="I1947" s="17"/>
    </row>
    <row r="1948" spans="2:9" ht="15.75" x14ac:dyDescent="0.25">
      <c r="B1948" s="411" t="s">
        <v>90</v>
      </c>
      <c r="C1948" s="412">
        <v>2023</v>
      </c>
      <c r="D1948" s="412" t="s">
        <v>2218</v>
      </c>
      <c r="E1948" s="413">
        <v>405.75062684433965</v>
      </c>
      <c r="F1948" s="17"/>
      <c r="G1948" s="17"/>
      <c r="H1948" s="17"/>
      <c r="I1948" s="17"/>
    </row>
    <row r="1949" spans="2:9" ht="15.75" x14ac:dyDescent="0.25">
      <c r="B1949" s="411" t="s">
        <v>90</v>
      </c>
      <c r="C1949" s="412">
        <v>2024</v>
      </c>
      <c r="D1949" s="412" t="s">
        <v>2219</v>
      </c>
      <c r="E1949" s="413">
        <v>392.07265008912793</v>
      </c>
      <c r="F1949" s="17"/>
      <c r="G1949" s="17"/>
      <c r="H1949" s="17"/>
      <c r="I1949" s="17"/>
    </row>
    <row r="1950" spans="2:9" ht="15.75" x14ac:dyDescent="0.25">
      <c r="B1950" s="411" t="s">
        <v>90</v>
      </c>
      <c r="C1950" s="412">
        <v>2025</v>
      </c>
      <c r="D1950" s="412" t="s">
        <v>2220</v>
      </c>
      <c r="E1950" s="413">
        <v>379.33829758423053</v>
      </c>
      <c r="F1950" s="17"/>
      <c r="G1950" s="17"/>
      <c r="H1950" s="17"/>
      <c r="I1950" s="17"/>
    </row>
    <row r="1951" spans="2:9" ht="15.75" x14ac:dyDescent="0.25">
      <c r="B1951" s="411" t="s">
        <v>90</v>
      </c>
      <c r="C1951" s="412">
        <v>2026</v>
      </c>
      <c r="D1951" s="412" t="s">
        <v>2221</v>
      </c>
      <c r="E1951" s="413">
        <v>367.56921422396556</v>
      </c>
      <c r="F1951" s="17"/>
      <c r="G1951" s="17"/>
      <c r="H1951" s="17"/>
      <c r="I1951" s="17"/>
    </row>
    <row r="1952" spans="2:9" ht="15.75" x14ac:dyDescent="0.25">
      <c r="B1952" s="411" t="s">
        <v>90</v>
      </c>
      <c r="C1952" s="412">
        <v>2027</v>
      </c>
      <c r="D1952" s="412" t="s">
        <v>2222</v>
      </c>
      <c r="E1952" s="413">
        <v>356.97011119896382</v>
      </c>
      <c r="F1952" s="17"/>
      <c r="G1952" s="17"/>
      <c r="H1952" s="17"/>
      <c r="I1952" s="17"/>
    </row>
    <row r="1953" spans="2:9" ht="15.75" x14ac:dyDescent="0.25">
      <c r="B1953" s="411" t="s">
        <v>90</v>
      </c>
      <c r="C1953" s="412">
        <v>2028</v>
      </c>
      <c r="D1953" s="412" t="s">
        <v>2223</v>
      </c>
      <c r="E1953" s="413">
        <v>347.46775772620543</v>
      </c>
      <c r="F1953" s="17"/>
      <c r="G1953" s="17"/>
      <c r="H1953" s="17"/>
      <c r="I1953" s="17"/>
    </row>
    <row r="1954" spans="2:9" ht="15.75" x14ac:dyDescent="0.25">
      <c r="B1954" s="411" t="s">
        <v>90</v>
      </c>
      <c r="C1954" s="412">
        <v>2029</v>
      </c>
      <c r="D1954" s="412" t="s">
        <v>2224</v>
      </c>
      <c r="E1954" s="413">
        <v>338.9856031146266</v>
      </c>
      <c r="F1954" s="17"/>
      <c r="G1954" s="17"/>
      <c r="H1954" s="17"/>
      <c r="I1954" s="17"/>
    </row>
    <row r="1955" spans="2:9" ht="15.75" x14ac:dyDescent="0.25">
      <c r="B1955" s="411" t="s">
        <v>90</v>
      </c>
      <c r="C1955" s="412">
        <v>2030</v>
      </c>
      <c r="D1955" s="412" t="s">
        <v>2225</v>
      </c>
      <c r="E1955" s="413">
        <v>331.44782861491228</v>
      </c>
      <c r="F1955" s="17"/>
      <c r="G1955" s="17"/>
      <c r="H1955" s="17"/>
      <c r="I1955" s="17"/>
    </row>
    <row r="1956" spans="2:9" ht="15.75" x14ac:dyDescent="0.25">
      <c r="B1956" s="411" t="s">
        <v>90</v>
      </c>
      <c r="C1956" s="412">
        <v>2031</v>
      </c>
      <c r="D1956" s="412" t="s">
        <v>2226</v>
      </c>
      <c r="E1956" s="413">
        <v>324.77645747943035</v>
      </c>
      <c r="F1956" s="17"/>
      <c r="G1956" s="17"/>
      <c r="H1956" s="17"/>
      <c r="I1956" s="17"/>
    </row>
    <row r="1957" spans="2:9" ht="15.75" x14ac:dyDescent="0.25">
      <c r="B1957" s="411" t="s">
        <v>90</v>
      </c>
      <c r="C1957" s="412">
        <v>2032</v>
      </c>
      <c r="D1957" s="412" t="s">
        <v>2227</v>
      </c>
      <c r="E1957" s="413">
        <v>318.89855651594343</v>
      </c>
      <c r="F1957" s="17"/>
      <c r="G1957" s="17"/>
      <c r="H1957" s="17"/>
      <c r="I1957" s="17"/>
    </row>
    <row r="1958" spans="2:9" ht="15.75" x14ac:dyDescent="0.25">
      <c r="B1958" s="411" t="s">
        <v>90</v>
      </c>
      <c r="C1958" s="412">
        <v>2033</v>
      </c>
      <c r="D1958" s="412" t="s">
        <v>2228</v>
      </c>
      <c r="E1958" s="413">
        <v>313.73288550444545</v>
      </c>
      <c r="F1958" s="17"/>
      <c r="G1958" s="17"/>
      <c r="H1958" s="17"/>
      <c r="I1958" s="17"/>
    </row>
    <row r="1959" spans="2:9" ht="15.75" x14ac:dyDescent="0.25">
      <c r="B1959" s="411" t="s">
        <v>90</v>
      </c>
      <c r="C1959" s="412">
        <v>2034</v>
      </c>
      <c r="D1959" s="412" t="s">
        <v>2229</v>
      </c>
      <c r="E1959" s="413">
        <v>309.21703908410416</v>
      </c>
      <c r="F1959" s="17"/>
      <c r="G1959" s="17"/>
      <c r="H1959" s="17"/>
      <c r="I1959" s="17"/>
    </row>
    <row r="1960" spans="2:9" ht="15.75" x14ac:dyDescent="0.25">
      <c r="B1960" s="411" t="s">
        <v>90</v>
      </c>
      <c r="C1960" s="412">
        <v>2035</v>
      </c>
      <c r="D1960" s="412" t="s">
        <v>2230</v>
      </c>
      <c r="E1960" s="413">
        <v>305.29840005182257</v>
      </c>
      <c r="F1960" s="17"/>
      <c r="G1960" s="17"/>
      <c r="H1960" s="17"/>
      <c r="I1960" s="17"/>
    </row>
    <row r="1961" spans="2:9" ht="15.75" x14ac:dyDescent="0.25">
      <c r="B1961" s="411" t="s">
        <v>90</v>
      </c>
      <c r="C1961" s="412">
        <v>2036</v>
      </c>
      <c r="D1961" s="412" t="s">
        <v>2231</v>
      </c>
      <c r="E1961" s="413">
        <v>301.91599786743853</v>
      </c>
      <c r="F1961" s="17"/>
      <c r="G1961" s="17"/>
      <c r="H1961" s="17"/>
      <c r="I1961" s="17"/>
    </row>
    <row r="1962" spans="2:9" ht="15.75" x14ac:dyDescent="0.25">
      <c r="B1962" s="411" t="s">
        <v>90</v>
      </c>
      <c r="C1962" s="412">
        <v>2037</v>
      </c>
      <c r="D1962" s="412" t="s">
        <v>2232</v>
      </c>
      <c r="E1962" s="413">
        <v>299.02587243389081</v>
      </c>
      <c r="F1962" s="17"/>
      <c r="G1962" s="17"/>
      <c r="H1962" s="17"/>
      <c r="I1962" s="17"/>
    </row>
    <row r="1963" spans="2:9" ht="15.75" x14ac:dyDescent="0.25">
      <c r="B1963" s="411" t="s">
        <v>90</v>
      </c>
      <c r="C1963" s="412">
        <v>2038</v>
      </c>
      <c r="D1963" s="412" t="s">
        <v>2233</v>
      </c>
      <c r="E1963" s="413">
        <v>296.57309201188394</v>
      </c>
      <c r="F1963" s="17"/>
      <c r="G1963" s="17"/>
      <c r="H1963" s="17"/>
      <c r="I1963" s="17"/>
    </row>
    <row r="1964" spans="2:9" ht="15.75" x14ac:dyDescent="0.25">
      <c r="B1964" s="411" t="s">
        <v>90</v>
      </c>
      <c r="C1964" s="412">
        <v>2039</v>
      </c>
      <c r="D1964" s="412" t="s">
        <v>2234</v>
      </c>
      <c r="E1964" s="413">
        <v>294.51002628223063</v>
      </c>
      <c r="F1964" s="17"/>
      <c r="G1964" s="17"/>
      <c r="H1964" s="17"/>
      <c r="I1964" s="17"/>
    </row>
    <row r="1965" spans="2:9" ht="15.75" x14ac:dyDescent="0.25">
      <c r="B1965" s="411" t="s">
        <v>90</v>
      </c>
      <c r="C1965" s="412">
        <v>2040</v>
      </c>
      <c r="D1965" s="412" t="s">
        <v>2235</v>
      </c>
      <c r="E1965" s="413">
        <v>292.79108443935291</v>
      </c>
      <c r="F1965" s="17"/>
      <c r="G1965" s="17"/>
      <c r="H1965" s="17"/>
      <c r="I1965" s="17"/>
    </row>
    <row r="1966" spans="2:9" ht="15.75" x14ac:dyDescent="0.25">
      <c r="B1966" s="411" t="s">
        <v>90</v>
      </c>
      <c r="C1966" s="412">
        <v>2041</v>
      </c>
      <c r="D1966" s="412" t="s">
        <v>2236</v>
      </c>
      <c r="E1966" s="413">
        <v>291.37905008221549</v>
      </c>
      <c r="F1966" s="17"/>
      <c r="G1966" s="17"/>
      <c r="H1966" s="17"/>
      <c r="I1966" s="17"/>
    </row>
    <row r="1967" spans="2:9" ht="15.75" x14ac:dyDescent="0.25">
      <c r="B1967" s="411" t="s">
        <v>90</v>
      </c>
      <c r="C1967" s="412">
        <v>2042</v>
      </c>
      <c r="D1967" s="412" t="s">
        <v>2237</v>
      </c>
      <c r="E1967" s="413">
        <v>290.21537311074815</v>
      </c>
      <c r="F1967" s="17"/>
      <c r="G1967" s="17"/>
      <c r="H1967" s="17"/>
      <c r="I1967" s="17"/>
    </row>
    <row r="1968" spans="2:9" ht="15.75" x14ac:dyDescent="0.25">
      <c r="B1968" s="411" t="s">
        <v>90</v>
      </c>
      <c r="C1968" s="412">
        <v>2043</v>
      </c>
      <c r="D1968" s="412" t="s">
        <v>2238</v>
      </c>
      <c r="E1968" s="413">
        <v>289.26827151881861</v>
      </c>
      <c r="F1968" s="17"/>
      <c r="G1968" s="17"/>
      <c r="H1968" s="17"/>
      <c r="I1968" s="17"/>
    </row>
    <row r="1969" spans="2:9" ht="15.75" x14ac:dyDescent="0.25">
      <c r="B1969" s="411" t="s">
        <v>90</v>
      </c>
      <c r="C1969" s="412">
        <v>2044</v>
      </c>
      <c r="D1969" s="412" t="s">
        <v>2239</v>
      </c>
      <c r="E1969" s="413">
        <v>288.49730836148734</v>
      </c>
      <c r="F1969" s="17"/>
      <c r="G1969" s="17"/>
      <c r="H1969" s="17"/>
      <c r="I1969" s="17"/>
    </row>
    <row r="1970" spans="2:9" ht="15.75" x14ac:dyDescent="0.25">
      <c r="B1970" s="411" t="s">
        <v>90</v>
      </c>
      <c r="C1970" s="412">
        <v>2045</v>
      </c>
      <c r="D1970" s="412" t="s">
        <v>2240</v>
      </c>
      <c r="E1970" s="413">
        <v>287.86465256041242</v>
      </c>
      <c r="F1970" s="17"/>
      <c r="G1970" s="17"/>
      <c r="H1970" s="17"/>
      <c r="I1970" s="17"/>
    </row>
    <row r="1971" spans="2:9" ht="15.75" x14ac:dyDescent="0.25">
      <c r="B1971" s="411" t="s">
        <v>90</v>
      </c>
      <c r="C1971" s="412">
        <v>2046</v>
      </c>
      <c r="D1971" s="412" t="s">
        <v>2241</v>
      </c>
      <c r="E1971" s="413">
        <v>287.34368044131486</v>
      </c>
      <c r="F1971" s="17"/>
      <c r="G1971" s="17"/>
      <c r="H1971" s="17"/>
      <c r="I1971" s="17"/>
    </row>
    <row r="1972" spans="2:9" ht="15.75" x14ac:dyDescent="0.25">
      <c r="B1972" s="411" t="s">
        <v>90</v>
      </c>
      <c r="C1972" s="412">
        <v>2047</v>
      </c>
      <c r="D1972" s="412" t="s">
        <v>2242</v>
      </c>
      <c r="E1972" s="413">
        <v>286.92369616070374</v>
      </c>
      <c r="F1972" s="17"/>
      <c r="G1972" s="17"/>
      <c r="H1972" s="17"/>
      <c r="I1972" s="17"/>
    </row>
    <row r="1973" spans="2:9" ht="15.75" x14ac:dyDescent="0.25">
      <c r="B1973" s="411" t="s">
        <v>90</v>
      </c>
      <c r="C1973" s="412">
        <v>2048</v>
      </c>
      <c r="D1973" s="412" t="s">
        <v>2243</v>
      </c>
      <c r="E1973" s="413">
        <v>286.58689927557191</v>
      </c>
      <c r="F1973" s="17"/>
      <c r="G1973" s="17"/>
      <c r="H1973" s="17"/>
      <c r="I1973" s="17"/>
    </row>
    <row r="1974" spans="2:9" ht="15.75" x14ac:dyDescent="0.25">
      <c r="B1974" s="411" t="s">
        <v>90</v>
      </c>
      <c r="C1974" s="412">
        <v>2049</v>
      </c>
      <c r="D1974" s="412" t="s">
        <v>2244</v>
      </c>
      <c r="E1974" s="413">
        <v>286.32031197272232</v>
      </c>
      <c r="F1974" s="17"/>
      <c r="G1974" s="17"/>
      <c r="H1974" s="17"/>
      <c r="I1974" s="17"/>
    </row>
    <row r="1975" spans="2:9" ht="15.75" x14ac:dyDescent="0.25">
      <c r="B1975" s="411" t="s">
        <v>90</v>
      </c>
      <c r="C1975" s="412">
        <v>2050</v>
      </c>
      <c r="D1975" s="412" t="s">
        <v>2245</v>
      </c>
      <c r="E1975" s="413">
        <v>286.11286438725779</v>
      </c>
      <c r="F1975" s="17"/>
      <c r="G1975" s="17"/>
      <c r="H1975" s="17"/>
      <c r="I1975" s="17"/>
    </row>
    <row r="1976" spans="2:9" ht="15.75" x14ac:dyDescent="0.25">
      <c r="B1976" s="418" t="s">
        <v>91</v>
      </c>
      <c r="C1976" s="409">
        <v>2015</v>
      </c>
      <c r="D1976" s="409" t="s">
        <v>286</v>
      </c>
      <c r="E1976" s="410">
        <v>500.47656423985563</v>
      </c>
      <c r="F1976" s="17"/>
      <c r="G1976" s="17"/>
      <c r="H1976" s="17"/>
      <c r="I1976" s="17"/>
    </row>
    <row r="1977" spans="2:9" ht="15.75" x14ac:dyDescent="0.25">
      <c r="B1977" s="418" t="s">
        <v>91</v>
      </c>
      <c r="C1977" s="409">
        <v>2016</v>
      </c>
      <c r="D1977" s="409" t="s">
        <v>287</v>
      </c>
      <c r="E1977" s="410">
        <v>491.29694328870983</v>
      </c>
      <c r="F1977" s="17"/>
      <c r="G1977" s="17"/>
      <c r="H1977" s="17"/>
      <c r="I1977" s="17"/>
    </row>
    <row r="1978" spans="2:9" ht="15.75" x14ac:dyDescent="0.25">
      <c r="B1978" s="411" t="s">
        <v>91</v>
      </c>
      <c r="C1978" s="412">
        <v>2017</v>
      </c>
      <c r="D1978" s="412" t="s">
        <v>2246</v>
      </c>
      <c r="E1978" s="413">
        <v>479.99660734722465</v>
      </c>
      <c r="F1978" s="17"/>
      <c r="G1978" s="17"/>
      <c r="H1978" s="17"/>
      <c r="I1978" s="17"/>
    </row>
    <row r="1979" spans="2:9" ht="15.75" x14ac:dyDescent="0.25">
      <c r="B1979" s="411" t="s">
        <v>91</v>
      </c>
      <c r="C1979" s="412">
        <v>2018</v>
      </c>
      <c r="D1979" s="412" t="s">
        <v>2247</v>
      </c>
      <c r="E1979" s="413">
        <v>468.04172122651437</v>
      </c>
      <c r="F1979" s="17"/>
      <c r="G1979" s="17"/>
      <c r="H1979" s="17"/>
      <c r="I1979" s="17"/>
    </row>
    <row r="1980" spans="2:9" ht="15.75" x14ac:dyDescent="0.25">
      <c r="B1980" s="411" t="s">
        <v>91</v>
      </c>
      <c r="C1980" s="412">
        <v>2019</v>
      </c>
      <c r="D1980" s="412" t="s">
        <v>2248</v>
      </c>
      <c r="E1980" s="413">
        <v>455.60963511840112</v>
      </c>
      <c r="F1980" s="17"/>
      <c r="G1980" s="17"/>
      <c r="H1980" s="17"/>
      <c r="I1980" s="17"/>
    </row>
    <row r="1981" spans="2:9" ht="15.75" x14ac:dyDescent="0.25">
      <c r="B1981" s="411" t="s">
        <v>91</v>
      </c>
      <c r="C1981" s="412">
        <v>2020</v>
      </c>
      <c r="D1981" s="412" t="s">
        <v>2249</v>
      </c>
      <c r="E1981" s="413">
        <v>442.86796924696472</v>
      </c>
      <c r="F1981" s="17"/>
      <c r="G1981" s="17"/>
      <c r="H1981" s="17"/>
      <c r="I1981" s="17"/>
    </row>
    <row r="1982" spans="2:9" ht="15.75" x14ac:dyDescent="0.25">
      <c r="B1982" s="411" t="s">
        <v>91</v>
      </c>
      <c r="C1982" s="412">
        <v>2021</v>
      </c>
      <c r="D1982" s="412" t="s">
        <v>2250</v>
      </c>
      <c r="E1982" s="413">
        <v>429.93811586109058</v>
      </c>
      <c r="F1982" s="17"/>
      <c r="G1982" s="17"/>
      <c r="H1982" s="17"/>
      <c r="I1982" s="17"/>
    </row>
    <row r="1983" spans="2:9" ht="15.75" x14ac:dyDescent="0.25">
      <c r="B1983" s="411" t="s">
        <v>91</v>
      </c>
      <c r="C1983" s="412">
        <v>2022</v>
      </c>
      <c r="D1983" s="412" t="s">
        <v>2251</v>
      </c>
      <c r="E1983" s="413">
        <v>417.14731135395652</v>
      </c>
      <c r="F1983" s="17"/>
      <c r="G1983" s="17"/>
      <c r="H1983" s="17"/>
      <c r="I1983" s="17"/>
    </row>
    <row r="1984" spans="2:9" ht="15.75" x14ac:dyDescent="0.25">
      <c r="B1984" s="411" t="s">
        <v>91</v>
      </c>
      <c r="C1984" s="412">
        <v>2023</v>
      </c>
      <c r="D1984" s="412" t="s">
        <v>2252</v>
      </c>
      <c r="E1984" s="413">
        <v>404.42009254946709</v>
      </c>
      <c r="F1984" s="17"/>
      <c r="G1984" s="17"/>
      <c r="H1984" s="17"/>
      <c r="I1984" s="17"/>
    </row>
    <row r="1985" spans="2:9" ht="15.75" x14ac:dyDescent="0.25">
      <c r="B1985" s="411" t="s">
        <v>91</v>
      </c>
      <c r="C1985" s="412">
        <v>2024</v>
      </c>
      <c r="D1985" s="412" t="s">
        <v>2253</v>
      </c>
      <c r="E1985" s="413">
        <v>391.8253839485738</v>
      </c>
      <c r="F1985" s="17"/>
      <c r="G1985" s="17"/>
      <c r="H1985" s="17"/>
      <c r="I1985" s="17"/>
    </row>
    <row r="1986" spans="2:9" ht="15.75" x14ac:dyDescent="0.25">
      <c r="B1986" s="411" t="s">
        <v>91</v>
      </c>
      <c r="C1986" s="412">
        <v>2025</v>
      </c>
      <c r="D1986" s="412" t="s">
        <v>2254</v>
      </c>
      <c r="E1986" s="413">
        <v>379.38861453604261</v>
      </c>
      <c r="F1986" s="17"/>
      <c r="G1986" s="17"/>
      <c r="H1986" s="17"/>
      <c r="I1986" s="17"/>
    </row>
    <row r="1987" spans="2:9" ht="15.75" x14ac:dyDescent="0.25">
      <c r="B1987" s="411" t="s">
        <v>91</v>
      </c>
      <c r="C1987" s="412">
        <v>2026</v>
      </c>
      <c r="D1987" s="412" t="s">
        <v>2255</v>
      </c>
      <c r="E1987" s="413">
        <v>367.93830961059689</v>
      </c>
      <c r="F1987" s="17"/>
      <c r="G1987" s="17"/>
      <c r="H1987" s="17"/>
      <c r="I1987" s="17"/>
    </row>
    <row r="1988" spans="2:9" ht="15.75" x14ac:dyDescent="0.25">
      <c r="B1988" s="411" t="s">
        <v>91</v>
      </c>
      <c r="C1988" s="412">
        <v>2027</v>
      </c>
      <c r="D1988" s="412" t="s">
        <v>2256</v>
      </c>
      <c r="E1988" s="413">
        <v>357.35677022483469</v>
      </c>
      <c r="F1988" s="17"/>
      <c r="G1988" s="17"/>
      <c r="H1988" s="17"/>
      <c r="I1988" s="17"/>
    </row>
    <row r="1989" spans="2:9" ht="15.75" x14ac:dyDescent="0.25">
      <c r="B1989" s="411" t="s">
        <v>91</v>
      </c>
      <c r="C1989" s="412">
        <v>2028</v>
      </c>
      <c r="D1989" s="412" t="s">
        <v>2257</v>
      </c>
      <c r="E1989" s="413">
        <v>347.73667816206466</v>
      </c>
      <c r="F1989" s="17"/>
      <c r="G1989" s="17"/>
      <c r="H1989" s="17"/>
      <c r="I1989" s="17"/>
    </row>
    <row r="1990" spans="2:9" ht="15.75" x14ac:dyDescent="0.25">
      <c r="B1990" s="411" t="s">
        <v>91</v>
      </c>
      <c r="C1990" s="412">
        <v>2029</v>
      </c>
      <c r="D1990" s="412" t="s">
        <v>2258</v>
      </c>
      <c r="E1990" s="413">
        <v>339.02457428779593</v>
      </c>
      <c r="F1990" s="17"/>
      <c r="G1990" s="17"/>
      <c r="H1990" s="17"/>
      <c r="I1990" s="17"/>
    </row>
    <row r="1991" spans="2:9" ht="15.75" x14ac:dyDescent="0.25">
      <c r="B1991" s="411" t="s">
        <v>91</v>
      </c>
      <c r="C1991" s="412">
        <v>2030</v>
      </c>
      <c r="D1991" s="412" t="s">
        <v>2259</v>
      </c>
      <c r="E1991" s="413">
        <v>331.19895385931653</v>
      </c>
      <c r="F1991" s="17"/>
      <c r="G1991" s="17"/>
      <c r="H1991" s="17"/>
      <c r="I1991" s="17"/>
    </row>
    <row r="1992" spans="2:9" ht="15.75" x14ac:dyDescent="0.25">
      <c r="B1992" s="411" t="s">
        <v>91</v>
      </c>
      <c r="C1992" s="412">
        <v>2031</v>
      </c>
      <c r="D1992" s="412" t="s">
        <v>2260</v>
      </c>
      <c r="E1992" s="413">
        <v>324.19776342492753</v>
      </c>
      <c r="F1992" s="17"/>
      <c r="G1992" s="17"/>
      <c r="H1992" s="17"/>
      <c r="I1992" s="17"/>
    </row>
    <row r="1993" spans="2:9" ht="15.75" x14ac:dyDescent="0.25">
      <c r="B1993" s="411" t="s">
        <v>91</v>
      </c>
      <c r="C1993" s="412">
        <v>2032</v>
      </c>
      <c r="D1993" s="412" t="s">
        <v>2261</v>
      </c>
      <c r="E1993" s="413">
        <v>317.9718089327103</v>
      </c>
      <c r="F1993" s="17"/>
      <c r="G1993" s="17"/>
      <c r="H1993" s="17"/>
      <c r="I1993" s="17"/>
    </row>
    <row r="1994" spans="2:9" ht="15.75" x14ac:dyDescent="0.25">
      <c r="B1994" s="411" t="s">
        <v>91</v>
      </c>
      <c r="C1994" s="412">
        <v>2033</v>
      </c>
      <c r="D1994" s="412" t="s">
        <v>2262</v>
      </c>
      <c r="E1994" s="413">
        <v>312.47926712316041</v>
      </c>
      <c r="F1994" s="17"/>
      <c r="G1994" s="17"/>
      <c r="H1994" s="17"/>
      <c r="I1994" s="17"/>
    </row>
    <row r="1995" spans="2:9" ht="15.75" x14ac:dyDescent="0.25">
      <c r="B1995" s="411" t="s">
        <v>91</v>
      </c>
      <c r="C1995" s="412">
        <v>2034</v>
      </c>
      <c r="D1995" s="412" t="s">
        <v>2263</v>
      </c>
      <c r="E1995" s="413">
        <v>307.64466615646069</v>
      </c>
      <c r="F1995" s="17"/>
      <c r="G1995" s="17"/>
      <c r="H1995" s="17"/>
      <c r="I1995" s="17"/>
    </row>
    <row r="1996" spans="2:9" ht="15.75" x14ac:dyDescent="0.25">
      <c r="B1996" s="411" t="s">
        <v>91</v>
      </c>
      <c r="C1996" s="412">
        <v>2035</v>
      </c>
      <c r="D1996" s="412" t="s">
        <v>2264</v>
      </c>
      <c r="E1996" s="413">
        <v>303.42573521217201</v>
      </c>
      <c r="F1996" s="17"/>
      <c r="G1996" s="17"/>
      <c r="H1996" s="17"/>
      <c r="I1996" s="17"/>
    </row>
    <row r="1997" spans="2:9" ht="15.75" x14ac:dyDescent="0.25">
      <c r="B1997" s="411" t="s">
        <v>91</v>
      </c>
      <c r="C1997" s="412">
        <v>2036</v>
      </c>
      <c r="D1997" s="412" t="s">
        <v>2265</v>
      </c>
      <c r="E1997" s="413">
        <v>299.76898290727519</v>
      </c>
      <c r="F1997" s="17"/>
      <c r="G1997" s="17"/>
      <c r="H1997" s="17"/>
      <c r="I1997" s="17"/>
    </row>
    <row r="1998" spans="2:9" ht="15.75" x14ac:dyDescent="0.25">
      <c r="B1998" s="411" t="s">
        <v>91</v>
      </c>
      <c r="C1998" s="412">
        <v>2037</v>
      </c>
      <c r="D1998" s="412" t="s">
        <v>2266</v>
      </c>
      <c r="E1998" s="413">
        <v>296.63985892082053</v>
      </c>
      <c r="F1998" s="17"/>
      <c r="G1998" s="17"/>
      <c r="H1998" s="17"/>
      <c r="I1998" s="17"/>
    </row>
    <row r="1999" spans="2:9" ht="15.75" x14ac:dyDescent="0.25">
      <c r="B1999" s="411" t="s">
        <v>91</v>
      </c>
      <c r="C1999" s="412">
        <v>2038</v>
      </c>
      <c r="D1999" s="412" t="s">
        <v>2267</v>
      </c>
      <c r="E1999" s="413">
        <v>293.97314276868593</v>
      </c>
      <c r="F1999" s="17"/>
      <c r="G1999" s="17"/>
      <c r="H1999" s="17"/>
      <c r="I1999" s="17"/>
    </row>
    <row r="2000" spans="2:9" ht="15.75" x14ac:dyDescent="0.25">
      <c r="B2000" s="411" t="s">
        <v>91</v>
      </c>
      <c r="C2000" s="412">
        <v>2039</v>
      </c>
      <c r="D2000" s="412" t="s">
        <v>2268</v>
      </c>
      <c r="E2000" s="413">
        <v>291.70037218659979</v>
      </c>
      <c r="F2000" s="17"/>
      <c r="G2000" s="17"/>
      <c r="H2000" s="17"/>
      <c r="I2000" s="17"/>
    </row>
    <row r="2001" spans="2:9" ht="15.75" x14ac:dyDescent="0.25">
      <c r="B2001" s="411" t="s">
        <v>91</v>
      </c>
      <c r="C2001" s="412">
        <v>2040</v>
      </c>
      <c r="D2001" s="412" t="s">
        <v>2269</v>
      </c>
      <c r="E2001" s="413">
        <v>289.78456190681192</v>
      </c>
      <c r="F2001" s="17"/>
      <c r="G2001" s="17"/>
      <c r="H2001" s="17"/>
      <c r="I2001" s="17"/>
    </row>
    <row r="2002" spans="2:9" ht="15.75" x14ac:dyDescent="0.25">
      <c r="B2002" s="411" t="s">
        <v>91</v>
      </c>
      <c r="C2002" s="412">
        <v>2041</v>
      </c>
      <c r="D2002" s="412" t="s">
        <v>2270</v>
      </c>
      <c r="E2002" s="413">
        <v>288.19262016416883</v>
      </c>
      <c r="F2002" s="17"/>
      <c r="G2002" s="17"/>
      <c r="H2002" s="17"/>
      <c r="I2002" s="17"/>
    </row>
    <row r="2003" spans="2:9" ht="15.75" x14ac:dyDescent="0.25">
      <c r="B2003" s="411" t="s">
        <v>91</v>
      </c>
      <c r="C2003" s="412">
        <v>2042</v>
      </c>
      <c r="D2003" s="412" t="s">
        <v>2271</v>
      </c>
      <c r="E2003" s="413">
        <v>286.86277230851613</v>
      </c>
      <c r="F2003" s="17"/>
      <c r="G2003" s="17"/>
      <c r="H2003" s="17"/>
      <c r="I2003" s="17"/>
    </row>
    <row r="2004" spans="2:9" ht="15.75" x14ac:dyDescent="0.25">
      <c r="B2004" s="411" t="s">
        <v>91</v>
      </c>
      <c r="C2004" s="412">
        <v>2043</v>
      </c>
      <c r="D2004" s="412" t="s">
        <v>2272</v>
      </c>
      <c r="E2004" s="413">
        <v>285.75474578329084</v>
      </c>
      <c r="F2004" s="17"/>
      <c r="G2004" s="17"/>
      <c r="H2004" s="17"/>
      <c r="I2004" s="17"/>
    </row>
    <row r="2005" spans="2:9" ht="15.75" x14ac:dyDescent="0.25">
      <c r="B2005" s="411" t="s">
        <v>91</v>
      </c>
      <c r="C2005" s="412">
        <v>2044</v>
      </c>
      <c r="D2005" s="412" t="s">
        <v>2273</v>
      </c>
      <c r="E2005" s="413">
        <v>284.82787557741023</v>
      </c>
      <c r="F2005" s="17"/>
      <c r="G2005" s="17"/>
      <c r="H2005" s="17"/>
      <c r="I2005" s="17"/>
    </row>
    <row r="2006" spans="2:9" ht="15.75" x14ac:dyDescent="0.25">
      <c r="B2006" s="411" t="s">
        <v>91</v>
      </c>
      <c r="C2006" s="412">
        <v>2045</v>
      </c>
      <c r="D2006" s="412" t="s">
        <v>2274</v>
      </c>
      <c r="E2006" s="413">
        <v>284.03210216278234</v>
      </c>
      <c r="F2006" s="17"/>
      <c r="G2006" s="17"/>
      <c r="H2006" s="17"/>
      <c r="I2006" s="17"/>
    </row>
    <row r="2007" spans="2:9" ht="15.75" x14ac:dyDescent="0.25">
      <c r="B2007" s="411" t="s">
        <v>91</v>
      </c>
      <c r="C2007" s="412">
        <v>2046</v>
      </c>
      <c r="D2007" s="412" t="s">
        <v>2275</v>
      </c>
      <c r="E2007" s="413">
        <v>283.35900544387698</v>
      </c>
      <c r="F2007" s="17"/>
      <c r="G2007" s="17"/>
      <c r="H2007" s="17"/>
      <c r="I2007" s="17"/>
    </row>
    <row r="2008" spans="2:9" ht="15.75" x14ac:dyDescent="0.25">
      <c r="B2008" s="411" t="s">
        <v>91</v>
      </c>
      <c r="C2008" s="412">
        <v>2047</v>
      </c>
      <c r="D2008" s="412" t="s">
        <v>2276</v>
      </c>
      <c r="E2008" s="413">
        <v>282.78819163400078</v>
      </c>
      <c r="F2008" s="17"/>
      <c r="G2008" s="17"/>
      <c r="H2008" s="17"/>
      <c r="I2008" s="17"/>
    </row>
    <row r="2009" spans="2:9" ht="15.75" x14ac:dyDescent="0.25">
      <c r="B2009" s="411" t="s">
        <v>91</v>
      </c>
      <c r="C2009" s="412">
        <v>2048</v>
      </c>
      <c r="D2009" s="412" t="s">
        <v>2277</v>
      </c>
      <c r="E2009" s="413">
        <v>282.30753705792739</v>
      </c>
      <c r="F2009" s="17"/>
      <c r="G2009" s="17"/>
      <c r="H2009" s="17"/>
      <c r="I2009" s="17"/>
    </row>
    <row r="2010" spans="2:9" ht="15.75" x14ac:dyDescent="0.25">
      <c r="B2010" s="411" t="s">
        <v>91</v>
      </c>
      <c r="C2010" s="412">
        <v>2049</v>
      </c>
      <c r="D2010" s="412" t="s">
        <v>2278</v>
      </c>
      <c r="E2010" s="413">
        <v>281.89947435046878</v>
      </c>
      <c r="F2010" s="17"/>
      <c r="G2010" s="17"/>
      <c r="H2010" s="17"/>
      <c r="I2010" s="17"/>
    </row>
    <row r="2011" spans="2:9" ht="15.75" x14ac:dyDescent="0.25">
      <c r="B2011" s="411" t="s">
        <v>91</v>
      </c>
      <c r="C2011" s="412">
        <v>2050</v>
      </c>
      <c r="D2011" s="412" t="s">
        <v>2279</v>
      </c>
      <c r="E2011" s="413">
        <v>281.56664115436388</v>
      </c>
      <c r="F2011" s="17"/>
      <c r="G2011" s="17"/>
      <c r="H2011" s="17"/>
      <c r="I2011" s="17"/>
    </row>
    <row r="2012" spans="2:9" ht="15.75" x14ac:dyDescent="0.25">
      <c r="B2012" s="407" t="s">
        <v>92</v>
      </c>
      <c r="C2012" s="408">
        <v>2015</v>
      </c>
      <c r="D2012" s="409" t="s">
        <v>288</v>
      </c>
      <c r="E2012" s="410">
        <v>472.15430513154882</v>
      </c>
      <c r="F2012" s="17"/>
      <c r="G2012" s="17"/>
      <c r="H2012" s="17"/>
      <c r="I2012" s="17"/>
    </row>
    <row r="2013" spans="2:9" ht="15.75" x14ac:dyDescent="0.25">
      <c r="B2013" s="407" t="s">
        <v>92</v>
      </c>
      <c r="C2013" s="408">
        <v>2016</v>
      </c>
      <c r="D2013" s="409" t="s">
        <v>289</v>
      </c>
      <c r="E2013" s="410">
        <v>461.58002983865231</v>
      </c>
      <c r="F2013" s="17"/>
      <c r="G2013" s="17"/>
      <c r="H2013" s="17"/>
      <c r="I2013" s="17"/>
    </row>
    <row r="2014" spans="2:9" ht="15.75" x14ac:dyDescent="0.25">
      <c r="B2014" s="411" t="s">
        <v>92</v>
      </c>
      <c r="C2014" s="412">
        <v>2017</v>
      </c>
      <c r="D2014" s="412" t="s">
        <v>2280</v>
      </c>
      <c r="E2014" s="413">
        <v>452.1672920082159</v>
      </c>
      <c r="F2014" s="17"/>
      <c r="G2014" s="17"/>
      <c r="H2014" s="17"/>
      <c r="I2014" s="17"/>
    </row>
    <row r="2015" spans="2:9" ht="15.75" x14ac:dyDescent="0.25">
      <c r="B2015" s="411" t="s">
        <v>92</v>
      </c>
      <c r="C2015" s="412">
        <v>2018</v>
      </c>
      <c r="D2015" s="412" t="s">
        <v>2281</v>
      </c>
      <c r="E2015" s="413">
        <v>442.17584381535448</v>
      </c>
      <c r="F2015" s="17"/>
      <c r="G2015" s="17"/>
      <c r="H2015" s="17"/>
      <c r="I2015" s="17"/>
    </row>
    <row r="2016" spans="2:9" ht="15.75" x14ac:dyDescent="0.25">
      <c r="B2016" s="411" t="s">
        <v>92</v>
      </c>
      <c r="C2016" s="412">
        <v>2019</v>
      </c>
      <c r="D2016" s="412" t="s">
        <v>2282</v>
      </c>
      <c r="E2016" s="413">
        <v>431.69789127012803</v>
      </c>
      <c r="F2016" s="17"/>
      <c r="G2016" s="17"/>
      <c r="H2016" s="17"/>
      <c r="I2016" s="17"/>
    </row>
    <row r="2017" spans="2:9" ht="15.75" x14ac:dyDescent="0.25">
      <c r="B2017" s="411" t="s">
        <v>92</v>
      </c>
      <c r="C2017" s="412">
        <v>2020</v>
      </c>
      <c r="D2017" s="412" t="s">
        <v>2283</v>
      </c>
      <c r="E2017" s="413">
        <v>420.9858599141221</v>
      </c>
      <c r="F2017" s="17"/>
      <c r="G2017" s="17"/>
      <c r="H2017" s="17"/>
      <c r="I2017" s="17"/>
    </row>
    <row r="2018" spans="2:9" ht="15.75" x14ac:dyDescent="0.25">
      <c r="B2018" s="411" t="s">
        <v>92</v>
      </c>
      <c r="C2018" s="412">
        <v>2021</v>
      </c>
      <c r="D2018" s="412" t="s">
        <v>2284</v>
      </c>
      <c r="E2018" s="413">
        <v>410.11224557737381</v>
      </c>
      <c r="F2018" s="17"/>
      <c r="G2018" s="17"/>
      <c r="H2018" s="17"/>
      <c r="I2018" s="17"/>
    </row>
    <row r="2019" spans="2:9" ht="15.75" x14ac:dyDescent="0.25">
      <c r="B2019" s="411" t="s">
        <v>92</v>
      </c>
      <c r="C2019" s="412">
        <v>2022</v>
      </c>
      <c r="D2019" s="412" t="s">
        <v>2285</v>
      </c>
      <c r="E2019" s="413">
        <v>399.43208977146134</v>
      </c>
      <c r="F2019" s="17"/>
      <c r="G2019" s="17"/>
      <c r="H2019" s="17"/>
      <c r="I2019" s="17"/>
    </row>
    <row r="2020" spans="2:9" ht="15.75" x14ac:dyDescent="0.25">
      <c r="B2020" s="411" t="s">
        <v>92</v>
      </c>
      <c r="C2020" s="412">
        <v>2023</v>
      </c>
      <c r="D2020" s="412" t="s">
        <v>2286</v>
      </c>
      <c r="E2020" s="413">
        <v>388.7889406133271</v>
      </c>
      <c r="F2020" s="17"/>
      <c r="G2020" s="17"/>
      <c r="H2020" s="17"/>
      <c r="I2020" s="17"/>
    </row>
    <row r="2021" spans="2:9" ht="15.75" x14ac:dyDescent="0.25">
      <c r="B2021" s="411" t="s">
        <v>92</v>
      </c>
      <c r="C2021" s="412">
        <v>2024</v>
      </c>
      <c r="D2021" s="412" t="s">
        <v>2287</v>
      </c>
      <c r="E2021" s="413">
        <v>378.19897571362071</v>
      </c>
      <c r="F2021" s="17"/>
      <c r="G2021" s="17"/>
      <c r="H2021" s="17"/>
      <c r="I2021" s="17"/>
    </row>
    <row r="2022" spans="2:9" ht="15.75" x14ac:dyDescent="0.25">
      <c r="B2022" s="411" t="s">
        <v>92</v>
      </c>
      <c r="C2022" s="412">
        <v>2025</v>
      </c>
      <c r="D2022" s="412" t="s">
        <v>2288</v>
      </c>
      <c r="E2022" s="413">
        <v>367.60225189993236</v>
      </c>
      <c r="F2022" s="17"/>
      <c r="G2022" s="17"/>
      <c r="H2022" s="17"/>
      <c r="I2022" s="17"/>
    </row>
    <row r="2023" spans="2:9" ht="15.75" x14ac:dyDescent="0.25">
      <c r="B2023" s="411" t="s">
        <v>92</v>
      </c>
      <c r="C2023" s="412">
        <v>2026</v>
      </c>
      <c r="D2023" s="412" t="s">
        <v>2289</v>
      </c>
      <c r="E2023" s="413">
        <v>358.49919977205411</v>
      </c>
      <c r="F2023" s="17"/>
      <c r="G2023" s="17"/>
      <c r="H2023" s="17"/>
      <c r="I2023" s="17"/>
    </row>
    <row r="2024" spans="2:9" ht="15.75" x14ac:dyDescent="0.25">
      <c r="B2024" s="411" t="s">
        <v>92</v>
      </c>
      <c r="C2024" s="412">
        <v>2027</v>
      </c>
      <c r="D2024" s="412" t="s">
        <v>2290</v>
      </c>
      <c r="E2024" s="413">
        <v>350.45563010109134</v>
      </c>
      <c r="F2024" s="17"/>
      <c r="G2024" s="17"/>
      <c r="H2024" s="17"/>
      <c r="I2024" s="17"/>
    </row>
    <row r="2025" spans="2:9" ht="15.75" x14ac:dyDescent="0.25">
      <c r="B2025" s="411" t="s">
        <v>92</v>
      </c>
      <c r="C2025" s="412">
        <v>2028</v>
      </c>
      <c r="D2025" s="412" t="s">
        <v>2291</v>
      </c>
      <c r="E2025" s="413">
        <v>343.28764785845038</v>
      </c>
      <c r="F2025" s="17"/>
      <c r="G2025" s="17"/>
      <c r="H2025" s="17"/>
      <c r="I2025" s="17"/>
    </row>
    <row r="2026" spans="2:9" ht="15.75" x14ac:dyDescent="0.25">
      <c r="B2026" s="411" t="s">
        <v>92</v>
      </c>
      <c r="C2026" s="412">
        <v>2029</v>
      </c>
      <c r="D2026" s="412" t="s">
        <v>2292</v>
      </c>
      <c r="E2026" s="413">
        <v>336.90045048255115</v>
      </c>
      <c r="F2026" s="17"/>
      <c r="G2026" s="17"/>
      <c r="H2026" s="17"/>
      <c r="I2026" s="17"/>
    </row>
    <row r="2027" spans="2:9" ht="15.75" x14ac:dyDescent="0.25">
      <c r="B2027" s="411" t="s">
        <v>92</v>
      </c>
      <c r="C2027" s="412">
        <v>2030</v>
      </c>
      <c r="D2027" s="412" t="s">
        <v>2293</v>
      </c>
      <c r="E2027" s="413">
        <v>331.23794334238187</v>
      </c>
      <c r="F2027" s="17"/>
      <c r="G2027" s="17"/>
      <c r="H2027" s="17"/>
      <c r="I2027" s="17"/>
    </row>
    <row r="2028" spans="2:9" ht="15.75" x14ac:dyDescent="0.25">
      <c r="B2028" s="411" t="s">
        <v>92</v>
      </c>
      <c r="C2028" s="412">
        <v>2031</v>
      </c>
      <c r="D2028" s="412" t="s">
        <v>2294</v>
      </c>
      <c r="E2028" s="413">
        <v>326.21394002735872</v>
      </c>
      <c r="F2028" s="17"/>
      <c r="G2028" s="17"/>
      <c r="H2028" s="17"/>
      <c r="I2028" s="17"/>
    </row>
    <row r="2029" spans="2:9" ht="15.75" x14ac:dyDescent="0.25">
      <c r="B2029" s="411" t="s">
        <v>92</v>
      </c>
      <c r="C2029" s="412">
        <v>2032</v>
      </c>
      <c r="D2029" s="412" t="s">
        <v>2295</v>
      </c>
      <c r="E2029" s="413">
        <v>321.77469344429329</v>
      </c>
      <c r="F2029" s="17"/>
      <c r="G2029" s="17"/>
      <c r="H2029" s="17"/>
      <c r="I2029" s="17"/>
    </row>
    <row r="2030" spans="2:9" ht="15.75" x14ac:dyDescent="0.25">
      <c r="B2030" s="411" t="s">
        <v>92</v>
      </c>
      <c r="C2030" s="412">
        <v>2033</v>
      </c>
      <c r="D2030" s="412" t="s">
        <v>2296</v>
      </c>
      <c r="E2030" s="413">
        <v>317.87567260904723</v>
      </c>
      <c r="F2030" s="17"/>
      <c r="G2030" s="17"/>
      <c r="H2030" s="17"/>
      <c r="I2030" s="17"/>
    </row>
    <row r="2031" spans="2:9" ht="15.75" x14ac:dyDescent="0.25">
      <c r="B2031" s="411" t="s">
        <v>92</v>
      </c>
      <c r="C2031" s="412">
        <v>2034</v>
      </c>
      <c r="D2031" s="412" t="s">
        <v>2297</v>
      </c>
      <c r="E2031" s="413">
        <v>314.45978327365583</v>
      </c>
      <c r="F2031" s="17"/>
      <c r="G2031" s="17"/>
      <c r="H2031" s="17"/>
      <c r="I2031" s="17"/>
    </row>
    <row r="2032" spans="2:9" ht="15.75" x14ac:dyDescent="0.25">
      <c r="B2032" s="411" t="s">
        <v>92</v>
      </c>
      <c r="C2032" s="412">
        <v>2035</v>
      </c>
      <c r="D2032" s="412" t="s">
        <v>2298</v>
      </c>
      <c r="E2032" s="413">
        <v>311.48047482165151</v>
      </c>
      <c r="F2032" s="17"/>
      <c r="G2032" s="17"/>
      <c r="H2032" s="17"/>
      <c r="I2032" s="17"/>
    </row>
    <row r="2033" spans="2:9" ht="15.75" x14ac:dyDescent="0.25">
      <c r="B2033" s="411" t="s">
        <v>92</v>
      </c>
      <c r="C2033" s="412">
        <v>2036</v>
      </c>
      <c r="D2033" s="412" t="s">
        <v>2299</v>
      </c>
      <c r="E2033" s="413">
        <v>308.90830859632405</v>
      </c>
      <c r="F2033" s="17"/>
      <c r="G2033" s="17"/>
      <c r="H2033" s="17"/>
      <c r="I2033" s="17"/>
    </row>
    <row r="2034" spans="2:9" ht="15.75" x14ac:dyDescent="0.25">
      <c r="B2034" s="411" t="s">
        <v>92</v>
      </c>
      <c r="C2034" s="412">
        <v>2037</v>
      </c>
      <c r="D2034" s="412" t="s">
        <v>2300</v>
      </c>
      <c r="E2034" s="413">
        <v>306.70756372710491</v>
      </c>
      <c r="F2034" s="17"/>
      <c r="G2034" s="17"/>
      <c r="H2034" s="17"/>
      <c r="I2034" s="17"/>
    </row>
    <row r="2035" spans="2:9" ht="15.75" x14ac:dyDescent="0.25">
      <c r="B2035" s="411" t="s">
        <v>92</v>
      </c>
      <c r="C2035" s="412">
        <v>2038</v>
      </c>
      <c r="D2035" s="412" t="s">
        <v>2301</v>
      </c>
      <c r="E2035" s="413">
        <v>304.84247667556974</v>
      </c>
      <c r="F2035" s="17"/>
      <c r="G2035" s="17"/>
      <c r="H2035" s="17"/>
      <c r="I2035" s="17"/>
    </row>
    <row r="2036" spans="2:9" ht="15.75" x14ac:dyDescent="0.25">
      <c r="B2036" s="411" t="s">
        <v>92</v>
      </c>
      <c r="C2036" s="412">
        <v>2039</v>
      </c>
      <c r="D2036" s="412" t="s">
        <v>2302</v>
      </c>
      <c r="E2036" s="413">
        <v>303.27130247329131</v>
      </c>
      <c r="F2036" s="17"/>
      <c r="G2036" s="17"/>
      <c r="H2036" s="17"/>
      <c r="I2036" s="17"/>
    </row>
    <row r="2037" spans="2:9" ht="15.75" x14ac:dyDescent="0.25">
      <c r="B2037" s="411" t="s">
        <v>92</v>
      </c>
      <c r="C2037" s="412">
        <v>2040</v>
      </c>
      <c r="D2037" s="412" t="s">
        <v>2303</v>
      </c>
      <c r="E2037" s="413">
        <v>301.96662270251085</v>
      </c>
      <c r="F2037" s="17"/>
      <c r="G2037" s="17"/>
      <c r="H2037" s="17"/>
      <c r="I2037" s="17"/>
    </row>
    <row r="2038" spans="2:9" ht="15.75" x14ac:dyDescent="0.25">
      <c r="B2038" s="411" t="s">
        <v>92</v>
      </c>
      <c r="C2038" s="412">
        <v>2041</v>
      </c>
      <c r="D2038" s="412" t="s">
        <v>2304</v>
      </c>
      <c r="E2038" s="413">
        <v>300.89593827919464</v>
      </c>
      <c r="F2038" s="17"/>
      <c r="G2038" s="17"/>
      <c r="H2038" s="17"/>
      <c r="I2038" s="17"/>
    </row>
    <row r="2039" spans="2:9" ht="15.75" x14ac:dyDescent="0.25">
      <c r="B2039" s="411" t="s">
        <v>92</v>
      </c>
      <c r="C2039" s="412">
        <v>2042</v>
      </c>
      <c r="D2039" s="412" t="s">
        <v>2305</v>
      </c>
      <c r="E2039" s="413">
        <v>300.01364885457554</v>
      </c>
      <c r="F2039" s="17"/>
      <c r="G2039" s="17"/>
      <c r="H2039" s="17"/>
      <c r="I2039" s="17"/>
    </row>
    <row r="2040" spans="2:9" ht="15.75" x14ac:dyDescent="0.25">
      <c r="B2040" s="411" t="s">
        <v>92</v>
      </c>
      <c r="C2040" s="412">
        <v>2043</v>
      </c>
      <c r="D2040" s="412" t="s">
        <v>2306</v>
      </c>
      <c r="E2040" s="413">
        <v>299.29426957467098</v>
      </c>
      <c r="F2040" s="17"/>
      <c r="G2040" s="17"/>
      <c r="H2040" s="17"/>
      <c r="I2040" s="17"/>
    </row>
    <row r="2041" spans="2:9" ht="15.75" x14ac:dyDescent="0.25">
      <c r="B2041" s="411" t="s">
        <v>92</v>
      </c>
      <c r="C2041" s="412">
        <v>2044</v>
      </c>
      <c r="D2041" s="412" t="s">
        <v>2307</v>
      </c>
      <c r="E2041" s="413">
        <v>298.70844353296457</v>
      </c>
      <c r="F2041" s="17"/>
      <c r="G2041" s="17"/>
      <c r="H2041" s="17"/>
      <c r="I2041" s="17"/>
    </row>
    <row r="2042" spans="2:9" ht="15.75" x14ac:dyDescent="0.25">
      <c r="B2042" s="411" t="s">
        <v>92</v>
      </c>
      <c r="C2042" s="412">
        <v>2045</v>
      </c>
      <c r="D2042" s="412" t="s">
        <v>2308</v>
      </c>
      <c r="E2042" s="413">
        <v>298.22459478628394</v>
      </c>
      <c r="F2042" s="17"/>
      <c r="G2042" s="17"/>
      <c r="H2042" s="17"/>
      <c r="I2042" s="17"/>
    </row>
    <row r="2043" spans="2:9" ht="15.75" x14ac:dyDescent="0.25">
      <c r="B2043" s="411" t="s">
        <v>92</v>
      </c>
      <c r="C2043" s="412">
        <v>2046</v>
      </c>
      <c r="D2043" s="412" t="s">
        <v>2309</v>
      </c>
      <c r="E2043" s="413">
        <v>297.83642158894133</v>
      </c>
      <c r="F2043" s="17"/>
      <c r="G2043" s="17"/>
      <c r="H2043" s="17"/>
      <c r="I2043" s="17"/>
    </row>
    <row r="2044" spans="2:9" ht="15.75" x14ac:dyDescent="0.25">
      <c r="B2044" s="411" t="s">
        <v>92</v>
      </c>
      <c r="C2044" s="412">
        <v>2047</v>
      </c>
      <c r="D2044" s="412" t="s">
        <v>2310</v>
      </c>
      <c r="E2044" s="413">
        <v>297.52019613194483</v>
      </c>
      <c r="F2044" s="17"/>
      <c r="G2044" s="17"/>
      <c r="H2044" s="17"/>
      <c r="I2044" s="17"/>
    </row>
    <row r="2045" spans="2:9" ht="15.75" x14ac:dyDescent="0.25">
      <c r="B2045" s="411" t="s">
        <v>92</v>
      </c>
      <c r="C2045" s="412">
        <v>2048</v>
      </c>
      <c r="D2045" s="412" t="s">
        <v>2311</v>
      </c>
      <c r="E2045" s="413">
        <v>297.26558847724471</v>
      </c>
      <c r="F2045" s="17"/>
      <c r="G2045" s="17"/>
      <c r="H2045" s="17"/>
      <c r="I2045" s="17"/>
    </row>
    <row r="2046" spans="2:9" ht="15.75" x14ac:dyDescent="0.25">
      <c r="B2046" s="411" t="s">
        <v>92</v>
      </c>
      <c r="C2046" s="412">
        <v>2049</v>
      </c>
      <c r="D2046" s="412" t="s">
        <v>2312</v>
      </c>
      <c r="E2046" s="413">
        <v>297.05320490072046</v>
      </c>
      <c r="F2046" s="17"/>
      <c r="G2046" s="17"/>
      <c r="H2046" s="17"/>
      <c r="I2046" s="17"/>
    </row>
    <row r="2047" spans="2:9" ht="15.75" x14ac:dyDescent="0.25">
      <c r="B2047" s="411" t="s">
        <v>92</v>
      </c>
      <c r="C2047" s="412">
        <v>2050</v>
      </c>
      <c r="D2047" s="412" t="s">
        <v>2313</v>
      </c>
      <c r="E2047" s="413">
        <v>296.8912369521783</v>
      </c>
      <c r="F2047" s="17"/>
      <c r="G2047" s="17"/>
      <c r="H2047" s="17"/>
      <c r="I2047" s="17"/>
    </row>
    <row r="2048" spans="2:9" ht="15.75" x14ac:dyDescent="0.25">
      <c r="B2048" s="407" t="s">
        <v>290</v>
      </c>
      <c r="C2048" s="408">
        <v>2015</v>
      </c>
      <c r="D2048" s="409" t="s">
        <v>291</v>
      </c>
      <c r="E2048" s="410">
        <v>493.78441282672765</v>
      </c>
      <c r="F2048" s="17"/>
      <c r="G2048" s="17"/>
      <c r="H2048" s="17"/>
      <c r="I2048" s="17"/>
    </row>
    <row r="2049" spans="2:9" ht="15.75" x14ac:dyDescent="0.25">
      <c r="B2049" s="407" t="s">
        <v>290</v>
      </c>
      <c r="C2049" s="408">
        <v>2016</v>
      </c>
      <c r="D2049" s="409" t="s">
        <v>292</v>
      </c>
      <c r="E2049" s="410">
        <v>484.64351011572228</v>
      </c>
      <c r="F2049" s="17"/>
      <c r="G2049" s="17"/>
      <c r="H2049" s="17"/>
      <c r="I2049" s="17"/>
    </row>
    <row r="2050" spans="2:9" ht="15.75" x14ac:dyDescent="0.25">
      <c r="B2050" s="411" t="s">
        <v>290</v>
      </c>
      <c r="C2050" s="412">
        <v>2017</v>
      </c>
      <c r="D2050" s="412" t="s">
        <v>2314</v>
      </c>
      <c r="E2050" s="413">
        <v>473.54606944444123</v>
      </c>
      <c r="F2050" s="17"/>
      <c r="G2050" s="17"/>
      <c r="H2050" s="17"/>
      <c r="I2050" s="17"/>
    </row>
    <row r="2051" spans="2:9" ht="15.75" x14ac:dyDescent="0.25">
      <c r="B2051" s="411" t="s">
        <v>290</v>
      </c>
      <c r="C2051" s="412">
        <v>2018</v>
      </c>
      <c r="D2051" s="412" t="s">
        <v>2315</v>
      </c>
      <c r="E2051" s="413">
        <v>461.89828369924038</v>
      </c>
      <c r="F2051" s="17"/>
      <c r="G2051" s="17"/>
      <c r="H2051" s="17"/>
      <c r="I2051" s="17"/>
    </row>
    <row r="2052" spans="2:9" ht="15.75" x14ac:dyDescent="0.25">
      <c r="B2052" s="411" t="s">
        <v>290</v>
      </c>
      <c r="C2052" s="412">
        <v>2019</v>
      </c>
      <c r="D2052" s="412" t="s">
        <v>2316</v>
      </c>
      <c r="E2052" s="413">
        <v>449.82669683226771</v>
      </c>
      <c r="F2052" s="17"/>
      <c r="G2052" s="17"/>
      <c r="H2052" s="17"/>
      <c r="I2052" s="17"/>
    </row>
    <row r="2053" spans="2:9" ht="15.75" x14ac:dyDescent="0.25">
      <c r="B2053" s="411" t="s">
        <v>290</v>
      </c>
      <c r="C2053" s="412">
        <v>2020</v>
      </c>
      <c r="D2053" s="412" t="s">
        <v>2317</v>
      </c>
      <c r="E2053" s="413">
        <v>437.47226262122871</v>
      </c>
      <c r="F2053" s="17"/>
      <c r="G2053" s="17"/>
      <c r="H2053" s="17"/>
      <c r="I2053" s="17"/>
    </row>
    <row r="2054" spans="2:9" ht="15.75" x14ac:dyDescent="0.25">
      <c r="B2054" s="411" t="s">
        <v>290</v>
      </c>
      <c r="C2054" s="412">
        <v>2021</v>
      </c>
      <c r="D2054" s="412" t="s">
        <v>2318</v>
      </c>
      <c r="E2054" s="413">
        <v>424.92881335917457</v>
      </c>
      <c r="F2054" s="17"/>
      <c r="G2054" s="17"/>
      <c r="H2054" s="17"/>
      <c r="I2054" s="17"/>
    </row>
    <row r="2055" spans="2:9" ht="15.75" x14ac:dyDescent="0.25">
      <c r="B2055" s="411" t="s">
        <v>290</v>
      </c>
      <c r="C2055" s="412">
        <v>2022</v>
      </c>
      <c r="D2055" s="412" t="s">
        <v>2319</v>
      </c>
      <c r="E2055" s="413">
        <v>412.49241391984657</v>
      </c>
      <c r="F2055" s="17"/>
      <c r="G2055" s="17"/>
      <c r="H2055" s="17"/>
      <c r="I2055" s="17"/>
    </row>
    <row r="2056" spans="2:9" ht="15.75" x14ac:dyDescent="0.25">
      <c r="B2056" s="411" t="s">
        <v>290</v>
      </c>
      <c r="C2056" s="412">
        <v>2023</v>
      </c>
      <c r="D2056" s="412" t="s">
        <v>2320</v>
      </c>
      <c r="E2056" s="413">
        <v>400.11954651768889</v>
      </c>
      <c r="F2056" s="17"/>
      <c r="G2056" s="17"/>
      <c r="H2056" s="17"/>
      <c r="I2056" s="17"/>
    </row>
    <row r="2057" spans="2:9" ht="15.75" x14ac:dyDescent="0.25">
      <c r="B2057" s="411" t="s">
        <v>290</v>
      </c>
      <c r="C2057" s="412">
        <v>2024</v>
      </c>
      <c r="D2057" s="412" t="s">
        <v>2321</v>
      </c>
      <c r="E2057" s="413">
        <v>387.8888206213515</v>
      </c>
      <c r="F2057" s="17"/>
      <c r="G2057" s="17"/>
      <c r="H2057" s="17"/>
      <c r="I2057" s="17"/>
    </row>
    <row r="2058" spans="2:9" ht="15.75" x14ac:dyDescent="0.25">
      <c r="B2058" s="411" t="s">
        <v>290</v>
      </c>
      <c r="C2058" s="412">
        <v>2025</v>
      </c>
      <c r="D2058" s="412" t="s">
        <v>2322</v>
      </c>
      <c r="E2058" s="413">
        <v>375.79895500037361</v>
      </c>
      <c r="F2058" s="17"/>
      <c r="G2058" s="17"/>
      <c r="H2058" s="17"/>
      <c r="I2058" s="17"/>
    </row>
    <row r="2059" spans="2:9" ht="15.75" x14ac:dyDescent="0.25">
      <c r="B2059" s="411" t="s">
        <v>290</v>
      </c>
      <c r="C2059" s="412">
        <v>2026</v>
      </c>
      <c r="D2059" s="412" t="s">
        <v>2323</v>
      </c>
      <c r="E2059" s="413">
        <v>363.92781217340718</v>
      </c>
      <c r="F2059" s="17"/>
      <c r="G2059" s="17"/>
      <c r="H2059" s="17"/>
      <c r="I2059" s="17"/>
    </row>
    <row r="2060" spans="2:9" ht="15.75" x14ac:dyDescent="0.25">
      <c r="B2060" s="411" t="s">
        <v>290</v>
      </c>
      <c r="C2060" s="412">
        <v>2027</v>
      </c>
      <c r="D2060" s="412" t="s">
        <v>2324</v>
      </c>
      <c r="E2060" s="413">
        <v>353.62650042660977</v>
      </c>
      <c r="F2060" s="17"/>
      <c r="G2060" s="17"/>
      <c r="H2060" s="17"/>
      <c r="I2060" s="17"/>
    </row>
    <row r="2061" spans="2:9" ht="15.75" x14ac:dyDescent="0.25">
      <c r="B2061" s="411" t="s">
        <v>290</v>
      </c>
      <c r="C2061" s="412">
        <v>2028</v>
      </c>
      <c r="D2061" s="412" t="s">
        <v>2325</v>
      </c>
      <c r="E2061" s="413">
        <v>344.24657042014962</v>
      </c>
      <c r="F2061" s="17"/>
      <c r="G2061" s="17"/>
      <c r="H2061" s="17"/>
      <c r="I2061" s="17"/>
    </row>
    <row r="2062" spans="2:9" ht="15.75" x14ac:dyDescent="0.25">
      <c r="B2062" s="411" t="s">
        <v>290</v>
      </c>
      <c r="C2062" s="412">
        <v>2029</v>
      </c>
      <c r="D2062" s="412" t="s">
        <v>2326</v>
      </c>
      <c r="E2062" s="413">
        <v>335.71592146757325</v>
      </c>
      <c r="F2062" s="17"/>
      <c r="G2062" s="17"/>
      <c r="H2062" s="17"/>
      <c r="I2062" s="17"/>
    </row>
    <row r="2063" spans="2:9" ht="15.75" x14ac:dyDescent="0.25">
      <c r="B2063" s="411" t="s">
        <v>290</v>
      </c>
      <c r="C2063" s="412">
        <v>2030</v>
      </c>
      <c r="D2063" s="412" t="s">
        <v>2327</v>
      </c>
      <c r="E2063" s="413">
        <v>328.01843707008857</v>
      </c>
      <c r="F2063" s="17"/>
      <c r="G2063" s="17"/>
      <c r="H2063" s="17"/>
      <c r="I2063" s="17"/>
    </row>
    <row r="2064" spans="2:9" ht="15.75" x14ac:dyDescent="0.25">
      <c r="B2064" s="411" t="s">
        <v>290</v>
      </c>
      <c r="C2064" s="412">
        <v>2031</v>
      </c>
      <c r="D2064" s="412" t="s">
        <v>2328</v>
      </c>
      <c r="E2064" s="413">
        <v>321.09984683310091</v>
      </c>
      <c r="F2064" s="17"/>
      <c r="G2064" s="17"/>
      <c r="H2064" s="17"/>
      <c r="I2064" s="17"/>
    </row>
    <row r="2065" spans="2:9" ht="15.75" x14ac:dyDescent="0.25">
      <c r="B2065" s="411" t="s">
        <v>290</v>
      </c>
      <c r="C2065" s="412">
        <v>2032</v>
      </c>
      <c r="D2065" s="412" t="s">
        <v>2329</v>
      </c>
      <c r="E2065" s="413">
        <v>314.92079038079919</v>
      </c>
      <c r="F2065" s="17"/>
      <c r="G2065" s="17"/>
      <c r="H2065" s="17"/>
      <c r="I2065" s="17"/>
    </row>
    <row r="2066" spans="2:9" ht="15.75" x14ac:dyDescent="0.25">
      <c r="B2066" s="411" t="s">
        <v>290</v>
      </c>
      <c r="C2066" s="412">
        <v>2033</v>
      </c>
      <c r="D2066" s="412" t="s">
        <v>2330</v>
      </c>
      <c r="E2066" s="413">
        <v>309.42792464488616</v>
      </c>
      <c r="F2066" s="17"/>
      <c r="G2066" s="17"/>
      <c r="H2066" s="17"/>
      <c r="I2066" s="17"/>
    </row>
    <row r="2067" spans="2:9" ht="15.75" x14ac:dyDescent="0.25">
      <c r="B2067" s="411" t="s">
        <v>290</v>
      </c>
      <c r="C2067" s="412">
        <v>2034</v>
      </c>
      <c r="D2067" s="412" t="s">
        <v>2331</v>
      </c>
      <c r="E2067" s="413">
        <v>304.54356476816275</v>
      </c>
      <c r="F2067" s="17"/>
      <c r="G2067" s="17"/>
      <c r="H2067" s="17"/>
      <c r="I2067" s="17"/>
    </row>
    <row r="2068" spans="2:9" ht="15.75" x14ac:dyDescent="0.25">
      <c r="B2068" s="411" t="s">
        <v>290</v>
      </c>
      <c r="C2068" s="412">
        <v>2035</v>
      </c>
      <c r="D2068" s="412" t="s">
        <v>2332</v>
      </c>
      <c r="E2068" s="413">
        <v>300.24246364761717</v>
      </c>
      <c r="F2068" s="17"/>
      <c r="G2068" s="17"/>
      <c r="H2068" s="17"/>
      <c r="I2068" s="17"/>
    </row>
    <row r="2069" spans="2:9" ht="15.75" x14ac:dyDescent="0.25">
      <c r="B2069" s="411" t="s">
        <v>290</v>
      </c>
      <c r="C2069" s="412">
        <v>2036</v>
      </c>
      <c r="D2069" s="412" t="s">
        <v>2333</v>
      </c>
      <c r="E2069" s="413">
        <v>296.47097141878396</v>
      </c>
      <c r="F2069" s="17"/>
      <c r="G2069" s="17"/>
      <c r="H2069" s="17"/>
      <c r="I2069" s="17"/>
    </row>
    <row r="2070" spans="2:9" ht="15.75" x14ac:dyDescent="0.25">
      <c r="B2070" s="411" t="s">
        <v>290</v>
      </c>
      <c r="C2070" s="412">
        <v>2037</v>
      </c>
      <c r="D2070" s="412" t="s">
        <v>2334</v>
      </c>
      <c r="E2070" s="413">
        <v>293.20697027310337</v>
      </c>
      <c r="F2070" s="17"/>
      <c r="G2070" s="17"/>
      <c r="H2070" s="17"/>
      <c r="I2070" s="17"/>
    </row>
    <row r="2071" spans="2:9" ht="15.75" x14ac:dyDescent="0.25">
      <c r="B2071" s="411" t="s">
        <v>290</v>
      </c>
      <c r="C2071" s="412">
        <v>2038</v>
      </c>
      <c r="D2071" s="412" t="s">
        <v>2335</v>
      </c>
      <c r="E2071" s="413">
        <v>290.38687310338173</v>
      </c>
      <c r="F2071" s="17"/>
      <c r="G2071" s="17"/>
      <c r="H2071" s="17"/>
      <c r="I2071" s="17"/>
    </row>
    <row r="2072" spans="2:9" ht="15.75" x14ac:dyDescent="0.25">
      <c r="B2072" s="411" t="s">
        <v>290</v>
      </c>
      <c r="C2072" s="412">
        <v>2039</v>
      </c>
      <c r="D2072" s="412" t="s">
        <v>2336</v>
      </c>
      <c r="E2072" s="413">
        <v>287.96373342362529</v>
      </c>
      <c r="F2072" s="17"/>
      <c r="G2072" s="17"/>
      <c r="H2072" s="17"/>
      <c r="I2072" s="17"/>
    </row>
    <row r="2073" spans="2:9" ht="15.75" x14ac:dyDescent="0.25">
      <c r="B2073" s="411" t="s">
        <v>290</v>
      </c>
      <c r="C2073" s="412">
        <v>2040</v>
      </c>
      <c r="D2073" s="412" t="s">
        <v>2337</v>
      </c>
      <c r="E2073" s="413">
        <v>285.89461678953074</v>
      </c>
      <c r="F2073" s="17"/>
      <c r="G2073" s="17"/>
      <c r="H2073" s="17"/>
      <c r="I2073" s="17"/>
    </row>
    <row r="2074" spans="2:9" ht="15.75" x14ac:dyDescent="0.25">
      <c r="B2074" s="411" t="s">
        <v>290</v>
      </c>
      <c r="C2074" s="412">
        <v>2041</v>
      </c>
      <c r="D2074" s="412" t="s">
        <v>2338</v>
      </c>
      <c r="E2074" s="413">
        <v>284.1555939086075</v>
      </c>
      <c r="F2074" s="17"/>
      <c r="G2074" s="17"/>
      <c r="H2074" s="17"/>
      <c r="I2074" s="17"/>
    </row>
    <row r="2075" spans="2:9" ht="15.75" x14ac:dyDescent="0.25">
      <c r="B2075" s="411" t="s">
        <v>290</v>
      </c>
      <c r="C2075" s="412">
        <v>2042</v>
      </c>
      <c r="D2075" s="412" t="s">
        <v>2339</v>
      </c>
      <c r="E2075" s="413">
        <v>282.67669781151676</v>
      </c>
      <c r="F2075" s="17"/>
      <c r="G2075" s="17"/>
      <c r="H2075" s="17"/>
      <c r="I2075" s="17"/>
    </row>
    <row r="2076" spans="2:9" ht="15.75" x14ac:dyDescent="0.25">
      <c r="B2076" s="411" t="s">
        <v>290</v>
      </c>
      <c r="C2076" s="412">
        <v>2043</v>
      </c>
      <c r="D2076" s="412" t="s">
        <v>2340</v>
      </c>
      <c r="E2076" s="413">
        <v>281.44008170153387</v>
      </c>
      <c r="F2076" s="17"/>
      <c r="G2076" s="17"/>
      <c r="H2076" s="17"/>
      <c r="I2076" s="17"/>
    </row>
    <row r="2077" spans="2:9" ht="15.75" x14ac:dyDescent="0.25">
      <c r="B2077" s="411" t="s">
        <v>290</v>
      </c>
      <c r="C2077" s="412">
        <v>2044</v>
      </c>
      <c r="D2077" s="412" t="s">
        <v>2341</v>
      </c>
      <c r="E2077" s="413">
        <v>280.3957465755102</v>
      </c>
      <c r="F2077" s="17"/>
      <c r="G2077" s="17"/>
      <c r="H2077" s="17"/>
      <c r="I2077" s="17"/>
    </row>
    <row r="2078" spans="2:9" ht="15.75" x14ac:dyDescent="0.25">
      <c r="B2078" s="411" t="s">
        <v>290</v>
      </c>
      <c r="C2078" s="412">
        <v>2045</v>
      </c>
      <c r="D2078" s="412" t="s">
        <v>2342</v>
      </c>
      <c r="E2078" s="413">
        <v>279.49876650558474</v>
      </c>
      <c r="F2078" s="17"/>
      <c r="G2078" s="17"/>
      <c r="H2078" s="17"/>
      <c r="I2078" s="17"/>
    </row>
    <row r="2079" spans="2:9" ht="15.75" x14ac:dyDescent="0.25">
      <c r="B2079" s="411" t="s">
        <v>290</v>
      </c>
      <c r="C2079" s="412">
        <v>2046</v>
      </c>
      <c r="D2079" s="412" t="s">
        <v>2343</v>
      </c>
      <c r="E2079" s="413">
        <v>278.74185857132687</v>
      </c>
      <c r="F2079" s="17"/>
      <c r="G2079" s="17"/>
      <c r="H2079" s="17"/>
      <c r="I2079" s="17"/>
    </row>
    <row r="2080" spans="2:9" ht="15.75" x14ac:dyDescent="0.25">
      <c r="B2080" s="411" t="s">
        <v>290</v>
      </c>
      <c r="C2080" s="412">
        <v>2047</v>
      </c>
      <c r="D2080" s="412" t="s">
        <v>2344</v>
      </c>
      <c r="E2080" s="413">
        <v>278.10376236165695</v>
      </c>
      <c r="F2080" s="17"/>
      <c r="G2080" s="17"/>
      <c r="H2080" s="17"/>
      <c r="I2080" s="17"/>
    </row>
    <row r="2081" spans="2:9" ht="15.75" x14ac:dyDescent="0.25">
      <c r="B2081" s="411" t="s">
        <v>290</v>
      </c>
      <c r="C2081" s="412">
        <v>2048</v>
      </c>
      <c r="D2081" s="412" t="s">
        <v>2345</v>
      </c>
      <c r="E2081" s="413">
        <v>277.55846606601102</v>
      </c>
      <c r="F2081" s="17"/>
      <c r="G2081" s="17"/>
      <c r="H2081" s="17"/>
      <c r="I2081" s="17"/>
    </row>
    <row r="2082" spans="2:9" ht="15.75" x14ac:dyDescent="0.25">
      <c r="B2082" s="411" t="s">
        <v>290</v>
      </c>
      <c r="C2082" s="412">
        <v>2049</v>
      </c>
      <c r="D2082" s="412" t="s">
        <v>2346</v>
      </c>
      <c r="E2082" s="413">
        <v>277.11270008458564</v>
      </c>
      <c r="F2082" s="17"/>
      <c r="G2082" s="17"/>
      <c r="H2082" s="17"/>
      <c r="I2082" s="17"/>
    </row>
    <row r="2083" spans="2:9" ht="15.75" x14ac:dyDescent="0.25">
      <c r="B2083" s="411" t="s">
        <v>290</v>
      </c>
      <c r="C2083" s="412">
        <v>2050</v>
      </c>
      <c r="D2083" s="412" t="s">
        <v>2347</v>
      </c>
      <c r="E2083" s="413">
        <v>276.75839191960574</v>
      </c>
      <c r="F2083" s="17"/>
      <c r="G2083" s="17"/>
      <c r="H2083" s="17"/>
      <c r="I2083" s="17"/>
    </row>
    <row r="2084" spans="2:9" ht="15.75" x14ac:dyDescent="0.25">
      <c r="B2084" s="407" t="s">
        <v>93</v>
      </c>
      <c r="C2084" s="408">
        <v>2015</v>
      </c>
      <c r="D2084" s="409" t="s">
        <v>293</v>
      </c>
      <c r="E2084" s="410">
        <v>480.56321134291784</v>
      </c>
      <c r="F2084" s="17"/>
      <c r="G2084" s="17"/>
      <c r="H2084" s="17"/>
      <c r="I2084" s="17"/>
    </row>
    <row r="2085" spans="2:9" ht="15.75" x14ac:dyDescent="0.25">
      <c r="B2085" s="407" t="s">
        <v>93</v>
      </c>
      <c r="C2085" s="408">
        <v>2016</v>
      </c>
      <c r="D2085" s="409" t="s">
        <v>294</v>
      </c>
      <c r="E2085" s="410">
        <v>470.82222467833674</v>
      </c>
      <c r="F2085" s="17"/>
      <c r="G2085" s="17"/>
      <c r="H2085" s="17"/>
      <c r="I2085" s="17"/>
    </row>
    <row r="2086" spans="2:9" ht="15.75" x14ac:dyDescent="0.25">
      <c r="B2086" s="411" t="s">
        <v>93</v>
      </c>
      <c r="C2086" s="412">
        <v>2017</v>
      </c>
      <c r="D2086" s="412" t="s">
        <v>2348</v>
      </c>
      <c r="E2086" s="413">
        <v>460.01777863272292</v>
      </c>
      <c r="F2086" s="17"/>
      <c r="G2086" s="17"/>
      <c r="H2086" s="17"/>
      <c r="I2086" s="17"/>
    </row>
    <row r="2087" spans="2:9" ht="15.75" x14ac:dyDescent="0.25">
      <c r="B2087" s="411" t="s">
        <v>93</v>
      </c>
      <c r="C2087" s="412">
        <v>2018</v>
      </c>
      <c r="D2087" s="412" t="s">
        <v>2349</v>
      </c>
      <c r="E2087" s="413">
        <v>448.55109114249234</v>
      </c>
      <c r="F2087" s="17"/>
      <c r="G2087" s="17"/>
      <c r="H2087" s="17"/>
      <c r="I2087" s="17"/>
    </row>
    <row r="2088" spans="2:9" ht="15.75" x14ac:dyDescent="0.25">
      <c r="B2088" s="411" t="s">
        <v>93</v>
      </c>
      <c r="C2088" s="412">
        <v>2019</v>
      </c>
      <c r="D2088" s="412" t="s">
        <v>2350</v>
      </c>
      <c r="E2088" s="413">
        <v>436.75386869233319</v>
      </c>
      <c r="F2088" s="17"/>
      <c r="G2088" s="17"/>
      <c r="H2088" s="17"/>
      <c r="I2088" s="17"/>
    </row>
    <row r="2089" spans="2:9" ht="15.75" x14ac:dyDescent="0.25">
      <c r="B2089" s="411" t="s">
        <v>93</v>
      </c>
      <c r="C2089" s="412">
        <v>2020</v>
      </c>
      <c r="D2089" s="412" t="s">
        <v>2351</v>
      </c>
      <c r="E2089" s="413">
        <v>424.75108565127914</v>
      </c>
      <c r="F2089" s="17"/>
      <c r="G2089" s="17"/>
      <c r="H2089" s="17"/>
      <c r="I2089" s="17"/>
    </row>
    <row r="2090" spans="2:9" ht="15.75" x14ac:dyDescent="0.25">
      <c r="B2090" s="411" t="s">
        <v>93</v>
      </c>
      <c r="C2090" s="412">
        <v>2021</v>
      </c>
      <c r="D2090" s="412" t="s">
        <v>2352</v>
      </c>
      <c r="E2090" s="413">
        <v>412.63407239864841</v>
      </c>
      <c r="F2090" s="17"/>
      <c r="G2090" s="17"/>
      <c r="H2090" s="17"/>
      <c r="I2090" s="17"/>
    </row>
    <row r="2091" spans="2:9" ht="15.75" x14ac:dyDescent="0.25">
      <c r="B2091" s="411" t="s">
        <v>93</v>
      </c>
      <c r="C2091" s="412">
        <v>2022</v>
      </c>
      <c r="D2091" s="412" t="s">
        <v>2353</v>
      </c>
      <c r="E2091" s="413">
        <v>400.70921514008853</v>
      </c>
      <c r="F2091" s="17"/>
      <c r="G2091" s="17"/>
      <c r="H2091" s="17"/>
      <c r="I2091" s="17"/>
    </row>
    <row r="2092" spans="2:9" ht="15.75" x14ac:dyDescent="0.25">
      <c r="B2092" s="411" t="s">
        <v>93</v>
      </c>
      <c r="C2092" s="412">
        <v>2023</v>
      </c>
      <c r="D2092" s="412" t="s">
        <v>2354</v>
      </c>
      <c r="E2092" s="413">
        <v>388.86461927193261</v>
      </c>
      <c r="F2092" s="17"/>
      <c r="G2092" s="17"/>
      <c r="H2092" s="17"/>
      <c r="I2092" s="17"/>
    </row>
    <row r="2093" spans="2:9" ht="15.75" x14ac:dyDescent="0.25">
      <c r="B2093" s="411" t="s">
        <v>93</v>
      </c>
      <c r="C2093" s="412">
        <v>2024</v>
      </c>
      <c r="D2093" s="412" t="s">
        <v>2355</v>
      </c>
      <c r="E2093" s="413">
        <v>377.15580067900794</v>
      </c>
      <c r="F2093" s="17"/>
      <c r="G2093" s="17"/>
      <c r="H2093" s="17"/>
      <c r="I2093" s="17"/>
    </row>
    <row r="2094" spans="2:9" ht="15.75" x14ac:dyDescent="0.25">
      <c r="B2094" s="411" t="s">
        <v>93</v>
      </c>
      <c r="C2094" s="412">
        <v>2025</v>
      </c>
      <c r="D2094" s="412" t="s">
        <v>2356</v>
      </c>
      <c r="E2094" s="413">
        <v>365.56419306222944</v>
      </c>
      <c r="F2094" s="17"/>
      <c r="G2094" s="17"/>
      <c r="H2094" s="17"/>
      <c r="I2094" s="17"/>
    </row>
    <row r="2095" spans="2:9" ht="15.75" x14ac:dyDescent="0.25">
      <c r="B2095" s="411" t="s">
        <v>93</v>
      </c>
      <c r="C2095" s="412">
        <v>2026</v>
      </c>
      <c r="D2095" s="412" t="s">
        <v>2357</v>
      </c>
      <c r="E2095" s="413">
        <v>355.07825251636831</v>
      </c>
      <c r="F2095" s="17"/>
      <c r="G2095" s="17"/>
      <c r="H2095" s="17"/>
      <c r="I2095" s="17"/>
    </row>
    <row r="2096" spans="2:9" ht="15.75" x14ac:dyDescent="0.25">
      <c r="B2096" s="411" t="s">
        <v>93</v>
      </c>
      <c r="C2096" s="412">
        <v>2027</v>
      </c>
      <c r="D2096" s="412" t="s">
        <v>2358</v>
      </c>
      <c r="E2096" s="413">
        <v>345.54296767543366</v>
      </c>
      <c r="F2096" s="17"/>
      <c r="G2096" s="17"/>
      <c r="H2096" s="17"/>
      <c r="I2096" s="17"/>
    </row>
    <row r="2097" spans="2:9" ht="15.75" x14ac:dyDescent="0.25">
      <c r="B2097" s="411" t="s">
        <v>93</v>
      </c>
      <c r="C2097" s="412">
        <v>2028</v>
      </c>
      <c r="D2097" s="412" t="s">
        <v>2359</v>
      </c>
      <c r="E2097" s="413">
        <v>336.98864263759219</v>
      </c>
      <c r="F2097" s="17"/>
      <c r="G2097" s="17"/>
      <c r="H2097" s="17"/>
      <c r="I2097" s="17"/>
    </row>
    <row r="2098" spans="2:9" ht="15.75" x14ac:dyDescent="0.25">
      <c r="B2098" s="411" t="s">
        <v>93</v>
      </c>
      <c r="C2098" s="412">
        <v>2029</v>
      </c>
      <c r="D2098" s="412" t="s">
        <v>2360</v>
      </c>
      <c r="E2098" s="413">
        <v>329.33758762690928</v>
      </c>
      <c r="F2098" s="17"/>
      <c r="G2098" s="17"/>
      <c r="H2098" s="17"/>
      <c r="I2098" s="17"/>
    </row>
    <row r="2099" spans="2:9" ht="15.75" x14ac:dyDescent="0.25">
      <c r="B2099" s="411" t="s">
        <v>93</v>
      </c>
      <c r="C2099" s="412">
        <v>2030</v>
      </c>
      <c r="D2099" s="412" t="s">
        <v>2361</v>
      </c>
      <c r="E2099" s="413">
        <v>322.53311527554541</v>
      </c>
      <c r="F2099" s="17"/>
      <c r="G2099" s="17"/>
      <c r="H2099" s="17"/>
      <c r="I2099" s="17"/>
    </row>
    <row r="2100" spans="2:9" ht="15.75" x14ac:dyDescent="0.25">
      <c r="B2100" s="411" t="s">
        <v>93</v>
      </c>
      <c r="C2100" s="412">
        <v>2031</v>
      </c>
      <c r="D2100" s="412" t="s">
        <v>2362</v>
      </c>
      <c r="E2100" s="413">
        <v>316.49602031609345</v>
      </c>
      <c r="F2100" s="17"/>
      <c r="G2100" s="17"/>
      <c r="H2100" s="17"/>
      <c r="I2100" s="17"/>
    </row>
    <row r="2101" spans="2:9" ht="15.75" x14ac:dyDescent="0.25">
      <c r="B2101" s="411" t="s">
        <v>93</v>
      </c>
      <c r="C2101" s="412">
        <v>2032</v>
      </c>
      <c r="D2101" s="412" t="s">
        <v>2363</v>
      </c>
      <c r="E2101" s="413">
        <v>311.17004309589402</v>
      </c>
      <c r="F2101" s="17"/>
      <c r="G2101" s="17"/>
      <c r="H2101" s="17"/>
      <c r="I2101" s="17"/>
    </row>
    <row r="2102" spans="2:9" ht="15.75" x14ac:dyDescent="0.25">
      <c r="B2102" s="411" t="s">
        <v>93</v>
      </c>
      <c r="C2102" s="412">
        <v>2033</v>
      </c>
      <c r="D2102" s="412" t="s">
        <v>2364</v>
      </c>
      <c r="E2102" s="413">
        <v>306.50230517614358</v>
      </c>
      <c r="F2102" s="17"/>
      <c r="G2102" s="17"/>
      <c r="H2102" s="17"/>
      <c r="I2102" s="17"/>
    </row>
    <row r="2103" spans="2:9" ht="15.75" x14ac:dyDescent="0.25">
      <c r="B2103" s="411" t="s">
        <v>93</v>
      </c>
      <c r="C2103" s="412">
        <v>2034</v>
      </c>
      <c r="D2103" s="412" t="s">
        <v>2365</v>
      </c>
      <c r="E2103" s="413">
        <v>302.42053083336936</v>
      </c>
      <c r="F2103" s="17"/>
      <c r="G2103" s="17"/>
      <c r="H2103" s="17"/>
      <c r="I2103" s="17"/>
    </row>
    <row r="2104" spans="2:9" ht="15.75" x14ac:dyDescent="0.25">
      <c r="B2104" s="411" t="s">
        <v>93</v>
      </c>
      <c r="C2104" s="412">
        <v>2035</v>
      </c>
      <c r="D2104" s="412" t="s">
        <v>2366</v>
      </c>
      <c r="E2104" s="413">
        <v>298.88209788484994</v>
      </c>
      <c r="F2104" s="17"/>
      <c r="G2104" s="17"/>
      <c r="H2104" s="17"/>
      <c r="I2104" s="17"/>
    </row>
    <row r="2105" spans="2:9" ht="15.75" x14ac:dyDescent="0.25">
      <c r="B2105" s="411" t="s">
        <v>93</v>
      </c>
      <c r="C2105" s="412">
        <v>2036</v>
      </c>
      <c r="D2105" s="412" t="s">
        <v>2367</v>
      </c>
      <c r="E2105" s="413">
        <v>295.83671922616981</v>
      </c>
      <c r="F2105" s="17"/>
      <c r="G2105" s="17"/>
      <c r="H2105" s="17"/>
      <c r="I2105" s="17"/>
    </row>
    <row r="2106" spans="2:9" ht="15.75" x14ac:dyDescent="0.25">
      <c r="B2106" s="411" t="s">
        <v>93</v>
      </c>
      <c r="C2106" s="412">
        <v>2037</v>
      </c>
      <c r="D2106" s="412" t="s">
        <v>2368</v>
      </c>
      <c r="E2106" s="413">
        <v>293.24503306043897</v>
      </c>
      <c r="F2106" s="17"/>
      <c r="G2106" s="17"/>
      <c r="H2106" s="17"/>
      <c r="I2106" s="17"/>
    </row>
    <row r="2107" spans="2:9" ht="15.75" x14ac:dyDescent="0.25">
      <c r="B2107" s="411" t="s">
        <v>93</v>
      </c>
      <c r="C2107" s="412">
        <v>2038</v>
      </c>
      <c r="D2107" s="412" t="s">
        <v>2369</v>
      </c>
      <c r="E2107" s="413">
        <v>291.05937651683479</v>
      </c>
      <c r="F2107" s="17"/>
      <c r="G2107" s="17"/>
      <c r="H2107" s="17"/>
      <c r="I2107" s="17"/>
    </row>
    <row r="2108" spans="2:9" ht="15.75" x14ac:dyDescent="0.25">
      <c r="B2108" s="411" t="s">
        <v>93</v>
      </c>
      <c r="C2108" s="412">
        <v>2039</v>
      </c>
      <c r="D2108" s="412" t="s">
        <v>2370</v>
      </c>
      <c r="E2108" s="413">
        <v>289.22841927540242</v>
      </c>
      <c r="F2108" s="17"/>
      <c r="G2108" s="17"/>
      <c r="H2108" s="17"/>
      <c r="I2108" s="17"/>
    </row>
    <row r="2109" spans="2:9" ht="15.75" x14ac:dyDescent="0.25">
      <c r="B2109" s="411" t="s">
        <v>93</v>
      </c>
      <c r="C2109" s="412">
        <v>2040</v>
      </c>
      <c r="D2109" s="412" t="s">
        <v>2371</v>
      </c>
      <c r="E2109" s="413">
        <v>287.70120979789129</v>
      </c>
      <c r="F2109" s="17"/>
      <c r="G2109" s="17"/>
      <c r="H2109" s="17"/>
      <c r="I2109" s="17"/>
    </row>
    <row r="2110" spans="2:9" ht="15.75" x14ac:dyDescent="0.25">
      <c r="B2110" s="411" t="s">
        <v>93</v>
      </c>
      <c r="C2110" s="412">
        <v>2041</v>
      </c>
      <c r="D2110" s="412" t="s">
        <v>2372</v>
      </c>
      <c r="E2110" s="413">
        <v>286.44985072702838</v>
      </c>
      <c r="F2110" s="17"/>
      <c r="G2110" s="17"/>
      <c r="H2110" s="17"/>
      <c r="I2110" s="17"/>
    </row>
    <row r="2111" spans="2:9" ht="15.75" x14ac:dyDescent="0.25">
      <c r="B2111" s="411" t="s">
        <v>93</v>
      </c>
      <c r="C2111" s="412">
        <v>2042</v>
      </c>
      <c r="D2111" s="412" t="s">
        <v>2373</v>
      </c>
      <c r="E2111" s="413">
        <v>285.41532550842783</v>
      </c>
      <c r="F2111" s="17"/>
      <c r="G2111" s="17"/>
      <c r="H2111" s="17"/>
      <c r="I2111" s="17"/>
    </row>
    <row r="2112" spans="2:9" ht="15.75" x14ac:dyDescent="0.25">
      <c r="B2112" s="411" t="s">
        <v>93</v>
      </c>
      <c r="C2112" s="412">
        <v>2043</v>
      </c>
      <c r="D2112" s="412" t="s">
        <v>2374</v>
      </c>
      <c r="E2112" s="413">
        <v>284.57139658232296</v>
      </c>
      <c r="F2112" s="17"/>
      <c r="G2112" s="17"/>
      <c r="H2112" s="17"/>
      <c r="I2112" s="17"/>
    </row>
    <row r="2113" spans="2:9" ht="15.75" x14ac:dyDescent="0.25">
      <c r="B2113" s="411" t="s">
        <v>93</v>
      </c>
      <c r="C2113" s="412">
        <v>2044</v>
      </c>
      <c r="D2113" s="412" t="s">
        <v>2375</v>
      </c>
      <c r="E2113" s="413">
        <v>283.88167422430371</v>
      </c>
      <c r="F2113" s="17"/>
      <c r="G2113" s="17"/>
      <c r="H2113" s="17"/>
      <c r="I2113" s="17"/>
    </row>
    <row r="2114" spans="2:9" ht="15.75" x14ac:dyDescent="0.25">
      <c r="B2114" s="411" t="s">
        <v>93</v>
      </c>
      <c r="C2114" s="412">
        <v>2045</v>
      </c>
      <c r="D2114" s="412" t="s">
        <v>2376</v>
      </c>
      <c r="E2114" s="413">
        <v>283.2987601933072</v>
      </c>
      <c r="F2114" s="17"/>
      <c r="G2114" s="17"/>
      <c r="H2114" s="17"/>
      <c r="I2114" s="17"/>
    </row>
    <row r="2115" spans="2:9" ht="15.75" x14ac:dyDescent="0.25">
      <c r="B2115" s="411" t="s">
        <v>93</v>
      </c>
      <c r="C2115" s="412">
        <v>2046</v>
      </c>
      <c r="D2115" s="412" t="s">
        <v>2377</v>
      </c>
      <c r="E2115" s="413">
        <v>282.82328193048625</v>
      </c>
      <c r="F2115" s="17"/>
      <c r="G2115" s="17"/>
      <c r="H2115" s="17"/>
      <c r="I2115" s="17"/>
    </row>
    <row r="2116" spans="2:9" ht="15.75" x14ac:dyDescent="0.25">
      <c r="B2116" s="411" t="s">
        <v>93</v>
      </c>
      <c r="C2116" s="412">
        <v>2047</v>
      </c>
      <c r="D2116" s="412" t="s">
        <v>2378</v>
      </c>
      <c r="E2116" s="413">
        <v>282.44265323480113</v>
      </c>
      <c r="F2116" s="17"/>
      <c r="G2116" s="17"/>
      <c r="H2116" s="17"/>
      <c r="I2116" s="17"/>
    </row>
    <row r="2117" spans="2:9" ht="15.75" x14ac:dyDescent="0.25">
      <c r="B2117" s="411" t="s">
        <v>93</v>
      </c>
      <c r="C2117" s="412">
        <v>2048</v>
      </c>
      <c r="D2117" s="412" t="s">
        <v>2379</v>
      </c>
      <c r="E2117" s="413">
        <v>282.13603885572172</v>
      </c>
      <c r="F2117" s="17"/>
      <c r="G2117" s="17"/>
      <c r="H2117" s="17"/>
      <c r="I2117" s="17"/>
    </row>
    <row r="2118" spans="2:9" ht="15.75" x14ac:dyDescent="0.25">
      <c r="B2118" s="411" t="s">
        <v>93</v>
      </c>
      <c r="C2118" s="412">
        <v>2049</v>
      </c>
      <c r="D2118" s="412" t="s">
        <v>2380</v>
      </c>
      <c r="E2118" s="413">
        <v>281.88034391171897</v>
      </c>
      <c r="F2118" s="17"/>
      <c r="G2118" s="17"/>
      <c r="H2118" s="17"/>
      <c r="I2118" s="17"/>
    </row>
    <row r="2119" spans="2:9" ht="15.75" x14ac:dyDescent="0.25">
      <c r="B2119" s="411" t="s">
        <v>93</v>
      </c>
      <c r="C2119" s="412">
        <v>2050</v>
      </c>
      <c r="D2119" s="412" t="s">
        <v>2381</v>
      </c>
      <c r="E2119" s="413">
        <v>281.67689763661161</v>
      </c>
      <c r="F2119" s="17"/>
      <c r="G2119" s="17"/>
      <c r="H2119" s="17"/>
      <c r="I2119" s="17"/>
    </row>
    <row r="2120" spans="2:9" ht="15.75" x14ac:dyDescent="0.25">
      <c r="B2120" s="407" t="s">
        <v>94</v>
      </c>
      <c r="C2120" s="408">
        <v>2015</v>
      </c>
      <c r="D2120" s="409" t="s">
        <v>295</v>
      </c>
      <c r="E2120" s="410">
        <v>522.19030584973848</v>
      </c>
      <c r="F2120" s="17"/>
      <c r="G2120" s="17"/>
      <c r="H2120" s="17"/>
      <c r="I2120" s="17"/>
    </row>
    <row r="2121" spans="2:9" ht="15.75" x14ac:dyDescent="0.25">
      <c r="B2121" s="407" t="s">
        <v>94</v>
      </c>
      <c r="C2121" s="408">
        <v>2016</v>
      </c>
      <c r="D2121" s="409" t="s">
        <v>296</v>
      </c>
      <c r="E2121" s="410">
        <v>512.72985214221364</v>
      </c>
      <c r="F2121" s="17"/>
      <c r="G2121" s="17"/>
      <c r="H2121" s="17"/>
      <c r="I2121" s="17"/>
    </row>
    <row r="2122" spans="2:9" ht="15.75" x14ac:dyDescent="0.25">
      <c r="B2122" s="411" t="s">
        <v>94</v>
      </c>
      <c r="C2122" s="412">
        <v>2017</v>
      </c>
      <c r="D2122" s="412" t="s">
        <v>2382</v>
      </c>
      <c r="E2122" s="413">
        <v>500.76490405206187</v>
      </c>
      <c r="F2122" s="17"/>
      <c r="G2122" s="17"/>
      <c r="H2122" s="17"/>
      <c r="I2122" s="17"/>
    </row>
    <row r="2123" spans="2:9" ht="15.75" x14ac:dyDescent="0.25">
      <c r="B2123" s="411" t="s">
        <v>94</v>
      </c>
      <c r="C2123" s="412">
        <v>2018</v>
      </c>
      <c r="D2123" s="412" t="s">
        <v>2383</v>
      </c>
      <c r="E2123" s="413">
        <v>488.17660171406328</v>
      </c>
      <c r="F2123" s="17"/>
      <c r="G2123" s="17"/>
      <c r="H2123" s="17"/>
      <c r="I2123" s="17"/>
    </row>
    <row r="2124" spans="2:9" ht="15.75" x14ac:dyDescent="0.25">
      <c r="B2124" s="411" t="s">
        <v>94</v>
      </c>
      <c r="C2124" s="412">
        <v>2019</v>
      </c>
      <c r="D2124" s="412" t="s">
        <v>2384</v>
      </c>
      <c r="E2124" s="413">
        <v>475.16254128964999</v>
      </c>
      <c r="F2124" s="17"/>
      <c r="G2124" s="17"/>
      <c r="H2124" s="17"/>
      <c r="I2124" s="17"/>
    </row>
    <row r="2125" spans="2:9" ht="15.75" x14ac:dyDescent="0.25">
      <c r="B2125" s="411" t="s">
        <v>94</v>
      </c>
      <c r="C2125" s="412">
        <v>2020</v>
      </c>
      <c r="D2125" s="412" t="s">
        <v>2385</v>
      </c>
      <c r="E2125" s="413">
        <v>461.8811911726529</v>
      </c>
      <c r="F2125" s="17"/>
      <c r="G2125" s="17"/>
      <c r="H2125" s="17"/>
      <c r="I2125" s="17"/>
    </row>
    <row r="2126" spans="2:9" ht="15.75" x14ac:dyDescent="0.25">
      <c r="B2126" s="411" t="s">
        <v>94</v>
      </c>
      <c r="C2126" s="412">
        <v>2021</v>
      </c>
      <c r="D2126" s="412" t="s">
        <v>2386</v>
      </c>
      <c r="E2126" s="413">
        <v>449.57464202888184</v>
      </c>
      <c r="F2126" s="17"/>
      <c r="G2126" s="17"/>
      <c r="H2126" s="17"/>
      <c r="I2126" s="17"/>
    </row>
    <row r="2127" spans="2:9" ht="15.75" x14ac:dyDescent="0.25">
      <c r="B2127" s="411" t="s">
        <v>94</v>
      </c>
      <c r="C2127" s="412">
        <v>2022</v>
      </c>
      <c r="D2127" s="412" t="s">
        <v>2387</v>
      </c>
      <c r="E2127" s="413">
        <v>436.23578328291239</v>
      </c>
      <c r="F2127" s="17"/>
      <c r="G2127" s="17"/>
      <c r="H2127" s="17"/>
      <c r="I2127" s="17"/>
    </row>
    <row r="2128" spans="2:9" ht="15.75" x14ac:dyDescent="0.25">
      <c r="B2128" s="411" t="s">
        <v>94</v>
      </c>
      <c r="C2128" s="412">
        <v>2023</v>
      </c>
      <c r="D2128" s="412" t="s">
        <v>2388</v>
      </c>
      <c r="E2128" s="413">
        <v>423.00766632997829</v>
      </c>
      <c r="F2128" s="17"/>
      <c r="G2128" s="17"/>
      <c r="H2128" s="17"/>
      <c r="I2128" s="17"/>
    </row>
    <row r="2129" spans="2:9" ht="15.75" x14ac:dyDescent="0.25">
      <c r="B2129" s="411" t="s">
        <v>94</v>
      </c>
      <c r="C2129" s="412">
        <v>2024</v>
      </c>
      <c r="D2129" s="412" t="s">
        <v>2389</v>
      </c>
      <c r="E2129" s="413">
        <v>409.97448968807356</v>
      </c>
      <c r="F2129" s="17"/>
      <c r="G2129" s="17"/>
      <c r="H2129" s="17"/>
      <c r="I2129" s="17"/>
    </row>
    <row r="2130" spans="2:9" ht="15.75" x14ac:dyDescent="0.25">
      <c r="B2130" s="411" t="s">
        <v>94</v>
      </c>
      <c r="C2130" s="412">
        <v>2025</v>
      </c>
      <c r="D2130" s="412" t="s">
        <v>2390</v>
      </c>
      <c r="E2130" s="413">
        <v>397.14864041110536</v>
      </c>
      <c r="F2130" s="17"/>
      <c r="G2130" s="17"/>
      <c r="H2130" s="17"/>
      <c r="I2130" s="17"/>
    </row>
    <row r="2131" spans="2:9" ht="15.75" x14ac:dyDescent="0.25">
      <c r="B2131" s="411" t="s">
        <v>94</v>
      </c>
      <c r="C2131" s="412">
        <v>2026</v>
      </c>
      <c r="D2131" s="412" t="s">
        <v>2391</v>
      </c>
      <c r="E2131" s="413">
        <v>385.30842206164584</v>
      </c>
      <c r="F2131" s="17"/>
      <c r="G2131" s="17"/>
      <c r="H2131" s="17"/>
      <c r="I2131" s="17"/>
    </row>
    <row r="2132" spans="2:9" ht="15.75" x14ac:dyDescent="0.25">
      <c r="B2132" s="411" t="s">
        <v>94</v>
      </c>
      <c r="C2132" s="412">
        <v>2027</v>
      </c>
      <c r="D2132" s="412" t="s">
        <v>2392</v>
      </c>
      <c r="E2132" s="413">
        <v>374.32780768568864</v>
      </c>
      <c r="F2132" s="17"/>
      <c r="G2132" s="17"/>
      <c r="H2132" s="17"/>
      <c r="I2132" s="17"/>
    </row>
    <row r="2133" spans="2:9" ht="15.75" x14ac:dyDescent="0.25">
      <c r="B2133" s="411" t="s">
        <v>94</v>
      </c>
      <c r="C2133" s="412">
        <v>2028</v>
      </c>
      <c r="D2133" s="412" t="s">
        <v>2393</v>
      </c>
      <c r="E2133" s="413">
        <v>364.29669040952746</v>
      </c>
      <c r="F2133" s="17"/>
      <c r="G2133" s="17"/>
      <c r="H2133" s="17"/>
      <c r="I2133" s="17"/>
    </row>
    <row r="2134" spans="2:9" ht="15.75" x14ac:dyDescent="0.25">
      <c r="B2134" s="411" t="s">
        <v>94</v>
      </c>
      <c r="C2134" s="412">
        <v>2029</v>
      </c>
      <c r="D2134" s="412" t="s">
        <v>2394</v>
      </c>
      <c r="E2134" s="413">
        <v>355.15189481166777</v>
      </c>
      <c r="F2134" s="17"/>
      <c r="G2134" s="17"/>
      <c r="H2134" s="17"/>
      <c r="I2134" s="17"/>
    </row>
    <row r="2135" spans="2:9" ht="15.75" x14ac:dyDescent="0.25">
      <c r="B2135" s="411" t="s">
        <v>94</v>
      </c>
      <c r="C2135" s="412">
        <v>2030</v>
      </c>
      <c r="D2135" s="412" t="s">
        <v>2395</v>
      </c>
      <c r="E2135" s="413">
        <v>346.91277659972121</v>
      </c>
      <c r="F2135" s="17"/>
      <c r="G2135" s="17"/>
      <c r="H2135" s="17"/>
      <c r="I2135" s="17"/>
    </row>
    <row r="2136" spans="2:9" ht="15.75" x14ac:dyDescent="0.25">
      <c r="B2136" s="411" t="s">
        <v>94</v>
      </c>
      <c r="C2136" s="412">
        <v>2031</v>
      </c>
      <c r="D2136" s="412" t="s">
        <v>2396</v>
      </c>
      <c r="E2136" s="413">
        <v>339.49134547043889</v>
      </c>
      <c r="F2136" s="17"/>
      <c r="G2136" s="17"/>
      <c r="H2136" s="17"/>
      <c r="I2136" s="17"/>
    </row>
    <row r="2137" spans="2:9" ht="15.75" x14ac:dyDescent="0.25">
      <c r="B2137" s="411" t="s">
        <v>94</v>
      </c>
      <c r="C2137" s="412">
        <v>2032</v>
      </c>
      <c r="D2137" s="412" t="s">
        <v>2397</v>
      </c>
      <c r="E2137" s="413">
        <v>332.86520923023176</v>
      </c>
      <c r="F2137" s="17"/>
      <c r="G2137" s="17"/>
      <c r="H2137" s="17"/>
      <c r="I2137" s="17"/>
    </row>
    <row r="2138" spans="2:9" ht="15.75" x14ac:dyDescent="0.25">
      <c r="B2138" s="411" t="s">
        <v>94</v>
      </c>
      <c r="C2138" s="412">
        <v>2033</v>
      </c>
      <c r="D2138" s="412" t="s">
        <v>2398</v>
      </c>
      <c r="E2138" s="413">
        <v>326.98760082422797</v>
      </c>
      <c r="F2138" s="17"/>
      <c r="G2138" s="17"/>
      <c r="H2138" s="17"/>
      <c r="I2138" s="17"/>
    </row>
    <row r="2139" spans="2:9" ht="15.75" x14ac:dyDescent="0.25">
      <c r="B2139" s="411" t="s">
        <v>94</v>
      </c>
      <c r="C2139" s="412">
        <v>2034</v>
      </c>
      <c r="D2139" s="412" t="s">
        <v>2399</v>
      </c>
      <c r="E2139" s="413">
        <v>321.7589512064568</v>
      </c>
      <c r="F2139" s="17"/>
      <c r="G2139" s="17"/>
      <c r="H2139" s="17"/>
      <c r="I2139" s="17"/>
    </row>
    <row r="2140" spans="2:9" ht="15.75" x14ac:dyDescent="0.25">
      <c r="B2140" s="411" t="s">
        <v>94</v>
      </c>
      <c r="C2140" s="412">
        <v>2035</v>
      </c>
      <c r="D2140" s="412" t="s">
        <v>2400</v>
      </c>
      <c r="E2140" s="413">
        <v>317.15521678919526</v>
      </c>
      <c r="F2140" s="17"/>
      <c r="G2140" s="17"/>
      <c r="H2140" s="17"/>
      <c r="I2140" s="17"/>
    </row>
    <row r="2141" spans="2:9" ht="15.75" x14ac:dyDescent="0.25">
      <c r="B2141" s="411" t="s">
        <v>94</v>
      </c>
      <c r="C2141" s="412">
        <v>2036</v>
      </c>
      <c r="D2141" s="412" t="s">
        <v>2401</v>
      </c>
      <c r="E2141" s="413">
        <v>313.12631117250743</v>
      </c>
      <c r="F2141" s="17"/>
      <c r="G2141" s="17"/>
      <c r="H2141" s="17"/>
      <c r="I2141" s="17"/>
    </row>
    <row r="2142" spans="2:9" ht="15.75" x14ac:dyDescent="0.25">
      <c r="B2142" s="411" t="s">
        <v>94</v>
      </c>
      <c r="C2142" s="412">
        <v>2037</v>
      </c>
      <c r="D2142" s="412" t="s">
        <v>2402</v>
      </c>
      <c r="E2142" s="413">
        <v>309.63654621474228</v>
      </c>
      <c r="F2142" s="17"/>
      <c r="G2142" s="17"/>
      <c r="H2142" s="17"/>
      <c r="I2142" s="17"/>
    </row>
    <row r="2143" spans="2:9" ht="15.75" x14ac:dyDescent="0.25">
      <c r="B2143" s="411" t="s">
        <v>94</v>
      </c>
      <c r="C2143" s="412">
        <v>2038</v>
      </c>
      <c r="D2143" s="412" t="s">
        <v>2403</v>
      </c>
      <c r="E2143" s="413">
        <v>306.62739855309655</v>
      </c>
      <c r="F2143" s="17"/>
      <c r="G2143" s="17"/>
      <c r="H2143" s="17"/>
      <c r="I2143" s="17"/>
    </row>
    <row r="2144" spans="2:9" ht="15.75" x14ac:dyDescent="0.25">
      <c r="B2144" s="411" t="s">
        <v>94</v>
      </c>
      <c r="C2144" s="412">
        <v>2039</v>
      </c>
      <c r="D2144" s="412" t="s">
        <v>2404</v>
      </c>
      <c r="E2144" s="413">
        <v>304.03874471118024</v>
      </c>
      <c r="F2144" s="17"/>
      <c r="G2144" s="17"/>
      <c r="H2144" s="17"/>
      <c r="I2144" s="17"/>
    </row>
    <row r="2145" spans="2:9" ht="15.75" x14ac:dyDescent="0.25">
      <c r="B2145" s="411" t="s">
        <v>94</v>
      </c>
      <c r="C2145" s="412">
        <v>2040</v>
      </c>
      <c r="D2145" s="412" t="s">
        <v>2405</v>
      </c>
      <c r="E2145" s="413">
        <v>301.82352093796521</v>
      </c>
      <c r="F2145" s="17"/>
      <c r="G2145" s="17"/>
      <c r="H2145" s="17"/>
      <c r="I2145" s="17"/>
    </row>
    <row r="2146" spans="2:9" ht="15.75" x14ac:dyDescent="0.25">
      <c r="B2146" s="411" t="s">
        <v>94</v>
      </c>
      <c r="C2146" s="412">
        <v>2041</v>
      </c>
      <c r="D2146" s="412" t="s">
        <v>2406</v>
      </c>
      <c r="E2146" s="413">
        <v>299.94744173577635</v>
      </c>
      <c r="F2146" s="17"/>
      <c r="G2146" s="17"/>
      <c r="H2146" s="17"/>
      <c r="I2146" s="17"/>
    </row>
    <row r="2147" spans="2:9" ht="15.75" x14ac:dyDescent="0.25">
      <c r="B2147" s="411" t="s">
        <v>94</v>
      </c>
      <c r="C2147" s="412">
        <v>2042</v>
      </c>
      <c r="D2147" s="412" t="s">
        <v>2407</v>
      </c>
      <c r="E2147" s="413">
        <v>298.33548874146999</v>
      </c>
      <c r="F2147" s="17"/>
      <c r="G2147" s="17"/>
      <c r="H2147" s="17"/>
      <c r="I2147" s="17"/>
    </row>
    <row r="2148" spans="2:9" ht="15.75" x14ac:dyDescent="0.25">
      <c r="B2148" s="411" t="s">
        <v>94</v>
      </c>
      <c r="C2148" s="412">
        <v>2043</v>
      </c>
      <c r="D2148" s="412" t="s">
        <v>2408</v>
      </c>
      <c r="E2148" s="413">
        <v>296.97704984433784</v>
      </c>
      <c r="F2148" s="17"/>
      <c r="G2148" s="17"/>
      <c r="H2148" s="17"/>
      <c r="I2148" s="17"/>
    </row>
    <row r="2149" spans="2:9" ht="15.75" x14ac:dyDescent="0.25">
      <c r="B2149" s="411" t="s">
        <v>94</v>
      </c>
      <c r="C2149" s="412">
        <v>2044</v>
      </c>
      <c r="D2149" s="412" t="s">
        <v>2409</v>
      </c>
      <c r="E2149" s="413">
        <v>295.82406615905018</v>
      </c>
      <c r="F2149" s="17"/>
      <c r="G2149" s="17"/>
      <c r="H2149" s="17"/>
      <c r="I2149" s="17"/>
    </row>
    <row r="2150" spans="2:9" ht="15.75" x14ac:dyDescent="0.25">
      <c r="B2150" s="411" t="s">
        <v>94</v>
      </c>
      <c r="C2150" s="412">
        <v>2045</v>
      </c>
      <c r="D2150" s="412" t="s">
        <v>2410</v>
      </c>
      <c r="E2150" s="413">
        <v>294.8093629348528</v>
      </c>
      <c r="F2150" s="17"/>
      <c r="G2150" s="17"/>
      <c r="H2150" s="17"/>
      <c r="I2150" s="17"/>
    </row>
    <row r="2151" spans="2:9" ht="15.75" x14ac:dyDescent="0.25">
      <c r="B2151" s="411" t="s">
        <v>94</v>
      </c>
      <c r="C2151" s="412">
        <v>2046</v>
      </c>
      <c r="D2151" s="412" t="s">
        <v>2411</v>
      </c>
      <c r="E2151" s="413">
        <v>293.93371855630232</v>
      </c>
      <c r="F2151" s="17"/>
      <c r="G2151" s="17"/>
      <c r="H2151" s="17"/>
      <c r="I2151" s="17"/>
    </row>
    <row r="2152" spans="2:9" ht="15.75" x14ac:dyDescent="0.25">
      <c r="B2152" s="411" t="s">
        <v>94</v>
      </c>
      <c r="C2152" s="412">
        <v>2047</v>
      </c>
      <c r="D2152" s="412" t="s">
        <v>2412</v>
      </c>
      <c r="E2152" s="413">
        <v>293.21009546210223</v>
      </c>
      <c r="F2152" s="17"/>
      <c r="G2152" s="17"/>
      <c r="H2152" s="17"/>
      <c r="I2152" s="17"/>
    </row>
    <row r="2153" spans="2:9" ht="15.75" x14ac:dyDescent="0.25">
      <c r="B2153" s="411" t="s">
        <v>94</v>
      </c>
      <c r="C2153" s="412">
        <v>2048</v>
      </c>
      <c r="D2153" s="412" t="s">
        <v>2413</v>
      </c>
      <c r="E2153" s="413">
        <v>292.60826937901106</v>
      </c>
      <c r="F2153" s="17"/>
      <c r="G2153" s="17"/>
      <c r="H2153" s="17"/>
      <c r="I2153" s="17"/>
    </row>
    <row r="2154" spans="2:9" ht="15.75" x14ac:dyDescent="0.25">
      <c r="B2154" s="411" t="s">
        <v>94</v>
      </c>
      <c r="C2154" s="412">
        <v>2049</v>
      </c>
      <c r="D2154" s="412" t="s">
        <v>2414</v>
      </c>
      <c r="E2154" s="413">
        <v>292.08945842205299</v>
      </c>
      <c r="F2154" s="17"/>
      <c r="G2154" s="17"/>
      <c r="H2154" s="17"/>
      <c r="I2154" s="17"/>
    </row>
    <row r="2155" spans="2:9" ht="15.75" x14ac:dyDescent="0.25">
      <c r="B2155" s="411" t="s">
        <v>94</v>
      </c>
      <c r="C2155" s="412">
        <v>2050</v>
      </c>
      <c r="D2155" s="412" t="s">
        <v>2415</v>
      </c>
      <c r="E2155" s="413">
        <v>291.67394382101207</v>
      </c>
      <c r="F2155" s="17"/>
      <c r="G2155" s="17"/>
      <c r="H2155" s="17"/>
      <c r="I2155" s="17"/>
    </row>
    <row r="2156" spans="2:9" ht="15.75" x14ac:dyDescent="0.25">
      <c r="B2156" s="407" t="s">
        <v>95</v>
      </c>
      <c r="C2156" s="408">
        <v>2015</v>
      </c>
      <c r="D2156" s="409" t="s">
        <v>297</v>
      </c>
      <c r="E2156" s="410">
        <v>532.14054934762112</v>
      </c>
      <c r="F2156" s="17"/>
      <c r="G2156" s="17"/>
      <c r="H2156" s="17"/>
      <c r="I2156" s="17"/>
    </row>
    <row r="2157" spans="2:9" ht="15.75" x14ac:dyDescent="0.25">
      <c r="B2157" s="407" t="s">
        <v>95</v>
      </c>
      <c r="C2157" s="408">
        <v>2016</v>
      </c>
      <c r="D2157" s="409" t="s">
        <v>298</v>
      </c>
      <c r="E2157" s="410">
        <v>521.75306853863071</v>
      </c>
      <c r="F2157" s="17"/>
      <c r="G2157" s="17"/>
      <c r="H2157" s="17"/>
      <c r="I2157" s="17"/>
    </row>
    <row r="2158" spans="2:9" ht="15.75" x14ac:dyDescent="0.25">
      <c r="B2158" s="411" t="s">
        <v>95</v>
      </c>
      <c r="C2158" s="412">
        <v>2017</v>
      </c>
      <c r="D2158" s="412" t="s">
        <v>2416</v>
      </c>
      <c r="E2158" s="413">
        <v>507.99518767895898</v>
      </c>
      <c r="F2158" s="17"/>
      <c r="G2158" s="17"/>
      <c r="H2158" s="17"/>
      <c r="I2158" s="17"/>
    </row>
    <row r="2159" spans="2:9" ht="15.75" x14ac:dyDescent="0.25">
      <c r="B2159" s="411" t="s">
        <v>95</v>
      </c>
      <c r="C2159" s="412">
        <v>2018</v>
      </c>
      <c r="D2159" s="412" t="s">
        <v>2417</v>
      </c>
      <c r="E2159" s="413">
        <v>493.79725948986919</v>
      </c>
      <c r="F2159" s="17"/>
      <c r="G2159" s="17"/>
      <c r="H2159" s="17"/>
      <c r="I2159" s="17"/>
    </row>
    <row r="2160" spans="2:9" ht="15.75" x14ac:dyDescent="0.25">
      <c r="B2160" s="411" t="s">
        <v>95</v>
      </c>
      <c r="C2160" s="412">
        <v>2019</v>
      </c>
      <c r="D2160" s="412" t="s">
        <v>2418</v>
      </c>
      <c r="E2160" s="413">
        <v>479.29370646428345</v>
      </c>
      <c r="F2160" s="17"/>
      <c r="G2160" s="17"/>
      <c r="H2160" s="17"/>
      <c r="I2160" s="17"/>
    </row>
    <row r="2161" spans="2:9" ht="15.75" x14ac:dyDescent="0.25">
      <c r="B2161" s="411" t="s">
        <v>95</v>
      </c>
      <c r="C2161" s="412">
        <v>2020</v>
      </c>
      <c r="D2161" s="412" t="s">
        <v>2419</v>
      </c>
      <c r="E2161" s="413">
        <v>464.6235694040725</v>
      </c>
      <c r="F2161" s="17"/>
      <c r="G2161" s="17"/>
      <c r="H2161" s="17"/>
      <c r="I2161" s="17"/>
    </row>
    <row r="2162" spans="2:9" ht="15.75" x14ac:dyDescent="0.25">
      <c r="B2162" s="411" t="s">
        <v>95</v>
      </c>
      <c r="C2162" s="412">
        <v>2021</v>
      </c>
      <c r="D2162" s="412" t="s">
        <v>2420</v>
      </c>
      <c r="E2162" s="413">
        <v>449.91338884524163</v>
      </c>
      <c r="F2162" s="17"/>
      <c r="G2162" s="17"/>
      <c r="H2162" s="17"/>
      <c r="I2162" s="17"/>
    </row>
    <row r="2163" spans="2:9" ht="15.75" x14ac:dyDescent="0.25">
      <c r="B2163" s="411" t="s">
        <v>95</v>
      </c>
      <c r="C2163" s="412">
        <v>2022</v>
      </c>
      <c r="D2163" s="412" t="s">
        <v>2421</v>
      </c>
      <c r="E2163" s="413">
        <v>435.496198296356</v>
      </c>
      <c r="F2163" s="17"/>
      <c r="G2163" s="17"/>
      <c r="H2163" s="17"/>
      <c r="I2163" s="17"/>
    </row>
    <row r="2164" spans="2:9" ht="15.75" x14ac:dyDescent="0.25">
      <c r="B2164" s="411" t="s">
        <v>95</v>
      </c>
      <c r="C2164" s="412">
        <v>2023</v>
      </c>
      <c r="D2164" s="412" t="s">
        <v>2422</v>
      </c>
      <c r="E2164" s="413">
        <v>421.33792492484338</v>
      </c>
      <c r="F2164" s="17"/>
      <c r="G2164" s="17"/>
      <c r="H2164" s="17"/>
      <c r="I2164" s="17"/>
    </row>
    <row r="2165" spans="2:9" ht="15.75" x14ac:dyDescent="0.25">
      <c r="B2165" s="411" t="s">
        <v>95</v>
      </c>
      <c r="C2165" s="412">
        <v>2024</v>
      </c>
      <c r="D2165" s="412" t="s">
        <v>2423</v>
      </c>
      <c r="E2165" s="413">
        <v>407.48437104123246</v>
      </c>
      <c r="F2165" s="17"/>
      <c r="G2165" s="17"/>
      <c r="H2165" s="17"/>
      <c r="I2165" s="17"/>
    </row>
    <row r="2166" spans="2:9" ht="15.75" x14ac:dyDescent="0.25">
      <c r="B2166" s="411" t="s">
        <v>95</v>
      </c>
      <c r="C2166" s="412">
        <v>2025</v>
      </c>
      <c r="D2166" s="412" t="s">
        <v>2424</v>
      </c>
      <c r="E2166" s="413">
        <v>393.94403927908724</v>
      </c>
      <c r="F2166" s="17"/>
      <c r="G2166" s="17"/>
      <c r="H2166" s="17"/>
      <c r="I2166" s="17"/>
    </row>
    <row r="2167" spans="2:9" ht="15.75" x14ac:dyDescent="0.25">
      <c r="B2167" s="411" t="s">
        <v>95</v>
      </c>
      <c r="C2167" s="412">
        <v>2026</v>
      </c>
      <c r="D2167" s="412" t="s">
        <v>2425</v>
      </c>
      <c r="E2167" s="413">
        <v>381.64940970259204</v>
      </c>
      <c r="F2167" s="17"/>
      <c r="G2167" s="17"/>
      <c r="H2167" s="17"/>
      <c r="I2167" s="17"/>
    </row>
    <row r="2168" spans="2:9" ht="15.75" x14ac:dyDescent="0.25">
      <c r="B2168" s="411" t="s">
        <v>95</v>
      </c>
      <c r="C2168" s="412">
        <v>2027</v>
      </c>
      <c r="D2168" s="412" t="s">
        <v>2426</v>
      </c>
      <c r="E2168" s="413">
        <v>370.44820482006679</v>
      </c>
      <c r="F2168" s="17"/>
      <c r="G2168" s="17"/>
      <c r="H2168" s="17"/>
      <c r="I2168" s="17"/>
    </row>
    <row r="2169" spans="2:9" ht="15.75" x14ac:dyDescent="0.25">
      <c r="B2169" s="411" t="s">
        <v>95</v>
      </c>
      <c r="C2169" s="412">
        <v>2028</v>
      </c>
      <c r="D2169" s="412" t="s">
        <v>2427</v>
      </c>
      <c r="E2169" s="413">
        <v>360.40336252826512</v>
      </c>
      <c r="F2169" s="17"/>
      <c r="G2169" s="17"/>
      <c r="H2169" s="17"/>
      <c r="I2169" s="17"/>
    </row>
    <row r="2170" spans="2:9" ht="15.75" x14ac:dyDescent="0.25">
      <c r="B2170" s="411" t="s">
        <v>95</v>
      </c>
      <c r="C2170" s="412">
        <v>2029</v>
      </c>
      <c r="D2170" s="412" t="s">
        <v>2428</v>
      </c>
      <c r="E2170" s="413">
        <v>351.41135868639651</v>
      </c>
      <c r="F2170" s="17"/>
      <c r="G2170" s="17"/>
      <c r="H2170" s="17"/>
      <c r="I2170" s="17"/>
    </row>
    <row r="2171" spans="2:9" ht="15.75" x14ac:dyDescent="0.25">
      <c r="B2171" s="411" t="s">
        <v>95</v>
      </c>
      <c r="C2171" s="412">
        <v>2030</v>
      </c>
      <c r="D2171" s="412" t="s">
        <v>2429</v>
      </c>
      <c r="E2171" s="413">
        <v>343.4028879154809</v>
      </c>
      <c r="F2171" s="17"/>
      <c r="G2171" s="17"/>
      <c r="H2171" s="17"/>
      <c r="I2171" s="17"/>
    </row>
    <row r="2172" spans="2:9" ht="15.75" x14ac:dyDescent="0.25">
      <c r="B2172" s="411" t="s">
        <v>95</v>
      </c>
      <c r="C2172" s="412">
        <v>2031</v>
      </c>
      <c r="D2172" s="412" t="s">
        <v>2430</v>
      </c>
      <c r="E2172" s="413">
        <v>336.30597550361921</v>
      </c>
      <c r="F2172" s="17"/>
      <c r="G2172" s="17"/>
      <c r="H2172" s="17"/>
      <c r="I2172" s="17"/>
    </row>
    <row r="2173" spans="2:9" ht="15.75" x14ac:dyDescent="0.25">
      <c r="B2173" s="411" t="s">
        <v>95</v>
      </c>
      <c r="C2173" s="412">
        <v>2032</v>
      </c>
      <c r="D2173" s="412" t="s">
        <v>2431</v>
      </c>
      <c r="E2173" s="413">
        <v>330.04723910459978</v>
      </c>
      <c r="F2173" s="17"/>
      <c r="G2173" s="17"/>
      <c r="H2173" s="17"/>
      <c r="I2173" s="17"/>
    </row>
    <row r="2174" spans="2:9" ht="15.75" x14ac:dyDescent="0.25">
      <c r="B2174" s="411" t="s">
        <v>95</v>
      </c>
      <c r="C2174" s="412">
        <v>2033</v>
      </c>
      <c r="D2174" s="412" t="s">
        <v>2432</v>
      </c>
      <c r="E2174" s="413">
        <v>324.55729438791514</v>
      </c>
      <c r="F2174" s="17"/>
      <c r="G2174" s="17"/>
      <c r="H2174" s="17"/>
      <c r="I2174" s="17"/>
    </row>
    <row r="2175" spans="2:9" ht="15.75" x14ac:dyDescent="0.25">
      <c r="B2175" s="411" t="s">
        <v>95</v>
      </c>
      <c r="C2175" s="412">
        <v>2034</v>
      </c>
      <c r="D2175" s="412" t="s">
        <v>2433</v>
      </c>
      <c r="E2175" s="413">
        <v>319.74932126160667</v>
      </c>
      <c r="F2175" s="17"/>
      <c r="G2175" s="17"/>
      <c r="H2175" s="17"/>
      <c r="I2175" s="17"/>
    </row>
    <row r="2176" spans="2:9" ht="15.75" x14ac:dyDescent="0.25">
      <c r="B2176" s="411" t="s">
        <v>95</v>
      </c>
      <c r="C2176" s="412">
        <v>2035</v>
      </c>
      <c r="D2176" s="412" t="s">
        <v>2434</v>
      </c>
      <c r="E2176" s="413">
        <v>315.5851557330592</v>
      </c>
      <c r="F2176" s="17"/>
      <c r="G2176" s="17"/>
      <c r="H2176" s="17"/>
      <c r="I2176" s="17"/>
    </row>
    <row r="2177" spans="2:9" ht="15.75" x14ac:dyDescent="0.25">
      <c r="B2177" s="411" t="s">
        <v>95</v>
      </c>
      <c r="C2177" s="412">
        <v>2036</v>
      </c>
      <c r="D2177" s="412" t="s">
        <v>2435</v>
      </c>
      <c r="E2177" s="413">
        <v>311.98281500285327</v>
      </c>
      <c r="F2177" s="17"/>
      <c r="G2177" s="17"/>
      <c r="H2177" s="17"/>
      <c r="I2177" s="17"/>
    </row>
    <row r="2178" spans="2:9" ht="15.75" x14ac:dyDescent="0.25">
      <c r="B2178" s="411" t="s">
        <v>95</v>
      </c>
      <c r="C2178" s="412">
        <v>2037</v>
      </c>
      <c r="D2178" s="412" t="s">
        <v>2436</v>
      </c>
      <c r="E2178" s="413">
        <v>308.91697323029814</v>
      </c>
      <c r="F2178" s="17"/>
      <c r="G2178" s="17"/>
      <c r="H2178" s="17"/>
      <c r="I2178" s="17"/>
    </row>
    <row r="2179" spans="2:9" ht="15.75" x14ac:dyDescent="0.25">
      <c r="B2179" s="411" t="s">
        <v>95</v>
      </c>
      <c r="C2179" s="412">
        <v>2038</v>
      </c>
      <c r="D2179" s="412" t="s">
        <v>2437</v>
      </c>
      <c r="E2179" s="413">
        <v>306.32121152771714</v>
      </c>
      <c r="F2179" s="17"/>
      <c r="G2179" s="17"/>
      <c r="H2179" s="17"/>
      <c r="I2179" s="17"/>
    </row>
    <row r="2180" spans="2:9" ht="15.75" x14ac:dyDescent="0.25">
      <c r="B2180" s="411" t="s">
        <v>95</v>
      </c>
      <c r="C2180" s="412">
        <v>2039</v>
      </c>
      <c r="D2180" s="412" t="s">
        <v>2438</v>
      </c>
      <c r="E2180" s="413">
        <v>304.11675420710861</v>
      </c>
      <c r="F2180" s="17"/>
      <c r="G2180" s="17"/>
      <c r="H2180" s="17"/>
      <c r="I2180" s="17"/>
    </row>
    <row r="2181" spans="2:9" ht="15.75" x14ac:dyDescent="0.25">
      <c r="B2181" s="411" t="s">
        <v>95</v>
      </c>
      <c r="C2181" s="412">
        <v>2040</v>
      </c>
      <c r="D2181" s="412" t="s">
        <v>2439</v>
      </c>
      <c r="E2181" s="413">
        <v>302.27563860389756</v>
      </c>
      <c r="F2181" s="17"/>
      <c r="G2181" s="17"/>
      <c r="H2181" s="17"/>
      <c r="I2181" s="17"/>
    </row>
    <row r="2182" spans="2:9" ht="15.75" x14ac:dyDescent="0.25">
      <c r="B2182" s="411" t="s">
        <v>95</v>
      </c>
      <c r="C2182" s="412">
        <v>2041</v>
      </c>
      <c r="D2182" s="412" t="s">
        <v>2440</v>
      </c>
      <c r="E2182" s="413">
        <v>300.75632240037743</v>
      </c>
      <c r="F2182" s="17"/>
      <c r="G2182" s="17"/>
      <c r="H2182" s="17"/>
      <c r="I2182" s="17"/>
    </row>
    <row r="2183" spans="2:9" ht="15.75" x14ac:dyDescent="0.25">
      <c r="B2183" s="411" t="s">
        <v>95</v>
      </c>
      <c r="C2183" s="412">
        <v>2042</v>
      </c>
      <c r="D2183" s="412" t="s">
        <v>2441</v>
      </c>
      <c r="E2183" s="413">
        <v>299.48878881519357</v>
      </c>
      <c r="F2183" s="17"/>
      <c r="G2183" s="17"/>
      <c r="H2183" s="17"/>
      <c r="I2183" s="17"/>
    </row>
    <row r="2184" spans="2:9" ht="15.75" x14ac:dyDescent="0.25">
      <c r="B2184" s="411" t="s">
        <v>95</v>
      </c>
      <c r="C2184" s="412">
        <v>2043</v>
      </c>
      <c r="D2184" s="412" t="s">
        <v>2442</v>
      </c>
      <c r="E2184" s="413">
        <v>298.4494293338484</v>
      </c>
      <c r="F2184" s="17"/>
      <c r="G2184" s="17"/>
      <c r="H2184" s="17"/>
      <c r="I2184" s="17"/>
    </row>
    <row r="2185" spans="2:9" ht="15.75" x14ac:dyDescent="0.25">
      <c r="B2185" s="411" t="s">
        <v>95</v>
      </c>
      <c r="C2185" s="412">
        <v>2044</v>
      </c>
      <c r="D2185" s="412" t="s">
        <v>2443</v>
      </c>
      <c r="E2185" s="413">
        <v>297.57935225395454</v>
      </c>
      <c r="F2185" s="17"/>
      <c r="G2185" s="17"/>
      <c r="H2185" s="17"/>
      <c r="I2185" s="17"/>
    </row>
    <row r="2186" spans="2:9" ht="15.75" x14ac:dyDescent="0.25">
      <c r="B2186" s="411" t="s">
        <v>95</v>
      </c>
      <c r="C2186" s="412">
        <v>2045</v>
      </c>
      <c r="D2186" s="412" t="s">
        <v>2444</v>
      </c>
      <c r="E2186" s="413">
        <v>296.84543248524767</v>
      </c>
      <c r="F2186" s="17"/>
      <c r="G2186" s="17"/>
      <c r="H2186" s="17"/>
      <c r="I2186" s="17"/>
    </row>
    <row r="2187" spans="2:9" ht="15.75" x14ac:dyDescent="0.25">
      <c r="B2187" s="411" t="s">
        <v>95</v>
      </c>
      <c r="C2187" s="412">
        <v>2046</v>
      </c>
      <c r="D2187" s="412" t="s">
        <v>2445</v>
      </c>
      <c r="E2187" s="413">
        <v>296.23865956059348</v>
      </c>
      <c r="F2187" s="17"/>
      <c r="G2187" s="17"/>
      <c r="H2187" s="17"/>
      <c r="I2187" s="17"/>
    </row>
    <row r="2188" spans="2:9" ht="15.75" x14ac:dyDescent="0.25">
      <c r="B2188" s="411" t="s">
        <v>95</v>
      </c>
      <c r="C2188" s="412">
        <v>2047</v>
      </c>
      <c r="D2188" s="412" t="s">
        <v>2446</v>
      </c>
      <c r="E2188" s="413">
        <v>295.74194438391777</v>
      </c>
      <c r="F2188" s="17"/>
      <c r="G2188" s="17"/>
      <c r="H2188" s="17"/>
      <c r="I2188" s="17"/>
    </row>
    <row r="2189" spans="2:9" ht="15.75" x14ac:dyDescent="0.25">
      <c r="B2189" s="411" t="s">
        <v>95</v>
      </c>
      <c r="C2189" s="412">
        <v>2048</v>
      </c>
      <c r="D2189" s="412" t="s">
        <v>2447</v>
      </c>
      <c r="E2189" s="413">
        <v>295.32732358066022</v>
      </c>
      <c r="F2189" s="17"/>
      <c r="G2189" s="17"/>
      <c r="H2189" s="17"/>
      <c r="I2189" s="17"/>
    </row>
    <row r="2190" spans="2:9" ht="15.75" x14ac:dyDescent="0.25">
      <c r="B2190" s="411" t="s">
        <v>95</v>
      </c>
      <c r="C2190" s="412">
        <v>2049</v>
      </c>
      <c r="D2190" s="412" t="s">
        <v>2448</v>
      </c>
      <c r="E2190" s="413">
        <v>294.97508814344917</v>
      </c>
      <c r="F2190" s="17"/>
      <c r="G2190" s="17"/>
      <c r="H2190" s="17"/>
      <c r="I2190" s="17"/>
    </row>
    <row r="2191" spans="2:9" ht="15.75" x14ac:dyDescent="0.25">
      <c r="B2191" s="411" t="s">
        <v>95</v>
      </c>
      <c r="C2191" s="412">
        <v>2050</v>
      </c>
      <c r="D2191" s="412" t="s">
        <v>2449</v>
      </c>
      <c r="E2191" s="413">
        <v>294.69258039793277</v>
      </c>
      <c r="F2191" s="17"/>
      <c r="G2191" s="17"/>
      <c r="H2191" s="17"/>
      <c r="I2191" s="17"/>
    </row>
    <row r="2192" spans="2:9" ht="15.75" x14ac:dyDescent="0.25">
      <c r="B2192" s="407" t="s">
        <v>96</v>
      </c>
      <c r="C2192" s="408">
        <v>2015</v>
      </c>
      <c r="D2192" s="409" t="s">
        <v>299</v>
      </c>
      <c r="E2192" s="410">
        <v>560.73032010793622</v>
      </c>
      <c r="F2192" s="17"/>
      <c r="G2192" s="17"/>
      <c r="H2192" s="17"/>
      <c r="I2192" s="17"/>
    </row>
    <row r="2193" spans="2:9" ht="15.75" x14ac:dyDescent="0.25">
      <c r="B2193" s="407" t="s">
        <v>96</v>
      </c>
      <c r="C2193" s="408">
        <v>2016</v>
      </c>
      <c r="D2193" s="409" t="s">
        <v>300</v>
      </c>
      <c r="E2193" s="410">
        <v>549.99080543746925</v>
      </c>
      <c r="F2193" s="17"/>
      <c r="G2193" s="17"/>
      <c r="H2193" s="17"/>
      <c r="I2193" s="17"/>
    </row>
    <row r="2194" spans="2:9" ht="15.75" x14ac:dyDescent="0.25">
      <c r="B2194" s="411" t="s">
        <v>96</v>
      </c>
      <c r="C2194" s="412">
        <v>2017</v>
      </c>
      <c r="D2194" s="412" t="s">
        <v>2450</v>
      </c>
      <c r="E2194" s="413">
        <v>536.70938802958813</v>
      </c>
      <c r="F2194" s="17"/>
      <c r="G2194" s="17"/>
      <c r="H2194" s="17"/>
      <c r="I2194" s="17"/>
    </row>
    <row r="2195" spans="2:9" ht="15.75" x14ac:dyDescent="0.25">
      <c r="B2195" s="411" t="s">
        <v>96</v>
      </c>
      <c r="C2195" s="412">
        <v>2018</v>
      </c>
      <c r="D2195" s="412" t="s">
        <v>2451</v>
      </c>
      <c r="E2195" s="413">
        <v>523.12481801414765</v>
      </c>
      <c r="F2195" s="17"/>
      <c r="G2195" s="17"/>
      <c r="H2195" s="17"/>
      <c r="I2195" s="17"/>
    </row>
    <row r="2196" spans="2:9" ht="15.75" x14ac:dyDescent="0.25">
      <c r="B2196" s="411" t="s">
        <v>96</v>
      </c>
      <c r="C2196" s="412">
        <v>2019</v>
      </c>
      <c r="D2196" s="412" t="s">
        <v>2452</v>
      </c>
      <c r="E2196" s="413">
        <v>509.05077309215523</v>
      </c>
      <c r="F2196" s="17"/>
      <c r="G2196" s="17"/>
      <c r="H2196" s="17"/>
      <c r="I2196" s="17"/>
    </row>
    <row r="2197" spans="2:9" ht="15.75" x14ac:dyDescent="0.25">
      <c r="B2197" s="411" t="s">
        <v>96</v>
      </c>
      <c r="C2197" s="412">
        <v>2020</v>
      </c>
      <c r="D2197" s="412" t="s">
        <v>2453</v>
      </c>
      <c r="E2197" s="413">
        <v>494.49543215128165</v>
      </c>
      <c r="F2197" s="17"/>
      <c r="G2197" s="17"/>
      <c r="H2197" s="17"/>
      <c r="I2197" s="17"/>
    </row>
    <row r="2198" spans="2:9" ht="15.75" x14ac:dyDescent="0.25">
      <c r="B2198" s="411" t="s">
        <v>96</v>
      </c>
      <c r="C2198" s="412">
        <v>2021</v>
      </c>
      <c r="D2198" s="412" t="s">
        <v>2454</v>
      </c>
      <c r="E2198" s="413">
        <v>479.8006034992552</v>
      </c>
      <c r="F2198" s="17"/>
      <c r="G2198" s="17"/>
      <c r="H2198" s="17"/>
      <c r="I2198" s="17"/>
    </row>
    <row r="2199" spans="2:9" ht="15.75" x14ac:dyDescent="0.25">
      <c r="B2199" s="411" t="s">
        <v>96</v>
      </c>
      <c r="C2199" s="412">
        <v>2022</v>
      </c>
      <c r="D2199" s="412" t="s">
        <v>2455</v>
      </c>
      <c r="E2199" s="413">
        <v>465.18348346646502</v>
      </c>
      <c r="F2199" s="17"/>
      <c r="G2199" s="17"/>
      <c r="H2199" s="17"/>
      <c r="I2199" s="17"/>
    </row>
    <row r="2200" spans="2:9" ht="15.75" x14ac:dyDescent="0.25">
      <c r="B2200" s="411" t="s">
        <v>96</v>
      </c>
      <c r="C2200" s="412">
        <v>2023</v>
      </c>
      <c r="D2200" s="412" t="s">
        <v>2456</v>
      </c>
      <c r="E2200" s="413">
        <v>450.79584382818143</v>
      </c>
      <c r="F2200" s="17"/>
      <c r="G2200" s="17"/>
      <c r="H2200" s="17"/>
      <c r="I2200" s="17"/>
    </row>
    <row r="2201" spans="2:9" ht="15.75" x14ac:dyDescent="0.25">
      <c r="B2201" s="411" t="s">
        <v>96</v>
      </c>
      <c r="C2201" s="412">
        <v>2024</v>
      </c>
      <c r="D2201" s="412" t="s">
        <v>2457</v>
      </c>
      <c r="E2201" s="413">
        <v>436.52539885409362</v>
      </c>
      <c r="F2201" s="17"/>
      <c r="G2201" s="17"/>
      <c r="H2201" s="17"/>
      <c r="I2201" s="17"/>
    </row>
    <row r="2202" spans="2:9" ht="15.75" x14ac:dyDescent="0.25">
      <c r="B2202" s="411" t="s">
        <v>96</v>
      </c>
      <c r="C2202" s="412">
        <v>2025</v>
      </c>
      <c r="D2202" s="412" t="s">
        <v>2458</v>
      </c>
      <c r="E2202" s="413">
        <v>422.50279679368663</v>
      </c>
      <c r="F2202" s="17"/>
      <c r="G2202" s="17"/>
      <c r="H2202" s="17"/>
      <c r="I2202" s="17"/>
    </row>
    <row r="2203" spans="2:9" ht="15.75" x14ac:dyDescent="0.25">
      <c r="B2203" s="411" t="s">
        <v>96</v>
      </c>
      <c r="C2203" s="412">
        <v>2026</v>
      </c>
      <c r="D2203" s="412" t="s">
        <v>2459</v>
      </c>
      <c r="E2203" s="413">
        <v>409.88216284583035</v>
      </c>
      <c r="F2203" s="17"/>
      <c r="G2203" s="17"/>
      <c r="H2203" s="17"/>
      <c r="I2203" s="17"/>
    </row>
    <row r="2204" spans="2:9" ht="15.75" x14ac:dyDescent="0.25">
      <c r="B2204" s="411" t="s">
        <v>96</v>
      </c>
      <c r="C2204" s="412">
        <v>2027</v>
      </c>
      <c r="D2204" s="412" t="s">
        <v>2460</v>
      </c>
      <c r="E2204" s="413">
        <v>398.36064619533568</v>
      </c>
      <c r="F2204" s="17"/>
      <c r="G2204" s="17"/>
      <c r="H2204" s="17"/>
      <c r="I2204" s="17"/>
    </row>
    <row r="2205" spans="2:9" ht="15.75" x14ac:dyDescent="0.25">
      <c r="B2205" s="411" t="s">
        <v>96</v>
      </c>
      <c r="C2205" s="412">
        <v>2028</v>
      </c>
      <c r="D2205" s="412" t="s">
        <v>2461</v>
      </c>
      <c r="E2205" s="413">
        <v>387.96057351683635</v>
      </c>
      <c r="F2205" s="17"/>
      <c r="G2205" s="17"/>
      <c r="H2205" s="17"/>
      <c r="I2205" s="17"/>
    </row>
    <row r="2206" spans="2:9" ht="15.75" x14ac:dyDescent="0.25">
      <c r="B2206" s="411" t="s">
        <v>96</v>
      </c>
      <c r="C2206" s="412">
        <v>2029</v>
      </c>
      <c r="D2206" s="412" t="s">
        <v>2462</v>
      </c>
      <c r="E2206" s="413">
        <v>378.55826113370114</v>
      </c>
      <c r="F2206" s="17"/>
      <c r="G2206" s="17"/>
      <c r="H2206" s="17"/>
      <c r="I2206" s="17"/>
    </row>
    <row r="2207" spans="2:9" ht="15.75" x14ac:dyDescent="0.25">
      <c r="B2207" s="411" t="s">
        <v>96</v>
      </c>
      <c r="C2207" s="412">
        <v>2030</v>
      </c>
      <c r="D2207" s="412" t="s">
        <v>2463</v>
      </c>
      <c r="E2207" s="413">
        <v>370.16757390315666</v>
      </c>
      <c r="F2207" s="17"/>
      <c r="G2207" s="17"/>
      <c r="H2207" s="17"/>
      <c r="I2207" s="17"/>
    </row>
    <row r="2208" spans="2:9" ht="15.75" x14ac:dyDescent="0.25">
      <c r="B2208" s="411" t="s">
        <v>96</v>
      </c>
      <c r="C2208" s="412">
        <v>2031</v>
      </c>
      <c r="D2208" s="412" t="s">
        <v>2464</v>
      </c>
      <c r="E2208" s="413">
        <v>362.65808973358264</v>
      </c>
      <c r="F2208" s="17"/>
      <c r="G2208" s="17"/>
      <c r="H2208" s="17"/>
      <c r="I2208" s="17"/>
    </row>
    <row r="2209" spans="2:9" ht="15.75" x14ac:dyDescent="0.25">
      <c r="B2209" s="411" t="s">
        <v>96</v>
      </c>
      <c r="C2209" s="412">
        <v>2032</v>
      </c>
      <c r="D2209" s="412" t="s">
        <v>2465</v>
      </c>
      <c r="E2209" s="413">
        <v>356.01351994349591</v>
      </c>
      <c r="F2209" s="17"/>
      <c r="G2209" s="17"/>
      <c r="H2209" s="17"/>
      <c r="I2209" s="17"/>
    </row>
    <row r="2210" spans="2:9" ht="15.75" x14ac:dyDescent="0.25">
      <c r="B2210" s="411" t="s">
        <v>96</v>
      </c>
      <c r="C2210" s="412">
        <v>2033</v>
      </c>
      <c r="D2210" s="412" t="s">
        <v>2466</v>
      </c>
      <c r="E2210" s="413">
        <v>350.17779303981501</v>
      </c>
      <c r="F2210" s="17"/>
      <c r="G2210" s="17"/>
      <c r="H2210" s="17"/>
      <c r="I2210" s="17"/>
    </row>
    <row r="2211" spans="2:9" ht="15.75" x14ac:dyDescent="0.25">
      <c r="B2211" s="411" t="s">
        <v>96</v>
      </c>
      <c r="C2211" s="412">
        <v>2034</v>
      </c>
      <c r="D2211" s="412" t="s">
        <v>2467</v>
      </c>
      <c r="E2211" s="413">
        <v>344.99235459705324</v>
      </c>
      <c r="F2211" s="17"/>
      <c r="G2211" s="17"/>
      <c r="H2211" s="17"/>
      <c r="I2211" s="17"/>
    </row>
    <row r="2212" spans="2:9" ht="15.75" x14ac:dyDescent="0.25">
      <c r="B2212" s="411" t="s">
        <v>96</v>
      </c>
      <c r="C2212" s="412">
        <v>2035</v>
      </c>
      <c r="D2212" s="412" t="s">
        <v>2468</v>
      </c>
      <c r="E2212" s="413">
        <v>340.40735658812594</v>
      </c>
      <c r="F2212" s="17"/>
      <c r="G2212" s="17"/>
      <c r="H2212" s="17"/>
      <c r="I2212" s="17"/>
    </row>
    <row r="2213" spans="2:9" ht="15.75" x14ac:dyDescent="0.25">
      <c r="B2213" s="411" t="s">
        <v>96</v>
      </c>
      <c r="C2213" s="412">
        <v>2036</v>
      </c>
      <c r="D2213" s="412" t="s">
        <v>2469</v>
      </c>
      <c r="E2213" s="413">
        <v>336.44257617216272</v>
      </c>
      <c r="F2213" s="17"/>
      <c r="G2213" s="17"/>
      <c r="H2213" s="17"/>
      <c r="I2213" s="17"/>
    </row>
    <row r="2214" spans="2:9" ht="15.75" x14ac:dyDescent="0.25">
      <c r="B2214" s="411" t="s">
        <v>96</v>
      </c>
      <c r="C2214" s="412">
        <v>2037</v>
      </c>
      <c r="D2214" s="412" t="s">
        <v>2470</v>
      </c>
      <c r="E2214" s="413">
        <v>333.02039898511373</v>
      </c>
      <c r="F2214" s="17"/>
      <c r="G2214" s="17"/>
      <c r="H2214" s="17"/>
      <c r="I2214" s="17"/>
    </row>
    <row r="2215" spans="2:9" ht="15.75" x14ac:dyDescent="0.25">
      <c r="B2215" s="411" t="s">
        <v>96</v>
      </c>
      <c r="C2215" s="412">
        <v>2038</v>
      </c>
      <c r="D2215" s="412" t="s">
        <v>2471</v>
      </c>
      <c r="E2215" s="413">
        <v>330.11794241089689</v>
      </c>
      <c r="F2215" s="17"/>
      <c r="G2215" s="17"/>
      <c r="H2215" s="17"/>
      <c r="I2215" s="17"/>
    </row>
    <row r="2216" spans="2:9" ht="15.75" x14ac:dyDescent="0.25">
      <c r="B2216" s="411" t="s">
        <v>96</v>
      </c>
      <c r="C2216" s="412">
        <v>2039</v>
      </c>
      <c r="D2216" s="412" t="s">
        <v>2472</v>
      </c>
      <c r="E2216" s="413">
        <v>327.63235340072873</v>
      </c>
      <c r="F2216" s="17"/>
      <c r="G2216" s="17"/>
      <c r="H2216" s="17"/>
      <c r="I2216" s="17"/>
    </row>
    <row r="2217" spans="2:9" ht="15.75" x14ac:dyDescent="0.25">
      <c r="B2217" s="411" t="s">
        <v>96</v>
      </c>
      <c r="C2217" s="412">
        <v>2040</v>
      </c>
      <c r="D2217" s="412" t="s">
        <v>2473</v>
      </c>
      <c r="E2217" s="413">
        <v>325.51723039160743</v>
      </c>
      <c r="F2217" s="17"/>
      <c r="G2217" s="17"/>
      <c r="H2217" s="17"/>
      <c r="I2217" s="17"/>
    </row>
    <row r="2218" spans="2:9" ht="15.75" x14ac:dyDescent="0.25">
      <c r="B2218" s="411" t="s">
        <v>96</v>
      </c>
      <c r="C2218" s="412">
        <v>2041</v>
      </c>
      <c r="D2218" s="412" t="s">
        <v>2474</v>
      </c>
      <c r="E2218" s="413">
        <v>323.76345934761304</v>
      </c>
      <c r="F2218" s="17"/>
      <c r="G2218" s="17"/>
      <c r="H2218" s="17"/>
      <c r="I2218" s="17"/>
    </row>
    <row r="2219" spans="2:9" ht="15.75" x14ac:dyDescent="0.25">
      <c r="B2219" s="411" t="s">
        <v>96</v>
      </c>
      <c r="C2219" s="412">
        <v>2042</v>
      </c>
      <c r="D2219" s="412" t="s">
        <v>2475</v>
      </c>
      <c r="E2219" s="413">
        <v>322.27153024767699</v>
      </c>
      <c r="F2219" s="17"/>
      <c r="G2219" s="17"/>
      <c r="H2219" s="17"/>
      <c r="I2219" s="17"/>
    </row>
    <row r="2220" spans="2:9" ht="15.75" x14ac:dyDescent="0.25">
      <c r="B2220" s="411" t="s">
        <v>96</v>
      </c>
      <c r="C2220" s="412">
        <v>2043</v>
      </c>
      <c r="D2220" s="412" t="s">
        <v>2476</v>
      </c>
      <c r="E2220" s="413">
        <v>321.03455879091501</v>
      </c>
      <c r="F2220" s="17"/>
      <c r="G2220" s="17"/>
      <c r="H2220" s="17"/>
      <c r="I2220" s="17"/>
    </row>
    <row r="2221" spans="2:9" ht="15.75" x14ac:dyDescent="0.25">
      <c r="B2221" s="411" t="s">
        <v>96</v>
      </c>
      <c r="C2221" s="412">
        <v>2044</v>
      </c>
      <c r="D2221" s="412" t="s">
        <v>2477</v>
      </c>
      <c r="E2221" s="413">
        <v>319.97388124788654</v>
      </c>
      <c r="F2221" s="17"/>
      <c r="G2221" s="17"/>
      <c r="H2221" s="17"/>
      <c r="I2221" s="17"/>
    </row>
    <row r="2222" spans="2:9" ht="15.75" x14ac:dyDescent="0.25">
      <c r="B2222" s="411" t="s">
        <v>96</v>
      </c>
      <c r="C2222" s="412">
        <v>2045</v>
      </c>
      <c r="D2222" s="412" t="s">
        <v>2478</v>
      </c>
      <c r="E2222" s="413">
        <v>319.05565595656589</v>
      </c>
      <c r="F2222" s="17"/>
      <c r="G2222" s="17"/>
      <c r="H2222" s="17"/>
      <c r="I2222" s="17"/>
    </row>
    <row r="2223" spans="2:9" ht="15.75" x14ac:dyDescent="0.25">
      <c r="B2223" s="411" t="s">
        <v>96</v>
      </c>
      <c r="C2223" s="412">
        <v>2046</v>
      </c>
      <c r="D2223" s="412" t="s">
        <v>2479</v>
      </c>
      <c r="E2223" s="413">
        <v>318.30446001847935</v>
      </c>
      <c r="F2223" s="17"/>
      <c r="G2223" s="17"/>
      <c r="H2223" s="17"/>
      <c r="I2223" s="17"/>
    </row>
    <row r="2224" spans="2:9" ht="15.75" x14ac:dyDescent="0.25">
      <c r="B2224" s="411" t="s">
        <v>96</v>
      </c>
      <c r="C2224" s="412">
        <v>2047</v>
      </c>
      <c r="D2224" s="412" t="s">
        <v>2480</v>
      </c>
      <c r="E2224" s="413">
        <v>317.6398120730359</v>
      </c>
      <c r="F2224" s="17"/>
      <c r="G2224" s="17"/>
      <c r="H2224" s="17"/>
      <c r="I2224" s="17"/>
    </row>
    <row r="2225" spans="2:9" ht="15.75" x14ac:dyDescent="0.25">
      <c r="B2225" s="411" t="s">
        <v>96</v>
      </c>
      <c r="C2225" s="412">
        <v>2048</v>
      </c>
      <c r="D2225" s="412" t="s">
        <v>2481</v>
      </c>
      <c r="E2225" s="413">
        <v>317.10209656371978</v>
      </c>
      <c r="F2225" s="17"/>
      <c r="G2225" s="17"/>
      <c r="H2225" s="17"/>
      <c r="I2225" s="17"/>
    </row>
    <row r="2226" spans="2:9" ht="15.75" x14ac:dyDescent="0.25">
      <c r="B2226" s="411" t="s">
        <v>96</v>
      </c>
      <c r="C2226" s="412">
        <v>2049</v>
      </c>
      <c r="D2226" s="412" t="s">
        <v>2482</v>
      </c>
      <c r="E2226" s="413">
        <v>316.62871679134122</v>
      </c>
      <c r="F2226" s="17"/>
      <c r="G2226" s="17"/>
      <c r="H2226" s="17"/>
      <c r="I2226" s="17"/>
    </row>
    <row r="2227" spans="2:9" ht="15.75" x14ac:dyDescent="0.25">
      <c r="B2227" s="411" t="s">
        <v>96</v>
      </c>
      <c r="C2227" s="412">
        <v>2050</v>
      </c>
      <c r="D2227" s="412" t="s">
        <v>2483</v>
      </c>
      <c r="E2227" s="413">
        <v>316.24828327970778</v>
      </c>
      <c r="F2227" s="17"/>
      <c r="G2227" s="17"/>
      <c r="H2227" s="17"/>
      <c r="I2227" s="17"/>
    </row>
    <row r="2228" spans="2:9" ht="15.75" x14ac:dyDescent="0.25">
      <c r="B2228" s="407" t="s">
        <v>97</v>
      </c>
      <c r="C2228" s="408">
        <v>2015</v>
      </c>
      <c r="D2228" s="409" t="s">
        <v>301</v>
      </c>
      <c r="E2228" s="410">
        <v>556.55503202765703</v>
      </c>
      <c r="F2228" s="17"/>
      <c r="G2228" s="17"/>
      <c r="H2228" s="17"/>
      <c r="I2228" s="17"/>
    </row>
    <row r="2229" spans="2:9" ht="15.75" x14ac:dyDescent="0.25">
      <c r="B2229" s="407" t="s">
        <v>97</v>
      </c>
      <c r="C2229" s="408">
        <v>2016</v>
      </c>
      <c r="D2229" s="409" t="s">
        <v>302</v>
      </c>
      <c r="E2229" s="410">
        <v>546.26179885583201</v>
      </c>
      <c r="F2229" s="17"/>
      <c r="G2229" s="17"/>
      <c r="H2229" s="17"/>
      <c r="I2229" s="17"/>
    </row>
    <row r="2230" spans="2:9" ht="15.75" x14ac:dyDescent="0.25">
      <c r="B2230" s="411" t="s">
        <v>97</v>
      </c>
      <c r="C2230" s="412">
        <v>2017</v>
      </c>
      <c r="D2230" s="412" t="s">
        <v>2484</v>
      </c>
      <c r="E2230" s="413">
        <v>533.25315201496346</v>
      </c>
      <c r="F2230" s="17"/>
      <c r="G2230" s="17"/>
      <c r="H2230" s="17"/>
      <c r="I2230" s="17"/>
    </row>
    <row r="2231" spans="2:9" ht="15.75" x14ac:dyDescent="0.25">
      <c r="B2231" s="411" t="s">
        <v>97</v>
      </c>
      <c r="C2231" s="412">
        <v>2018</v>
      </c>
      <c r="D2231" s="412" t="s">
        <v>2485</v>
      </c>
      <c r="E2231" s="413">
        <v>519.77666350690356</v>
      </c>
      <c r="F2231" s="17"/>
      <c r="G2231" s="17"/>
      <c r="H2231" s="17"/>
      <c r="I2231" s="17"/>
    </row>
    <row r="2232" spans="2:9" ht="15.75" x14ac:dyDescent="0.25">
      <c r="B2232" s="411" t="s">
        <v>97</v>
      </c>
      <c r="C2232" s="412">
        <v>2019</v>
      </c>
      <c r="D2232" s="412" t="s">
        <v>2486</v>
      </c>
      <c r="E2232" s="413">
        <v>505.69648859738123</v>
      </c>
      <c r="F2232" s="17"/>
      <c r="G2232" s="17"/>
      <c r="H2232" s="17"/>
      <c r="I2232" s="17"/>
    </row>
    <row r="2233" spans="2:9" ht="15.75" x14ac:dyDescent="0.25">
      <c r="B2233" s="411" t="s">
        <v>97</v>
      </c>
      <c r="C2233" s="412">
        <v>2020</v>
      </c>
      <c r="D2233" s="412" t="s">
        <v>2487</v>
      </c>
      <c r="E2233" s="413">
        <v>491.30205106034862</v>
      </c>
      <c r="F2233" s="17"/>
      <c r="G2233" s="17"/>
      <c r="H2233" s="17"/>
      <c r="I2233" s="17"/>
    </row>
    <row r="2234" spans="2:9" ht="15.75" x14ac:dyDescent="0.25">
      <c r="B2234" s="411" t="s">
        <v>97</v>
      </c>
      <c r="C2234" s="412">
        <v>2021</v>
      </c>
      <c r="D2234" s="412" t="s">
        <v>2488</v>
      </c>
      <c r="E2234" s="413">
        <v>476.66505418787733</v>
      </c>
      <c r="F2234" s="17"/>
      <c r="G2234" s="17"/>
      <c r="H2234" s="17"/>
      <c r="I2234" s="17"/>
    </row>
    <row r="2235" spans="2:9" ht="15.75" x14ac:dyDescent="0.25">
      <c r="B2235" s="411" t="s">
        <v>97</v>
      </c>
      <c r="C2235" s="412">
        <v>2022</v>
      </c>
      <c r="D2235" s="412" t="s">
        <v>2489</v>
      </c>
      <c r="E2235" s="413">
        <v>462.03753551386853</v>
      </c>
      <c r="F2235" s="17"/>
      <c r="G2235" s="17"/>
      <c r="H2235" s="17"/>
      <c r="I2235" s="17"/>
    </row>
    <row r="2236" spans="2:9" ht="15.75" x14ac:dyDescent="0.25">
      <c r="B2236" s="411" t="s">
        <v>97</v>
      </c>
      <c r="C2236" s="412">
        <v>2023</v>
      </c>
      <c r="D2236" s="412" t="s">
        <v>2490</v>
      </c>
      <c r="E2236" s="413">
        <v>447.59169550814471</v>
      </c>
      <c r="F2236" s="17"/>
      <c r="G2236" s="17"/>
      <c r="H2236" s="17"/>
      <c r="I2236" s="17"/>
    </row>
    <row r="2237" spans="2:9" ht="15.75" x14ac:dyDescent="0.25">
      <c r="B2237" s="411" t="s">
        <v>97</v>
      </c>
      <c r="C2237" s="412">
        <v>2024</v>
      </c>
      <c r="D2237" s="412" t="s">
        <v>2491</v>
      </c>
      <c r="E2237" s="413">
        <v>433.39214934427707</v>
      </c>
      <c r="F2237" s="17"/>
      <c r="G2237" s="17"/>
      <c r="H2237" s="17"/>
      <c r="I2237" s="17"/>
    </row>
    <row r="2238" spans="2:9" ht="15.75" x14ac:dyDescent="0.25">
      <c r="B2238" s="411" t="s">
        <v>97</v>
      </c>
      <c r="C2238" s="412">
        <v>2025</v>
      </c>
      <c r="D2238" s="412" t="s">
        <v>2492</v>
      </c>
      <c r="E2238" s="413">
        <v>419.46585810244301</v>
      </c>
      <c r="F2238" s="17"/>
      <c r="G2238" s="17"/>
      <c r="H2238" s="17"/>
      <c r="I2238" s="17"/>
    </row>
    <row r="2239" spans="2:9" ht="15.75" x14ac:dyDescent="0.25">
      <c r="B2239" s="411" t="s">
        <v>97</v>
      </c>
      <c r="C2239" s="412">
        <v>2026</v>
      </c>
      <c r="D2239" s="412" t="s">
        <v>2493</v>
      </c>
      <c r="E2239" s="413">
        <v>406.75694758115321</v>
      </c>
      <c r="F2239" s="17"/>
      <c r="G2239" s="17"/>
      <c r="H2239" s="17"/>
      <c r="I2239" s="17"/>
    </row>
    <row r="2240" spans="2:9" ht="15.75" x14ac:dyDescent="0.25">
      <c r="B2240" s="411" t="s">
        <v>97</v>
      </c>
      <c r="C2240" s="412">
        <v>2027</v>
      </c>
      <c r="D2240" s="412" t="s">
        <v>2494</v>
      </c>
      <c r="E2240" s="413">
        <v>395.08970482839226</v>
      </c>
      <c r="F2240" s="17"/>
      <c r="G2240" s="17"/>
      <c r="H2240" s="17"/>
      <c r="I2240" s="17"/>
    </row>
    <row r="2241" spans="2:9" ht="15.75" x14ac:dyDescent="0.25">
      <c r="B2241" s="411" t="s">
        <v>97</v>
      </c>
      <c r="C2241" s="412">
        <v>2028</v>
      </c>
      <c r="D2241" s="412" t="s">
        <v>2495</v>
      </c>
      <c r="E2241" s="413">
        <v>384.53782769987748</v>
      </c>
      <c r="F2241" s="17"/>
      <c r="G2241" s="17"/>
      <c r="H2241" s="17"/>
      <c r="I2241" s="17"/>
    </row>
    <row r="2242" spans="2:9" ht="15.75" x14ac:dyDescent="0.25">
      <c r="B2242" s="411" t="s">
        <v>97</v>
      </c>
      <c r="C2242" s="412">
        <v>2029</v>
      </c>
      <c r="D2242" s="412" t="s">
        <v>2496</v>
      </c>
      <c r="E2242" s="413">
        <v>374.99846887091707</v>
      </c>
      <c r="F2242" s="17"/>
      <c r="G2242" s="17"/>
      <c r="H2242" s="17"/>
      <c r="I2242" s="17"/>
    </row>
    <row r="2243" spans="2:9" ht="15.75" x14ac:dyDescent="0.25">
      <c r="B2243" s="411" t="s">
        <v>97</v>
      </c>
      <c r="C2243" s="412">
        <v>2030</v>
      </c>
      <c r="D2243" s="412" t="s">
        <v>2497</v>
      </c>
      <c r="E2243" s="413">
        <v>366.42853610603765</v>
      </c>
      <c r="F2243" s="17"/>
      <c r="G2243" s="17"/>
      <c r="H2243" s="17"/>
      <c r="I2243" s="17"/>
    </row>
    <row r="2244" spans="2:9" ht="15.75" x14ac:dyDescent="0.25">
      <c r="B2244" s="411" t="s">
        <v>97</v>
      </c>
      <c r="C2244" s="412">
        <v>2031</v>
      </c>
      <c r="D2244" s="412" t="s">
        <v>2498</v>
      </c>
      <c r="E2244" s="413">
        <v>358.74859029052567</v>
      </c>
      <c r="F2244" s="17"/>
      <c r="G2244" s="17"/>
      <c r="H2244" s="17"/>
      <c r="I2244" s="17"/>
    </row>
    <row r="2245" spans="2:9" ht="15.75" x14ac:dyDescent="0.25">
      <c r="B2245" s="411" t="s">
        <v>97</v>
      </c>
      <c r="C2245" s="412">
        <v>2032</v>
      </c>
      <c r="D2245" s="412" t="s">
        <v>2499</v>
      </c>
      <c r="E2245" s="413">
        <v>351.93119864667949</v>
      </c>
      <c r="F2245" s="17"/>
      <c r="G2245" s="17"/>
      <c r="H2245" s="17"/>
      <c r="I2245" s="17"/>
    </row>
    <row r="2246" spans="2:9" ht="15.75" x14ac:dyDescent="0.25">
      <c r="B2246" s="411" t="s">
        <v>97</v>
      </c>
      <c r="C2246" s="412">
        <v>2033</v>
      </c>
      <c r="D2246" s="412" t="s">
        <v>2500</v>
      </c>
      <c r="E2246" s="413">
        <v>345.87588103823396</v>
      </c>
      <c r="F2246" s="17"/>
      <c r="G2246" s="17"/>
      <c r="H2246" s="17"/>
      <c r="I2246" s="17"/>
    </row>
    <row r="2247" spans="2:9" ht="15.75" x14ac:dyDescent="0.25">
      <c r="B2247" s="411" t="s">
        <v>97</v>
      </c>
      <c r="C2247" s="412">
        <v>2034</v>
      </c>
      <c r="D2247" s="412" t="s">
        <v>2501</v>
      </c>
      <c r="E2247" s="413">
        <v>340.52896515737223</v>
      </c>
      <c r="F2247" s="17"/>
      <c r="G2247" s="17"/>
      <c r="H2247" s="17"/>
      <c r="I2247" s="17"/>
    </row>
    <row r="2248" spans="2:9" ht="15.75" x14ac:dyDescent="0.25">
      <c r="B2248" s="411" t="s">
        <v>97</v>
      </c>
      <c r="C2248" s="412">
        <v>2035</v>
      </c>
      <c r="D2248" s="412" t="s">
        <v>2502</v>
      </c>
      <c r="E2248" s="413">
        <v>335.82891481358308</v>
      </c>
      <c r="F2248" s="17"/>
      <c r="G2248" s="17"/>
      <c r="H2248" s="17"/>
      <c r="I2248" s="17"/>
    </row>
    <row r="2249" spans="2:9" ht="15.75" x14ac:dyDescent="0.25">
      <c r="B2249" s="411" t="s">
        <v>97</v>
      </c>
      <c r="C2249" s="412">
        <v>2036</v>
      </c>
      <c r="D2249" s="412" t="s">
        <v>2503</v>
      </c>
      <c r="E2249" s="413">
        <v>331.73740955987205</v>
      </c>
      <c r="F2249" s="17"/>
      <c r="G2249" s="17"/>
      <c r="H2249" s="17"/>
      <c r="I2249" s="17"/>
    </row>
    <row r="2250" spans="2:9" ht="15.75" x14ac:dyDescent="0.25">
      <c r="B2250" s="411" t="s">
        <v>97</v>
      </c>
      <c r="C2250" s="412">
        <v>2037</v>
      </c>
      <c r="D2250" s="412" t="s">
        <v>2504</v>
      </c>
      <c r="E2250" s="413">
        <v>328.1974944907958</v>
      </c>
      <c r="F2250" s="17"/>
      <c r="G2250" s="17"/>
      <c r="H2250" s="17"/>
      <c r="I2250" s="17"/>
    </row>
    <row r="2251" spans="2:9" ht="15.75" x14ac:dyDescent="0.25">
      <c r="B2251" s="411" t="s">
        <v>97</v>
      </c>
      <c r="C2251" s="412">
        <v>2038</v>
      </c>
      <c r="D2251" s="412" t="s">
        <v>2505</v>
      </c>
      <c r="E2251" s="413">
        <v>325.16888718535779</v>
      </c>
      <c r="F2251" s="17"/>
      <c r="G2251" s="17"/>
      <c r="H2251" s="17"/>
      <c r="I2251" s="17"/>
    </row>
    <row r="2252" spans="2:9" ht="15.75" x14ac:dyDescent="0.25">
      <c r="B2252" s="411" t="s">
        <v>97</v>
      </c>
      <c r="C2252" s="412">
        <v>2039</v>
      </c>
      <c r="D2252" s="412" t="s">
        <v>2506</v>
      </c>
      <c r="E2252" s="413">
        <v>322.56443863936045</v>
      </c>
      <c r="F2252" s="17"/>
      <c r="G2252" s="17"/>
      <c r="H2252" s="17"/>
      <c r="I2252" s="17"/>
    </row>
    <row r="2253" spans="2:9" ht="15.75" x14ac:dyDescent="0.25">
      <c r="B2253" s="411" t="s">
        <v>97</v>
      </c>
      <c r="C2253" s="412">
        <v>2040</v>
      </c>
      <c r="D2253" s="412" t="s">
        <v>2507</v>
      </c>
      <c r="E2253" s="413">
        <v>320.34670765714964</v>
      </c>
      <c r="F2253" s="17"/>
      <c r="G2253" s="17"/>
      <c r="H2253" s="17"/>
      <c r="I2253" s="17"/>
    </row>
    <row r="2254" spans="2:9" ht="15.75" x14ac:dyDescent="0.25">
      <c r="B2254" s="411" t="s">
        <v>97</v>
      </c>
      <c r="C2254" s="412">
        <v>2041</v>
      </c>
      <c r="D2254" s="412" t="s">
        <v>2508</v>
      </c>
      <c r="E2254" s="413">
        <v>318.49773054146772</v>
      </c>
      <c r="F2254" s="17"/>
      <c r="G2254" s="17"/>
      <c r="H2254" s="17"/>
      <c r="I2254" s="17"/>
    </row>
    <row r="2255" spans="2:9" ht="15.75" x14ac:dyDescent="0.25">
      <c r="B2255" s="411" t="s">
        <v>97</v>
      </c>
      <c r="C2255" s="412">
        <v>2042</v>
      </c>
      <c r="D2255" s="412" t="s">
        <v>2509</v>
      </c>
      <c r="E2255" s="413">
        <v>316.91830106164917</v>
      </c>
      <c r="F2255" s="17"/>
      <c r="G2255" s="17"/>
      <c r="H2255" s="17"/>
      <c r="I2255" s="17"/>
    </row>
    <row r="2256" spans="2:9" ht="15.75" x14ac:dyDescent="0.25">
      <c r="B2256" s="411" t="s">
        <v>97</v>
      </c>
      <c r="C2256" s="412">
        <v>2043</v>
      </c>
      <c r="D2256" s="412" t="s">
        <v>2510</v>
      </c>
      <c r="E2256" s="413">
        <v>315.5968859870942</v>
      </c>
      <c r="F2256" s="17"/>
      <c r="G2256" s="17"/>
      <c r="H2256" s="17"/>
      <c r="I2256" s="17"/>
    </row>
    <row r="2257" spans="2:9" ht="15.75" x14ac:dyDescent="0.25">
      <c r="B2257" s="411" t="s">
        <v>97</v>
      </c>
      <c r="C2257" s="412">
        <v>2044</v>
      </c>
      <c r="D2257" s="412" t="s">
        <v>2511</v>
      </c>
      <c r="E2257" s="413">
        <v>314.4676314099641</v>
      </c>
      <c r="F2257" s="17"/>
      <c r="G2257" s="17"/>
      <c r="H2257" s="17"/>
      <c r="I2257" s="17"/>
    </row>
    <row r="2258" spans="2:9" ht="15.75" x14ac:dyDescent="0.25">
      <c r="B2258" s="411" t="s">
        <v>97</v>
      </c>
      <c r="C2258" s="412">
        <v>2045</v>
      </c>
      <c r="D2258" s="412" t="s">
        <v>2512</v>
      </c>
      <c r="E2258" s="413">
        <v>313.48692577885612</v>
      </c>
      <c r="F2258" s="17"/>
      <c r="G2258" s="17"/>
      <c r="H2258" s="17"/>
      <c r="I2258" s="17"/>
    </row>
    <row r="2259" spans="2:9" ht="15.75" x14ac:dyDescent="0.25">
      <c r="B2259" s="411" t="s">
        <v>97</v>
      </c>
      <c r="C2259" s="412">
        <v>2046</v>
      </c>
      <c r="D2259" s="412" t="s">
        <v>2513</v>
      </c>
      <c r="E2259" s="413">
        <v>312.64817068189166</v>
      </c>
      <c r="F2259" s="17"/>
      <c r="G2259" s="17"/>
      <c r="H2259" s="17"/>
      <c r="I2259" s="17"/>
    </row>
    <row r="2260" spans="2:9" ht="15.75" x14ac:dyDescent="0.25">
      <c r="B2260" s="411" t="s">
        <v>97</v>
      </c>
      <c r="C2260" s="412">
        <v>2047</v>
      </c>
      <c r="D2260" s="412" t="s">
        <v>2514</v>
      </c>
      <c r="E2260" s="413">
        <v>311.94976872725886</v>
      </c>
      <c r="F2260" s="17"/>
      <c r="G2260" s="17"/>
      <c r="H2260" s="17"/>
      <c r="I2260" s="17"/>
    </row>
    <row r="2261" spans="2:9" ht="15.75" x14ac:dyDescent="0.25">
      <c r="B2261" s="411" t="s">
        <v>97</v>
      </c>
      <c r="C2261" s="412">
        <v>2048</v>
      </c>
      <c r="D2261" s="412" t="s">
        <v>2515</v>
      </c>
      <c r="E2261" s="413">
        <v>311.35312418531322</v>
      </c>
      <c r="F2261" s="17"/>
      <c r="G2261" s="17"/>
      <c r="H2261" s="17"/>
      <c r="I2261" s="17"/>
    </row>
    <row r="2262" spans="2:9" ht="15.75" x14ac:dyDescent="0.25">
      <c r="B2262" s="411" t="s">
        <v>97</v>
      </c>
      <c r="C2262" s="412">
        <v>2049</v>
      </c>
      <c r="D2262" s="412" t="s">
        <v>2516</v>
      </c>
      <c r="E2262" s="413">
        <v>310.8359468346116</v>
      </c>
      <c r="F2262" s="17"/>
      <c r="G2262" s="17"/>
      <c r="H2262" s="17"/>
      <c r="I2262" s="17"/>
    </row>
    <row r="2263" spans="2:9" ht="15.75" x14ac:dyDescent="0.25">
      <c r="B2263" s="411" t="s">
        <v>97</v>
      </c>
      <c r="C2263" s="412">
        <v>2050</v>
      </c>
      <c r="D2263" s="412" t="s">
        <v>2517</v>
      </c>
      <c r="E2263" s="413">
        <v>310.40384282581641</v>
      </c>
      <c r="F2263" s="17"/>
      <c r="G2263" s="17"/>
      <c r="H2263" s="17"/>
      <c r="I2263" s="17"/>
    </row>
    <row r="2264" spans="2:9" ht="15.75" x14ac:dyDescent="0.25">
      <c r="B2264" s="407" t="s">
        <v>303</v>
      </c>
      <c r="C2264" s="408">
        <v>2015</v>
      </c>
      <c r="D2264" s="409" t="s">
        <v>304</v>
      </c>
      <c r="E2264" s="410">
        <v>506.49191774603895</v>
      </c>
      <c r="F2264" s="17"/>
      <c r="G2264" s="17"/>
      <c r="H2264" s="17"/>
      <c r="I2264" s="17"/>
    </row>
    <row r="2265" spans="2:9" ht="15.75" x14ac:dyDescent="0.25">
      <c r="B2265" s="407" t="s">
        <v>303</v>
      </c>
      <c r="C2265" s="408">
        <v>2016</v>
      </c>
      <c r="D2265" s="409" t="s">
        <v>305</v>
      </c>
      <c r="E2265" s="410">
        <v>498.31664263424273</v>
      </c>
      <c r="F2265" s="17"/>
      <c r="G2265" s="17"/>
      <c r="H2265" s="17"/>
      <c r="I2265" s="17"/>
    </row>
    <row r="2266" spans="2:9" ht="15.75" x14ac:dyDescent="0.25">
      <c r="B2266" s="411" t="s">
        <v>303</v>
      </c>
      <c r="C2266" s="412">
        <v>2017</v>
      </c>
      <c r="D2266" s="412" t="s">
        <v>2518</v>
      </c>
      <c r="E2266" s="413">
        <v>486.73396430964169</v>
      </c>
      <c r="F2266" s="17"/>
      <c r="G2266" s="17"/>
      <c r="H2266" s="17"/>
      <c r="I2266" s="17"/>
    </row>
    <row r="2267" spans="2:9" ht="15.75" x14ac:dyDescent="0.25">
      <c r="B2267" s="411" t="s">
        <v>303</v>
      </c>
      <c r="C2267" s="412">
        <v>2018</v>
      </c>
      <c r="D2267" s="412" t="s">
        <v>2519</v>
      </c>
      <c r="E2267" s="413">
        <v>474.32738085766039</v>
      </c>
      <c r="F2267" s="17"/>
      <c r="G2267" s="17"/>
      <c r="H2267" s="17"/>
      <c r="I2267" s="17"/>
    </row>
    <row r="2268" spans="2:9" ht="15.75" x14ac:dyDescent="0.25">
      <c r="B2268" s="411" t="s">
        <v>303</v>
      </c>
      <c r="C2268" s="412">
        <v>2019</v>
      </c>
      <c r="D2268" s="412" t="s">
        <v>2520</v>
      </c>
      <c r="E2268" s="413">
        <v>461.45865324414137</v>
      </c>
      <c r="F2268" s="17"/>
      <c r="G2268" s="17"/>
      <c r="H2268" s="17"/>
      <c r="I2268" s="17"/>
    </row>
    <row r="2269" spans="2:9" ht="15.75" x14ac:dyDescent="0.25">
      <c r="B2269" s="411" t="s">
        <v>303</v>
      </c>
      <c r="C2269" s="412">
        <v>2020</v>
      </c>
      <c r="D2269" s="412" t="s">
        <v>2521</v>
      </c>
      <c r="E2269" s="413">
        <v>448.30794477635453</v>
      </c>
      <c r="F2269" s="17"/>
      <c r="G2269" s="17"/>
      <c r="H2269" s="17"/>
      <c r="I2269" s="17"/>
    </row>
    <row r="2270" spans="2:9" ht="15.75" x14ac:dyDescent="0.25">
      <c r="B2270" s="411" t="s">
        <v>303</v>
      </c>
      <c r="C2270" s="412">
        <v>2021</v>
      </c>
      <c r="D2270" s="412" t="s">
        <v>2522</v>
      </c>
      <c r="E2270" s="413">
        <v>434.96941895474782</v>
      </c>
      <c r="F2270" s="17"/>
      <c r="G2270" s="17"/>
      <c r="H2270" s="17"/>
      <c r="I2270" s="17"/>
    </row>
    <row r="2271" spans="2:9" ht="15.75" x14ac:dyDescent="0.25">
      <c r="B2271" s="411" t="s">
        <v>303</v>
      </c>
      <c r="C2271" s="412">
        <v>2022</v>
      </c>
      <c r="D2271" s="412" t="s">
        <v>2523</v>
      </c>
      <c r="E2271" s="413">
        <v>421.78472768118797</v>
      </c>
      <c r="F2271" s="17"/>
      <c r="G2271" s="17"/>
      <c r="H2271" s="17"/>
      <c r="I2271" s="17"/>
    </row>
    <row r="2272" spans="2:9" ht="15.75" x14ac:dyDescent="0.25">
      <c r="B2272" s="411" t="s">
        <v>303</v>
      </c>
      <c r="C2272" s="412">
        <v>2023</v>
      </c>
      <c r="D2272" s="412" t="s">
        <v>2524</v>
      </c>
      <c r="E2272" s="413">
        <v>408.65717441414643</v>
      </c>
      <c r="F2272" s="17"/>
      <c r="G2272" s="17"/>
      <c r="H2272" s="17"/>
      <c r="I2272" s="17"/>
    </row>
    <row r="2273" spans="2:9" ht="15.75" x14ac:dyDescent="0.25">
      <c r="B2273" s="411" t="s">
        <v>303</v>
      </c>
      <c r="C2273" s="412">
        <v>2024</v>
      </c>
      <c r="D2273" s="412" t="s">
        <v>2525</v>
      </c>
      <c r="E2273" s="413">
        <v>395.68583641054676</v>
      </c>
      <c r="F2273" s="17"/>
      <c r="G2273" s="17"/>
      <c r="H2273" s="17"/>
      <c r="I2273" s="17"/>
    </row>
    <row r="2274" spans="2:9" ht="15.75" x14ac:dyDescent="0.25">
      <c r="B2274" s="411" t="s">
        <v>303</v>
      </c>
      <c r="C2274" s="412">
        <v>2025</v>
      </c>
      <c r="D2274" s="412" t="s">
        <v>2526</v>
      </c>
      <c r="E2274" s="413">
        <v>382.86905487393284</v>
      </c>
      <c r="F2274" s="17"/>
      <c r="G2274" s="17"/>
      <c r="H2274" s="17"/>
      <c r="I2274" s="17"/>
    </row>
    <row r="2275" spans="2:9" ht="15.75" x14ac:dyDescent="0.25">
      <c r="B2275" s="411" t="s">
        <v>303</v>
      </c>
      <c r="C2275" s="412">
        <v>2026</v>
      </c>
      <c r="D2275" s="412" t="s">
        <v>2527</v>
      </c>
      <c r="E2275" s="413">
        <v>371.67551550374839</v>
      </c>
      <c r="F2275" s="17"/>
      <c r="G2275" s="17"/>
      <c r="H2275" s="17"/>
      <c r="I2275" s="17"/>
    </row>
    <row r="2276" spans="2:9" ht="15.75" x14ac:dyDescent="0.25">
      <c r="B2276" s="411" t="s">
        <v>303</v>
      </c>
      <c r="C2276" s="412">
        <v>2027</v>
      </c>
      <c r="D2276" s="412" t="s">
        <v>2528</v>
      </c>
      <c r="E2276" s="413">
        <v>360.98358739492346</v>
      </c>
      <c r="F2276" s="17"/>
      <c r="G2276" s="17"/>
      <c r="H2276" s="17"/>
      <c r="I2276" s="17"/>
    </row>
    <row r="2277" spans="2:9" ht="15.75" x14ac:dyDescent="0.25">
      <c r="B2277" s="411" t="s">
        <v>303</v>
      </c>
      <c r="C2277" s="412">
        <v>2028</v>
      </c>
      <c r="D2277" s="412" t="s">
        <v>2529</v>
      </c>
      <c r="E2277" s="413">
        <v>351.38144964573763</v>
      </c>
      <c r="F2277" s="17"/>
      <c r="G2277" s="17"/>
      <c r="H2277" s="17"/>
      <c r="I2277" s="17"/>
    </row>
    <row r="2278" spans="2:9" ht="15.75" x14ac:dyDescent="0.25">
      <c r="B2278" s="411" t="s">
        <v>303</v>
      </c>
      <c r="C2278" s="412">
        <v>2029</v>
      </c>
      <c r="D2278" s="412" t="s">
        <v>2530</v>
      </c>
      <c r="E2278" s="413">
        <v>342.79805854820393</v>
      </c>
      <c r="F2278" s="17"/>
      <c r="G2278" s="17"/>
      <c r="H2278" s="17"/>
      <c r="I2278" s="17"/>
    </row>
    <row r="2279" spans="2:9" ht="15.75" x14ac:dyDescent="0.25">
      <c r="B2279" s="411" t="s">
        <v>303</v>
      </c>
      <c r="C2279" s="412">
        <v>2030</v>
      </c>
      <c r="D2279" s="412" t="s">
        <v>2531</v>
      </c>
      <c r="E2279" s="413">
        <v>335.18388001751941</v>
      </c>
      <c r="F2279" s="17"/>
      <c r="G2279" s="17"/>
      <c r="H2279" s="17"/>
      <c r="I2279" s="17"/>
    </row>
    <row r="2280" spans="2:9" ht="15.75" x14ac:dyDescent="0.25">
      <c r="B2280" s="411" t="s">
        <v>303</v>
      </c>
      <c r="C2280" s="412">
        <v>2031</v>
      </c>
      <c r="D2280" s="412" t="s">
        <v>2532</v>
      </c>
      <c r="E2280" s="413">
        <v>328.46066692942611</v>
      </c>
      <c r="F2280" s="17"/>
      <c r="G2280" s="17"/>
      <c r="H2280" s="17"/>
      <c r="I2280" s="17"/>
    </row>
    <row r="2281" spans="2:9" ht="15.75" x14ac:dyDescent="0.25">
      <c r="B2281" s="411" t="s">
        <v>303</v>
      </c>
      <c r="C2281" s="412">
        <v>2032</v>
      </c>
      <c r="D2281" s="412" t="s">
        <v>2533</v>
      </c>
      <c r="E2281" s="413">
        <v>322.55018393996585</v>
      </c>
      <c r="F2281" s="17"/>
      <c r="G2281" s="17"/>
      <c r="H2281" s="17"/>
      <c r="I2281" s="17"/>
    </row>
    <row r="2282" spans="2:9" ht="15.75" x14ac:dyDescent="0.25">
      <c r="B2282" s="411" t="s">
        <v>303</v>
      </c>
      <c r="C2282" s="412">
        <v>2033</v>
      </c>
      <c r="D2282" s="412" t="s">
        <v>2534</v>
      </c>
      <c r="E2282" s="413">
        <v>317.38584138184763</v>
      </c>
      <c r="F2282" s="17"/>
      <c r="G2282" s="17"/>
      <c r="H2282" s="17"/>
      <c r="I2282" s="17"/>
    </row>
    <row r="2283" spans="2:9" ht="15.75" x14ac:dyDescent="0.25">
      <c r="B2283" s="411" t="s">
        <v>303</v>
      </c>
      <c r="C2283" s="412">
        <v>2034</v>
      </c>
      <c r="D2283" s="412" t="s">
        <v>2535</v>
      </c>
      <c r="E2283" s="413">
        <v>312.89796021112619</v>
      </c>
      <c r="F2283" s="17"/>
      <c r="G2283" s="17"/>
      <c r="H2283" s="17"/>
      <c r="I2283" s="17"/>
    </row>
    <row r="2284" spans="2:9" ht="15.75" x14ac:dyDescent="0.25">
      <c r="B2284" s="411" t="s">
        <v>303</v>
      </c>
      <c r="C2284" s="412">
        <v>2035</v>
      </c>
      <c r="D2284" s="412" t="s">
        <v>2536</v>
      </c>
      <c r="E2284" s="413">
        <v>309.02146844138377</v>
      </c>
      <c r="F2284" s="17"/>
      <c r="G2284" s="17"/>
      <c r="H2284" s="17"/>
      <c r="I2284" s="17"/>
    </row>
    <row r="2285" spans="2:9" ht="15.75" x14ac:dyDescent="0.25">
      <c r="B2285" s="411" t="s">
        <v>303</v>
      </c>
      <c r="C2285" s="412">
        <v>2036</v>
      </c>
      <c r="D2285" s="412" t="s">
        <v>2537</v>
      </c>
      <c r="E2285" s="413">
        <v>305.69943008022187</v>
      </c>
      <c r="F2285" s="17"/>
      <c r="G2285" s="17"/>
      <c r="H2285" s="17"/>
      <c r="I2285" s="17"/>
    </row>
    <row r="2286" spans="2:9" ht="15.75" x14ac:dyDescent="0.25">
      <c r="B2286" s="411" t="s">
        <v>303</v>
      </c>
      <c r="C2286" s="412">
        <v>2037</v>
      </c>
      <c r="D2286" s="412" t="s">
        <v>2538</v>
      </c>
      <c r="E2286" s="413">
        <v>302.88024828203282</v>
      </c>
      <c r="F2286" s="17"/>
      <c r="G2286" s="17"/>
      <c r="H2286" s="17"/>
      <c r="I2286" s="17"/>
    </row>
    <row r="2287" spans="2:9" ht="15.75" x14ac:dyDescent="0.25">
      <c r="B2287" s="411" t="s">
        <v>303</v>
      </c>
      <c r="C2287" s="412">
        <v>2038</v>
      </c>
      <c r="D2287" s="412" t="s">
        <v>2539</v>
      </c>
      <c r="E2287" s="413">
        <v>300.50797313456519</v>
      </c>
      <c r="F2287" s="17"/>
      <c r="G2287" s="17"/>
      <c r="H2287" s="17"/>
      <c r="I2287" s="17"/>
    </row>
    <row r="2288" spans="2:9" ht="15.75" x14ac:dyDescent="0.25">
      <c r="B2288" s="411" t="s">
        <v>303</v>
      </c>
      <c r="C2288" s="412">
        <v>2039</v>
      </c>
      <c r="D2288" s="412" t="s">
        <v>2540</v>
      </c>
      <c r="E2288" s="413">
        <v>298.52667809465822</v>
      </c>
      <c r="F2288" s="17"/>
      <c r="G2288" s="17"/>
      <c r="H2288" s="17"/>
      <c r="I2288" s="17"/>
    </row>
    <row r="2289" spans="2:9" ht="15.75" x14ac:dyDescent="0.25">
      <c r="B2289" s="411" t="s">
        <v>303</v>
      </c>
      <c r="C2289" s="412">
        <v>2040</v>
      </c>
      <c r="D2289" s="412" t="s">
        <v>2541</v>
      </c>
      <c r="E2289" s="413">
        <v>296.8795092879493</v>
      </c>
      <c r="F2289" s="17"/>
      <c r="G2289" s="17"/>
      <c r="H2289" s="17"/>
      <c r="I2289" s="17"/>
    </row>
    <row r="2290" spans="2:9" ht="15.75" x14ac:dyDescent="0.25">
      <c r="B2290" s="411" t="s">
        <v>303</v>
      </c>
      <c r="C2290" s="412">
        <v>2041</v>
      </c>
      <c r="D2290" s="412" t="s">
        <v>2542</v>
      </c>
      <c r="E2290" s="413">
        <v>295.53376755403315</v>
      </c>
      <c r="F2290" s="17"/>
      <c r="G2290" s="17"/>
      <c r="H2290" s="17"/>
      <c r="I2290" s="17"/>
    </row>
    <row r="2291" spans="2:9" ht="15.75" x14ac:dyDescent="0.25">
      <c r="B2291" s="411" t="s">
        <v>303</v>
      </c>
      <c r="C2291" s="412">
        <v>2042</v>
      </c>
      <c r="D2291" s="412" t="s">
        <v>2543</v>
      </c>
      <c r="E2291" s="413">
        <v>294.43005483341716</v>
      </c>
      <c r="F2291" s="17"/>
      <c r="G2291" s="17"/>
      <c r="H2291" s="17"/>
      <c r="I2291" s="17"/>
    </row>
    <row r="2292" spans="2:9" ht="15.75" x14ac:dyDescent="0.25">
      <c r="B2292" s="411" t="s">
        <v>303</v>
      </c>
      <c r="C2292" s="412">
        <v>2043</v>
      </c>
      <c r="D2292" s="412" t="s">
        <v>2544</v>
      </c>
      <c r="E2292" s="413">
        <v>293.53486001732074</v>
      </c>
      <c r="F2292" s="17"/>
      <c r="G2292" s="17"/>
      <c r="H2292" s="17"/>
      <c r="I2292" s="17"/>
    </row>
    <row r="2293" spans="2:9" ht="15.75" x14ac:dyDescent="0.25">
      <c r="B2293" s="411" t="s">
        <v>303</v>
      </c>
      <c r="C2293" s="412">
        <v>2044</v>
      </c>
      <c r="D2293" s="412" t="s">
        <v>2545</v>
      </c>
      <c r="E2293" s="413">
        <v>292.80468816341494</v>
      </c>
      <c r="F2293" s="17"/>
      <c r="G2293" s="17"/>
      <c r="H2293" s="17"/>
      <c r="I2293" s="17"/>
    </row>
    <row r="2294" spans="2:9" ht="15.75" x14ac:dyDescent="0.25">
      <c r="B2294" s="411" t="s">
        <v>303</v>
      </c>
      <c r="C2294" s="412">
        <v>2045</v>
      </c>
      <c r="D2294" s="412" t="s">
        <v>2546</v>
      </c>
      <c r="E2294" s="413">
        <v>292.20359549783308</v>
      </c>
      <c r="F2294" s="17"/>
      <c r="G2294" s="17"/>
      <c r="H2294" s="17"/>
      <c r="I2294" s="17"/>
    </row>
    <row r="2295" spans="2:9" ht="15.75" x14ac:dyDescent="0.25">
      <c r="B2295" s="411" t="s">
        <v>303</v>
      </c>
      <c r="C2295" s="412">
        <v>2046</v>
      </c>
      <c r="D2295" s="412" t="s">
        <v>2547</v>
      </c>
      <c r="E2295" s="413">
        <v>291.70772192823915</v>
      </c>
      <c r="F2295" s="17"/>
      <c r="G2295" s="17"/>
      <c r="H2295" s="17"/>
      <c r="I2295" s="17"/>
    </row>
    <row r="2296" spans="2:9" ht="15.75" x14ac:dyDescent="0.25">
      <c r="B2296" s="411" t="s">
        <v>303</v>
      </c>
      <c r="C2296" s="412">
        <v>2047</v>
      </c>
      <c r="D2296" s="412" t="s">
        <v>2548</v>
      </c>
      <c r="E2296" s="413">
        <v>291.3056648176169</v>
      </c>
      <c r="F2296" s="17"/>
      <c r="G2296" s="17"/>
      <c r="H2296" s="17"/>
      <c r="I2296" s="17"/>
    </row>
    <row r="2297" spans="2:9" ht="15.75" x14ac:dyDescent="0.25">
      <c r="B2297" s="411" t="s">
        <v>303</v>
      </c>
      <c r="C2297" s="412">
        <v>2048</v>
      </c>
      <c r="D2297" s="412" t="s">
        <v>2549</v>
      </c>
      <c r="E2297" s="413">
        <v>290.97573461318746</v>
      </c>
      <c r="F2297" s="17"/>
      <c r="G2297" s="17"/>
      <c r="H2297" s="17"/>
      <c r="I2297" s="17"/>
    </row>
    <row r="2298" spans="2:9" ht="15.75" x14ac:dyDescent="0.25">
      <c r="B2298" s="411" t="s">
        <v>303</v>
      </c>
      <c r="C2298" s="412">
        <v>2049</v>
      </c>
      <c r="D2298" s="412" t="s">
        <v>2550</v>
      </c>
      <c r="E2298" s="413">
        <v>290.70577882943348</v>
      </c>
      <c r="F2298" s="17"/>
      <c r="G2298" s="17"/>
      <c r="H2298" s="17"/>
      <c r="I2298" s="17"/>
    </row>
    <row r="2299" spans="2:9" ht="15.75" x14ac:dyDescent="0.25">
      <c r="B2299" s="411" t="s">
        <v>303</v>
      </c>
      <c r="C2299" s="412">
        <v>2050</v>
      </c>
      <c r="D2299" s="412" t="s">
        <v>2551</v>
      </c>
      <c r="E2299" s="413">
        <v>290.49093148136933</v>
      </c>
      <c r="F2299" s="17"/>
      <c r="G2299" s="17"/>
      <c r="H2299" s="17"/>
      <c r="I2299" s="17"/>
    </row>
    <row r="2300" spans="2:9" ht="15.75" x14ac:dyDescent="0.25">
      <c r="B2300" s="407" t="s">
        <v>306</v>
      </c>
      <c r="C2300" s="408">
        <v>2015</v>
      </c>
      <c r="D2300" s="409" t="s">
        <v>307</v>
      </c>
      <c r="E2300" s="410">
        <v>512.35291602576422</v>
      </c>
      <c r="F2300" s="17"/>
      <c r="G2300" s="17"/>
      <c r="H2300" s="17"/>
      <c r="I2300" s="17"/>
    </row>
    <row r="2301" spans="2:9" ht="15.75" x14ac:dyDescent="0.25">
      <c r="B2301" s="407" t="s">
        <v>306</v>
      </c>
      <c r="C2301" s="408">
        <v>2016</v>
      </c>
      <c r="D2301" s="409" t="s">
        <v>308</v>
      </c>
      <c r="E2301" s="410">
        <v>502.04699269318883</v>
      </c>
      <c r="F2301" s="17"/>
      <c r="G2301" s="17"/>
      <c r="H2301" s="17"/>
      <c r="I2301" s="17"/>
    </row>
    <row r="2302" spans="2:9" ht="15.75" x14ac:dyDescent="0.25">
      <c r="B2302" s="411" t="s">
        <v>306</v>
      </c>
      <c r="C2302" s="412">
        <v>2017</v>
      </c>
      <c r="D2302" s="412" t="s">
        <v>2552</v>
      </c>
      <c r="E2302" s="413">
        <v>489.60861076884765</v>
      </c>
      <c r="F2302" s="17"/>
      <c r="G2302" s="17"/>
      <c r="H2302" s="17"/>
      <c r="I2302" s="17"/>
    </row>
    <row r="2303" spans="2:9" ht="15.75" x14ac:dyDescent="0.25">
      <c r="B2303" s="411" t="s">
        <v>306</v>
      </c>
      <c r="C2303" s="412">
        <v>2018</v>
      </c>
      <c r="D2303" s="412" t="s">
        <v>2553</v>
      </c>
      <c r="E2303" s="413">
        <v>476.51620161125953</v>
      </c>
      <c r="F2303" s="17"/>
      <c r="G2303" s="17"/>
      <c r="H2303" s="17"/>
      <c r="I2303" s="17"/>
    </row>
    <row r="2304" spans="2:9" ht="15.75" x14ac:dyDescent="0.25">
      <c r="B2304" s="411" t="s">
        <v>306</v>
      </c>
      <c r="C2304" s="412">
        <v>2019</v>
      </c>
      <c r="D2304" s="412" t="s">
        <v>2554</v>
      </c>
      <c r="E2304" s="413">
        <v>463.02516183166568</v>
      </c>
      <c r="F2304" s="17"/>
      <c r="G2304" s="17"/>
      <c r="H2304" s="17"/>
      <c r="I2304" s="17"/>
    </row>
    <row r="2305" spans="2:9" ht="15.75" x14ac:dyDescent="0.25">
      <c r="B2305" s="411" t="s">
        <v>306</v>
      </c>
      <c r="C2305" s="412">
        <v>2020</v>
      </c>
      <c r="D2305" s="412" t="s">
        <v>2555</v>
      </c>
      <c r="E2305" s="413">
        <v>449.2978422402864</v>
      </c>
      <c r="F2305" s="17"/>
      <c r="G2305" s="17"/>
      <c r="H2305" s="17"/>
      <c r="I2305" s="17"/>
    </row>
    <row r="2306" spans="2:9" ht="15.75" x14ac:dyDescent="0.25">
      <c r="B2306" s="411" t="s">
        <v>306</v>
      </c>
      <c r="C2306" s="412">
        <v>2021</v>
      </c>
      <c r="D2306" s="412" t="s">
        <v>2556</v>
      </c>
      <c r="E2306" s="413">
        <v>435.46582068437414</v>
      </c>
      <c r="F2306" s="17"/>
      <c r="G2306" s="17"/>
      <c r="H2306" s="17"/>
      <c r="I2306" s="17"/>
    </row>
    <row r="2307" spans="2:9" ht="15.75" x14ac:dyDescent="0.25">
      <c r="B2307" s="411" t="s">
        <v>306</v>
      </c>
      <c r="C2307" s="412">
        <v>2022</v>
      </c>
      <c r="D2307" s="412" t="s">
        <v>2557</v>
      </c>
      <c r="E2307" s="413">
        <v>421.81926603276872</v>
      </c>
      <c r="F2307" s="17"/>
      <c r="G2307" s="17"/>
      <c r="H2307" s="17"/>
      <c r="I2307" s="17"/>
    </row>
    <row r="2308" spans="2:9" ht="15.75" x14ac:dyDescent="0.25">
      <c r="B2308" s="411" t="s">
        <v>306</v>
      </c>
      <c r="C2308" s="412">
        <v>2023</v>
      </c>
      <c r="D2308" s="412" t="s">
        <v>2558</v>
      </c>
      <c r="E2308" s="413">
        <v>408.37430235913229</v>
      </c>
      <c r="F2308" s="17"/>
      <c r="G2308" s="17"/>
      <c r="H2308" s="17"/>
      <c r="I2308" s="17"/>
    </row>
    <row r="2309" spans="2:9" ht="15.75" x14ac:dyDescent="0.25">
      <c r="B2309" s="411" t="s">
        <v>306</v>
      </c>
      <c r="C2309" s="412">
        <v>2024</v>
      </c>
      <c r="D2309" s="412" t="s">
        <v>2559</v>
      </c>
      <c r="E2309" s="413">
        <v>395.17367441288815</v>
      </c>
      <c r="F2309" s="17"/>
      <c r="G2309" s="17"/>
      <c r="H2309" s="17"/>
      <c r="I2309" s="17"/>
    </row>
    <row r="2310" spans="2:9" ht="15.75" x14ac:dyDescent="0.25">
      <c r="B2310" s="411" t="s">
        <v>306</v>
      </c>
      <c r="C2310" s="412">
        <v>2025</v>
      </c>
      <c r="D2310" s="412" t="s">
        <v>2560</v>
      </c>
      <c r="E2310" s="413">
        <v>382.26135000407697</v>
      </c>
      <c r="F2310" s="17"/>
      <c r="G2310" s="17"/>
      <c r="H2310" s="17"/>
      <c r="I2310" s="17"/>
    </row>
    <row r="2311" spans="2:9" ht="15.75" x14ac:dyDescent="0.25">
      <c r="B2311" s="411" t="s">
        <v>306</v>
      </c>
      <c r="C2311" s="412">
        <v>2026</v>
      </c>
      <c r="D2311" s="412" t="s">
        <v>2561</v>
      </c>
      <c r="E2311" s="413">
        <v>370.3774651959323</v>
      </c>
      <c r="F2311" s="17"/>
      <c r="G2311" s="17"/>
      <c r="H2311" s="17"/>
      <c r="I2311" s="17"/>
    </row>
    <row r="2312" spans="2:9" ht="15.75" x14ac:dyDescent="0.25">
      <c r="B2312" s="411" t="s">
        <v>306</v>
      </c>
      <c r="C2312" s="412">
        <v>2027</v>
      </c>
      <c r="D2312" s="412" t="s">
        <v>2562</v>
      </c>
      <c r="E2312" s="413">
        <v>359.59827827279332</v>
      </c>
      <c r="F2312" s="17"/>
      <c r="G2312" s="17"/>
      <c r="H2312" s="17"/>
      <c r="I2312" s="17"/>
    </row>
    <row r="2313" spans="2:9" ht="15.75" x14ac:dyDescent="0.25">
      <c r="B2313" s="411" t="s">
        <v>306</v>
      </c>
      <c r="C2313" s="412">
        <v>2028</v>
      </c>
      <c r="D2313" s="412" t="s">
        <v>2563</v>
      </c>
      <c r="E2313" s="413">
        <v>349.87134266634507</v>
      </c>
      <c r="F2313" s="17"/>
      <c r="G2313" s="17"/>
      <c r="H2313" s="17"/>
      <c r="I2313" s="17"/>
    </row>
    <row r="2314" spans="2:9" ht="15.75" x14ac:dyDescent="0.25">
      <c r="B2314" s="411" t="s">
        <v>306</v>
      </c>
      <c r="C2314" s="412">
        <v>2029</v>
      </c>
      <c r="D2314" s="412" t="s">
        <v>2564</v>
      </c>
      <c r="E2314" s="413">
        <v>341.12528637638616</v>
      </c>
      <c r="F2314" s="17"/>
      <c r="G2314" s="17"/>
      <c r="H2314" s="17"/>
      <c r="I2314" s="17"/>
    </row>
    <row r="2315" spans="2:9" ht="15.75" x14ac:dyDescent="0.25">
      <c r="B2315" s="411" t="s">
        <v>306</v>
      </c>
      <c r="C2315" s="412">
        <v>2030</v>
      </c>
      <c r="D2315" s="412" t="s">
        <v>2565</v>
      </c>
      <c r="E2315" s="413">
        <v>333.30095511541572</v>
      </c>
      <c r="F2315" s="17"/>
      <c r="G2315" s="17"/>
      <c r="H2315" s="17"/>
      <c r="I2315" s="17"/>
    </row>
    <row r="2316" spans="2:9" ht="15.75" x14ac:dyDescent="0.25">
      <c r="B2316" s="411" t="s">
        <v>306</v>
      </c>
      <c r="C2316" s="412">
        <v>2031</v>
      </c>
      <c r="D2316" s="412" t="s">
        <v>2566</v>
      </c>
      <c r="E2316" s="413">
        <v>326.32317438297002</v>
      </c>
      <c r="F2316" s="17"/>
      <c r="G2316" s="17"/>
      <c r="H2316" s="17"/>
      <c r="I2316" s="17"/>
    </row>
    <row r="2317" spans="2:9" ht="15.75" x14ac:dyDescent="0.25">
      <c r="B2317" s="411" t="s">
        <v>306</v>
      </c>
      <c r="C2317" s="412">
        <v>2032</v>
      </c>
      <c r="D2317" s="412" t="s">
        <v>2567</v>
      </c>
      <c r="E2317" s="413">
        <v>320.15447757407861</v>
      </c>
      <c r="F2317" s="17"/>
      <c r="G2317" s="17"/>
      <c r="H2317" s="17"/>
      <c r="I2317" s="17"/>
    </row>
    <row r="2318" spans="2:9" ht="15.75" x14ac:dyDescent="0.25">
      <c r="B2318" s="411" t="s">
        <v>306</v>
      </c>
      <c r="C2318" s="412">
        <v>2033</v>
      </c>
      <c r="D2318" s="412" t="s">
        <v>2568</v>
      </c>
      <c r="E2318" s="413">
        <v>314.71155483654178</v>
      </c>
      <c r="F2318" s="17"/>
      <c r="G2318" s="17"/>
      <c r="H2318" s="17"/>
      <c r="I2318" s="17"/>
    </row>
    <row r="2319" spans="2:9" ht="15.75" x14ac:dyDescent="0.25">
      <c r="B2319" s="411" t="s">
        <v>306</v>
      </c>
      <c r="C2319" s="412">
        <v>2034</v>
      </c>
      <c r="D2319" s="412" t="s">
        <v>2569</v>
      </c>
      <c r="E2319" s="413">
        <v>309.93525109220252</v>
      </c>
      <c r="F2319" s="17"/>
      <c r="G2319" s="17"/>
      <c r="H2319" s="17"/>
      <c r="I2319" s="17"/>
    </row>
    <row r="2320" spans="2:9" ht="15.75" x14ac:dyDescent="0.25">
      <c r="B2320" s="411" t="s">
        <v>306</v>
      </c>
      <c r="C2320" s="412">
        <v>2035</v>
      </c>
      <c r="D2320" s="412" t="s">
        <v>2570</v>
      </c>
      <c r="E2320" s="413">
        <v>305.7741161743071</v>
      </c>
      <c r="F2320" s="17"/>
      <c r="G2320" s="17"/>
      <c r="H2320" s="17"/>
      <c r="I2320" s="17"/>
    </row>
    <row r="2321" spans="2:9" ht="15.75" x14ac:dyDescent="0.25">
      <c r="B2321" s="411" t="s">
        <v>306</v>
      </c>
      <c r="C2321" s="412">
        <v>2036</v>
      </c>
      <c r="D2321" s="412" t="s">
        <v>2571</v>
      </c>
      <c r="E2321" s="413">
        <v>302.17926120647076</v>
      </c>
      <c r="F2321" s="17"/>
      <c r="G2321" s="17"/>
      <c r="H2321" s="17"/>
      <c r="I2321" s="17"/>
    </row>
    <row r="2322" spans="2:9" ht="15.75" x14ac:dyDescent="0.25">
      <c r="B2322" s="411" t="s">
        <v>306</v>
      </c>
      <c r="C2322" s="412">
        <v>2037</v>
      </c>
      <c r="D2322" s="412" t="s">
        <v>2572</v>
      </c>
      <c r="E2322" s="413">
        <v>299.11288977736012</v>
      </c>
      <c r="F2322" s="17"/>
      <c r="G2322" s="17"/>
      <c r="H2322" s="17"/>
      <c r="I2322" s="17"/>
    </row>
    <row r="2323" spans="2:9" ht="15.75" x14ac:dyDescent="0.25">
      <c r="B2323" s="411" t="s">
        <v>306</v>
      </c>
      <c r="C2323" s="412">
        <v>2038</v>
      </c>
      <c r="D2323" s="412" t="s">
        <v>2573</v>
      </c>
      <c r="E2323" s="413">
        <v>296.51715048501734</v>
      </c>
      <c r="F2323" s="17"/>
      <c r="G2323" s="17"/>
      <c r="H2323" s="17"/>
      <c r="I2323" s="17"/>
    </row>
    <row r="2324" spans="2:9" ht="15.75" x14ac:dyDescent="0.25">
      <c r="B2324" s="411" t="s">
        <v>306</v>
      </c>
      <c r="C2324" s="412">
        <v>2039</v>
      </c>
      <c r="D2324" s="412" t="s">
        <v>2574</v>
      </c>
      <c r="E2324" s="413">
        <v>294.32712079201974</v>
      </c>
      <c r="F2324" s="17"/>
      <c r="G2324" s="17"/>
      <c r="H2324" s="17"/>
      <c r="I2324" s="17"/>
    </row>
    <row r="2325" spans="2:9" ht="15.75" x14ac:dyDescent="0.25">
      <c r="B2325" s="411" t="s">
        <v>306</v>
      </c>
      <c r="C2325" s="412">
        <v>2040</v>
      </c>
      <c r="D2325" s="412" t="s">
        <v>2575</v>
      </c>
      <c r="E2325" s="413">
        <v>292.4912132873809</v>
      </c>
      <c r="F2325" s="17"/>
      <c r="G2325" s="17"/>
      <c r="H2325" s="17"/>
      <c r="I2325" s="17"/>
    </row>
    <row r="2326" spans="2:9" ht="15.75" x14ac:dyDescent="0.25">
      <c r="B2326" s="411" t="s">
        <v>306</v>
      </c>
      <c r="C2326" s="412">
        <v>2041</v>
      </c>
      <c r="D2326" s="412" t="s">
        <v>2576</v>
      </c>
      <c r="E2326" s="413">
        <v>290.98348035684586</v>
      </c>
      <c r="F2326" s="17"/>
      <c r="G2326" s="17"/>
      <c r="H2326" s="17"/>
      <c r="I2326" s="17"/>
    </row>
    <row r="2327" spans="2:9" ht="15.75" x14ac:dyDescent="0.25">
      <c r="B2327" s="411" t="s">
        <v>306</v>
      </c>
      <c r="C2327" s="412">
        <v>2042</v>
      </c>
      <c r="D2327" s="412" t="s">
        <v>2577</v>
      </c>
      <c r="E2327" s="413">
        <v>289.73195785982068</v>
      </c>
      <c r="F2327" s="17"/>
      <c r="G2327" s="17"/>
      <c r="H2327" s="17"/>
      <c r="I2327" s="17"/>
    </row>
    <row r="2328" spans="2:9" ht="15.75" x14ac:dyDescent="0.25">
      <c r="B2328" s="411" t="s">
        <v>306</v>
      </c>
      <c r="C2328" s="412">
        <v>2043</v>
      </c>
      <c r="D2328" s="412" t="s">
        <v>2578</v>
      </c>
      <c r="E2328" s="413">
        <v>288.70574884551036</v>
      </c>
      <c r="F2328" s="17"/>
      <c r="G2328" s="17"/>
      <c r="H2328" s="17"/>
      <c r="I2328" s="17"/>
    </row>
    <row r="2329" spans="2:9" ht="15.75" x14ac:dyDescent="0.25">
      <c r="B2329" s="411" t="s">
        <v>306</v>
      </c>
      <c r="C2329" s="412">
        <v>2044</v>
      </c>
      <c r="D2329" s="412" t="s">
        <v>2579</v>
      </c>
      <c r="E2329" s="413">
        <v>287.86051514233259</v>
      </c>
      <c r="F2329" s="17"/>
      <c r="G2329" s="17"/>
      <c r="H2329" s="17"/>
      <c r="I2329" s="17"/>
    </row>
    <row r="2330" spans="2:9" ht="15.75" x14ac:dyDescent="0.25">
      <c r="B2330" s="411" t="s">
        <v>306</v>
      </c>
      <c r="C2330" s="412">
        <v>2045</v>
      </c>
      <c r="D2330" s="412" t="s">
        <v>2580</v>
      </c>
      <c r="E2330" s="413">
        <v>287.15070895481978</v>
      </c>
      <c r="F2330" s="17"/>
      <c r="G2330" s="17"/>
      <c r="H2330" s="17"/>
      <c r="I2330" s="17"/>
    </row>
    <row r="2331" spans="2:9" ht="15.75" x14ac:dyDescent="0.25">
      <c r="B2331" s="411" t="s">
        <v>306</v>
      </c>
      <c r="C2331" s="412">
        <v>2046</v>
      </c>
      <c r="D2331" s="412" t="s">
        <v>2581</v>
      </c>
      <c r="E2331" s="413">
        <v>286.55963692769052</v>
      </c>
      <c r="F2331" s="17"/>
      <c r="G2331" s="17"/>
      <c r="H2331" s="17"/>
      <c r="I2331" s="17"/>
    </row>
    <row r="2332" spans="2:9" ht="15.75" x14ac:dyDescent="0.25">
      <c r="B2332" s="411" t="s">
        <v>306</v>
      </c>
      <c r="C2332" s="412">
        <v>2047</v>
      </c>
      <c r="D2332" s="412" t="s">
        <v>2582</v>
      </c>
      <c r="E2332" s="413">
        <v>286.07857330817887</v>
      </c>
      <c r="F2332" s="17"/>
      <c r="G2332" s="17"/>
      <c r="H2332" s="17"/>
      <c r="I2332" s="17"/>
    </row>
    <row r="2333" spans="2:9" ht="15.75" x14ac:dyDescent="0.25">
      <c r="B2333" s="411" t="s">
        <v>306</v>
      </c>
      <c r="C2333" s="412">
        <v>2048</v>
      </c>
      <c r="D2333" s="412" t="s">
        <v>2583</v>
      </c>
      <c r="E2333" s="413">
        <v>285.68578739542636</v>
      </c>
      <c r="F2333" s="17"/>
      <c r="G2333" s="17"/>
      <c r="H2333" s="17"/>
      <c r="I2333" s="17"/>
    </row>
    <row r="2334" spans="2:9" ht="15.75" x14ac:dyDescent="0.25">
      <c r="B2334" s="411" t="s">
        <v>306</v>
      </c>
      <c r="C2334" s="412">
        <v>2049</v>
      </c>
      <c r="D2334" s="412" t="s">
        <v>2584</v>
      </c>
      <c r="E2334" s="413">
        <v>285.36173917174796</v>
      </c>
      <c r="F2334" s="17"/>
      <c r="G2334" s="17"/>
      <c r="H2334" s="17"/>
      <c r="I2334" s="17"/>
    </row>
    <row r="2335" spans="2:9" ht="15.75" x14ac:dyDescent="0.25">
      <c r="B2335" s="411" t="s">
        <v>306</v>
      </c>
      <c r="C2335" s="412">
        <v>2050</v>
      </c>
      <c r="D2335" s="412" t="s">
        <v>2585</v>
      </c>
      <c r="E2335" s="413">
        <v>285.10080602752123</v>
      </c>
      <c r="F2335" s="17"/>
      <c r="G2335" s="17"/>
      <c r="H2335" s="17"/>
      <c r="I2335" s="17"/>
    </row>
    <row r="2336" spans="2:9" ht="15.75" x14ac:dyDescent="0.25">
      <c r="B2336" s="414" t="s">
        <v>309</v>
      </c>
      <c r="C2336" s="415">
        <v>2015</v>
      </c>
      <c r="D2336" s="415" t="s">
        <v>2586</v>
      </c>
      <c r="E2336" s="410">
        <v>495.78784981511166</v>
      </c>
      <c r="F2336" s="17"/>
      <c r="G2336" s="17"/>
      <c r="H2336" s="17"/>
      <c r="I2336" s="17"/>
    </row>
    <row r="2337" spans="2:9" ht="15.75" x14ac:dyDescent="0.25">
      <c r="B2337" s="414" t="s">
        <v>309</v>
      </c>
      <c r="C2337" s="415">
        <v>2016</v>
      </c>
      <c r="D2337" s="415" t="s">
        <v>2587</v>
      </c>
      <c r="E2337" s="410">
        <v>486.26262987912884</v>
      </c>
      <c r="F2337" s="17"/>
      <c r="G2337" s="17"/>
      <c r="H2337" s="17"/>
      <c r="I2337" s="17"/>
    </row>
    <row r="2338" spans="2:9" ht="15.75" x14ac:dyDescent="0.25">
      <c r="B2338" s="416" t="s">
        <v>309</v>
      </c>
      <c r="C2338" s="417">
        <v>2017</v>
      </c>
      <c r="D2338" s="417" t="s">
        <v>2588</v>
      </c>
      <c r="E2338" s="413">
        <v>474.67234848196733</v>
      </c>
      <c r="F2338" s="17"/>
      <c r="G2338" s="17"/>
      <c r="H2338" s="17"/>
      <c r="I2338" s="17"/>
    </row>
    <row r="2339" spans="2:9" ht="15.75" x14ac:dyDescent="0.25">
      <c r="B2339" s="416" t="s">
        <v>309</v>
      </c>
      <c r="C2339" s="417">
        <v>2018</v>
      </c>
      <c r="D2339" s="417" t="s">
        <v>2589</v>
      </c>
      <c r="E2339" s="413">
        <v>462.60947947378895</v>
      </c>
      <c r="F2339" s="17"/>
      <c r="G2339" s="17"/>
      <c r="H2339" s="17"/>
      <c r="I2339" s="17"/>
    </row>
    <row r="2340" spans="2:9" ht="15.75" x14ac:dyDescent="0.25">
      <c r="B2340" s="416" t="s">
        <v>309</v>
      </c>
      <c r="C2340" s="417">
        <v>2019</v>
      </c>
      <c r="D2340" s="417" t="s">
        <v>2590</v>
      </c>
      <c r="E2340" s="413">
        <v>450.52203983488675</v>
      </c>
      <c r="F2340" s="17"/>
      <c r="G2340" s="17"/>
      <c r="H2340" s="17"/>
      <c r="I2340" s="17"/>
    </row>
    <row r="2341" spans="2:9" ht="15.75" x14ac:dyDescent="0.25">
      <c r="B2341" s="416" t="s">
        <v>309</v>
      </c>
      <c r="C2341" s="417">
        <v>2020</v>
      </c>
      <c r="D2341" s="417" t="s">
        <v>2591</v>
      </c>
      <c r="E2341" s="413">
        <v>437.76294672031457</v>
      </c>
      <c r="F2341" s="17"/>
      <c r="G2341" s="17"/>
      <c r="H2341" s="17"/>
      <c r="I2341" s="17"/>
    </row>
    <row r="2342" spans="2:9" ht="15.75" x14ac:dyDescent="0.25">
      <c r="B2342" s="416" t="s">
        <v>309</v>
      </c>
      <c r="C2342" s="417">
        <v>2021</v>
      </c>
      <c r="D2342" s="417" t="s">
        <v>2592</v>
      </c>
      <c r="E2342" s="413">
        <v>425.62452458076552</v>
      </c>
      <c r="F2342" s="17"/>
      <c r="G2342" s="17"/>
      <c r="H2342" s="17"/>
      <c r="I2342" s="17"/>
    </row>
    <row r="2343" spans="2:9" ht="15.75" x14ac:dyDescent="0.25">
      <c r="B2343" s="416" t="s">
        <v>309</v>
      </c>
      <c r="C2343" s="417">
        <v>2022</v>
      </c>
      <c r="D2343" s="417" t="s">
        <v>2593</v>
      </c>
      <c r="E2343" s="413">
        <v>412.82266880245561</v>
      </c>
      <c r="F2343" s="17"/>
      <c r="G2343" s="17"/>
      <c r="H2343" s="17"/>
      <c r="I2343" s="17"/>
    </row>
    <row r="2344" spans="2:9" ht="15.75" x14ac:dyDescent="0.25">
      <c r="B2344" s="416" t="s">
        <v>309</v>
      </c>
      <c r="C2344" s="417">
        <v>2023</v>
      </c>
      <c r="D2344" s="417" t="s">
        <v>2594</v>
      </c>
      <c r="E2344" s="413">
        <v>400.10164924589668</v>
      </c>
      <c r="F2344" s="17"/>
      <c r="G2344" s="17"/>
      <c r="H2344" s="17"/>
      <c r="I2344" s="17"/>
    </row>
    <row r="2345" spans="2:9" ht="15.75" x14ac:dyDescent="0.25">
      <c r="B2345" s="416" t="s">
        <v>309</v>
      </c>
      <c r="C2345" s="417">
        <v>2024</v>
      </c>
      <c r="D2345" s="417" t="s">
        <v>2595</v>
      </c>
      <c r="E2345" s="413">
        <v>388.00055317271369</v>
      </c>
      <c r="F2345" s="17"/>
      <c r="G2345" s="17"/>
      <c r="H2345" s="17"/>
      <c r="I2345" s="17"/>
    </row>
    <row r="2346" spans="2:9" ht="15.75" x14ac:dyDescent="0.25">
      <c r="B2346" s="416" t="s">
        <v>309</v>
      </c>
      <c r="C2346" s="417">
        <v>2025</v>
      </c>
      <c r="D2346" s="417" t="s">
        <v>2596</v>
      </c>
      <c r="E2346" s="413">
        <v>375.5577340756119</v>
      </c>
      <c r="F2346" s="17"/>
      <c r="G2346" s="17"/>
      <c r="H2346" s="17"/>
      <c r="I2346" s="17"/>
    </row>
    <row r="2347" spans="2:9" ht="15.75" x14ac:dyDescent="0.25">
      <c r="B2347" s="416" t="s">
        <v>309</v>
      </c>
      <c r="C2347" s="417">
        <v>2026</v>
      </c>
      <c r="D2347" s="417" t="s">
        <v>2597</v>
      </c>
      <c r="E2347" s="413">
        <v>364.01960983898044</v>
      </c>
      <c r="F2347" s="17"/>
      <c r="G2347" s="17"/>
      <c r="H2347" s="17"/>
      <c r="I2347" s="17"/>
    </row>
    <row r="2348" spans="2:9" ht="15.75" x14ac:dyDescent="0.25">
      <c r="B2348" s="416" t="s">
        <v>309</v>
      </c>
      <c r="C2348" s="417">
        <v>2027</v>
      </c>
      <c r="D2348" s="417" t="s">
        <v>2598</v>
      </c>
      <c r="E2348" s="413">
        <v>353.6453220362439</v>
      </c>
      <c r="F2348" s="17"/>
      <c r="G2348" s="17"/>
      <c r="H2348" s="17"/>
      <c r="I2348" s="17"/>
    </row>
    <row r="2349" spans="2:9" ht="15.75" x14ac:dyDescent="0.25">
      <c r="B2349" s="416" t="s">
        <v>309</v>
      </c>
      <c r="C2349" s="417">
        <v>2028</v>
      </c>
      <c r="D2349" s="417" t="s">
        <v>2599</v>
      </c>
      <c r="E2349" s="413">
        <v>344.290046070926</v>
      </c>
      <c r="F2349" s="17"/>
      <c r="G2349" s="17"/>
      <c r="H2349" s="17"/>
      <c r="I2349" s="17"/>
    </row>
    <row r="2350" spans="2:9" ht="15.75" x14ac:dyDescent="0.25">
      <c r="B2350" s="416" t="s">
        <v>309</v>
      </c>
      <c r="C2350" s="417">
        <v>2029</v>
      </c>
      <c r="D2350" s="417" t="s">
        <v>2600</v>
      </c>
      <c r="E2350" s="413">
        <v>335.86452176349928</v>
      </c>
      <c r="F2350" s="17"/>
      <c r="G2350" s="17"/>
      <c r="H2350" s="17"/>
      <c r="I2350" s="17"/>
    </row>
    <row r="2351" spans="2:9" ht="15.75" x14ac:dyDescent="0.25">
      <c r="B2351" s="416" t="s">
        <v>309</v>
      </c>
      <c r="C2351" s="417">
        <v>2030</v>
      </c>
      <c r="D2351" s="417" t="s">
        <v>2601</v>
      </c>
      <c r="E2351" s="413">
        <v>328.32982935768678</v>
      </c>
      <c r="F2351" s="17"/>
      <c r="G2351" s="17"/>
      <c r="H2351" s="17"/>
      <c r="I2351" s="17"/>
    </row>
    <row r="2352" spans="2:9" ht="15.75" x14ac:dyDescent="0.25">
      <c r="B2352" s="416" t="s">
        <v>309</v>
      </c>
      <c r="C2352" s="417">
        <v>2031</v>
      </c>
      <c r="D2352" s="417" t="s">
        <v>2602</v>
      </c>
      <c r="E2352" s="413">
        <v>322.05999388651782</v>
      </c>
      <c r="F2352" s="17"/>
      <c r="G2352" s="17"/>
      <c r="H2352" s="17"/>
      <c r="I2352" s="17"/>
    </row>
    <row r="2353" spans="2:9" ht="15.75" x14ac:dyDescent="0.25">
      <c r="B2353" s="416" t="s">
        <v>309</v>
      </c>
      <c r="C2353" s="417">
        <v>2032</v>
      </c>
      <c r="D2353" s="417" t="s">
        <v>2603</v>
      </c>
      <c r="E2353" s="413">
        <v>316.1076516987203</v>
      </c>
      <c r="F2353" s="17"/>
      <c r="G2353" s="17"/>
      <c r="H2353" s="17"/>
      <c r="I2353" s="17"/>
    </row>
    <row r="2354" spans="2:9" ht="15.75" x14ac:dyDescent="0.25">
      <c r="B2354" s="416" t="s">
        <v>309</v>
      </c>
      <c r="C2354" s="417">
        <v>2033</v>
      </c>
      <c r="D2354" s="417" t="s">
        <v>2604</v>
      </c>
      <c r="E2354" s="413">
        <v>310.86668984221524</v>
      </c>
      <c r="F2354" s="17"/>
      <c r="G2354" s="17"/>
      <c r="H2354" s="17"/>
      <c r="I2354" s="17"/>
    </row>
    <row r="2355" spans="2:9" ht="15.75" x14ac:dyDescent="0.25">
      <c r="B2355" s="416" t="s">
        <v>309</v>
      </c>
      <c r="C2355" s="417">
        <v>2034</v>
      </c>
      <c r="D2355" s="417" t="s">
        <v>2605</v>
      </c>
      <c r="E2355" s="413">
        <v>306.26464773982389</v>
      </c>
      <c r="F2355" s="17"/>
      <c r="G2355" s="17"/>
      <c r="H2355" s="17"/>
      <c r="I2355" s="17"/>
    </row>
    <row r="2356" spans="2:9" ht="15.75" x14ac:dyDescent="0.25">
      <c r="B2356" s="416" t="s">
        <v>309</v>
      </c>
      <c r="C2356" s="417">
        <v>2035</v>
      </c>
      <c r="D2356" s="417" t="s">
        <v>2606</v>
      </c>
      <c r="E2356" s="413">
        <v>302.26016259090017</v>
      </c>
      <c r="F2356" s="17"/>
      <c r="G2356" s="17"/>
      <c r="H2356" s="17"/>
      <c r="I2356" s="17"/>
    </row>
    <row r="2357" spans="2:9" ht="15.75" x14ac:dyDescent="0.25">
      <c r="B2357" s="416" t="s">
        <v>309</v>
      </c>
      <c r="C2357" s="417">
        <v>2036</v>
      </c>
      <c r="D2357" s="417" t="s">
        <v>2607</v>
      </c>
      <c r="E2357" s="413">
        <v>298.79543090421208</v>
      </c>
      <c r="F2357" s="17"/>
      <c r="G2357" s="17"/>
      <c r="H2357" s="17"/>
      <c r="I2357" s="17"/>
    </row>
    <row r="2358" spans="2:9" ht="15.75" x14ac:dyDescent="0.25">
      <c r="B2358" s="416" t="s">
        <v>309</v>
      </c>
      <c r="C2358" s="417">
        <v>2037</v>
      </c>
      <c r="D2358" s="417" t="s">
        <v>2608</v>
      </c>
      <c r="E2358" s="413">
        <v>295.83288655381767</v>
      </c>
      <c r="F2358" s="17"/>
      <c r="G2358" s="17"/>
      <c r="H2358" s="17"/>
      <c r="I2358" s="17"/>
    </row>
    <row r="2359" spans="2:9" ht="15.75" x14ac:dyDescent="0.25">
      <c r="B2359" s="416" t="s">
        <v>309</v>
      </c>
      <c r="C2359" s="417">
        <v>2038</v>
      </c>
      <c r="D2359" s="417" t="s">
        <v>2609</v>
      </c>
      <c r="E2359" s="413">
        <v>293.31120007524743</v>
      </c>
      <c r="F2359" s="17"/>
      <c r="G2359" s="17"/>
      <c r="H2359" s="17"/>
      <c r="I2359" s="17"/>
    </row>
    <row r="2360" spans="2:9" ht="15.75" x14ac:dyDescent="0.25">
      <c r="B2360" s="416" t="s">
        <v>309</v>
      </c>
      <c r="C2360" s="417">
        <v>2039</v>
      </c>
      <c r="D2360" s="417" t="s">
        <v>2610</v>
      </c>
      <c r="E2360" s="413">
        <v>291.17062527909098</v>
      </c>
      <c r="F2360" s="17"/>
      <c r="G2360" s="17"/>
      <c r="H2360" s="17"/>
      <c r="I2360" s="17"/>
    </row>
    <row r="2361" spans="2:9" ht="15.75" x14ac:dyDescent="0.25">
      <c r="B2361" s="416" t="s">
        <v>309</v>
      </c>
      <c r="C2361" s="417">
        <v>2040</v>
      </c>
      <c r="D2361" s="417" t="s">
        <v>2611</v>
      </c>
      <c r="E2361" s="413">
        <v>289.36950631413475</v>
      </c>
      <c r="F2361" s="17"/>
      <c r="G2361" s="17"/>
      <c r="H2361" s="17"/>
      <c r="I2361" s="17"/>
    </row>
    <row r="2362" spans="2:9" ht="15.75" x14ac:dyDescent="0.25">
      <c r="B2362" s="416" t="s">
        <v>309</v>
      </c>
      <c r="C2362" s="417">
        <v>2041</v>
      </c>
      <c r="D2362" s="417" t="s">
        <v>2612</v>
      </c>
      <c r="E2362" s="413">
        <v>287.87615418625495</v>
      </c>
      <c r="F2362" s="17"/>
      <c r="G2362" s="17"/>
      <c r="H2362" s="17"/>
      <c r="I2362" s="17"/>
    </row>
    <row r="2363" spans="2:9" ht="15.75" x14ac:dyDescent="0.25">
      <c r="B2363" s="416" t="s">
        <v>309</v>
      </c>
      <c r="C2363" s="417">
        <v>2042</v>
      </c>
      <c r="D2363" s="417" t="s">
        <v>2613</v>
      </c>
      <c r="E2363" s="413">
        <v>286.62586982823797</v>
      </c>
      <c r="F2363" s="17"/>
      <c r="G2363" s="17"/>
      <c r="H2363" s="17"/>
      <c r="I2363" s="17"/>
    </row>
    <row r="2364" spans="2:9" ht="15.75" x14ac:dyDescent="0.25">
      <c r="B2364" s="416" t="s">
        <v>309</v>
      </c>
      <c r="C2364" s="417">
        <v>2043</v>
      </c>
      <c r="D2364" s="417" t="s">
        <v>2614</v>
      </c>
      <c r="E2364" s="413">
        <v>285.59127559470994</v>
      </c>
      <c r="F2364" s="17"/>
      <c r="G2364" s="17"/>
      <c r="H2364" s="17"/>
      <c r="I2364" s="17"/>
    </row>
    <row r="2365" spans="2:9" ht="15.75" x14ac:dyDescent="0.25">
      <c r="B2365" s="416" t="s">
        <v>309</v>
      </c>
      <c r="C2365" s="417">
        <v>2044</v>
      </c>
      <c r="D2365" s="417" t="s">
        <v>2615</v>
      </c>
      <c r="E2365" s="413">
        <v>284.72702050248029</v>
      </c>
      <c r="F2365" s="17"/>
      <c r="G2365" s="17"/>
      <c r="H2365" s="17"/>
      <c r="I2365" s="17"/>
    </row>
    <row r="2366" spans="2:9" ht="15.75" x14ac:dyDescent="0.25">
      <c r="B2366" s="416" t="s">
        <v>309</v>
      </c>
      <c r="C2366" s="417">
        <v>2045</v>
      </c>
      <c r="D2366" s="417" t="s">
        <v>2616</v>
      </c>
      <c r="E2366" s="413">
        <v>283.99072596977692</v>
      </c>
      <c r="F2366" s="17"/>
      <c r="G2366" s="17"/>
      <c r="H2366" s="17"/>
      <c r="I2366" s="17"/>
    </row>
    <row r="2367" spans="2:9" ht="15.75" x14ac:dyDescent="0.25">
      <c r="B2367" s="416" t="s">
        <v>309</v>
      </c>
      <c r="C2367" s="417">
        <v>2046</v>
      </c>
      <c r="D2367" s="417" t="s">
        <v>2617</v>
      </c>
      <c r="E2367" s="413">
        <v>283.37282106755799</v>
      </c>
      <c r="F2367" s="17"/>
      <c r="G2367" s="17"/>
      <c r="H2367" s="17"/>
      <c r="I2367" s="17"/>
    </row>
    <row r="2368" spans="2:9" ht="15.75" x14ac:dyDescent="0.25">
      <c r="B2368" s="416" t="s">
        <v>309</v>
      </c>
      <c r="C2368" s="417">
        <v>2047</v>
      </c>
      <c r="D2368" s="417" t="s">
        <v>2618</v>
      </c>
      <c r="E2368" s="413">
        <v>282.8513441111557</v>
      </c>
      <c r="F2368" s="17"/>
      <c r="G2368" s="17"/>
      <c r="H2368" s="17"/>
      <c r="I2368" s="17"/>
    </row>
    <row r="2369" spans="2:9" ht="15.75" x14ac:dyDescent="0.25">
      <c r="B2369" s="416" t="s">
        <v>309</v>
      </c>
      <c r="C2369" s="417">
        <v>2048</v>
      </c>
      <c r="D2369" s="417" t="s">
        <v>2619</v>
      </c>
      <c r="E2369" s="413">
        <v>282.40764307550484</v>
      </c>
      <c r="F2369" s="17"/>
      <c r="G2369" s="17"/>
      <c r="H2369" s="17"/>
      <c r="I2369" s="17"/>
    </row>
    <row r="2370" spans="2:9" ht="15.75" x14ac:dyDescent="0.25">
      <c r="B2370" s="416" t="s">
        <v>309</v>
      </c>
      <c r="C2370" s="417">
        <v>2049</v>
      </c>
      <c r="D2370" s="417" t="s">
        <v>2620</v>
      </c>
      <c r="E2370" s="413">
        <v>282.03855055496797</v>
      </c>
      <c r="F2370" s="17"/>
      <c r="G2370" s="17"/>
      <c r="H2370" s="17"/>
      <c r="I2370" s="17"/>
    </row>
    <row r="2371" spans="2:9" ht="15.75" x14ac:dyDescent="0.25">
      <c r="B2371" s="416" t="s">
        <v>309</v>
      </c>
      <c r="C2371" s="417">
        <v>2050</v>
      </c>
      <c r="D2371" s="417" t="s">
        <v>2621</v>
      </c>
      <c r="E2371" s="413">
        <v>281.74571413537723</v>
      </c>
      <c r="F2371" s="17"/>
      <c r="G2371" s="17"/>
      <c r="H2371" s="17"/>
      <c r="I2371" s="17"/>
    </row>
    <row r="2372" spans="2:9" ht="15.75" x14ac:dyDescent="0.25">
      <c r="B2372" s="414" t="s">
        <v>310</v>
      </c>
      <c r="C2372" s="415">
        <v>2015</v>
      </c>
      <c r="D2372" s="415" t="s">
        <v>2622</v>
      </c>
      <c r="E2372" s="410">
        <v>506.43998880094853</v>
      </c>
      <c r="F2372" s="17"/>
      <c r="G2372" s="17"/>
      <c r="H2372" s="17"/>
      <c r="I2372" s="17"/>
    </row>
    <row r="2373" spans="2:9" ht="15.75" x14ac:dyDescent="0.25">
      <c r="B2373" s="414" t="s">
        <v>310</v>
      </c>
      <c r="C2373" s="415">
        <v>2016</v>
      </c>
      <c r="D2373" s="415" t="s">
        <v>2623</v>
      </c>
      <c r="E2373" s="410">
        <v>495.75692947282062</v>
      </c>
      <c r="F2373" s="17"/>
      <c r="G2373" s="17"/>
      <c r="H2373" s="17"/>
      <c r="I2373" s="17"/>
    </row>
    <row r="2374" spans="2:9" ht="15.75" x14ac:dyDescent="0.25">
      <c r="B2374" s="416" t="s">
        <v>310</v>
      </c>
      <c r="C2374" s="417">
        <v>2017</v>
      </c>
      <c r="D2374" s="417" t="s">
        <v>2624</v>
      </c>
      <c r="E2374" s="413">
        <v>484.45249697462469</v>
      </c>
      <c r="F2374" s="17"/>
      <c r="G2374" s="17"/>
      <c r="H2374" s="17"/>
      <c r="I2374" s="17"/>
    </row>
    <row r="2375" spans="2:9" ht="15.75" x14ac:dyDescent="0.25">
      <c r="B2375" s="416" t="s">
        <v>310</v>
      </c>
      <c r="C2375" s="417">
        <v>2018</v>
      </c>
      <c r="D2375" s="417" t="s">
        <v>2625</v>
      </c>
      <c r="E2375" s="413">
        <v>472.54646790433821</v>
      </c>
      <c r="F2375" s="17"/>
      <c r="G2375" s="17"/>
      <c r="H2375" s="17"/>
      <c r="I2375" s="17"/>
    </row>
    <row r="2376" spans="2:9" ht="15.75" x14ac:dyDescent="0.25">
      <c r="B2376" s="416" t="s">
        <v>310</v>
      </c>
      <c r="C2376" s="417">
        <v>2019</v>
      </c>
      <c r="D2376" s="417" t="s">
        <v>2626</v>
      </c>
      <c r="E2376" s="413">
        <v>459.77005503598775</v>
      </c>
      <c r="F2376" s="17"/>
      <c r="G2376" s="17"/>
      <c r="H2376" s="17"/>
      <c r="I2376" s="17"/>
    </row>
    <row r="2377" spans="2:9" ht="15.75" x14ac:dyDescent="0.25">
      <c r="B2377" s="416" t="s">
        <v>310</v>
      </c>
      <c r="C2377" s="417">
        <v>2020</v>
      </c>
      <c r="D2377" s="417" t="s">
        <v>2627</v>
      </c>
      <c r="E2377" s="413">
        <v>447.17887573595732</v>
      </c>
      <c r="F2377" s="17"/>
      <c r="G2377" s="17"/>
      <c r="H2377" s="17"/>
      <c r="I2377" s="17"/>
    </row>
    <row r="2378" spans="2:9" ht="15.75" x14ac:dyDescent="0.25">
      <c r="B2378" s="416" t="s">
        <v>310</v>
      </c>
      <c r="C2378" s="417">
        <v>2021</v>
      </c>
      <c r="D2378" s="417" t="s">
        <v>2628</v>
      </c>
      <c r="E2378" s="413">
        <v>434.98201931131433</v>
      </c>
      <c r="F2378" s="17"/>
      <c r="G2378" s="17"/>
      <c r="H2378" s="17"/>
      <c r="I2378" s="17"/>
    </row>
    <row r="2379" spans="2:9" ht="15.75" x14ac:dyDescent="0.25">
      <c r="B2379" s="416" t="s">
        <v>310</v>
      </c>
      <c r="C2379" s="417">
        <v>2022</v>
      </c>
      <c r="D2379" s="417" t="s">
        <v>2629</v>
      </c>
      <c r="E2379" s="413">
        <v>422.36167724699521</v>
      </c>
      <c r="F2379" s="17"/>
      <c r="G2379" s="17"/>
      <c r="H2379" s="17"/>
      <c r="I2379" s="17"/>
    </row>
    <row r="2380" spans="2:9" ht="15.75" x14ac:dyDescent="0.25">
      <c r="B2380" s="416" t="s">
        <v>310</v>
      </c>
      <c r="C2380" s="417">
        <v>2023</v>
      </c>
      <c r="D2380" s="417" t="s">
        <v>2630</v>
      </c>
      <c r="E2380" s="413">
        <v>409.81478514376056</v>
      </c>
      <c r="F2380" s="17"/>
      <c r="G2380" s="17"/>
      <c r="H2380" s="17"/>
      <c r="I2380" s="17"/>
    </row>
    <row r="2381" spans="2:9" ht="15.75" x14ac:dyDescent="0.25">
      <c r="B2381" s="416" t="s">
        <v>310</v>
      </c>
      <c r="C2381" s="417">
        <v>2024</v>
      </c>
      <c r="D2381" s="417" t="s">
        <v>2631</v>
      </c>
      <c r="E2381" s="413">
        <v>398.91893002987172</v>
      </c>
      <c r="F2381" s="17"/>
      <c r="G2381" s="17"/>
      <c r="H2381" s="17"/>
      <c r="I2381" s="17"/>
    </row>
    <row r="2382" spans="2:9" ht="15.75" x14ac:dyDescent="0.25">
      <c r="B2382" s="416" t="s">
        <v>310</v>
      </c>
      <c r="C2382" s="417">
        <v>2025</v>
      </c>
      <c r="D2382" s="417" t="s">
        <v>2632</v>
      </c>
      <c r="E2382" s="413">
        <v>386.55583706867094</v>
      </c>
      <c r="F2382" s="17"/>
      <c r="G2382" s="17"/>
      <c r="H2382" s="17"/>
      <c r="I2382" s="17"/>
    </row>
    <row r="2383" spans="2:9" ht="15.75" x14ac:dyDescent="0.25">
      <c r="B2383" s="416" t="s">
        <v>310</v>
      </c>
      <c r="C2383" s="417">
        <v>2026</v>
      </c>
      <c r="D2383" s="417" t="s">
        <v>2633</v>
      </c>
      <c r="E2383" s="413">
        <v>375.55825613896201</v>
      </c>
      <c r="F2383" s="17"/>
      <c r="G2383" s="17"/>
      <c r="H2383" s="17"/>
      <c r="I2383" s="17"/>
    </row>
    <row r="2384" spans="2:9" ht="15.75" x14ac:dyDescent="0.25">
      <c r="B2384" s="416" t="s">
        <v>310</v>
      </c>
      <c r="C2384" s="417">
        <v>2027</v>
      </c>
      <c r="D2384" s="417" t="s">
        <v>2634</v>
      </c>
      <c r="E2384" s="413">
        <v>365.70241594586156</v>
      </c>
      <c r="F2384" s="17"/>
      <c r="G2384" s="17"/>
      <c r="H2384" s="17"/>
      <c r="I2384" s="17"/>
    </row>
    <row r="2385" spans="2:9" ht="15.75" x14ac:dyDescent="0.25">
      <c r="B2385" s="416" t="s">
        <v>310</v>
      </c>
      <c r="C2385" s="417">
        <v>2028</v>
      </c>
      <c r="D2385" s="417" t="s">
        <v>2635</v>
      </c>
      <c r="E2385" s="413">
        <v>356.93581844186673</v>
      </c>
      <c r="F2385" s="17"/>
      <c r="G2385" s="17"/>
      <c r="H2385" s="17"/>
      <c r="I2385" s="17"/>
    </row>
    <row r="2386" spans="2:9" ht="15.75" x14ac:dyDescent="0.25">
      <c r="B2386" s="416" t="s">
        <v>310</v>
      </c>
      <c r="C2386" s="417">
        <v>2029</v>
      </c>
      <c r="D2386" s="417" t="s">
        <v>2636</v>
      </c>
      <c r="E2386" s="413">
        <v>349.11269756600382</v>
      </c>
      <c r="F2386" s="17"/>
      <c r="G2386" s="17"/>
      <c r="H2386" s="17"/>
      <c r="I2386" s="17"/>
    </row>
    <row r="2387" spans="2:9" ht="15.75" x14ac:dyDescent="0.25">
      <c r="B2387" s="416" t="s">
        <v>310</v>
      </c>
      <c r="C2387" s="417">
        <v>2030</v>
      </c>
      <c r="D2387" s="417" t="s">
        <v>2637</v>
      </c>
      <c r="E2387" s="413">
        <v>342.15655303988376</v>
      </c>
      <c r="F2387" s="17"/>
      <c r="G2387" s="17"/>
      <c r="H2387" s="17"/>
      <c r="I2387" s="17"/>
    </row>
    <row r="2388" spans="2:9" ht="15.75" x14ac:dyDescent="0.25">
      <c r="B2388" s="416" t="s">
        <v>310</v>
      </c>
      <c r="C2388" s="417">
        <v>2031</v>
      </c>
      <c r="D2388" s="417" t="s">
        <v>2638</v>
      </c>
      <c r="E2388" s="413">
        <v>336.14963336705875</v>
      </c>
      <c r="F2388" s="17"/>
      <c r="G2388" s="17"/>
      <c r="H2388" s="17"/>
      <c r="I2388" s="17"/>
    </row>
    <row r="2389" spans="2:9" ht="15.75" x14ac:dyDescent="0.25">
      <c r="B2389" s="416" t="s">
        <v>310</v>
      </c>
      <c r="C2389" s="417">
        <v>2032</v>
      </c>
      <c r="D2389" s="417" t="s">
        <v>2639</v>
      </c>
      <c r="E2389" s="413">
        <v>330.6959102255633</v>
      </c>
      <c r="F2389" s="17"/>
      <c r="G2389" s="17"/>
      <c r="H2389" s="17"/>
      <c r="I2389" s="17"/>
    </row>
    <row r="2390" spans="2:9" ht="15.75" x14ac:dyDescent="0.25">
      <c r="B2390" s="416" t="s">
        <v>310</v>
      </c>
      <c r="C2390" s="417">
        <v>2033</v>
      </c>
      <c r="D2390" s="417" t="s">
        <v>2640</v>
      </c>
      <c r="E2390" s="413">
        <v>325.89549071703311</v>
      </c>
      <c r="F2390" s="17"/>
      <c r="G2390" s="17"/>
      <c r="H2390" s="17"/>
      <c r="I2390" s="17"/>
    </row>
    <row r="2391" spans="2:9" ht="15.75" x14ac:dyDescent="0.25">
      <c r="B2391" s="416" t="s">
        <v>310</v>
      </c>
      <c r="C2391" s="417">
        <v>2034</v>
      </c>
      <c r="D2391" s="417" t="s">
        <v>2641</v>
      </c>
      <c r="E2391" s="413">
        <v>321.68214129728756</v>
      </c>
      <c r="F2391" s="17"/>
      <c r="G2391" s="17"/>
      <c r="H2391" s="17"/>
      <c r="I2391" s="17"/>
    </row>
    <row r="2392" spans="2:9" ht="15.75" x14ac:dyDescent="0.25">
      <c r="B2392" s="416" t="s">
        <v>310</v>
      </c>
      <c r="C2392" s="417">
        <v>2035</v>
      </c>
      <c r="D2392" s="417" t="s">
        <v>2642</v>
      </c>
      <c r="E2392" s="413">
        <v>318.0216984496181</v>
      </c>
      <c r="F2392" s="17"/>
      <c r="G2392" s="17"/>
      <c r="H2392" s="17"/>
      <c r="I2392" s="17"/>
    </row>
    <row r="2393" spans="2:9" ht="15.75" x14ac:dyDescent="0.25">
      <c r="B2393" s="416" t="s">
        <v>310</v>
      </c>
      <c r="C2393" s="417">
        <v>2036</v>
      </c>
      <c r="D2393" s="417" t="s">
        <v>2643</v>
      </c>
      <c r="E2393" s="413">
        <v>314.85255733992614</v>
      </c>
      <c r="F2393" s="17"/>
      <c r="G2393" s="17"/>
      <c r="H2393" s="17"/>
      <c r="I2393" s="17"/>
    </row>
    <row r="2394" spans="2:9" ht="15.75" x14ac:dyDescent="0.25">
      <c r="B2394" s="416" t="s">
        <v>310</v>
      </c>
      <c r="C2394" s="417">
        <v>2037</v>
      </c>
      <c r="D2394" s="417" t="s">
        <v>2644</v>
      </c>
      <c r="E2394" s="413">
        <v>312.14200963173522</v>
      </c>
      <c r="F2394" s="17"/>
      <c r="G2394" s="17"/>
      <c r="H2394" s="17"/>
      <c r="I2394" s="17"/>
    </row>
    <row r="2395" spans="2:9" ht="15.75" x14ac:dyDescent="0.25">
      <c r="B2395" s="416" t="s">
        <v>310</v>
      </c>
      <c r="C2395" s="417">
        <v>2038</v>
      </c>
      <c r="D2395" s="417" t="s">
        <v>2645</v>
      </c>
      <c r="E2395" s="413">
        <v>309.83816847818838</v>
      </c>
      <c r="F2395" s="17"/>
      <c r="G2395" s="17"/>
      <c r="H2395" s="17"/>
      <c r="I2395" s="17"/>
    </row>
    <row r="2396" spans="2:9" ht="15.75" x14ac:dyDescent="0.25">
      <c r="B2396" s="416" t="s">
        <v>310</v>
      </c>
      <c r="C2396" s="417">
        <v>2039</v>
      </c>
      <c r="D2396" s="417" t="s">
        <v>2646</v>
      </c>
      <c r="E2396" s="413">
        <v>307.88714041498395</v>
      </c>
      <c r="F2396" s="17"/>
      <c r="G2396" s="17"/>
      <c r="H2396" s="17"/>
      <c r="I2396" s="17"/>
    </row>
    <row r="2397" spans="2:9" ht="15.75" x14ac:dyDescent="0.25">
      <c r="B2397" s="416" t="s">
        <v>310</v>
      </c>
      <c r="C2397" s="417">
        <v>2040</v>
      </c>
      <c r="D2397" s="417" t="s">
        <v>2647</v>
      </c>
      <c r="E2397" s="413">
        <v>306.24455530156473</v>
      </c>
      <c r="F2397" s="17"/>
      <c r="G2397" s="17"/>
      <c r="H2397" s="17"/>
      <c r="I2397" s="17"/>
    </row>
    <row r="2398" spans="2:9" ht="15.75" x14ac:dyDescent="0.25">
      <c r="B2398" s="416" t="s">
        <v>310</v>
      </c>
      <c r="C2398" s="417">
        <v>2041</v>
      </c>
      <c r="D2398" s="417" t="s">
        <v>2648</v>
      </c>
      <c r="E2398" s="413">
        <v>304.8884373835059</v>
      </c>
      <c r="F2398" s="17"/>
      <c r="G2398" s="17"/>
      <c r="H2398" s="17"/>
      <c r="I2398" s="17"/>
    </row>
    <row r="2399" spans="2:9" ht="15.75" x14ac:dyDescent="0.25">
      <c r="B2399" s="416" t="s">
        <v>310</v>
      </c>
      <c r="C2399" s="417">
        <v>2042</v>
      </c>
      <c r="D2399" s="417" t="s">
        <v>2649</v>
      </c>
      <c r="E2399" s="413">
        <v>303.74947609091765</v>
      </c>
      <c r="F2399" s="17"/>
      <c r="G2399" s="17"/>
      <c r="H2399" s="17"/>
      <c r="I2399" s="17"/>
    </row>
    <row r="2400" spans="2:9" ht="15.75" x14ac:dyDescent="0.25">
      <c r="B2400" s="416" t="s">
        <v>310</v>
      </c>
      <c r="C2400" s="417">
        <v>2043</v>
      </c>
      <c r="D2400" s="417" t="s">
        <v>2650</v>
      </c>
      <c r="E2400" s="413">
        <v>302.8095922220412</v>
      </c>
      <c r="F2400" s="17"/>
      <c r="G2400" s="17"/>
      <c r="H2400" s="17"/>
      <c r="I2400" s="17"/>
    </row>
    <row r="2401" spans="2:9" ht="15.75" x14ac:dyDescent="0.25">
      <c r="B2401" s="416" t="s">
        <v>310</v>
      </c>
      <c r="C2401" s="417">
        <v>2044</v>
      </c>
      <c r="D2401" s="417" t="s">
        <v>2651</v>
      </c>
      <c r="E2401" s="413">
        <v>302.02160183243763</v>
      </c>
      <c r="F2401" s="17"/>
      <c r="G2401" s="17"/>
      <c r="H2401" s="17"/>
      <c r="I2401" s="17"/>
    </row>
    <row r="2402" spans="2:9" ht="15.75" x14ac:dyDescent="0.25">
      <c r="B2402" s="416" t="s">
        <v>310</v>
      </c>
      <c r="C2402" s="417">
        <v>2045</v>
      </c>
      <c r="D2402" s="417" t="s">
        <v>2652</v>
      </c>
      <c r="E2402" s="413">
        <v>301.34494286056565</v>
      </c>
      <c r="F2402" s="17"/>
      <c r="G2402" s="17"/>
      <c r="H2402" s="17"/>
      <c r="I2402" s="17"/>
    </row>
    <row r="2403" spans="2:9" ht="15.75" x14ac:dyDescent="0.25">
      <c r="B2403" s="416" t="s">
        <v>310</v>
      </c>
      <c r="C2403" s="417">
        <v>2046</v>
      </c>
      <c r="D2403" s="417" t="s">
        <v>2653</v>
      </c>
      <c r="E2403" s="413">
        <v>300.77782243224596</v>
      </c>
      <c r="F2403" s="17"/>
      <c r="G2403" s="17"/>
      <c r="H2403" s="17"/>
      <c r="I2403" s="17"/>
    </row>
    <row r="2404" spans="2:9" ht="15.75" x14ac:dyDescent="0.25">
      <c r="B2404" s="416" t="s">
        <v>310</v>
      </c>
      <c r="C2404" s="417">
        <v>2047</v>
      </c>
      <c r="D2404" s="417" t="s">
        <v>2654</v>
      </c>
      <c r="E2404" s="413">
        <v>300.29441765384041</v>
      </c>
      <c r="F2404" s="17"/>
      <c r="G2404" s="17"/>
      <c r="H2404" s="17"/>
      <c r="I2404" s="17"/>
    </row>
    <row r="2405" spans="2:9" ht="15.75" x14ac:dyDescent="0.25">
      <c r="B2405" s="416" t="s">
        <v>310</v>
      </c>
      <c r="C2405" s="417">
        <v>2048</v>
      </c>
      <c r="D2405" s="417" t="s">
        <v>2655</v>
      </c>
      <c r="E2405" s="413">
        <v>299.88117666024027</v>
      </c>
      <c r="F2405" s="17"/>
      <c r="G2405" s="17"/>
      <c r="H2405" s="17"/>
      <c r="I2405" s="17"/>
    </row>
    <row r="2406" spans="2:9" ht="15.75" x14ac:dyDescent="0.25">
      <c r="B2406" s="416" t="s">
        <v>310</v>
      </c>
      <c r="C2406" s="417">
        <v>2049</v>
      </c>
      <c r="D2406" s="417" t="s">
        <v>2656</v>
      </c>
      <c r="E2406" s="413">
        <v>299.52758727663115</v>
      </c>
      <c r="F2406" s="17"/>
      <c r="G2406" s="17"/>
      <c r="H2406" s="17"/>
      <c r="I2406" s="17"/>
    </row>
    <row r="2407" spans="2:9" ht="15.75" x14ac:dyDescent="0.25">
      <c r="B2407" s="416" t="s">
        <v>310</v>
      </c>
      <c r="C2407" s="417">
        <v>2050</v>
      </c>
      <c r="D2407" s="417" t="s">
        <v>2657</v>
      </c>
      <c r="E2407" s="413">
        <v>299.2461113826742</v>
      </c>
      <c r="F2407" s="17"/>
      <c r="G2407" s="17"/>
      <c r="H2407" s="17"/>
      <c r="I2407" s="17"/>
    </row>
    <row r="2408" spans="2:9" ht="15.75" x14ac:dyDescent="0.25">
      <c r="B2408" s="407" t="s">
        <v>98</v>
      </c>
      <c r="C2408" s="408">
        <v>2015</v>
      </c>
      <c r="D2408" s="409" t="s">
        <v>311</v>
      </c>
      <c r="E2408" s="410">
        <v>521.53023428227732</v>
      </c>
      <c r="F2408" s="17"/>
      <c r="G2408" s="17"/>
      <c r="H2408" s="17"/>
      <c r="I2408" s="17"/>
    </row>
    <row r="2409" spans="2:9" ht="15.75" x14ac:dyDescent="0.25">
      <c r="B2409" s="407" t="s">
        <v>98</v>
      </c>
      <c r="C2409" s="408">
        <v>2016</v>
      </c>
      <c r="D2409" s="409" t="s">
        <v>312</v>
      </c>
      <c r="E2409" s="410">
        <v>510.86539277531858</v>
      </c>
      <c r="F2409" s="17"/>
      <c r="G2409" s="17"/>
      <c r="H2409" s="17"/>
      <c r="I2409" s="17"/>
    </row>
    <row r="2410" spans="2:9" ht="15.75" x14ac:dyDescent="0.25">
      <c r="B2410" s="411" t="s">
        <v>98</v>
      </c>
      <c r="C2410" s="412">
        <v>2017</v>
      </c>
      <c r="D2410" s="412" t="s">
        <v>2658</v>
      </c>
      <c r="E2410" s="413">
        <v>498.39215990320099</v>
      </c>
      <c r="F2410" s="17"/>
      <c r="G2410" s="17"/>
      <c r="H2410" s="17"/>
      <c r="I2410" s="17"/>
    </row>
    <row r="2411" spans="2:9" ht="15.75" x14ac:dyDescent="0.25">
      <c r="B2411" s="411" t="s">
        <v>98</v>
      </c>
      <c r="C2411" s="412">
        <v>2018</v>
      </c>
      <c r="D2411" s="412" t="s">
        <v>2659</v>
      </c>
      <c r="E2411" s="413">
        <v>488.80412157802124</v>
      </c>
      <c r="F2411" s="17"/>
      <c r="G2411" s="17"/>
      <c r="H2411" s="17"/>
      <c r="I2411" s="17"/>
    </row>
    <row r="2412" spans="2:9" ht="15.75" x14ac:dyDescent="0.25">
      <c r="B2412" s="411" t="s">
        <v>98</v>
      </c>
      <c r="C2412" s="412">
        <v>2019</v>
      </c>
      <c r="D2412" s="412" t="s">
        <v>2660</v>
      </c>
      <c r="E2412" s="413">
        <v>474.6580898507583</v>
      </c>
      <c r="F2412" s="17"/>
      <c r="G2412" s="17"/>
      <c r="H2412" s="17"/>
      <c r="I2412" s="17"/>
    </row>
    <row r="2413" spans="2:9" ht="15.75" x14ac:dyDescent="0.25">
      <c r="B2413" s="411" t="s">
        <v>98</v>
      </c>
      <c r="C2413" s="412">
        <v>2020</v>
      </c>
      <c r="D2413" s="412" t="s">
        <v>2661</v>
      </c>
      <c r="E2413" s="413">
        <v>460.25542322448729</v>
      </c>
      <c r="F2413" s="17"/>
      <c r="G2413" s="17"/>
      <c r="H2413" s="17"/>
      <c r="I2413" s="17"/>
    </row>
    <row r="2414" spans="2:9" ht="15.75" x14ac:dyDescent="0.25">
      <c r="B2414" s="411" t="s">
        <v>98</v>
      </c>
      <c r="C2414" s="412">
        <v>2021</v>
      </c>
      <c r="D2414" s="412" t="s">
        <v>2662</v>
      </c>
      <c r="E2414" s="413">
        <v>446.51574556288307</v>
      </c>
      <c r="F2414" s="17"/>
      <c r="G2414" s="17"/>
      <c r="H2414" s="17"/>
      <c r="I2414" s="17"/>
    </row>
    <row r="2415" spans="2:9" ht="15.75" x14ac:dyDescent="0.25">
      <c r="B2415" s="411" t="s">
        <v>98</v>
      </c>
      <c r="C2415" s="412">
        <v>2022</v>
      </c>
      <c r="D2415" s="412" t="s">
        <v>2663</v>
      </c>
      <c r="E2415" s="413">
        <v>432.24219064181676</v>
      </c>
      <c r="F2415" s="17"/>
      <c r="G2415" s="17"/>
      <c r="H2415" s="17"/>
      <c r="I2415" s="17"/>
    </row>
    <row r="2416" spans="2:9" ht="15.75" x14ac:dyDescent="0.25">
      <c r="B2416" s="411" t="s">
        <v>98</v>
      </c>
      <c r="C2416" s="412">
        <v>2023</v>
      </c>
      <c r="D2416" s="412" t="s">
        <v>2664</v>
      </c>
      <c r="E2416" s="413">
        <v>418.16485867782814</v>
      </c>
      <c r="F2416" s="17"/>
      <c r="G2416" s="17"/>
      <c r="H2416" s="17"/>
      <c r="I2416" s="17"/>
    </row>
    <row r="2417" spans="2:9" ht="15.75" x14ac:dyDescent="0.25">
      <c r="B2417" s="411" t="s">
        <v>98</v>
      </c>
      <c r="C2417" s="412">
        <v>2024</v>
      </c>
      <c r="D2417" s="412" t="s">
        <v>2665</v>
      </c>
      <c r="E2417" s="413">
        <v>404.2318878168312</v>
      </c>
      <c r="F2417" s="17"/>
      <c r="G2417" s="17"/>
      <c r="H2417" s="17"/>
      <c r="I2417" s="17"/>
    </row>
    <row r="2418" spans="2:9" ht="15.75" x14ac:dyDescent="0.25">
      <c r="B2418" s="411" t="s">
        <v>98</v>
      </c>
      <c r="C2418" s="412">
        <v>2025</v>
      </c>
      <c r="D2418" s="412" t="s">
        <v>2666</v>
      </c>
      <c r="E2418" s="413">
        <v>390.72902961610106</v>
      </c>
      <c r="F2418" s="17"/>
      <c r="G2418" s="17"/>
      <c r="H2418" s="17"/>
      <c r="I2418" s="17"/>
    </row>
    <row r="2419" spans="2:9" ht="15.75" x14ac:dyDescent="0.25">
      <c r="B2419" s="411" t="s">
        <v>98</v>
      </c>
      <c r="C2419" s="412">
        <v>2026</v>
      </c>
      <c r="D2419" s="412" t="s">
        <v>2667</v>
      </c>
      <c r="E2419" s="413">
        <v>378.6051020085456</v>
      </c>
      <c r="F2419" s="17"/>
      <c r="G2419" s="17"/>
      <c r="H2419" s="17"/>
      <c r="I2419" s="17"/>
    </row>
    <row r="2420" spans="2:9" ht="15.75" x14ac:dyDescent="0.25">
      <c r="B2420" s="411" t="s">
        <v>98</v>
      </c>
      <c r="C2420" s="412">
        <v>2027</v>
      </c>
      <c r="D2420" s="412" t="s">
        <v>2668</v>
      </c>
      <c r="E2420" s="413">
        <v>367.26461348751252</v>
      </c>
      <c r="F2420" s="17"/>
      <c r="G2420" s="17"/>
      <c r="H2420" s="17"/>
      <c r="I2420" s="17"/>
    </row>
    <row r="2421" spans="2:9" ht="15.75" x14ac:dyDescent="0.25">
      <c r="B2421" s="411" t="s">
        <v>98</v>
      </c>
      <c r="C2421" s="412">
        <v>2028</v>
      </c>
      <c r="D2421" s="412" t="s">
        <v>2669</v>
      </c>
      <c r="E2421" s="413">
        <v>357.05902876461653</v>
      </c>
      <c r="F2421" s="17"/>
      <c r="G2421" s="17"/>
      <c r="H2421" s="17"/>
      <c r="I2421" s="17"/>
    </row>
    <row r="2422" spans="2:9" ht="15.75" x14ac:dyDescent="0.25">
      <c r="B2422" s="411" t="s">
        <v>98</v>
      </c>
      <c r="C2422" s="412">
        <v>2029</v>
      </c>
      <c r="D2422" s="412" t="s">
        <v>2670</v>
      </c>
      <c r="E2422" s="413">
        <v>347.90940736377848</v>
      </c>
      <c r="F2422" s="17"/>
      <c r="G2422" s="17"/>
      <c r="H2422" s="17"/>
      <c r="I2422" s="17"/>
    </row>
    <row r="2423" spans="2:9" ht="15.75" x14ac:dyDescent="0.25">
      <c r="B2423" s="411" t="s">
        <v>98</v>
      </c>
      <c r="C2423" s="412">
        <v>2030</v>
      </c>
      <c r="D2423" s="412" t="s">
        <v>2671</v>
      </c>
      <c r="E2423" s="413">
        <v>339.76152076961534</v>
      </c>
      <c r="F2423" s="17"/>
      <c r="G2423" s="17"/>
      <c r="H2423" s="17"/>
      <c r="I2423" s="17"/>
    </row>
    <row r="2424" spans="2:9" ht="15.75" x14ac:dyDescent="0.25">
      <c r="B2424" s="411" t="s">
        <v>98</v>
      </c>
      <c r="C2424" s="412">
        <v>2031</v>
      </c>
      <c r="D2424" s="412" t="s">
        <v>2672</v>
      </c>
      <c r="E2424" s="413">
        <v>332.5343599310321</v>
      </c>
      <c r="F2424" s="17"/>
      <c r="G2424" s="17"/>
      <c r="H2424" s="17"/>
      <c r="I2424" s="17"/>
    </row>
    <row r="2425" spans="2:9" ht="15.75" x14ac:dyDescent="0.25">
      <c r="B2425" s="411" t="s">
        <v>98</v>
      </c>
      <c r="C2425" s="412">
        <v>2032</v>
      </c>
      <c r="D2425" s="412" t="s">
        <v>2673</v>
      </c>
      <c r="E2425" s="413">
        <v>326.15601026920399</v>
      </c>
      <c r="F2425" s="17"/>
      <c r="G2425" s="17"/>
      <c r="H2425" s="17"/>
      <c r="I2425" s="17"/>
    </row>
    <row r="2426" spans="2:9" ht="15.75" x14ac:dyDescent="0.25">
      <c r="B2426" s="411" t="s">
        <v>98</v>
      </c>
      <c r="C2426" s="412">
        <v>2033</v>
      </c>
      <c r="D2426" s="412" t="s">
        <v>2674</v>
      </c>
      <c r="E2426" s="413">
        <v>320.5508430661622</v>
      </c>
      <c r="F2426" s="17"/>
      <c r="G2426" s="17"/>
      <c r="H2426" s="17"/>
      <c r="I2426" s="17"/>
    </row>
    <row r="2427" spans="2:9" ht="15.75" x14ac:dyDescent="0.25">
      <c r="B2427" s="411" t="s">
        <v>98</v>
      </c>
      <c r="C2427" s="412">
        <v>2034</v>
      </c>
      <c r="D2427" s="412" t="s">
        <v>2675</v>
      </c>
      <c r="E2427" s="413">
        <v>315.6535880356646</v>
      </c>
      <c r="F2427" s="17"/>
      <c r="G2427" s="17"/>
      <c r="H2427" s="17"/>
      <c r="I2427" s="17"/>
    </row>
    <row r="2428" spans="2:9" ht="15.75" x14ac:dyDescent="0.25">
      <c r="B2428" s="411" t="s">
        <v>98</v>
      </c>
      <c r="C2428" s="412">
        <v>2035</v>
      </c>
      <c r="D2428" s="412" t="s">
        <v>2676</v>
      </c>
      <c r="E2428" s="413">
        <v>311.40386043270621</v>
      </c>
      <c r="F2428" s="17"/>
      <c r="G2428" s="17"/>
      <c r="H2428" s="17"/>
      <c r="I2428" s="17"/>
    </row>
    <row r="2429" spans="2:9" ht="15.75" x14ac:dyDescent="0.25">
      <c r="B2429" s="411" t="s">
        <v>98</v>
      </c>
      <c r="C2429" s="412">
        <v>2036</v>
      </c>
      <c r="D2429" s="412" t="s">
        <v>2677</v>
      </c>
      <c r="E2429" s="413">
        <v>307.73637383354543</v>
      </c>
      <c r="F2429" s="17"/>
      <c r="G2429" s="17"/>
      <c r="H2429" s="17"/>
      <c r="I2429" s="17"/>
    </row>
    <row r="2430" spans="2:9" ht="15.75" x14ac:dyDescent="0.25">
      <c r="B2430" s="411" t="s">
        <v>98</v>
      </c>
      <c r="C2430" s="412">
        <v>2037</v>
      </c>
      <c r="D2430" s="412" t="s">
        <v>2678</v>
      </c>
      <c r="E2430" s="413">
        <v>304.60560978541093</v>
      </c>
      <c r="F2430" s="17"/>
      <c r="G2430" s="17"/>
      <c r="H2430" s="17"/>
      <c r="I2430" s="17"/>
    </row>
    <row r="2431" spans="2:9" ht="15.75" x14ac:dyDescent="0.25">
      <c r="B2431" s="411" t="s">
        <v>98</v>
      </c>
      <c r="C2431" s="412">
        <v>2038</v>
      </c>
      <c r="D2431" s="412" t="s">
        <v>2679</v>
      </c>
      <c r="E2431" s="413">
        <v>301.95793959312618</v>
      </c>
      <c r="F2431" s="17"/>
      <c r="G2431" s="17"/>
      <c r="H2431" s="17"/>
      <c r="I2431" s="17"/>
    </row>
    <row r="2432" spans="2:9" ht="15.75" x14ac:dyDescent="0.25">
      <c r="B2432" s="411" t="s">
        <v>98</v>
      </c>
      <c r="C2432" s="412">
        <v>2039</v>
      </c>
      <c r="D2432" s="412" t="s">
        <v>2680</v>
      </c>
      <c r="E2432" s="413">
        <v>299.72905515741775</v>
      </c>
      <c r="F2432" s="17"/>
      <c r="G2432" s="17"/>
      <c r="H2432" s="17"/>
      <c r="I2432" s="17"/>
    </row>
    <row r="2433" spans="2:9" ht="15.75" x14ac:dyDescent="0.25">
      <c r="B2433" s="411" t="s">
        <v>98</v>
      </c>
      <c r="C2433" s="412">
        <v>2040</v>
      </c>
      <c r="D2433" s="412" t="s">
        <v>2681</v>
      </c>
      <c r="E2433" s="413">
        <v>297.87330859683652</v>
      </c>
      <c r="F2433" s="17"/>
      <c r="G2433" s="17"/>
      <c r="H2433" s="17"/>
      <c r="I2433" s="17"/>
    </row>
    <row r="2434" spans="2:9" ht="15.75" x14ac:dyDescent="0.25">
      <c r="B2434" s="411" t="s">
        <v>98</v>
      </c>
      <c r="C2434" s="412">
        <v>2041</v>
      </c>
      <c r="D2434" s="412" t="s">
        <v>2682</v>
      </c>
      <c r="E2434" s="413">
        <v>296.3524858876853</v>
      </c>
      <c r="F2434" s="17"/>
      <c r="G2434" s="17"/>
      <c r="H2434" s="17"/>
      <c r="I2434" s="17"/>
    </row>
    <row r="2435" spans="2:9" ht="15.75" x14ac:dyDescent="0.25">
      <c r="B2435" s="411" t="s">
        <v>98</v>
      </c>
      <c r="C2435" s="412">
        <v>2042</v>
      </c>
      <c r="D2435" s="412" t="s">
        <v>2683</v>
      </c>
      <c r="E2435" s="413">
        <v>295.09907297145918</v>
      </c>
      <c r="F2435" s="17"/>
      <c r="G2435" s="17"/>
      <c r="H2435" s="17"/>
      <c r="I2435" s="17"/>
    </row>
    <row r="2436" spans="2:9" ht="15.75" x14ac:dyDescent="0.25">
      <c r="B2436" s="411" t="s">
        <v>98</v>
      </c>
      <c r="C2436" s="412">
        <v>2043</v>
      </c>
      <c r="D2436" s="412" t="s">
        <v>2684</v>
      </c>
      <c r="E2436" s="413">
        <v>294.0858024579303</v>
      </c>
      <c r="F2436" s="17"/>
      <c r="G2436" s="17"/>
      <c r="H2436" s="17"/>
      <c r="I2436" s="17"/>
    </row>
    <row r="2437" spans="2:9" ht="15.75" x14ac:dyDescent="0.25">
      <c r="B2437" s="411" t="s">
        <v>98</v>
      </c>
      <c r="C2437" s="412">
        <v>2044</v>
      </c>
      <c r="D2437" s="412" t="s">
        <v>2685</v>
      </c>
      <c r="E2437" s="413">
        <v>293.25600804677316</v>
      </c>
      <c r="F2437" s="17"/>
      <c r="G2437" s="17"/>
      <c r="H2437" s="17"/>
      <c r="I2437" s="17"/>
    </row>
    <row r="2438" spans="2:9" ht="15.75" x14ac:dyDescent="0.25">
      <c r="B2438" s="411" t="s">
        <v>98</v>
      </c>
      <c r="C2438" s="412">
        <v>2045</v>
      </c>
      <c r="D2438" s="412" t="s">
        <v>2686</v>
      </c>
      <c r="E2438" s="413">
        <v>292.57115976706257</v>
      </c>
      <c r="F2438" s="17"/>
      <c r="G2438" s="17"/>
      <c r="H2438" s="17"/>
      <c r="I2438" s="17"/>
    </row>
    <row r="2439" spans="2:9" ht="15.75" x14ac:dyDescent="0.25">
      <c r="B2439" s="411" t="s">
        <v>98</v>
      </c>
      <c r="C2439" s="412">
        <v>2046</v>
      </c>
      <c r="D2439" s="412" t="s">
        <v>2687</v>
      </c>
      <c r="E2439" s="413">
        <v>292.01231836067882</v>
      </c>
      <c r="F2439" s="17"/>
      <c r="G2439" s="17"/>
      <c r="H2439" s="17"/>
      <c r="I2439" s="17"/>
    </row>
    <row r="2440" spans="2:9" ht="15.75" x14ac:dyDescent="0.25">
      <c r="B2440" s="411" t="s">
        <v>98</v>
      </c>
      <c r="C2440" s="412">
        <v>2047</v>
      </c>
      <c r="D2440" s="412" t="s">
        <v>2688</v>
      </c>
      <c r="E2440" s="413">
        <v>291.5606624885657</v>
      </c>
      <c r="F2440" s="17"/>
      <c r="G2440" s="17"/>
      <c r="H2440" s="17"/>
      <c r="I2440" s="17"/>
    </row>
    <row r="2441" spans="2:9" ht="15.75" x14ac:dyDescent="0.25">
      <c r="B2441" s="411" t="s">
        <v>98</v>
      </c>
      <c r="C2441" s="412">
        <v>2048</v>
      </c>
      <c r="D2441" s="412" t="s">
        <v>2689</v>
      </c>
      <c r="E2441" s="413">
        <v>291.19321123018375</v>
      </c>
      <c r="F2441" s="17"/>
      <c r="G2441" s="17"/>
      <c r="H2441" s="17"/>
      <c r="I2441" s="17"/>
    </row>
    <row r="2442" spans="2:9" ht="15.75" x14ac:dyDescent="0.25">
      <c r="B2442" s="411" t="s">
        <v>98</v>
      </c>
      <c r="C2442" s="412">
        <v>2049</v>
      </c>
      <c r="D2442" s="412" t="s">
        <v>2690</v>
      </c>
      <c r="E2442" s="413">
        <v>290.89926213620538</v>
      </c>
      <c r="F2442" s="17"/>
      <c r="G2442" s="17"/>
      <c r="H2442" s="17"/>
      <c r="I2442" s="17"/>
    </row>
    <row r="2443" spans="2:9" ht="15.75" x14ac:dyDescent="0.25">
      <c r="B2443" s="411" t="s">
        <v>98</v>
      </c>
      <c r="C2443" s="412">
        <v>2050</v>
      </c>
      <c r="D2443" s="412" t="s">
        <v>2691</v>
      </c>
      <c r="E2443" s="413">
        <v>290.66435771536737</v>
      </c>
      <c r="F2443" s="17"/>
      <c r="G2443" s="17"/>
      <c r="H2443" s="17"/>
      <c r="I2443" s="17"/>
    </row>
    <row r="2444" spans="2:9" ht="15.75" x14ac:dyDescent="0.25">
      <c r="B2444" s="407" t="s">
        <v>99</v>
      </c>
      <c r="C2444" s="408">
        <v>2015</v>
      </c>
      <c r="D2444" s="409" t="s">
        <v>313</v>
      </c>
      <c r="E2444" s="410">
        <v>506.52586772142388</v>
      </c>
      <c r="F2444" s="17"/>
      <c r="G2444" s="17"/>
      <c r="H2444" s="17"/>
      <c r="I2444" s="17"/>
    </row>
    <row r="2445" spans="2:9" ht="15.75" x14ac:dyDescent="0.25">
      <c r="B2445" s="407" t="s">
        <v>99</v>
      </c>
      <c r="C2445" s="408">
        <v>2016</v>
      </c>
      <c r="D2445" s="409" t="s">
        <v>314</v>
      </c>
      <c r="E2445" s="410">
        <v>496.12611690211997</v>
      </c>
      <c r="F2445" s="17"/>
      <c r="G2445" s="17"/>
      <c r="H2445" s="17"/>
      <c r="I2445" s="17"/>
    </row>
    <row r="2446" spans="2:9" ht="15.75" x14ac:dyDescent="0.25">
      <c r="B2446" s="411" t="s">
        <v>99</v>
      </c>
      <c r="C2446" s="412">
        <v>2017</v>
      </c>
      <c r="D2446" s="412" t="s">
        <v>2692</v>
      </c>
      <c r="E2446" s="413">
        <v>483.61456387109814</v>
      </c>
      <c r="F2446" s="17"/>
      <c r="G2446" s="17"/>
      <c r="H2446" s="17"/>
      <c r="I2446" s="17"/>
    </row>
    <row r="2447" spans="2:9" ht="15.75" x14ac:dyDescent="0.25">
      <c r="B2447" s="411" t="s">
        <v>99</v>
      </c>
      <c r="C2447" s="412">
        <v>2018</v>
      </c>
      <c r="D2447" s="412" t="s">
        <v>2693</v>
      </c>
      <c r="E2447" s="413">
        <v>470.30849804892779</v>
      </c>
      <c r="F2447" s="17"/>
      <c r="G2447" s="17"/>
      <c r="H2447" s="17"/>
      <c r="I2447" s="17"/>
    </row>
    <row r="2448" spans="2:9" ht="15.75" x14ac:dyDescent="0.25">
      <c r="B2448" s="411" t="s">
        <v>99</v>
      </c>
      <c r="C2448" s="412">
        <v>2019</v>
      </c>
      <c r="D2448" s="412" t="s">
        <v>2694</v>
      </c>
      <c r="E2448" s="413">
        <v>456.26072064557798</v>
      </c>
      <c r="F2448" s="17"/>
      <c r="G2448" s="17"/>
      <c r="H2448" s="17"/>
      <c r="I2448" s="17"/>
    </row>
    <row r="2449" spans="2:9" ht="15.75" x14ac:dyDescent="0.25">
      <c r="B2449" s="411" t="s">
        <v>99</v>
      </c>
      <c r="C2449" s="412">
        <v>2020</v>
      </c>
      <c r="D2449" s="412" t="s">
        <v>2695</v>
      </c>
      <c r="E2449" s="413">
        <v>442.38482947489723</v>
      </c>
      <c r="F2449" s="17"/>
      <c r="G2449" s="17"/>
      <c r="H2449" s="17"/>
      <c r="I2449" s="17"/>
    </row>
    <row r="2450" spans="2:9" ht="15.75" x14ac:dyDescent="0.25">
      <c r="B2450" s="411" t="s">
        <v>99</v>
      </c>
      <c r="C2450" s="412">
        <v>2021</v>
      </c>
      <c r="D2450" s="412" t="s">
        <v>2696</v>
      </c>
      <c r="E2450" s="413">
        <v>428.46991154716346</v>
      </c>
      <c r="F2450" s="17"/>
      <c r="G2450" s="17"/>
      <c r="H2450" s="17"/>
      <c r="I2450" s="17"/>
    </row>
    <row r="2451" spans="2:9" ht="15.75" x14ac:dyDescent="0.25">
      <c r="B2451" s="411" t="s">
        <v>99</v>
      </c>
      <c r="C2451" s="412">
        <v>2022</v>
      </c>
      <c r="D2451" s="412" t="s">
        <v>2697</v>
      </c>
      <c r="E2451" s="413">
        <v>414.83598647005181</v>
      </c>
      <c r="F2451" s="17"/>
      <c r="G2451" s="17"/>
      <c r="H2451" s="17"/>
      <c r="I2451" s="17"/>
    </row>
    <row r="2452" spans="2:9" ht="15.75" x14ac:dyDescent="0.25">
      <c r="B2452" s="411" t="s">
        <v>99</v>
      </c>
      <c r="C2452" s="412">
        <v>2023</v>
      </c>
      <c r="D2452" s="412" t="s">
        <v>2698</v>
      </c>
      <c r="E2452" s="413">
        <v>401.43848348071862</v>
      </c>
      <c r="F2452" s="17"/>
      <c r="G2452" s="17"/>
      <c r="H2452" s="17"/>
      <c r="I2452" s="17"/>
    </row>
    <row r="2453" spans="2:9" ht="15.75" x14ac:dyDescent="0.25">
      <c r="B2453" s="411" t="s">
        <v>99</v>
      </c>
      <c r="C2453" s="412">
        <v>2024</v>
      </c>
      <c r="D2453" s="412" t="s">
        <v>2699</v>
      </c>
      <c r="E2453" s="413">
        <v>388.27337705809174</v>
      </c>
      <c r="F2453" s="17"/>
      <c r="G2453" s="17"/>
      <c r="H2453" s="17"/>
      <c r="I2453" s="17"/>
    </row>
    <row r="2454" spans="2:9" ht="15.75" x14ac:dyDescent="0.25">
      <c r="B2454" s="411" t="s">
        <v>99</v>
      </c>
      <c r="C2454" s="412">
        <v>2025</v>
      </c>
      <c r="D2454" s="412" t="s">
        <v>2700</v>
      </c>
      <c r="E2454" s="413">
        <v>375.39690404056711</v>
      </c>
      <c r="F2454" s="17"/>
      <c r="G2454" s="17"/>
      <c r="H2454" s="17"/>
      <c r="I2454" s="17"/>
    </row>
    <row r="2455" spans="2:9" ht="15.75" x14ac:dyDescent="0.25">
      <c r="B2455" s="411" t="s">
        <v>99</v>
      </c>
      <c r="C2455" s="412">
        <v>2026</v>
      </c>
      <c r="D2455" s="412" t="s">
        <v>2701</v>
      </c>
      <c r="E2455" s="413">
        <v>363.65982655159502</v>
      </c>
      <c r="F2455" s="17"/>
      <c r="G2455" s="17"/>
      <c r="H2455" s="17"/>
      <c r="I2455" s="17"/>
    </row>
    <row r="2456" spans="2:9" ht="15.75" x14ac:dyDescent="0.25">
      <c r="B2456" s="411" t="s">
        <v>99</v>
      </c>
      <c r="C2456" s="412">
        <v>2027</v>
      </c>
      <c r="D2456" s="412" t="s">
        <v>2702</v>
      </c>
      <c r="E2456" s="413">
        <v>352.92657144273454</v>
      </c>
      <c r="F2456" s="17"/>
      <c r="G2456" s="17"/>
      <c r="H2456" s="17"/>
      <c r="I2456" s="17"/>
    </row>
    <row r="2457" spans="2:9" ht="15.75" x14ac:dyDescent="0.25">
      <c r="B2457" s="411" t="s">
        <v>99</v>
      </c>
      <c r="C2457" s="412">
        <v>2028</v>
      </c>
      <c r="D2457" s="412" t="s">
        <v>2703</v>
      </c>
      <c r="E2457" s="413">
        <v>343.26367263827564</v>
      </c>
      <c r="F2457" s="17"/>
      <c r="G2457" s="17"/>
      <c r="H2457" s="17"/>
      <c r="I2457" s="17"/>
    </row>
    <row r="2458" spans="2:9" ht="15.75" x14ac:dyDescent="0.25">
      <c r="B2458" s="411" t="s">
        <v>99</v>
      </c>
      <c r="C2458" s="412">
        <v>2029</v>
      </c>
      <c r="D2458" s="412" t="s">
        <v>2704</v>
      </c>
      <c r="E2458" s="413">
        <v>334.60968166215076</v>
      </c>
      <c r="F2458" s="17"/>
      <c r="G2458" s="17"/>
      <c r="H2458" s="17"/>
      <c r="I2458" s="17"/>
    </row>
    <row r="2459" spans="2:9" ht="15.75" x14ac:dyDescent="0.25">
      <c r="B2459" s="411" t="s">
        <v>99</v>
      </c>
      <c r="C2459" s="412">
        <v>2030</v>
      </c>
      <c r="D2459" s="412" t="s">
        <v>2705</v>
      </c>
      <c r="E2459" s="413">
        <v>326.90890923786213</v>
      </c>
      <c r="F2459" s="17"/>
      <c r="G2459" s="17"/>
      <c r="H2459" s="17"/>
      <c r="I2459" s="17"/>
    </row>
    <row r="2460" spans="2:9" ht="15.75" x14ac:dyDescent="0.25">
      <c r="B2460" s="411" t="s">
        <v>99</v>
      </c>
      <c r="C2460" s="412">
        <v>2031</v>
      </c>
      <c r="D2460" s="412" t="s">
        <v>2706</v>
      </c>
      <c r="E2460" s="413">
        <v>320.06194464457508</v>
      </c>
      <c r="F2460" s="17"/>
      <c r="G2460" s="17"/>
      <c r="H2460" s="17"/>
      <c r="I2460" s="17"/>
    </row>
    <row r="2461" spans="2:9" ht="15.75" x14ac:dyDescent="0.25">
      <c r="B2461" s="411" t="s">
        <v>99</v>
      </c>
      <c r="C2461" s="412">
        <v>2032</v>
      </c>
      <c r="D2461" s="412" t="s">
        <v>2707</v>
      </c>
      <c r="E2461" s="413">
        <v>314.0210475614121</v>
      </c>
      <c r="F2461" s="17"/>
      <c r="G2461" s="17"/>
      <c r="H2461" s="17"/>
      <c r="I2461" s="17"/>
    </row>
    <row r="2462" spans="2:9" ht="15.75" x14ac:dyDescent="0.25">
      <c r="B2462" s="411" t="s">
        <v>99</v>
      </c>
      <c r="C2462" s="412">
        <v>2033</v>
      </c>
      <c r="D2462" s="412" t="s">
        <v>2708</v>
      </c>
      <c r="E2462" s="413">
        <v>308.70672289441006</v>
      </c>
      <c r="F2462" s="17"/>
      <c r="G2462" s="17"/>
      <c r="H2462" s="17"/>
      <c r="I2462" s="17"/>
    </row>
    <row r="2463" spans="2:9" ht="15.75" x14ac:dyDescent="0.25">
      <c r="B2463" s="411" t="s">
        <v>99</v>
      </c>
      <c r="C2463" s="412">
        <v>2034</v>
      </c>
      <c r="D2463" s="412" t="s">
        <v>2709</v>
      </c>
      <c r="E2463" s="413">
        <v>304.03726675822315</v>
      </c>
      <c r="F2463" s="17"/>
      <c r="G2463" s="17"/>
      <c r="H2463" s="17"/>
      <c r="I2463" s="17"/>
    </row>
    <row r="2464" spans="2:9" ht="15.75" x14ac:dyDescent="0.25">
      <c r="B2464" s="411" t="s">
        <v>99</v>
      </c>
      <c r="C2464" s="412">
        <v>2035</v>
      </c>
      <c r="D2464" s="412" t="s">
        <v>2710</v>
      </c>
      <c r="E2464" s="413">
        <v>299.96987118876422</v>
      </c>
      <c r="F2464" s="17"/>
      <c r="G2464" s="17"/>
      <c r="H2464" s="17"/>
      <c r="I2464" s="17"/>
    </row>
    <row r="2465" spans="2:9" ht="15.75" x14ac:dyDescent="0.25">
      <c r="B2465" s="411" t="s">
        <v>99</v>
      </c>
      <c r="C2465" s="412">
        <v>2036</v>
      </c>
      <c r="D2465" s="412" t="s">
        <v>2711</v>
      </c>
      <c r="E2465" s="413">
        <v>296.44746853185433</v>
      </c>
      <c r="F2465" s="17"/>
      <c r="G2465" s="17"/>
      <c r="H2465" s="17"/>
      <c r="I2465" s="17"/>
    </row>
    <row r="2466" spans="2:9" ht="15.75" x14ac:dyDescent="0.25">
      <c r="B2466" s="411" t="s">
        <v>99</v>
      </c>
      <c r="C2466" s="412">
        <v>2037</v>
      </c>
      <c r="D2466" s="412" t="s">
        <v>2712</v>
      </c>
      <c r="E2466" s="413">
        <v>293.43565669976977</v>
      </c>
      <c r="F2466" s="17"/>
      <c r="G2466" s="17"/>
      <c r="H2466" s="17"/>
      <c r="I2466" s="17"/>
    </row>
    <row r="2467" spans="2:9" ht="15.75" x14ac:dyDescent="0.25">
      <c r="B2467" s="411" t="s">
        <v>99</v>
      </c>
      <c r="C2467" s="412">
        <v>2038</v>
      </c>
      <c r="D2467" s="412" t="s">
        <v>2713</v>
      </c>
      <c r="E2467" s="413">
        <v>290.87207747289574</v>
      </c>
      <c r="F2467" s="17"/>
      <c r="G2467" s="17"/>
      <c r="H2467" s="17"/>
      <c r="I2467" s="17"/>
    </row>
    <row r="2468" spans="2:9" ht="15.75" x14ac:dyDescent="0.25">
      <c r="B2468" s="411" t="s">
        <v>99</v>
      </c>
      <c r="C2468" s="412">
        <v>2039</v>
      </c>
      <c r="D2468" s="412" t="s">
        <v>2714</v>
      </c>
      <c r="E2468" s="413">
        <v>288.69460583006384</v>
      </c>
      <c r="F2468" s="17"/>
      <c r="G2468" s="17"/>
      <c r="H2468" s="17"/>
      <c r="I2468" s="17"/>
    </row>
    <row r="2469" spans="2:9" ht="15.75" x14ac:dyDescent="0.25">
      <c r="B2469" s="411" t="s">
        <v>99</v>
      </c>
      <c r="C2469" s="412">
        <v>2040</v>
      </c>
      <c r="D2469" s="412" t="s">
        <v>2715</v>
      </c>
      <c r="E2469" s="413">
        <v>286.86371663362831</v>
      </c>
      <c r="F2469" s="17"/>
      <c r="G2469" s="17"/>
      <c r="H2469" s="17"/>
      <c r="I2469" s="17"/>
    </row>
    <row r="2470" spans="2:9" ht="15.75" x14ac:dyDescent="0.25">
      <c r="B2470" s="411" t="s">
        <v>99</v>
      </c>
      <c r="C2470" s="412">
        <v>2041</v>
      </c>
      <c r="D2470" s="412" t="s">
        <v>2716</v>
      </c>
      <c r="E2470" s="413">
        <v>285.34873431116671</v>
      </c>
      <c r="F2470" s="17"/>
      <c r="G2470" s="17"/>
      <c r="H2470" s="17"/>
      <c r="I2470" s="17"/>
    </row>
    <row r="2471" spans="2:9" ht="15.75" x14ac:dyDescent="0.25">
      <c r="B2471" s="411" t="s">
        <v>99</v>
      </c>
      <c r="C2471" s="412">
        <v>2042</v>
      </c>
      <c r="D2471" s="412" t="s">
        <v>2717</v>
      </c>
      <c r="E2471" s="413">
        <v>284.07657478387995</v>
      </c>
      <c r="F2471" s="17"/>
      <c r="G2471" s="17"/>
      <c r="H2471" s="17"/>
      <c r="I2471" s="17"/>
    </row>
    <row r="2472" spans="2:9" ht="15.75" x14ac:dyDescent="0.25">
      <c r="B2472" s="411" t="s">
        <v>99</v>
      </c>
      <c r="C2472" s="412">
        <v>2043</v>
      </c>
      <c r="D2472" s="412" t="s">
        <v>2718</v>
      </c>
      <c r="E2472" s="413">
        <v>283.04097106485682</v>
      </c>
      <c r="F2472" s="17"/>
      <c r="G2472" s="17"/>
      <c r="H2472" s="17"/>
      <c r="I2472" s="17"/>
    </row>
    <row r="2473" spans="2:9" ht="15.75" x14ac:dyDescent="0.25">
      <c r="B2473" s="411" t="s">
        <v>99</v>
      </c>
      <c r="C2473" s="412">
        <v>2044</v>
      </c>
      <c r="D2473" s="412" t="s">
        <v>2719</v>
      </c>
      <c r="E2473" s="413">
        <v>282.17915503789857</v>
      </c>
      <c r="F2473" s="17"/>
      <c r="G2473" s="17"/>
      <c r="H2473" s="17"/>
      <c r="I2473" s="17"/>
    </row>
    <row r="2474" spans="2:9" ht="15.75" x14ac:dyDescent="0.25">
      <c r="B2474" s="411" t="s">
        <v>99</v>
      </c>
      <c r="C2474" s="412">
        <v>2045</v>
      </c>
      <c r="D2474" s="412" t="s">
        <v>2720</v>
      </c>
      <c r="E2474" s="413">
        <v>281.46307487933302</v>
      </c>
      <c r="F2474" s="17"/>
      <c r="G2474" s="17"/>
      <c r="H2474" s="17"/>
      <c r="I2474" s="17"/>
    </row>
    <row r="2475" spans="2:9" ht="15.75" x14ac:dyDescent="0.25">
      <c r="B2475" s="411" t="s">
        <v>99</v>
      </c>
      <c r="C2475" s="412">
        <v>2046</v>
      </c>
      <c r="D2475" s="412" t="s">
        <v>2721</v>
      </c>
      <c r="E2475" s="413">
        <v>280.86875789815264</v>
      </c>
      <c r="F2475" s="17"/>
      <c r="G2475" s="17"/>
      <c r="H2475" s="17"/>
      <c r="I2475" s="17"/>
    </row>
    <row r="2476" spans="2:9" ht="15.75" x14ac:dyDescent="0.25">
      <c r="B2476" s="411" t="s">
        <v>99</v>
      </c>
      <c r="C2476" s="412">
        <v>2047</v>
      </c>
      <c r="D2476" s="412" t="s">
        <v>2722</v>
      </c>
      <c r="E2476" s="413">
        <v>280.38290167540026</v>
      </c>
      <c r="F2476" s="17"/>
      <c r="G2476" s="17"/>
      <c r="H2476" s="17"/>
      <c r="I2476" s="17"/>
    </row>
    <row r="2477" spans="2:9" ht="15.75" x14ac:dyDescent="0.25">
      <c r="B2477" s="411" t="s">
        <v>99</v>
      </c>
      <c r="C2477" s="412">
        <v>2048</v>
      </c>
      <c r="D2477" s="412" t="s">
        <v>2723</v>
      </c>
      <c r="E2477" s="413">
        <v>279.97710466022829</v>
      </c>
      <c r="F2477" s="17"/>
      <c r="G2477" s="17"/>
      <c r="H2477" s="17"/>
      <c r="I2477" s="17"/>
    </row>
    <row r="2478" spans="2:9" ht="15.75" x14ac:dyDescent="0.25">
      <c r="B2478" s="411" t="s">
        <v>99</v>
      </c>
      <c r="C2478" s="412">
        <v>2049</v>
      </c>
      <c r="D2478" s="412" t="s">
        <v>2724</v>
      </c>
      <c r="E2478" s="413">
        <v>279.64194295508474</v>
      </c>
      <c r="F2478" s="17"/>
      <c r="G2478" s="17"/>
      <c r="H2478" s="17"/>
      <c r="I2478" s="17"/>
    </row>
    <row r="2479" spans="2:9" ht="15.75" x14ac:dyDescent="0.25">
      <c r="B2479" s="411" t="s">
        <v>99</v>
      </c>
      <c r="C2479" s="412">
        <v>2050</v>
      </c>
      <c r="D2479" s="412" t="s">
        <v>2725</v>
      </c>
      <c r="E2479" s="413">
        <v>279.3692879382279</v>
      </c>
      <c r="F2479" s="17"/>
      <c r="G2479" s="17"/>
      <c r="H2479" s="17"/>
      <c r="I2479" s="17"/>
    </row>
    <row r="2480" spans="2:9" ht="15.75" x14ac:dyDescent="0.25">
      <c r="B2480" s="407" t="s">
        <v>100</v>
      </c>
      <c r="C2480" s="408">
        <v>2015</v>
      </c>
      <c r="D2480" s="409" t="s">
        <v>315</v>
      </c>
      <c r="E2480" s="410">
        <v>527.1040536274736</v>
      </c>
      <c r="F2480" s="17"/>
      <c r="G2480" s="17"/>
      <c r="H2480" s="17"/>
      <c r="I2480" s="17"/>
    </row>
    <row r="2481" spans="2:9" ht="15.75" x14ac:dyDescent="0.25">
      <c r="B2481" s="407" t="s">
        <v>100</v>
      </c>
      <c r="C2481" s="408">
        <v>2016</v>
      </c>
      <c r="D2481" s="409" t="s">
        <v>316</v>
      </c>
      <c r="E2481" s="410">
        <v>517.1289666910219</v>
      </c>
      <c r="F2481" s="17"/>
      <c r="G2481" s="17"/>
      <c r="H2481" s="17"/>
      <c r="I2481" s="17"/>
    </row>
    <row r="2482" spans="2:9" ht="15.75" x14ac:dyDescent="0.25">
      <c r="B2482" s="411" t="s">
        <v>100</v>
      </c>
      <c r="C2482" s="412">
        <v>2017</v>
      </c>
      <c r="D2482" s="412" t="s">
        <v>2726</v>
      </c>
      <c r="E2482" s="413">
        <v>503.67097370015915</v>
      </c>
      <c r="F2482" s="17"/>
      <c r="G2482" s="17"/>
      <c r="H2482" s="17"/>
      <c r="I2482" s="17"/>
    </row>
    <row r="2483" spans="2:9" ht="15.75" x14ac:dyDescent="0.25">
      <c r="B2483" s="411" t="s">
        <v>100</v>
      </c>
      <c r="C2483" s="412">
        <v>2018</v>
      </c>
      <c r="D2483" s="412" t="s">
        <v>2727</v>
      </c>
      <c r="E2483" s="413">
        <v>489.67342738581107</v>
      </c>
      <c r="F2483" s="17"/>
      <c r="G2483" s="17"/>
      <c r="H2483" s="17"/>
      <c r="I2483" s="17"/>
    </row>
    <row r="2484" spans="2:9" ht="15.75" x14ac:dyDescent="0.25">
      <c r="B2484" s="411" t="s">
        <v>100</v>
      </c>
      <c r="C2484" s="412">
        <v>2019</v>
      </c>
      <c r="D2484" s="412" t="s">
        <v>2728</v>
      </c>
      <c r="E2484" s="413">
        <v>475.26135207868037</v>
      </c>
      <c r="F2484" s="17"/>
      <c r="G2484" s="17"/>
      <c r="H2484" s="17"/>
      <c r="I2484" s="17"/>
    </row>
    <row r="2485" spans="2:9" ht="15.75" x14ac:dyDescent="0.25">
      <c r="B2485" s="411" t="s">
        <v>100</v>
      </c>
      <c r="C2485" s="412">
        <v>2020</v>
      </c>
      <c r="D2485" s="412" t="s">
        <v>2729</v>
      </c>
      <c r="E2485" s="413">
        <v>460.68928656167691</v>
      </c>
      <c r="F2485" s="17"/>
      <c r="G2485" s="17"/>
      <c r="H2485" s="17"/>
      <c r="I2485" s="17"/>
    </row>
    <row r="2486" spans="2:9" ht="15.75" x14ac:dyDescent="0.25">
      <c r="B2486" s="411" t="s">
        <v>100</v>
      </c>
      <c r="C2486" s="412">
        <v>2021</v>
      </c>
      <c r="D2486" s="412" t="s">
        <v>2730</v>
      </c>
      <c r="E2486" s="413">
        <v>446.07600633257528</v>
      </c>
      <c r="F2486" s="17"/>
      <c r="G2486" s="17"/>
      <c r="H2486" s="17"/>
      <c r="I2486" s="17"/>
    </row>
    <row r="2487" spans="2:9" ht="15.75" x14ac:dyDescent="0.25">
      <c r="B2487" s="411" t="s">
        <v>100</v>
      </c>
      <c r="C2487" s="412">
        <v>2022</v>
      </c>
      <c r="D2487" s="412" t="s">
        <v>2731</v>
      </c>
      <c r="E2487" s="413">
        <v>431.7403690033816</v>
      </c>
      <c r="F2487" s="17"/>
      <c r="G2487" s="17"/>
      <c r="H2487" s="17"/>
      <c r="I2487" s="17"/>
    </row>
    <row r="2488" spans="2:9" ht="15.75" x14ac:dyDescent="0.25">
      <c r="B2488" s="411" t="s">
        <v>100</v>
      </c>
      <c r="C2488" s="412">
        <v>2023</v>
      </c>
      <c r="D2488" s="412" t="s">
        <v>2732</v>
      </c>
      <c r="E2488" s="413">
        <v>417.67987252748759</v>
      </c>
      <c r="F2488" s="17"/>
      <c r="G2488" s="17"/>
      <c r="H2488" s="17"/>
      <c r="I2488" s="17"/>
    </row>
    <row r="2489" spans="2:9" ht="15.75" x14ac:dyDescent="0.25">
      <c r="B2489" s="411" t="s">
        <v>100</v>
      </c>
      <c r="C2489" s="412">
        <v>2024</v>
      </c>
      <c r="D2489" s="412" t="s">
        <v>2733</v>
      </c>
      <c r="E2489" s="413">
        <v>403.92373519017696</v>
      </c>
      <c r="F2489" s="17"/>
      <c r="G2489" s="17"/>
      <c r="H2489" s="17"/>
      <c r="I2489" s="17"/>
    </row>
    <row r="2490" spans="2:9" ht="15.75" x14ac:dyDescent="0.25">
      <c r="B2490" s="411" t="s">
        <v>100</v>
      </c>
      <c r="C2490" s="412">
        <v>2025</v>
      </c>
      <c r="D2490" s="412" t="s">
        <v>2734</v>
      </c>
      <c r="E2490" s="413">
        <v>390.47407084819531</v>
      </c>
      <c r="F2490" s="17"/>
      <c r="G2490" s="17"/>
      <c r="H2490" s="17"/>
      <c r="I2490" s="17"/>
    </row>
    <row r="2491" spans="2:9" ht="15.75" x14ac:dyDescent="0.25">
      <c r="B2491" s="411" t="s">
        <v>100</v>
      </c>
      <c r="C2491" s="412">
        <v>2026</v>
      </c>
      <c r="D2491" s="412" t="s">
        <v>2735</v>
      </c>
      <c r="E2491" s="413">
        <v>378.2474172698191</v>
      </c>
      <c r="F2491" s="17"/>
      <c r="G2491" s="17"/>
      <c r="H2491" s="17"/>
      <c r="I2491" s="17"/>
    </row>
    <row r="2492" spans="2:9" ht="15.75" x14ac:dyDescent="0.25">
      <c r="B2492" s="411" t="s">
        <v>100</v>
      </c>
      <c r="C2492" s="412">
        <v>2027</v>
      </c>
      <c r="D2492" s="412" t="s">
        <v>2736</v>
      </c>
      <c r="E2492" s="413">
        <v>367.1086172393708</v>
      </c>
      <c r="F2492" s="17"/>
      <c r="G2492" s="17"/>
      <c r="H2492" s="17"/>
      <c r="I2492" s="17"/>
    </row>
    <row r="2493" spans="2:9" ht="15.75" x14ac:dyDescent="0.25">
      <c r="B2493" s="411" t="s">
        <v>100</v>
      </c>
      <c r="C2493" s="412">
        <v>2028</v>
      </c>
      <c r="D2493" s="412" t="s">
        <v>2737</v>
      </c>
      <c r="E2493" s="413">
        <v>357.11559222712674</v>
      </c>
      <c r="F2493" s="17"/>
      <c r="G2493" s="17"/>
      <c r="H2493" s="17"/>
      <c r="I2493" s="17"/>
    </row>
    <row r="2494" spans="2:9" ht="15.75" x14ac:dyDescent="0.25">
      <c r="B2494" s="411" t="s">
        <v>100</v>
      </c>
      <c r="C2494" s="412">
        <v>2029</v>
      </c>
      <c r="D2494" s="412" t="s">
        <v>2738</v>
      </c>
      <c r="E2494" s="413">
        <v>348.17551174605438</v>
      </c>
      <c r="F2494" s="17"/>
      <c r="G2494" s="17"/>
      <c r="H2494" s="17"/>
      <c r="I2494" s="17"/>
    </row>
    <row r="2495" spans="2:9" ht="15.75" x14ac:dyDescent="0.25">
      <c r="B2495" s="411" t="s">
        <v>100</v>
      </c>
      <c r="C2495" s="412">
        <v>2030</v>
      </c>
      <c r="D2495" s="412" t="s">
        <v>2739</v>
      </c>
      <c r="E2495" s="413">
        <v>340.21544678429603</v>
      </c>
      <c r="F2495" s="17"/>
      <c r="G2495" s="17"/>
      <c r="H2495" s="17"/>
      <c r="I2495" s="17"/>
    </row>
    <row r="2496" spans="2:9" ht="15.75" x14ac:dyDescent="0.25">
      <c r="B2496" s="411" t="s">
        <v>100</v>
      </c>
      <c r="C2496" s="412">
        <v>2031</v>
      </c>
      <c r="D2496" s="412" t="s">
        <v>2740</v>
      </c>
      <c r="E2496" s="413">
        <v>333.15751786903525</v>
      </c>
      <c r="F2496" s="17"/>
      <c r="G2496" s="17"/>
      <c r="H2496" s="17"/>
      <c r="I2496" s="17"/>
    </row>
    <row r="2497" spans="2:9" ht="15.75" x14ac:dyDescent="0.25">
      <c r="B2497" s="411" t="s">
        <v>100</v>
      </c>
      <c r="C2497" s="412">
        <v>2032</v>
      </c>
      <c r="D2497" s="412" t="s">
        <v>2741</v>
      </c>
      <c r="E2497" s="413">
        <v>326.93798185255184</v>
      </c>
      <c r="F2497" s="17"/>
      <c r="G2497" s="17"/>
      <c r="H2497" s="17"/>
      <c r="I2497" s="17"/>
    </row>
    <row r="2498" spans="2:9" ht="15.75" x14ac:dyDescent="0.25">
      <c r="B2498" s="411" t="s">
        <v>100</v>
      </c>
      <c r="C2498" s="412">
        <v>2033</v>
      </c>
      <c r="D2498" s="412" t="s">
        <v>2742</v>
      </c>
      <c r="E2498" s="413">
        <v>321.47170401009191</v>
      </c>
      <c r="F2498" s="17"/>
      <c r="G2498" s="17"/>
      <c r="H2498" s="17"/>
      <c r="I2498" s="17"/>
    </row>
    <row r="2499" spans="2:9" ht="15.75" x14ac:dyDescent="0.25">
      <c r="B2499" s="411" t="s">
        <v>100</v>
      </c>
      <c r="C2499" s="412">
        <v>2034</v>
      </c>
      <c r="D2499" s="412" t="s">
        <v>2743</v>
      </c>
      <c r="E2499" s="413">
        <v>316.69155559567679</v>
      </c>
      <c r="F2499" s="17"/>
      <c r="G2499" s="17"/>
      <c r="H2499" s="17"/>
      <c r="I2499" s="17"/>
    </row>
    <row r="2500" spans="2:9" ht="15.75" x14ac:dyDescent="0.25">
      <c r="B2500" s="411" t="s">
        <v>100</v>
      </c>
      <c r="C2500" s="412">
        <v>2035</v>
      </c>
      <c r="D2500" s="412" t="s">
        <v>2744</v>
      </c>
      <c r="E2500" s="413">
        <v>312.54293559708401</v>
      </c>
      <c r="F2500" s="17"/>
      <c r="G2500" s="17"/>
      <c r="H2500" s="17"/>
      <c r="I2500" s="17"/>
    </row>
    <row r="2501" spans="2:9" ht="15.75" x14ac:dyDescent="0.25">
      <c r="B2501" s="411" t="s">
        <v>100</v>
      </c>
      <c r="C2501" s="412">
        <v>2036</v>
      </c>
      <c r="D2501" s="412" t="s">
        <v>2745</v>
      </c>
      <c r="E2501" s="413">
        <v>308.96308539881426</v>
      </c>
      <c r="F2501" s="17"/>
      <c r="G2501" s="17"/>
      <c r="H2501" s="17"/>
      <c r="I2501" s="17"/>
    </row>
    <row r="2502" spans="2:9" ht="15.75" x14ac:dyDescent="0.25">
      <c r="B2502" s="411" t="s">
        <v>100</v>
      </c>
      <c r="C2502" s="412">
        <v>2037</v>
      </c>
      <c r="D2502" s="412" t="s">
        <v>2746</v>
      </c>
      <c r="E2502" s="413">
        <v>305.90377446994165</v>
      </c>
      <c r="F2502" s="17"/>
      <c r="G2502" s="17"/>
      <c r="H2502" s="17"/>
      <c r="I2502" s="17"/>
    </row>
    <row r="2503" spans="2:9" ht="15.75" x14ac:dyDescent="0.25">
      <c r="B2503" s="411" t="s">
        <v>100</v>
      </c>
      <c r="C2503" s="412">
        <v>2038</v>
      </c>
      <c r="D2503" s="412" t="s">
        <v>2747</v>
      </c>
      <c r="E2503" s="413">
        <v>303.30874144202232</v>
      </c>
      <c r="F2503" s="17"/>
      <c r="G2503" s="17"/>
      <c r="H2503" s="17"/>
      <c r="I2503" s="17"/>
    </row>
    <row r="2504" spans="2:9" ht="15.75" x14ac:dyDescent="0.25">
      <c r="B2504" s="411" t="s">
        <v>100</v>
      </c>
      <c r="C2504" s="412">
        <v>2039</v>
      </c>
      <c r="D2504" s="412" t="s">
        <v>2748</v>
      </c>
      <c r="E2504" s="413">
        <v>301.11097787213862</v>
      </c>
      <c r="F2504" s="17"/>
      <c r="G2504" s="17"/>
      <c r="H2504" s="17"/>
      <c r="I2504" s="17"/>
    </row>
    <row r="2505" spans="2:9" ht="15.75" x14ac:dyDescent="0.25">
      <c r="B2505" s="411" t="s">
        <v>100</v>
      </c>
      <c r="C2505" s="412">
        <v>2040</v>
      </c>
      <c r="D2505" s="412" t="s">
        <v>2749</v>
      </c>
      <c r="E2505" s="413">
        <v>299.26953669738765</v>
      </c>
      <c r="F2505" s="17"/>
      <c r="G2505" s="17"/>
      <c r="H2505" s="17"/>
      <c r="I2505" s="17"/>
    </row>
    <row r="2506" spans="2:9" ht="15.75" x14ac:dyDescent="0.25">
      <c r="B2506" s="411" t="s">
        <v>100</v>
      </c>
      <c r="C2506" s="412">
        <v>2041</v>
      </c>
      <c r="D2506" s="412" t="s">
        <v>2750</v>
      </c>
      <c r="E2506" s="413">
        <v>297.75200602250379</v>
      </c>
      <c r="F2506" s="17"/>
      <c r="G2506" s="17"/>
      <c r="H2506" s="17"/>
      <c r="I2506" s="17"/>
    </row>
    <row r="2507" spans="2:9" ht="15.75" x14ac:dyDescent="0.25">
      <c r="B2507" s="411" t="s">
        <v>100</v>
      </c>
      <c r="C2507" s="412">
        <v>2042</v>
      </c>
      <c r="D2507" s="412" t="s">
        <v>2751</v>
      </c>
      <c r="E2507" s="413">
        <v>296.47569005700274</v>
      </c>
      <c r="F2507" s="17"/>
      <c r="G2507" s="17"/>
      <c r="H2507" s="17"/>
      <c r="I2507" s="17"/>
    </row>
    <row r="2508" spans="2:9" ht="15.75" x14ac:dyDescent="0.25">
      <c r="B2508" s="411" t="s">
        <v>100</v>
      </c>
      <c r="C2508" s="412">
        <v>2043</v>
      </c>
      <c r="D2508" s="412" t="s">
        <v>2752</v>
      </c>
      <c r="E2508" s="413">
        <v>295.42763390699008</v>
      </c>
      <c r="F2508" s="17"/>
      <c r="G2508" s="17"/>
      <c r="H2508" s="17"/>
      <c r="I2508" s="17"/>
    </row>
    <row r="2509" spans="2:9" ht="15.75" x14ac:dyDescent="0.25">
      <c r="B2509" s="411" t="s">
        <v>100</v>
      </c>
      <c r="C2509" s="412">
        <v>2044</v>
      </c>
      <c r="D2509" s="412" t="s">
        <v>2753</v>
      </c>
      <c r="E2509" s="413">
        <v>294.5595394190704</v>
      </c>
      <c r="F2509" s="17"/>
      <c r="G2509" s="17"/>
      <c r="H2509" s="17"/>
      <c r="I2509" s="17"/>
    </row>
    <row r="2510" spans="2:9" ht="15.75" x14ac:dyDescent="0.25">
      <c r="B2510" s="411" t="s">
        <v>100</v>
      </c>
      <c r="C2510" s="412">
        <v>2045</v>
      </c>
      <c r="D2510" s="412" t="s">
        <v>2754</v>
      </c>
      <c r="E2510" s="413">
        <v>293.82234536669927</v>
      </c>
      <c r="F2510" s="17"/>
      <c r="G2510" s="17"/>
      <c r="H2510" s="17"/>
      <c r="I2510" s="17"/>
    </row>
    <row r="2511" spans="2:9" ht="15.75" x14ac:dyDescent="0.25">
      <c r="B2511" s="411" t="s">
        <v>100</v>
      </c>
      <c r="C2511" s="412">
        <v>2046</v>
      </c>
      <c r="D2511" s="412" t="s">
        <v>2755</v>
      </c>
      <c r="E2511" s="413">
        <v>293.20922057606236</v>
      </c>
      <c r="F2511" s="17"/>
      <c r="G2511" s="17"/>
      <c r="H2511" s="17"/>
      <c r="I2511" s="17"/>
    </row>
    <row r="2512" spans="2:9" ht="15.75" x14ac:dyDescent="0.25">
      <c r="B2512" s="411" t="s">
        <v>100</v>
      </c>
      <c r="C2512" s="412">
        <v>2047</v>
      </c>
      <c r="D2512" s="412" t="s">
        <v>2756</v>
      </c>
      <c r="E2512" s="413">
        <v>292.70097327570085</v>
      </c>
      <c r="F2512" s="17"/>
      <c r="G2512" s="17"/>
      <c r="H2512" s="17"/>
      <c r="I2512" s="17"/>
    </row>
    <row r="2513" spans="2:9" ht="15.75" x14ac:dyDescent="0.25">
      <c r="B2513" s="411" t="s">
        <v>100</v>
      </c>
      <c r="C2513" s="412">
        <v>2048</v>
      </c>
      <c r="D2513" s="412" t="s">
        <v>2757</v>
      </c>
      <c r="E2513" s="413">
        <v>292.27763458119978</v>
      </c>
      <c r="F2513" s="17"/>
      <c r="G2513" s="17"/>
      <c r="H2513" s="17"/>
      <c r="I2513" s="17"/>
    </row>
    <row r="2514" spans="2:9" ht="15.75" x14ac:dyDescent="0.25">
      <c r="B2514" s="411" t="s">
        <v>100</v>
      </c>
      <c r="C2514" s="412">
        <v>2049</v>
      </c>
      <c r="D2514" s="412" t="s">
        <v>2758</v>
      </c>
      <c r="E2514" s="413">
        <v>291.92288141815499</v>
      </c>
    </row>
    <row r="2515" spans="2:9" ht="15.75" x14ac:dyDescent="0.25">
      <c r="B2515" s="411" t="s">
        <v>100</v>
      </c>
      <c r="C2515" s="412">
        <v>2050</v>
      </c>
      <c r="D2515" s="412" t="s">
        <v>2759</v>
      </c>
      <c r="E2515" s="413">
        <v>291.63503102441467</v>
      </c>
    </row>
    <row r="2516" spans="2:9" ht="15.75" x14ac:dyDescent="0.25">
      <c r="B2516" s="407" t="s">
        <v>101</v>
      </c>
      <c r="C2516" s="408">
        <v>2015</v>
      </c>
      <c r="D2516" s="409" t="s">
        <v>317</v>
      </c>
      <c r="E2516" s="410">
        <v>590.88826338203444</v>
      </c>
    </row>
    <row r="2517" spans="2:9" ht="15.75" x14ac:dyDescent="0.25">
      <c r="B2517" s="407" t="s">
        <v>101</v>
      </c>
      <c r="C2517" s="408">
        <v>2016</v>
      </c>
      <c r="D2517" s="409" t="s">
        <v>318</v>
      </c>
      <c r="E2517" s="410">
        <v>579.97610791025761</v>
      </c>
    </row>
    <row r="2518" spans="2:9" ht="15.75" x14ac:dyDescent="0.25">
      <c r="B2518" s="411" t="s">
        <v>101</v>
      </c>
      <c r="C2518" s="412">
        <v>2017</v>
      </c>
      <c r="D2518" s="412" t="s">
        <v>2760</v>
      </c>
      <c r="E2518" s="413">
        <v>565.75263622182047</v>
      </c>
    </row>
    <row r="2519" spans="2:9" ht="15.75" x14ac:dyDescent="0.25">
      <c r="B2519" s="411" t="s">
        <v>101</v>
      </c>
      <c r="C2519" s="412">
        <v>2018</v>
      </c>
      <c r="D2519" s="412" t="s">
        <v>2761</v>
      </c>
      <c r="E2519" s="413">
        <v>551.25797580938536</v>
      </c>
    </row>
    <row r="2520" spans="2:9" ht="15.75" x14ac:dyDescent="0.25">
      <c r="B2520" s="411" t="s">
        <v>101</v>
      </c>
      <c r="C2520" s="412">
        <v>2019</v>
      </c>
      <c r="D2520" s="412" t="s">
        <v>2762</v>
      </c>
      <c r="E2520" s="413">
        <v>536.20486433466669</v>
      </c>
    </row>
    <row r="2521" spans="2:9" ht="15.75" x14ac:dyDescent="0.25">
      <c r="B2521" s="411" t="s">
        <v>101</v>
      </c>
      <c r="C2521" s="412">
        <v>2020</v>
      </c>
      <c r="D2521" s="412" t="s">
        <v>2763</v>
      </c>
      <c r="E2521" s="413">
        <v>520.90892119748935</v>
      </c>
    </row>
    <row r="2522" spans="2:9" ht="15.75" x14ac:dyDescent="0.25">
      <c r="B2522" s="411" t="s">
        <v>101</v>
      </c>
      <c r="C2522" s="412">
        <v>2021</v>
      </c>
      <c r="D2522" s="412" t="s">
        <v>2764</v>
      </c>
      <c r="E2522" s="413">
        <v>505.35323753720229</v>
      </c>
    </row>
    <row r="2523" spans="2:9" ht="15.75" x14ac:dyDescent="0.25">
      <c r="B2523" s="411" t="s">
        <v>101</v>
      </c>
      <c r="C2523" s="412">
        <v>2022</v>
      </c>
      <c r="D2523" s="412" t="s">
        <v>2765</v>
      </c>
      <c r="E2523" s="413">
        <v>490.05539528114645</v>
      </c>
    </row>
    <row r="2524" spans="2:9" ht="15.75" x14ac:dyDescent="0.25">
      <c r="B2524" s="411" t="s">
        <v>101</v>
      </c>
      <c r="C2524" s="412">
        <v>2023</v>
      </c>
      <c r="D2524" s="412" t="s">
        <v>2766</v>
      </c>
      <c r="E2524" s="413">
        <v>474.8429617697202</v>
      </c>
    </row>
    <row r="2525" spans="2:9" ht="15.75" x14ac:dyDescent="0.25">
      <c r="B2525" s="411" t="s">
        <v>101</v>
      </c>
      <c r="C2525" s="412">
        <v>2024</v>
      </c>
      <c r="D2525" s="412" t="s">
        <v>2767</v>
      </c>
      <c r="E2525" s="413">
        <v>459.84077882143731</v>
      </c>
    </row>
    <row r="2526" spans="2:9" ht="15.75" x14ac:dyDescent="0.25">
      <c r="B2526" s="411" t="s">
        <v>101</v>
      </c>
      <c r="C2526" s="412">
        <v>2025</v>
      </c>
      <c r="D2526" s="412" t="s">
        <v>2768</v>
      </c>
      <c r="E2526" s="413">
        <v>445.05867904912481</v>
      </c>
    </row>
    <row r="2527" spans="2:9" ht="15.75" x14ac:dyDescent="0.25">
      <c r="B2527" s="411" t="s">
        <v>101</v>
      </c>
      <c r="C2527" s="412">
        <v>2026</v>
      </c>
      <c r="D2527" s="412" t="s">
        <v>2769</v>
      </c>
      <c r="E2527" s="413">
        <v>431.63224961547365</v>
      </c>
    </row>
    <row r="2528" spans="2:9" ht="15.75" x14ac:dyDescent="0.25">
      <c r="B2528" s="411" t="s">
        <v>101</v>
      </c>
      <c r="C2528" s="412">
        <v>2027</v>
      </c>
      <c r="D2528" s="412" t="s">
        <v>2770</v>
      </c>
      <c r="E2528" s="413">
        <v>419.36646675180657</v>
      </c>
    </row>
    <row r="2529" spans="2:5" ht="15.75" x14ac:dyDescent="0.25">
      <c r="B2529" s="411" t="s">
        <v>101</v>
      </c>
      <c r="C2529" s="412">
        <v>2028</v>
      </c>
      <c r="D2529" s="412" t="s">
        <v>2771</v>
      </c>
      <c r="E2529" s="413">
        <v>408.25815978361726</v>
      </c>
    </row>
    <row r="2530" spans="2:5" ht="15.75" x14ac:dyDescent="0.25">
      <c r="B2530" s="411" t="s">
        <v>101</v>
      </c>
      <c r="C2530" s="412">
        <v>2029</v>
      </c>
      <c r="D2530" s="412" t="s">
        <v>2772</v>
      </c>
      <c r="E2530" s="413">
        <v>398.25509724841083</v>
      </c>
    </row>
    <row r="2531" spans="2:5" ht="15.75" x14ac:dyDescent="0.25">
      <c r="B2531" s="411" t="s">
        <v>101</v>
      </c>
      <c r="C2531" s="412">
        <v>2030</v>
      </c>
      <c r="D2531" s="412" t="s">
        <v>2773</v>
      </c>
      <c r="E2531" s="413">
        <v>389.270517510388</v>
      </c>
    </row>
    <row r="2532" spans="2:5" ht="15.75" x14ac:dyDescent="0.25">
      <c r="B2532" s="411" t="s">
        <v>101</v>
      </c>
      <c r="C2532" s="412">
        <v>2031</v>
      </c>
      <c r="D2532" s="412" t="s">
        <v>2774</v>
      </c>
      <c r="E2532" s="413">
        <v>381.20328890183794</v>
      </c>
    </row>
    <row r="2533" spans="2:5" ht="15.75" x14ac:dyDescent="0.25">
      <c r="B2533" s="411" t="s">
        <v>101</v>
      </c>
      <c r="C2533" s="412">
        <v>2032</v>
      </c>
      <c r="D2533" s="412" t="s">
        <v>2775</v>
      </c>
      <c r="E2533" s="413">
        <v>374.03838737271667</v>
      </c>
    </row>
    <row r="2534" spans="2:5" ht="15.75" x14ac:dyDescent="0.25">
      <c r="B2534" s="411" t="s">
        <v>101</v>
      </c>
      <c r="C2534" s="412">
        <v>2033</v>
      </c>
      <c r="D2534" s="412" t="s">
        <v>2776</v>
      </c>
      <c r="E2534" s="413">
        <v>367.6698297424017</v>
      </c>
    </row>
    <row r="2535" spans="2:5" ht="15.75" x14ac:dyDescent="0.25">
      <c r="B2535" s="411" t="s">
        <v>101</v>
      </c>
      <c r="C2535" s="412">
        <v>2034</v>
      </c>
      <c r="D2535" s="412" t="s">
        <v>2777</v>
      </c>
      <c r="E2535" s="413">
        <v>362.04805756154639</v>
      </c>
    </row>
    <row r="2536" spans="2:5" ht="15.75" x14ac:dyDescent="0.25">
      <c r="B2536" s="411" t="s">
        <v>101</v>
      </c>
      <c r="C2536" s="412">
        <v>2035</v>
      </c>
      <c r="D2536" s="412" t="s">
        <v>2778</v>
      </c>
      <c r="E2536" s="413">
        <v>357.13596178951269</v>
      </c>
    </row>
    <row r="2537" spans="2:5" ht="15.75" x14ac:dyDescent="0.25">
      <c r="B2537" s="411" t="s">
        <v>101</v>
      </c>
      <c r="C2537" s="412">
        <v>2036</v>
      </c>
      <c r="D2537" s="412" t="s">
        <v>2779</v>
      </c>
      <c r="E2537" s="413">
        <v>352.82342856943183</v>
      </c>
    </row>
    <row r="2538" spans="2:5" ht="15.75" x14ac:dyDescent="0.25">
      <c r="B2538" s="411" t="s">
        <v>101</v>
      </c>
      <c r="C2538" s="412">
        <v>2037</v>
      </c>
      <c r="D2538" s="412" t="s">
        <v>2780</v>
      </c>
      <c r="E2538" s="413">
        <v>349.10963238969089</v>
      </c>
    </row>
    <row r="2539" spans="2:5" ht="15.75" x14ac:dyDescent="0.25">
      <c r="B2539" s="411" t="s">
        <v>101</v>
      </c>
      <c r="C2539" s="412">
        <v>2038</v>
      </c>
      <c r="D2539" s="412" t="s">
        <v>2781</v>
      </c>
      <c r="E2539" s="413">
        <v>345.92705125689571</v>
      </c>
    </row>
    <row r="2540" spans="2:5" ht="15.75" x14ac:dyDescent="0.25">
      <c r="B2540" s="411" t="s">
        <v>101</v>
      </c>
      <c r="C2540" s="412">
        <v>2039</v>
      </c>
      <c r="D2540" s="412" t="s">
        <v>2782</v>
      </c>
      <c r="E2540" s="413">
        <v>343.18359920615757</v>
      </c>
    </row>
    <row r="2541" spans="2:5" ht="15.75" x14ac:dyDescent="0.25">
      <c r="B2541" s="411" t="s">
        <v>101</v>
      </c>
      <c r="C2541" s="412">
        <v>2040</v>
      </c>
      <c r="D2541" s="412" t="s">
        <v>2783</v>
      </c>
      <c r="E2541" s="413">
        <v>340.82496088648577</v>
      </c>
    </row>
    <row r="2542" spans="2:5" ht="15.75" x14ac:dyDescent="0.25">
      <c r="B2542" s="411" t="s">
        <v>101</v>
      </c>
      <c r="C2542" s="412">
        <v>2041</v>
      </c>
      <c r="D2542" s="412" t="s">
        <v>2784</v>
      </c>
      <c r="E2542" s="413">
        <v>338.87757514474697</v>
      </c>
    </row>
    <row r="2543" spans="2:5" ht="15.75" x14ac:dyDescent="0.25">
      <c r="B2543" s="411" t="s">
        <v>101</v>
      </c>
      <c r="C2543" s="412">
        <v>2042</v>
      </c>
      <c r="D2543" s="412" t="s">
        <v>2785</v>
      </c>
      <c r="E2543" s="413">
        <v>337.19858156471707</v>
      </c>
    </row>
    <row r="2544" spans="2:5" ht="15.75" x14ac:dyDescent="0.25">
      <c r="B2544" s="411" t="s">
        <v>101</v>
      </c>
      <c r="C2544" s="412">
        <v>2043</v>
      </c>
      <c r="D2544" s="412" t="s">
        <v>2786</v>
      </c>
      <c r="E2544" s="413">
        <v>335.7956058770979</v>
      </c>
    </row>
    <row r="2545" spans="2:5" ht="15.75" x14ac:dyDescent="0.25">
      <c r="B2545" s="411" t="s">
        <v>101</v>
      </c>
      <c r="C2545" s="412">
        <v>2044</v>
      </c>
      <c r="D2545" s="412" t="s">
        <v>2787</v>
      </c>
      <c r="E2545" s="413">
        <v>334.60820603126012</v>
      </c>
    </row>
    <row r="2546" spans="2:5" ht="15.75" x14ac:dyDescent="0.25">
      <c r="B2546" s="411" t="s">
        <v>101</v>
      </c>
      <c r="C2546" s="412">
        <v>2045</v>
      </c>
      <c r="D2546" s="412" t="s">
        <v>2788</v>
      </c>
      <c r="E2546" s="413">
        <v>333.57179026109895</v>
      </c>
    </row>
    <row r="2547" spans="2:5" ht="15.75" x14ac:dyDescent="0.25">
      <c r="B2547" s="411" t="s">
        <v>101</v>
      </c>
      <c r="C2547" s="412">
        <v>2046</v>
      </c>
      <c r="D2547" s="412" t="s">
        <v>2789</v>
      </c>
      <c r="E2547" s="413">
        <v>332.68887593923</v>
      </c>
    </row>
    <row r="2548" spans="2:5" ht="15.75" x14ac:dyDescent="0.25">
      <c r="B2548" s="411" t="s">
        <v>101</v>
      </c>
      <c r="C2548" s="412">
        <v>2047</v>
      </c>
      <c r="D2548" s="412" t="s">
        <v>2790</v>
      </c>
      <c r="E2548" s="413">
        <v>331.93580048891562</v>
      </c>
    </row>
    <row r="2549" spans="2:5" ht="15.75" x14ac:dyDescent="0.25">
      <c r="B2549" s="411" t="s">
        <v>101</v>
      </c>
      <c r="C2549" s="412">
        <v>2048</v>
      </c>
      <c r="D2549" s="412" t="s">
        <v>2791</v>
      </c>
      <c r="E2549" s="413">
        <v>331.29882746110803</v>
      </c>
    </row>
    <row r="2550" spans="2:5" ht="15.75" x14ac:dyDescent="0.25">
      <c r="B2550" s="411" t="s">
        <v>101</v>
      </c>
      <c r="C2550" s="412">
        <v>2049</v>
      </c>
      <c r="D2550" s="412" t="s">
        <v>2792</v>
      </c>
      <c r="E2550" s="413">
        <v>330.75700804853409</v>
      </c>
    </row>
    <row r="2551" spans="2:5" ht="15.75" x14ac:dyDescent="0.25">
      <c r="B2551" s="411" t="s">
        <v>101</v>
      </c>
      <c r="C2551" s="412">
        <v>2050</v>
      </c>
      <c r="D2551" s="412" t="s">
        <v>2793</v>
      </c>
      <c r="E2551" s="413">
        <v>330.30314820966373</v>
      </c>
    </row>
    <row r="2552" spans="2:5" ht="15.75" x14ac:dyDescent="0.25">
      <c r="B2552" s="407" t="s">
        <v>102</v>
      </c>
      <c r="C2552" s="408">
        <v>2015</v>
      </c>
      <c r="D2552" s="409" t="s">
        <v>319</v>
      </c>
      <c r="E2552" s="410">
        <v>523.5008600448391</v>
      </c>
    </row>
    <row r="2553" spans="2:5" ht="15.75" x14ac:dyDescent="0.25">
      <c r="B2553" s="407" t="s">
        <v>102</v>
      </c>
      <c r="C2553" s="408">
        <v>2016</v>
      </c>
      <c r="D2553" s="409" t="s">
        <v>320</v>
      </c>
      <c r="E2553" s="410">
        <v>513.08351768491116</v>
      </c>
    </row>
    <row r="2554" spans="2:5" ht="15.75" x14ac:dyDescent="0.25">
      <c r="B2554" s="411" t="s">
        <v>102</v>
      </c>
      <c r="C2554" s="412">
        <v>2017</v>
      </c>
      <c r="D2554" s="412" t="s">
        <v>2794</v>
      </c>
      <c r="E2554" s="413">
        <v>500.58334946663507</v>
      </c>
    </row>
    <row r="2555" spans="2:5" ht="15.75" x14ac:dyDescent="0.25">
      <c r="B2555" s="411" t="s">
        <v>102</v>
      </c>
      <c r="C2555" s="412">
        <v>2018</v>
      </c>
      <c r="D2555" s="412" t="s">
        <v>2795</v>
      </c>
      <c r="E2555" s="413">
        <v>486.2130887275365</v>
      </c>
    </row>
    <row r="2556" spans="2:5" ht="15.75" x14ac:dyDescent="0.25">
      <c r="B2556" s="411" t="s">
        <v>102</v>
      </c>
      <c r="C2556" s="412">
        <v>2019</v>
      </c>
      <c r="D2556" s="412" t="s">
        <v>2796</v>
      </c>
      <c r="E2556" s="413">
        <v>472.3536646444885</v>
      </c>
    </row>
    <row r="2557" spans="2:5" ht="15.75" x14ac:dyDescent="0.25">
      <c r="B2557" s="411" t="s">
        <v>102</v>
      </c>
      <c r="C2557" s="412">
        <v>2020</v>
      </c>
      <c r="D2557" s="412" t="s">
        <v>2797</v>
      </c>
      <c r="E2557" s="413">
        <v>458.25184172722106</v>
      </c>
    </row>
    <row r="2558" spans="2:5" ht="15.75" x14ac:dyDescent="0.25">
      <c r="B2558" s="411" t="s">
        <v>102</v>
      </c>
      <c r="C2558" s="412">
        <v>2021</v>
      </c>
      <c r="D2558" s="412" t="s">
        <v>2798</v>
      </c>
      <c r="E2558" s="413">
        <v>444.31251432270193</v>
      </c>
    </row>
    <row r="2559" spans="2:5" ht="15.75" x14ac:dyDescent="0.25">
      <c r="B2559" s="411" t="s">
        <v>102</v>
      </c>
      <c r="C2559" s="412">
        <v>2022</v>
      </c>
      <c r="D2559" s="412" t="s">
        <v>2799</v>
      </c>
      <c r="E2559" s="413">
        <v>430.24661131549612</v>
      </c>
    </row>
    <row r="2560" spans="2:5" ht="15.75" x14ac:dyDescent="0.25">
      <c r="B2560" s="411" t="s">
        <v>102</v>
      </c>
      <c r="C2560" s="412">
        <v>2023</v>
      </c>
      <c r="D2560" s="412" t="s">
        <v>2800</v>
      </c>
      <c r="E2560" s="413">
        <v>416.34002432224622</v>
      </c>
    </row>
    <row r="2561" spans="2:5" ht="15.75" x14ac:dyDescent="0.25">
      <c r="B2561" s="411" t="s">
        <v>102</v>
      </c>
      <c r="C2561" s="412">
        <v>2024</v>
      </c>
      <c r="D2561" s="412" t="s">
        <v>2801</v>
      </c>
      <c r="E2561" s="413">
        <v>402.20543574624958</v>
      </c>
    </row>
    <row r="2562" spans="2:5" ht="15.75" x14ac:dyDescent="0.25">
      <c r="B2562" s="411" t="s">
        <v>102</v>
      </c>
      <c r="C2562" s="412">
        <v>2025</v>
      </c>
      <c r="D2562" s="412" t="s">
        <v>2802</v>
      </c>
      <c r="E2562" s="413">
        <v>388.80086336793732</v>
      </c>
    </row>
    <row r="2563" spans="2:5" ht="15.75" x14ac:dyDescent="0.25">
      <c r="B2563" s="411" t="s">
        <v>102</v>
      </c>
      <c r="C2563" s="412">
        <v>2026</v>
      </c>
      <c r="D2563" s="412" t="s">
        <v>2803</v>
      </c>
      <c r="E2563" s="413">
        <v>375.82009571268674</v>
      </c>
    </row>
    <row r="2564" spans="2:5" ht="15.75" x14ac:dyDescent="0.25">
      <c r="B2564" s="411" t="s">
        <v>102</v>
      </c>
      <c r="C2564" s="412">
        <v>2027</v>
      </c>
      <c r="D2564" s="412" t="s">
        <v>2804</v>
      </c>
      <c r="E2564" s="413">
        <v>364.5020880943573</v>
      </c>
    </row>
    <row r="2565" spans="2:5" ht="15.75" x14ac:dyDescent="0.25">
      <c r="B2565" s="411" t="s">
        <v>102</v>
      </c>
      <c r="C2565" s="412">
        <v>2028</v>
      </c>
      <c r="D2565" s="412" t="s">
        <v>2805</v>
      </c>
      <c r="E2565" s="413">
        <v>354.26058215808274</v>
      </c>
    </row>
    <row r="2566" spans="2:5" ht="15.75" x14ac:dyDescent="0.25">
      <c r="B2566" s="411" t="s">
        <v>102</v>
      </c>
      <c r="C2566" s="412">
        <v>2029</v>
      </c>
      <c r="D2566" s="412" t="s">
        <v>2806</v>
      </c>
      <c r="E2566" s="413">
        <v>345.00840855557504</v>
      </c>
    </row>
    <row r="2567" spans="2:5" ht="15.75" x14ac:dyDescent="0.25">
      <c r="B2567" s="411" t="s">
        <v>102</v>
      </c>
      <c r="C2567" s="412">
        <v>2030</v>
      </c>
      <c r="D2567" s="412" t="s">
        <v>2807</v>
      </c>
      <c r="E2567" s="413">
        <v>336.70098030238023</v>
      </c>
    </row>
    <row r="2568" spans="2:5" ht="15.75" x14ac:dyDescent="0.25">
      <c r="B2568" s="411" t="s">
        <v>102</v>
      </c>
      <c r="C2568" s="412">
        <v>2031</v>
      </c>
      <c r="D2568" s="412" t="s">
        <v>2808</v>
      </c>
      <c r="E2568" s="413">
        <v>329.28514928889996</v>
      </c>
    </row>
    <row r="2569" spans="2:5" ht="15.75" x14ac:dyDescent="0.25">
      <c r="B2569" s="411" t="s">
        <v>102</v>
      </c>
      <c r="C2569" s="412">
        <v>2032</v>
      </c>
      <c r="D2569" s="412" t="s">
        <v>2809</v>
      </c>
      <c r="E2569" s="413">
        <v>322.68738568910447</v>
      </c>
    </row>
    <row r="2570" spans="2:5" ht="15.75" x14ac:dyDescent="0.25">
      <c r="B2570" s="411" t="s">
        <v>102</v>
      </c>
      <c r="C2570" s="412">
        <v>2033</v>
      </c>
      <c r="D2570" s="412" t="s">
        <v>2810</v>
      </c>
      <c r="E2570" s="413">
        <v>316.84213932373825</v>
      </c>
    </row>
    <row r="2571" spans="2:5" ht="15.75" x14ac:dyDescent="0.25">
      <c r="B2571" s="411" t="s">
        <v>102</v>
      </c>
      <c r="C2571" s="412">
        <v>2034</v>
      </c>
      <c r="D2571" s="412" t="s">
        <v>2811</v>
      </c>
      <c r="E2571" s="413">
        <v>311.70044115915346</v>
      </c>
    </row>
    <row r="2572" spans="2:5" ht="15.75" x14ac:dyDescent="0.25">
      <c r="B2572" s="411" t="s">
        <v>102</v>
      </c>
      <c r="C2572" s="412">
        <v>2035</v>
      </c>
      <c r="D2572" s="412" t="s">
        <v>2812</v>
      </c>
      <c r="E2572" s="413">
        <v>307.21748635856261</v>
      </c>
    </row>
    <row r="2573" spans="2:5" ht="15.75" x14ac:dyDescent="0.25">
      <c r="B2573" s="411" t="s">
        <v>102</v>
      </c>
      <c r="C2573" s="412">
        <v>2036</v>
      </c>
      <c r="D2573" s="412" t="s">
        <v>2813</v>
      </c>
      <c r="E2573" s="413">
        <v>303.32054421214059</v>
      </c>
    </row>
    <row r="2574" spans="2:5" ht="15.75" x14ac:dyDescent="0.25">
      <c r="B2574" s="411" t="s">
        <v>102</v>
      </c>
      <c r="C2574" s="412">
        <v>2037</v>
      </c>
      <c r="D2574" s="412" t="s">
        <v>2814</v>
      </c>
      <c r="E2574" s="413">
        <v>299.96926454711399</v>
      </c>
    </row>
    <row r="2575" spans="2:5" ht="15.75" x14ac:dyDescent="0.25">
      <c r="B2575" s="411" t="s">
        <v>102</v>
      </c>
      <c r="C2575" s="412">
        <v>2038</v>
      </c>
      <c r="D2575" s="412" t="s">
        <v>2815</v>
      </c>
      <c r="E2575" s="413">
        <v>297.12104122751163</v>
      </c>
    </row>
    <row r="2576" spans="2:5" ht="15.75" x14ac:dyDescent="0.25">
      <c r="B2576" s="411" t="s">
        <v>102</v>
      </c>
      <c r="C2576" s="412">
        <v>2039</v>
      </c>
      <c r="D2576" s="412" t="s">
        <v>2816</v>
      </c>
      <c r="E2576" s="413">
        <v>294.70590572549168</v>
      </c>
    </row>
    <row r="2577" spans="2:5" ht="15.75" x14ac:dyDescent="0.25">
      <c r="B2577" s="411" t="s">
        <v>102</v>
      </c>
      <c r="C2577" s="412">
        <v>2040</v>
      </c>
      <c r="D2577" s="412" t="s">
        <v>2817</v>
      </c>
      <c r="E2577" s="413">
        <v>292.68025362003016</v>
      </c>
    </row>
    <row r="2578" spans="2:5" ht="15.75" x14ac:dyDescent="0.25">
      <c r="B2578" s="411" t="s">
        <v>102</v>
      </c>
      <c r="C2578" s="412">
        <v>2041</v>
      </c>
      <c r="D2578" s="412" t="s">
        <v>2818</v>
      </c>
      <c r="E2578" s="413">
        <v>291.01308727824124</v>
      </c>
    </row>
    <row r="2579" spans="2:5" ht="15.75" x14ac:dyDescent="0.25">
      <c r="B2579" s="411" t="s">
        <v>102</v>
      </c>
      <c r="C2579" s="412">
        <v>2042</v>
      </c>
      <c r="D2579" s="412" t="s">
        <v>2819</v>
      </c>
      <c r="E2579" s="413">
        <v>289.62388137121962</v>
      </c>
    </row>
    <row r="2580" spans="2:5" ht="15.75" x14ac:dyDescent="0.25">
      <c r="B2580" s="411" t="s">
        <v>102</v>
      </c>
      <c r="C2580" s="412">
        <v>2043</v>
      </c>
      <c r="D2580" s="412" t="s">
        <v>2820</v>
      </c>
      <c r="E2580" s="413">
        <v>288.48721282396895</v>
      </c>
    </row>
    <row r="2581" spans="2:5" ht="15.75" x14ac:dyDescent="0.25">
      <c r="B2581" s="411" t="s">
        <v>102</v>
      </c>
      <c r="C2581" s="412">
        <v>2044</v>
      </c>
      <c r="D2581" s="412" t="s">
        <v>2821</v>
      </c>
      <c r="E2581" s="413">
        <v>287.54403542523409</v>
      </c>
    </row>
    <row r="2582" spans="2:5" ht="15.75" x14ac:dyDescent="0.25">
      <c r="B2582" s="411" t="s">
        <v>102</v>
      </c>
      <c r="C2582" s="412">
        <v>2045</v>
      </c>
      <c r="D2582" s="412" t="s">
        <v>2822</v>
      </c>
      <c r="E2582" s="413">
        <v>286.74675840568909</v>
      </c>
    </row>
    <row r="2583" spans="2:5" ht="15.75" x14ac:dyDescent="0.25">
      <c r="B2583" s="411" t="s">
        <v>102</v>
      </c>
      <c r="C2583" s="412">
        <v>2046</v>
      </c>
      <c r="D2583" s="412" t="s">
        <v>2823</v>
      </c>
      <c r="E2583" s="413">
        <v>286.0749320380192</v>
      </c>
    </row>
    <row r="2584" spans="2:5" ht="15.75" x14ac:dyDescent="0.25">
      <c r="B2584" s="411" t="s">
        <v>102</v>
      </c>
      <c r="C2584" s="412">
        <v>2047</v>
      </c>
      <c r="D2584" s="412" t="s">
        <v>2824</v>
      </c>
      <c r="E2584" s="413">
        <v>285.52335653125124</v>
      </c>
    </row>
    <row r="2585" spans="2:5" ht="15.75" x14ac:dyDescent="0.25">
      <c r="B2585" s="411" t="s">
        <v>102</v>
      </c>
      <c r="C2585" s="412">
        <v>2048</v>
      </c>
      <c r="D2585" s="412" t="s">
        <v>2825</v>
      </c>
      <c r="E2585" s="413">
        <v>285.06689361995149</v>
      </c>
    </row>
    <row r="2586" spans="2:5" ht="15.75" x14ac:dyDescent="0.25">
      <c r="B2586" s="411" t="s">
        <v>102</v>
      </c>
      <c r="C2586" s="412">
        <v>2049</v>
      </c>
      <c r="D2586" s="412" t="s">
        <v>2826</v>
      </c>
      <c r="E2586" s="413">
        <v>284.68636778452623</v>
      </c>
    </row>
    <row r="2587" spans="2:5" ht="15.75" x14ac:dyDescent="0.25">
      <c r="B2587" s="411" t="s">
        <v>102</v>
      </c>
      <c r="C2587" s="412">
        <v>2050</v>
      </c>
      <c r="D2587" s="412" t="s">
        <v>2827</v>
      </c>
      <c r="E2587" s="413">
        <v>284.38096492358807</v>
      </c>
    </row>
    <row r="2588" spans="2:5" ht="15.75" x14ac:dyDescent="0.25">
      <c r="B2588" s="407" t="s">
        <v>103</v>
      </c>
      <c r="C2588" s="408">
        <v>2015</v>
      </c>
      <c r="D2588" s="409" t="s">
        <v>321</v>
      </c>
      <c r="E2588" s="410">
        <v>554.93070707290383</v>
      </c>
    </row>
    <row r="2589" spans="2:5" ht="15.75" x14ac:dyDescent="0.25">
      <c r="B2589" s="407" t="s">
        <v>103</v>
      </c>
      <c r="C2589" s="408">
        <v>2016</v>
      </c>
      <c r="D2589" s="409" t="s">
        <v>322</v>
      </c>
      <c r="E2589" s="410">
        <v>547.29946283014135</v>
      </c>
    </row>
    <row r="2590" spans="2:5" ht="15.75" x14ac:dyDescent="0.25">
      <c r="B2590" s="411" t="s">
        <v>103</v>
      </c>
      <c r="C2590" s="412">
        <v>2017</v>
      </c>
      <c r="D2590" s="412" t="s">
        <v>2828</v>
      </c>
      <c r="E2590" s="413">
        <v>535.56398218946083</v>
      </c>
    </row>
    <row r="2591" spans="2:5" ht="15.75" x14ac:dyDescent="0.25">
      <c r="B2591" s="411" t="s">
        <v>103</v>
      </c>
      <c r="C2591" s="412">
        <v>2018</v>
      </c>
      <c r="D2591" s="412" t="s">
        <v>2829</v>
      </c>
      <c r="E2591" s="413">
        <v>523.23890564113435</v>
      </c>
    </row>
    <row r="2592" spans="2:5" ht="15.75" x14ac:dyDescent="0.25">
      <c r="B2592" s="411" t="s">
        <v>103</v>
      </c>
      <c r="C2592" s="412">
        <v>2019</v>
      </c>
      <c r="D2592" s="412" t="s">
        <v>2830</v>
      </c>
      <c r="E2592" s="413">
        <v>509.95917691089835</v>
      </c>
    </row>
    <row r="2593" spans="2:5" ht="15.75" x14ac:dyDescent="0.25">
      <c r="B2593" s="411" t="s">
        <v>103</v>
      </c>
      <c r="C2593" s="412">
        <v>2020</v>
      </c>
      <c r="D2593" s="412" t="s">
        <v>2831</v>
      </c>
      <c r="E2593" s="413">
        <v>495.97511406648135</v>
      </c>
    </row>
    <row r="2594" spans="2:5" ht="15.75" x14ac:dyDescent="0.25">
      <c r="B2594" s="411" t="s">
        <v>103</v>
      </c>
      <c r="C2594" s="412">
        <v>2021</v>
      </c>
      <c r="D2594" s="412" t="s">
        <v>2832</v>
      </c>
      <c r="E2594" s="413">
        <v>481.35652409437313</v>
      </c>
    </row>
    <row r="2595" spans="2:5" ht="15.75" x14ac:dyDescent="0.25">
      <c r="B2595" s="411" t="s">
        <v>103</v>
      </c>
      <c r="C2595" s="412">
        <v>2022</v>
      </c>
      <c r="D2595" s="412" t="s">
        <v>2833</v>
      </c>
      <c r="E2595" s="413">
        <v>466.49450271291965</v>
      </c>
    </row>
    <row r="2596" spans="2:5" ht="15.75" x14ac:dyDescent="0.25">
      <c r="B2596" s="411" t="s">
        <v>103</v>
      </c>
      <c r="C2596" s="412">
        <v>2023</v>
      </c>
      <c r="D2596" s="412" t="s">
        <v>2834</v>
      </c>
      <c r="E2596" s="413">
        <v>451.61518515970187</v>
      </c>
    </row>
    <row r="2597" spans="2:5" ht="15.75" x14ac:dyDescent="0.25">
      <c r="B2597" s="411" t="s">
        <v>103</v>
      </c>
      <c r="C2597" s="412">
        <v>2024</v>
      </c>
      <c r="D2597" s="412" t="s">
        <v>2835</v>
      </c>
      <c r="E2597" s="413">
        <v>436.73155004742023</v>
      </c>
    </row>
    <row r="2598" spans="2:5" ht="15.75" x14ac:dyDescent="0.25">
      <c r="B2598" s="411" t="s">
        <v>103</v>
      </c>
      <c r="C2598" s="412">
        <v>2025</v>
      </c>
      <c r="D2598" s="412" t="s">
        <v>2836</v>
      </c>
      <c r="E2598" s="413">
        <v>422.22247233907939</v>
      </c>
    </row>
    <row r="2599" spans="2:5" ht="15.75" x14ac:dyDescent="0.25">
      <c r="B2599" s="411" t="s">
        <v>103</v>
      </c>
      <c r="C2599" s="412">
        <v>2026</v>
      </c>
      <c r="D2599" s="412" t="s">
        <v>2837</v>
      </c>
      <c r="E2599" s="413">
        <v>408.67454679193901</v>
      </c>
    </row>
    <row r="2600" spans="2:5" ht="15.75" x14ac:dyDescent="0.25">
      <c r="B2600" s="411" t="s">
        <v>103</v>
      </c>
      <c r="C2600" s="412">
        <v>2027</v>
      </c>
      <c r="D2600" s="412" t="s">
        <v>2838</v>
      </c>
      <c r="E2600" s="413">
        <v>395.95895519764963</v>
      </c>
    </row>
    <row r="2601" spans="2:5" ht="15.75" x14ac:dyDescent="0.25">
      <c r="B2601" s="411" t="s">
        <v>103</v>
      </c>
      <c r="C2601" s="412">
        <v>2028</v>
      </c>
      <c r="D2601" s="412" t="s">
        <v>2839</v>
      </c>
      <c r="E2601" s="413">
        <v>384.194128183624</v>
      </c>
    </row>
    <row r="2602" spans="2:5" ht="15.75" x14ac:dyDescent="0.25">
      <c r="B2602" s="411" t="s">
        <v>103</v>
      </c>
      <c r="C2602" s="412">
        <v>2029</v>
      </c>
      <c r="D2602" s="412" t="s">
        <v>2840</v>
      </c>
      <c r="E2602" s="413">
        <v>373.34494191527483</v>
      </c>
    </row>
    <row r="2603" spans="2:5" ht="15.75" x14ac:dyDescent="0.25">
      <c r="B2603" s="411" t="s">
        <v>103</v>
      </c>
      <c r="C2603" s="412">
        <v>2030</v>
      </c>
      <c r="D2603" s="412" t="s">
        <v>2841</v>
      </c>
      <c r="E2603" s="413">
        <v>363.50009525081805</v>
      </c>
    </row>
    <row r="2604" spans="2:5" ht="15.75" x14ac:dyDescent="0.25">
      <c r="B2604" s="411" t="s">
        <v>103</v>
      </c>
      <c r="C2604" s="412">
        <v>2031</v>
      </c>
      <c r="D2604" s="412" t="s">
        <v>2842</v>
      </c>
      <c r="E2604" s="413">
        <v>354.56592307957175</v>
      </c>
    </row>
    <row r="2605" spans="2:5" ht="15.75" x14ac:dyDescent="0.25">
      <c r="B2605" s="411" t="s">
        <v>103</v>
      </c>
      <c r="C2605" s="412">
        <v>2032</v>
      </c>
      <c r="D2605" s="412" t="s">
        <v>2843</v>
      </c>
      <c r="E2605" s="413">
        <v>346.56441744875235</v>
      </c>
    </row>
    <row r="2606" spans="2:5" ht="15.75" x14ac:dyDescent="0.25">
      <c r="B2606" s="411" t="s">
        <v>103</v>
      </c>
      <c r="C2606" s="412">
        <v>2033</v>
      </c>
      <c r="D2606" s="412" t="s">
        <v>2844</v>
      </c>
      <c r="E2606" s="413">
        <v>339.4339504524724</v>
      </c>
    </row>
    <row r="2607" spans="2:5" ht="15.75" x14ac:dyDescent="0.25">
      <c r="B2607" s="411" t="s">
        <v>103</v>
      </c>
      <c r="C2607" s="412">
        <v>2034</v>
      </c>
      <c r="D2607" s="412" t="s">
        <v>2845</v>
      </c>
      <c r="E2607" s="413">
        <v>333.04143437948437</v>
      </c>
    </row>
    <row r="2608" spans="2:5" ht="15.75" x14ac:dyDescent="0.25">
      <c r="B2608" s="411" t="s">
        <v>103</v>
      </c>
      <c r="C2608" s="412">
        <v>2035</v>
      </c>
      <c r="D2608" s="412" t="s">
        <v>2846</v>
      </c>
      <c r="E2608" s="413">
        <v>327.40139242251934</v>
      </c>
    </row>
    <row r="2609" spans="2:5" ht="15.75" x14ac:dyDescent="0.25">
      <c r="B2609" s="411" t="s">
        <v>103</v>
      </c>
      <c r="C2609" s="412">
        <v>2036</v>
      </c>
      <c r="D2609" s="412" t="s">
        <v>2847</v>
      </c>
      <c r="E2609" s="413">
        <v>322.47420145090132</v>
      </c>
    </row>
    <row r="2610" spans="2:5" ht="15.75" x14ac:dyDescent="0.25">
      <c r="B2610" s="411" t="s">
        <v>103</v>
      </c>
      <c r="C2610" s="412">
        <v>2037</v>
      </c>
      <c r="D2610" s="412" t="s">
        <v>2848</v>
      </c>
      <c r="E2610" s="413">
        <v>318.12206759130896</v>
      </c>
    </row>
    <row r="2611" spans="2:5" ht="15.75" x14ac:dyDescent="0.25">
      <c r="B2611" s="411" t="s">
        <v>103</v>
      </c>
      <c r="C2611" s="412">
        <v>2038</v>
      </c>
      <c r="D2611" s="412" t="s">
        <v>2849</v>
      </c>
      <c r="E2611" s="413">
        <v>314.37660076051071</v>
      </c>
    </row>
    <row r="2612" spans="2:5" ht="15.75" x14ac:dyDescent="0.25">
      <c r="B2612" s="411" t="s">
        <v>103</v>
      </c>
      <c r="C2612" s="412">
        <v>2039</v>
      </c>
      <c r="D2612" s="412" t="s">
        <v>2850</v>
      </c>
      <c r="E2612" s="413">
        <v>311.10954510446635</v>
      </c>
    </row>
    <row r="2613" spans="2:5" ht="15.75" x14ac:dyDescent="0.25">
      <c r="B2613" s="411" t="s">
        <v>103</v>
      </c>
      <c r="C2613" s="412">
        <v>2040</v>
      </c>
      <c r="D2613" s="412" t="s">
        <v>2851</v>
      </c>
      <c r="E2613" s="413">
        <v>308.2637374525894</v>
      </c>
    </row>
    <row r="2614" spans="2:5" ht="15.75" x14ac:dyDescent="0.25">
      <c r="B2614" s="411" t="s">
        <v>103</v>
      </c>
      <c r="C2614" s="412">
        <v>2041</v>
      </c>
      <c r="D2614" s="412" t="s">
        <v>2852</v>
      </c>
      <c r="E2614" s="413">
        <v>305.86335249485239</v>
      </c>
    </row>
    <row r="2615" spans="2:5" ht="15.75" x14ac:dyDescent="0.25">
      <c r="B2615" s="411" t="s">
        <v>103</v>
      </c>
      <c r="C2615" s="412">
        <v>2042</v>
      </c>
      <c r="D2615" s="412" t="s">
        <v>2853</v>
      </c>
      <c r="E2615" s="413">
        <v>303.76350085291193</v>
      </c>
    </row>
    <row r="2616" spans="2:5" ht="15.75" x14ac:dyDescent="0.25">
      <c r="B2616" s="411" t="s">
        <v>103</v>
      </c>
      <c r="C2616" s="412">
        <v>2043</v>
      </c>
      <c r="D2616" s="412" t="s">
        <v>2854</v>
      </c>
      <c r="E2616" s="413">
        <v>301.95268082995608</v>
      </c>
    </row>
    <row r="2617" spans="2:5" ht="15.75" x14ac:dyDescent="0.25">
      <c r="B2617" s="411" t="s">
        <v>103</v>
      </c>
      <c r="C2617" s="412">
        <v>2044</v>
      </c>
      <c r="D2617" s="412" t="s">
        <v>2855</v>
      </c>
      <c r="E2617" s="413">
        <v>300.32832868470342</v>
      </c>
    </row>
    <row r="2618" spans="2:5" ht="15.75" x14ac:dyDescent="0.25">
      <c r="B2618" s="411" t="s">
        <v>103</v>
      </c>
      <c r="C2618" s="412">
        <v>2045</v>
      </c>
      <c r="D2618" s="412" t="s">
        <v>2856</v>
      </c>
      <c r="E2618" s="413">
        <v>298.88585394758633</v>
      </c>
    </row>
    <row r="2619" spans="2:5" ht="15.75" x14ac:dyDescent="0.25">
      <c r="B2619" s="411" t="s">
        <v>103</v>
      </c>
      <c r="C2619" s="412">
        <v>2046</v>
      </c>
      <c r="D2619" s="412" t="s">
        <v>2857</v>
      </c>
      <c r="E2619" s="413">
        <v>297.61609805260542</v>
      </c>
    </row>
    <row r="2620" spans="2:5" ht="15.75" x14ac:dyDescent="0.25">
      <c r="B2620" s="411" t="s">
        <v>103</v>
      </c>
      <c r="C2620" s="412">
        <v>2047</v>
      </c>
      <c r="D2620" s="412" t="s">
        <v>2858</v>
      </c>
      <c r="E2620" s="413">
        <v>296.499554061688</v>
      </c>
    </row>
    <row r="2621" spans="2:5" ht="15.75" x14ac:dyDescent="0.25">
      <c r="B2621" s="411" t="s">
        <v>103</v>
      </c>
      <c r="C2621" s="412">
        <v>2048</v>
      </c>
      <c r="D2621" s="412" t="s">
        <v>2859</v>
      </c>
      <c r="E2621" s="413">
        <v>295.52836612559554</v>
      </c>
    </row>
    <row r="2622" spans="2:5" ht="15.75" x14ac:dyDescent="0.25">
      <c r="B2622" s="411" t="s">
        <v>103</v>
      </c>
      <c r="C2622" s="412">
        <v>2049</v>
      </c>
      <c r="D2622" s="412" t="s">
        <v>2860</v>
      </c>
      <c r="E2622" s="413">
        <v>294.71181709505805</v>
      </c>
    </row>
    <row r="2623" spans="2:5" ht="15.75" x14ac:dyDescent="0.25">
      <c r="B2623" s="411" t="s">
        <v>103</v>
      </c>
      <c r="C2623" s="412">
        <v>2050</v>
      </c>
      <c r="D2623" s="412" t="s">
        <v>2861</v>
      </c>
      <c r="E2623" s="413">
        <v>293.9746566632241</v>
      </c>
    </row>
    <row r="2624" spans="2:5" ht="15.75" x14ac:dyDescent="0.25">
      <c r="B2624" s="407" t="s">
        <v>104</v>
      </c>
      <c r="C2624" s="408">
        <v>2015</v>
      </c>
      <c r="D2624" s="409" t="s">
        <v>323</v>
      </c>
      <c r="E2624" s="410">
        <v>494.66385824748221</v>
      </c>
    </row>
    <row r="2625" spans="2:5" ht="15.75" x14ac:dyDescent="0.25">
      <c r="B2625" s="407" t="s">
        <v>104</v>
      </c>
      <c r="C2625" s="408">
        <v>2016</v>
      </c>
      <c r="D2625" s="409" t="s">
        <v>324</v>
      </c>
      <c r="E2625" s="410">
        <v>484.76988470152889</v>
      </c>
    </row>
    <row r="2626" spans="2:5" ht="15.75" x14ac:dyDescent="0.25">
      <c r="B2626" s="411" t="s">
        <v>104</v>
      </c>
      <c r="C2626" s="412">
        <v>2017</v>
      </c>
      <c r="D2626" s="412" t="s">
        <v>2862</v>
      </c>
      <c r="E2626" s="413">
        <v>472.77689960777849</v>
      </c>
    </row>
    <row r="2627" spans="2:5" ht="15.75" x14ac:dyDescent="0.25">
      <c r="B2627" s="411" t="s">
        <v>104</v>
      </c>
      <c r="C2627" s="412">
        <v>2018</v>
      </c>
      <c r="D2627" s="412" t="s">
        <v>2863</v>
      </c>
      <c r="E2627" s="413">
        <v>460.42761340154948</v>
      </c>
    </row>
    <row r="2628" spans="2:5" ht="15.75" x14ac:dyDescent="0.25">
      <c r="B2628" s="411" t="s">
        <v>104</v>
      </c>
      <c r="C2628" s="412">
        <v>2019</v>
      </c>
      <c r="D2628" s="412" t="s">
        <v>2864</v>
      </c>
      <c r="E2628" s="413">
        <v>448.48573657258942</v>
      </c>
    </row>
    <row r="2629" spans="2:5" ht="15.75" x14ac:dyDescent="0.25">
      <c r="B2629" s="411" t="s">
        <v>104</v>
      </c>
      <c r="C2629" s="412">
        <v>2020</v>
      </c>
      <c r="D2629" s="412" t="s">
        <v>2865</v>
      </c>
      <c r="E2629" s="413">
        <v>435.48853898957435</v>
      </c>
    </row>
    <row r="2630" spans="2:5" ht="15.75" x14ac:dyDescent="0.25">
      <c r="B2630" s="411" t="s">
        <v>104</v>
      </c>
      <c r="C2630" s="412">
        <v>2021</v>
      </c>
      <c r="D2630" s="412" t="s">
        <v>2866</v>
      </c>
      <c r="E2630" s="413">
        <v>423.9413715754896</v>
      </c>
    </row>
    <row r="2631" spans="2:5" ht="15.75" x14ac:dyDescent="0.25">
      <c r="B2631" s="411" t="s">
        <v>104</v>
      </c>
      <c r="C2631" s="412">
        <v>2022</v>
      </c>
      <c r="D2631" s="412" t="s">
        <v>2867</v>
      </c>
      <c r="E2631" s="413">
        <v>410.92779263316174</v>
      </c>
    </row>
    <row r="2632" spans="2:5" ht="15.75" x14ac:dyDescent="0.25">
      <c r="B2632" s="411" t="s">
        <v>104</v>
      </c>
      <c r="C2632" s="412">
        <v>2023</v>
      </c>
      <c r="D2632" s="412" t="s">
        <v>2868</v>
      </c>
      <c r="E2632" s="413">
        <v>398.01247837781972</v>
      </c>
    </row>
    <row r="2633" spans="2:5" ht="15.75" x14ac:dyDescent="0.25">
      <c r="B2633" s="411" t="s">
        <v>104</v>
      </c>
      <c r="C2633" s="412">
        <v>2024</v>
      </c>
      <c r="D2633" s="412" t="s">
        <v>2869</v>
      </c>
      <c r="E2633" s="413">
        <v>386.21620066618596</v>
      </c>
    </row>
    <row r="2634" spans="2:5" ht="15.75" x14ac:dyDescent="0.25">
      <c r="B2634" s="411" t="s">
        <v>104</v>
      </c>
      <c r="C2634" s="412">
        <v>2025</v>
      </c>
      <c r="D2634" s="412" t="s">
        <v>2870</v>
      </c>
      <c r="E2634" s="413">
        <v>373.5720069051502</v>
      </c>
    </row>
    <row r="2635" spans="2:5" ht="15.75" x14ac:dyDescent="0.25">
      <c r="B2635" s="411" t="s">
        <v>104</v>
      </c>
      <c r="C2635" s="412">
        <v>2026</v>
      </c>
      <c r="D2635" s="412" t="s">
        <v>2871</v>
      </c>
      <c r="E2635" s="413">
        <v>362.17237178508549</v>
      </c>
    </row>
    <row r="2636" spans="2:5" ht="15.75" x14ac:dyDescent="0.25">
      <c r="B2636" s="411" t="s">
        <v>104</v>
      </c>
      <c r="C2636" s="412">
        <v>2027</v>
      </c>
      <c r="D2636" s="412" t="s">
        <v>2872</v>
      </c>
      <c r="E2636" s="413">
        <v>351.85546405692349</v>
      </c>
    </row>
    <row r="2637" spans="2:5" ht="15.75" x14ac:dyDescent="0.25">
      <c r="B2637" s="411" t="s">
        <v>104</v>
      </c>
      <c r="C2637" s="412">
        <v>2028</v>
      </c>
      <c r="D2637" s="412" t="s">
        <v>2873</v>
      </c>
      <c r="E2637" s="413">
        <v>342.64075900109287</v>
      </c>
    </row>
    <row r="2638" spans="2:5" ht="15.75" x14ac:dyDescent="0.25">
      <c r="B2638" s="411" t="s">
        <v>104</v>
      </c>
      <c r="C2638" s="412">
        <v>2029</v>
      </c>
      <c r="D2638" s="412" t="s">
        <v>2874</v>
      </c>
      <c r="E2638" s="413">
        <v>334.41220162798061</v>
      </c>
    </row>
    <row r="2639" spans="2:5" ht="15.75" x14ac:dyDescent="0.25">
      <c r="B2639" s="411" t="s">
        <v>104</v>
      </c>
      <c r="C2639" s="412">
        <v>2030</v>
      </c>
      <c r="D2639" s="412" t="s">
        <v>2875</v>
      </c>
      <c r="E2639" s="413">
        <v>327.10954915768286</v>
      </c>
    </row>
    <row r="2640" spans="2:5" ht="15.75" x14ac:dyDescent="0.25">
      <c r="B2640" s="411" t="s">
        <v>104</v>
      </c>
      <c r="C2640" s="412">
        <v>2031</v>
      </c>
      <c r="D2640" s="412" t="s">
        <v>2876</v>
      </c>
      <c r="E2640" s="413">
        <v>321.5563570817738</v>
      </c>
    </row>
    <row r="2641" spans="2:5" ht="15.75" x14ac:dyDescent="0.25">
      <c r="B2641" s="411" t="s">
        <v>104</v>
      </c>
      <c r="C2641" s="412">
        <v>2032</v>
      </c>
      <c r="D2641" s="412" t="s">
        <v>2877</v>
      </c>
      <c r="E2641" s="413">
        <v>315.86371839775774</v>
      </c>
    </row>
    <row r="2642" spans="2:5" ht="15.75" x14ac:dyDescent="0.25">
      <c r="B2642" s="411" t="s">
        <v>104</v>
      </c>
      <c r="C2642" s="412">
        <v>2033</v>
      </c>
      <c r="D2642" s="412" t="s">
        <v>2878</v>
      </c>
      <c r="E2642" s="413">
        <v>310.88646238085738</v>
      </c>
    </row>
    <row r="2643" spans="2:5" ht="15.75" x14ac:dyDescent="0.25">
      <c r="B2643" s="411" t="s">
        <v>104</v>
      </c>
      <c r="C2643" s="412">
        <v>2034</v>
      </c>
      <c r="D2643" s="412" t="s">
        <v>2879</v>
      </c>
      <c r="E2643" s="413">
        <v>306.55579439460138</v>
      </c>
    </row>
    <row r="2644" spans="2:5" ht="15.75" x14ac:dyDescent="0.25">
      <c r="B2644" s="411" t="s">
        <v>104</v>
      </c>
      <c r="C2644" s="412">
        <v>2035</v>
      </c>
      <c r="D2644" s="412" t="s">
        <v>2880</v>
      </c>
      <c r="E2644" s="413">
        <v>302.82225917260052</v>
      </c>
    </row>
    <row r="2645" spans="2:5" ht="15.75" x14ac:dyDescent="0.25">
      <c r="B2645" s="411" t="s">
        <v>104</v>
      </c>
      <c r="C2645" s="412">
        <v>2036</v>
      </c>
      <c r="D2645" s="412" t="s">
        <v>2881</v>
      </c>
      <c r="E2645" s="413">
        <v>299.62284627082386</v>
      </c>
    </row>
    <row r="2646" spans="2:5" ht="15.75" x14ac:dyDescent="0.25">
      <c r="B2646" s="411" t="s">
        <v>104</v>
      </c>
      <c r="C2646" s="412">
        <v>2037</v>
      </c>
      <c r="D2646" s="412" t="s">
        <v>2882</v>
      </c>
      <c r="E2646" s="413">
        <v>296.91062294745848</v>
      </c>
    </row>
    <row r="2647" spans="2:5" ht="15.75" x14ac:dyDescent="0.25">
      <c r="B2647" s="411" t="s">
        <v>104</v>
      </c>
      <c r="C2647" s="412">
        <v>2038</v>
      </c>
      <c r="D2647" s="412" t="s">
        <v>2883</v>
      </c>
      <c r="E2647" s="413">
        <v>294.62787771177261</v>
      </c>
    </row>
    <row r="2648" spans="2:5" ht="15.75" x14ac:dyDescent="0.25">
      <c r="B2648" s="411" t="s">
        <v>104</v>
      </c>
      <c r="C2648" s="412">
        <v>2039</v>
      </c>
      <c r="D2648" s="412" t="s">
        <v>2884</v>
      </c>
      <c r="E2648" s="413">
        <v>292.71087996127164</v>
      </c>
    </row>
    <row r="2649" spans="2:5" ht="15.75" x14ac:dyDescent="0.25">
      <c r="B2649" s="411" t="s">
        <v>104</v>
      </c>
      <c r="C2649" s="412">
        <v>2040</v>
      </c>
      <c r="D2649" s="412" t="s">
        <v>2885</v>
      </c>
      <c r="E2649" s="413">
        <v>291.11723142547476</v>
      </c>
    </row>
    <row r="2650" spans="2:5" ht="15.75" x14ac:dyDescent="0.25">
      <c r="B2650" s="411" t="s">
        <v>104</v>
      </c>
      <c r="C2650" s="412">
        <v>2041</v>
      </c>
      <c r="D2650" s="412" t="s">
        <v>2886</v>
      </c>
      <c r="E2650" s="413">
        <v>289.81165664732788</v>
      </c>
    </row>
    <row r="2651" spans="2:5" ht="15.75" x14ac:dyDescent="0.25">
      <c r="B2651" s="411" t="s">
        <v>104</v>
      </c>
      <c r="C2651" s="412">
        <v>2042</v>
      </c>
      <c r="D2651" s="412" t="s">
        <v>2887</v>
      </c>
      <c r="E2651" s="413">
        <v>288.73082150112145</v>
      </c>
    </row>
    <row r="2652" spans="2:5" ht="15.75" x14ac:dyDescent="0.25">
      <c r="B2652" s="411" t="s">
        <v>104</v>
      </c>
      <c r="C2652" s="412">
        <v>2043</v>
      </c>
      <c r="D2652" s="412" t="s">
        <v>2888</v>
      </c>
      <c r="E2652" s="413">
        <v>287.84632033999856</v>
      </c>
    </row>
    <row r="2653" spans="2:5" ht="15.75" x14ac:dyDescent="0.25">
      <c r="B2653" s="411" t="s">
        <v>104</v>
      </c>
      <c r="C2653" s="412">
        <v>2044</v>
      </c>
      <c r="D2653" s="412" t="s">
        <v>2889</v>
      </c>
      <c r="E2653" s="413">
        <v>287.11525422263344</v>
      </c>
    </row>
    <row r="2654" spans="2:5" ht="15.75" x14ac:dyDescent="0.25">
      <c r="B2654" s="411" t="s">
        <v>104</v>
      </c>
      <c r="C2654" s="412">
        <v>2045</v>
      </c>
      <c r="D2654" s="412" t="s">
        <v>2890</v>
      </c>
      <c r="E2654" s="413">
        <v>286.49976668719796</v>
      </c>
    </row>
    <row r="2655" spans="2:5" ht="15.75" x14ac:dyDescent="0.25">
      <c r="B2655" s="411" t="s">
        <v>104</v>
      </c>
      <c r="C2655" s="412">
        <v>2046</v>
      </c>
      <c r="D2655" s="412" t="s">
        <v>2891</v>
      </c>
      <c r="E2655" s="413">
        <v>285.98978114037044</v>
      </c>
    </row>
    <row r="2656" spans="2:5" ht="15.75" x14ac:dyDescent="0.25">
      <c r="B2656" s="411" t="s">
        <v>104</v>
      </c>
      <c r="C2656" s="412">
        <v>2047</v>
      </c>
      <c r="D2656" s="412" t="s">
        <v>2892</v>
      </c>
      <c r="E2656" s="413">
        <v>285.56048577822969</v>
      </c>
    </row>
    <row r="2657" spans="2:5" ht="15.75" x14ac:dyDescent="0.25">
      <c r="B2657" s="411" t="s">
        <v>104</v>
      </c>
      <c r="C2657" s="412">
        <v>2048</v>
      </c>
      <c r="D2657" s="412" t="s">
        <v>2893</v>
      </c>
      <c r="E2657" s="413">
        <v>285.19537556109077</v>
      </c>
    </row>
    <row r="2658" spans="2:5" ht="15.75" x14ac:dyDescent="0.25">
      <c r="B2658" s="411" t="s">
        <v>104</v>
      </c>
      <c r="C2658" s="412">
        <v>2049</v>
      </c>
      <c r="D2658" s="412" t="s">
        <v>2894</v>
      </c>
      <c r="E2658" s="413">
        <v>284.89088085689036</v>
      </c>
    </row>
    <row r="2659" spans="2:5" ht="15.75" x14ac:dyDescent="0.25">
      <c r="B2659" s="411" t="s">
        <v>104</v>
      </c>
      <c r="C2659" s="412">
        <v>2050</v>
      </c>
      <c r="D2659" s="412" t="s">
        <v>2895</v>
      </c>
      <c r="E2659" s="413">
        <v>284.65560022129824</v>
      </c>
    </row>
    <row r="2660" spans="2:5" ht="15.75" x14ac:dyDescent="0.25">
      <c r="B2660" s="407" t="s">
        <v>105</v>
      </c>
      <c r="C2660" s="408">
        <v>2015</v>
      </c>
      <c r="D2660" s="409" t="s">
        <v>325</v>
      </c>
      <c r="E2660" s="410">
        <v>502.70163111287326</v>
      </c>
    </row>
    <row r="2661" spans="2:5" ht="15.75" x14ac:dyDescent="0.25">
      <c r="B2661" s="407" t="s">
        <v>105</v>
      </c>
      <c r="C2661" s="408">
        <v>2016</v>
      </c>
      <c r="D2661" s="409" t="s">
        <v>326</v>
      </c>
      <c r="E2661" s="410">
        <v>492.95731996944318</v>
      </c>
    </row>
    <row r="2662" spans="2:5" ht="15.75" x14ac:dyDescent="0.25">
      <c r="B2662" s="411" t="s">
        <v>105</v>
      </c>
      <c r="C2662" s="412">
        <v>2017</v>
      </c>
      <c r="D2662" s="412" t="s">
        <v>2896</v>
      </c>
      <c r="E2662" s="413">
        <v>481.58305901331346</v>
      </c>
    </row>
    <row r="2663" spans="2:5" ht="15.75" x14ac:dyDescent="0.25">
      <c r="B2663" s="411" t="s">
        <v>105</v>
      </c>
      <c r="C2663" s="412">
        <v>2018</v>
      </c>
      <c r="D2663" s="412" t="s">
        <v>2897</v>
      </c>
      <c r="E2663" s="413">
        <v>468.92746938161389</v>
      </c>
    </row>
    <row r="2664" spans="2:5" ht="15.75" x14ac:dyDescent="0.25">
      <c r="B2664" s="411" t="s">
        <v>105</v>
      </c>
      <c r="C2664" s="412">
        <v>2019</v>
      </c>
      <c r="D2664" s="412" t="s">
        <v>2898</v>
      </c>
      <c r="E2664" s="413">
        <v>454.54585348262805</v>
      </c>
    </row>
    <row r="2665" spans="2:5" ht="15.75" x14ac:dyDescent="0.25">
      <c r="B2665" s="411" t="s">
        <v>105</v>
      </c>
      <c r="C2665" s="412">
        <v>2020</v>
      </c>
      <c r="D2665" s="412" t="s">
        <v>2899</v>
      </c>
      <c r="E2665" s="413">
        <v>441.22913820981785</v>
      </c>
    </row>
    <row r="2666" spans="2:5" ht="15.75" x14ac:dyDescent="0.25">
      <c r="B2666" s="411" t="s">
        <v>105</v>
      </c>
      <c r="C2666" s="412">
        <v>2021</v>
      </c>
      <c r="D2666" s="412" t="s">
        <v>2900</v>
      </c>
      <c r="E2666" s="413">
        <v>427.78712299714084</v>
      </c>
    </row>
    <row r="2667" spans="2:5" ht="15.75" x14ac:dyDescent="0.25">
      <c r="B2667" s="411" t="s">
        <v>105</v>
      </c>
      <c r="C2667" s="412">
        <v>2022</v>
      </c>
      <c r="D2667" s="412" t="s">
        <v>2901</v>
      </c>
      <c r="E2667" s="413">
        <v>414.58371477906746</v>
      </c>
    </row>
    <row r="2668" spans="2:5" ht="15.75" x14ac:dyDescent="0.25">
      <c r="B2668" s="411" t="s">
        <v>105</v>
      </c>
      <c r="C2668" s="412">
        <v>2023</v>
      </c>
      <c r="D2668" s="412" t="s">
        <v>2902</v>
      </c>
      <c r="E2668" s="413">
        <v>401.52243236095774</v>
      </c>
    </row>
    <row r="2669" spans="2:5" ht="15.75" x14ac:dyDescent="0.25">
      <c r="B2669" s="411" t="s">
        <v>105</v>
      </c>
      <c r="C2669" s="412">
        <v>2024</v>
      </c>
      <c r="D2669" s="412" t="s">
        <v>2903</v>
      </c>
      <c r="E2669" s="413">
        <v>388.66316103357264</v>
      </c>
    </row>
    <row r="2670" spans="2:5" ht="15.75" x14ac:dyDescent="0.25">
      <c r="B2670" s="411" t="s">
        <v>105</v>
      </c>
      <c r="C2670" s="412">
        <v>2025</v>
      </c>
      <c r="D2670" s="412" t="s">
        <v>2904</v>
      </c>
      <c r="E2670" s="413">
        <v>375.9577186644737</v>
      </c>
    </row>
    <row r="2671" spans="2:5" ht="15.75" x14ac:dyDescent="0.25">
      <c r="B2671" s="411" t="s">
        <v>105</v>
      </c>
      <c r="C2671" s="412">
        <v>2026</v>
      </c>
      <c r="D2671" s="412" t="s">
        <v>2905</v>
      </c>
      <c r="E2671" s="413">
        <v>364.39623008872991</v>
      </c>
    </row>
    <row r="2672" spans="2:5" ht="15.75" x14ac:dyDescent="0.25">
      <c r="B2672" s="411" t="s">
        <v>105</v>
      </c>
      <c r="C2672" s="412">
        <v>2027</v>
      </c>
      <c r="D2672" s="412" t="s">
        <v>2906</v>
      </c>
      <c r="E2672" s="413">
        <v>353.89844035369686</v>
      </c>
    </row>
    <row r="2673" spans="2:5" ht="15.75" x14ac:dyDescent="0.25">
      <c r="B2673" s="411" t="s">
        <v>105</v>
      </c>
      <c r="C2673" s="412">
        <v>2028</v>
      </c>
      <c r="D2673" s="412" t="s">
        <v>2907</v>
      </c>
      <c r="E2673" s="413">
        <v>344.51768254769792</v>
      </c>
    </row>
    <row r="2674" spans="2:5" ht="15.75" x14ac:dyDescent="0.25">
      <c r="B2674" s="411" t="s">
        <v>105</v>
      </c>
      <c r="C2674" s="412">
        <v>2029</v>
      </c>
      <c r="D2674" s="412" t="s">
        <v>2908</v>
      </c>
      <c r="E2674" s="413">
        <v>336.17723455858766</v>
      </c>
    </row>
    <row r="2675" spans="2:5" ht="15.75" x14ac:dyDescent="0.25">
      <c r="B2675" s="411" t="s">
        <v>105</v>
      </c>
      <c r="C2675" s="412">
        <v>2030</v>
      </c>
      <c r="D2675" s="412" t="s">
        <v>2909</v>
      </c>
      <c r="E2675" s="413">
        <v>328.81623883879496</v>
      </c>
    </row>
    <row r="2676" spans="2:5" ht="15.75" x14ac:dyDescent="0.25">
      <c r="B2676" s="411" t="s">
        <v>105</v>
      </c>
      <c r="C2676" s="412">
        <v>2031</v>
      </c>
      <c r="D2676" s="412" t="s">
        <v>2910</v>
      </c>
      <c r="E2676" s="413">
        <v>322.33703642667024</v>
      </c>
    </row>
    <row r="2677" spans="2:5" ht="15.75" x14ac:dyDescent="0.25">
      <c r="B2677" s="411" t="s">
        <v>105</v>
      </c>
      <c r="C2677" s="412">
        <v>2032</v>
      </c>
      <c r="D2677" s="412" t="s">
        <v>2911</v>
      </c>
      <c r="E2677" s="413">
        <v>316.65893780704249</v>
      </c>
    </row>
    <row r="2678" spans="2:5" ht="15.75" x14ac:dyDescent="0.25">
      <c r="B2678" s="411" t="s">
        <v>105</v>
      </c>
      <c r="C2678" s="412">
        <v>2033</v>
      </c>
      <c r="D2678" s="412" t="s">
        <v>2912</v>
      </c>
      <c r="E2678" s="413">
        <v>311.70679779649765</v>
      </c>
    </row>
    <row r="2679" spans="2:5" ht="15.75" x14ac:dyDescent="0.25">
      <c r="B2679" s="411" t="s">
        <v>105</v>
      </c>
      <c r="C2679" s="412">
        <v>2034</v>
      </c>
      <c r="D2679" s="412" t="s">
        <v>2913</v>
      </c>
      <c r="E2679" s="413">
        <v>307.41377140897146</v>
      </c>
    </row>
    <row r="2680" spans="2:5" ht="15.75" x14ac:dyDescent="0.25">
      <c r="B2680" s="411" t="s">
        <v>105</v>
      </c>
      <c r="C2680" s="412">
        <v>2035</v>
      </c>
      <c r="D2680" s="412" t="s">
        <v>2914</v>
      </c>
      <c r="E2680" s="413">
        <v>303.71854889375254</v>
      </c>
    </row>
    <row r="2681" spans="2:5" ht="15.75" x14ac:dyDescent="0.25">
      <c r="B2681" s="411" t="s">
        <v>105</v>
      </c>
      <c r="C2681" s="412">
        <v>2036</v>
      </c>
      <c r="D2681" s="412" t="s">
        <v>2915</v>
      </c>
      <c r="E2681" s="413">
        <v>300.55864495692134</v>
      </c>
    </row>
    <row r="2682" spans="2:5" ht="15.75" x14ac:dyDescent="0.25">
      <c r="B2682" s="411" t="s">
        <v>105</v>
      </c>
      <c r="C2682" s="412">
        <v>2037</v>
      </c>
      <c r="D2682" s="412" t="s">
        <v>2916</v>
      </c>
      <c r="E2682" s="413">
        <v>297.88280212496227</v>
      </c>
    </row>
    <row r="2683" spans="2:5" ht="15.75" x14ac:dyDescent="0.25">
      <c r="B2683" s="411" t="s">
        <v>105</v>
      </c>
      <c r="C2683" s="412">
        <v>2038</v>
      </c>
      <c r="D2683" s="412" t="s">
        <v>2917</v>
      </c>
      <c r="E2683" s="413">
        <v>295.63078115212664</v>
      </c>
    </row>
    <row r="2684" spans="2:5" ht="15.75" x14ac:dyDescent="0.25">
      <c r="B2684" s="411" t="s">
        <v>105</v>
      </c>
      <c r="C2684" s="412">
        <v>2039</v>
      </c>
      <c r="D2684" s="412" t="s">
        <v>2918</v>
      </c>
      <c r="E2684" s="413">
        <v>293.75187442167817</v>
      </c>
    </row>
    <row r="2685" spans="2:5" ht="15.75" x14ac:dyDescent="0.25">
      <c r="B2685" s="411" t="s">
        <v>105</v>
      </c>
      <c r="C2685" s="412">
        <v>2040</v>
      </c>
      <c r="D2685" s="412" t="s">
        <v>2919</v>
      </c>
      <c r="E2685" s="413">
        <v>292.19027249999715</v>
      </c>
    </row>
    <row r="2686" spans="2:5" ht="15.75" x14ac:dyDescent="0.25">
      <c r="B2686" s="411" t="s">
        <v>105</v>
      </c>
      <c r="C2686" s="412">
        <v>2041</v>
      </c>
      <c r="D2686" s="412" t="s">
        <v>2920</v>
      </c>
      <c r="E2686" s="413">
        <v>290.91095934245322</v>
      </c>
    </row>
    <row r="2687" spans="2:5" ht="15.75" x14ac:dyDescent="0.25">
      <c r="B2687" s="411" t="s">
        <v>105</v>
      </c>
      <c r="C2687" s="412">
        <v>2042</v>
      </c>
      <c r="D2687" s="412" t="s">
        <v>2921</v>
      </c>
      <c r="E2687" s="413">
        <v>289.85764429337735</v>
      </c>
    </row>
    <row r="2688" spans="2:5" ht="15.75" x14ac:dyDescent="0.25">
      <c r="B2688" s="411" t="s">
        <v>105</v>
      </c>
      <c r="C2688" s="412">
        <v>2043</v>
      </c>
      <c r="D2688" s="412" t="s">
        <v>2922</v>
      </c>
      <c r="E2688" s="413">
        <v>289.00324807220414</v>
      </c>
    </row>
    <row r="2689" spans="2:5" ht="15.75" x14ac:dyDescent="0.25">
      <c r="B2689" s="411" t="s">
        <v>105</v>
      </c>
      <c r="C2689" s="412">
        <v>2044</v>
      </c>
      <c r="D2689" s="412" t="s">
        <v>2923</v>
      </c>
      <c r="E2689" s="413">
        <v>288.303640376712</v>
      </c>
    </row>
    <row r="2690" spans="2:5" ht="15.75" x14ac:dyDescent="0.25">
      <c r="B2690" s="411" t="s">
        <v>105</v>
      </c>
      <c r="C2690" s="412">
        <v>2045</v>
      </c>
      <c r="D2690" s="412" t="s">
        <v>2924</v>
      </c>
      <c r="E2690" s="413">
        <v>287.72513105035199</v>
      </c>
    </row>
    <row r="2691" spans="2:5" ht="15.75" x14ac:dyDescent="0.25">
      <c r="B2691" s="411" t="s">
        <v>105</v>
      </c>
      <c r="C2691" s="412">
        <v>2046</v>
      </c>
      <c r="D2691" s="412" t="s">
        <v>2925</v>
      </c>
      <c r="E2691" s="413">
        <v>287.24853668647995</v>
      </c>
    </row>
    <row r="2692" spans="2:5" ht="15.75" x14ac:dyDescent="0.25">
      <c r="B2692" s="411" t="s">
        <v>105</v>
      </c>
      <c r="C2692" s="412">
        <v>2047</v>
      </c>
      <c r="D2692" s="412" t="s">
        <v>2926</v>
      </c>
      <c r="E2692" s="413">
        <v>286.8611484442726</v>
      </c>
    </row>
    <row r="2693" spans="2:5" ht="15.75" x14ac:dyDescent="0.25">
      <c r="B2693" s="411" t="s">
        <v>105</v>
      </c>
      <c r="C2693" s="412">
        <v>2048</v>
      </c>
      <c r="D2693" s="412" t="s">
        <v>2927</v>
      </c>
      <c r="E2693" s="413">
        <v>286.53884044459102</v>
      </c>
    </row>
    <row r="2694" spans="2:5" ht="15.75" x14ac:dyDescent="0.25">
      <c r="B2694" s="411" t="s">
        <v>105</v>
      </c>
      <c r="C2694" s="412">
        <v>2049</v>
      </c>
      <c r="D2694" s="412" t="s">
        <v>2928</v>
      </c>
      <c r="E2694" s="413">
        <v>286.27304813031554</v>
      </c>
    </row>
    <row r="2695" spans="2:5" ht="15.75" x14ac:dyDescent="0.25">
      <c r="B2695" s="411" t="s">
        <v>105</v>
      </c>
      <c r="C2695" s="412">
        <v>2050</v>
      </c>
      <c r="D2695" s="412" t="s">
        <v>2929</v>
      </c>
      <c r="E2695" s="413">
        <v>286.05926029772559</v>
      </c>
    </row>
    <row r="2696" spans="2:5" ht="15.75" x14ac:dyDescent="0.25">
      <c r="B2696" s="407" t="s">
        <v>106</v>
      </c>
      <c r="C2696" s="408">
        <v>2015</v>
      </c>
      <c r="D2696" s="409" t="s">
        <v>327</v>
      </c>
      <c r="E2696" s="410">
        <v>521.28695026353</v>
      </c>
    </row>
    <row r="2697" spans="2:5" ht="15.75" x14ac:dyDescent="0.25">
      <c r="B2697" s="407" t="s">
        <v>106</v>
      </c>
      <c r="C2697" s="408">
        <v>2016</v>
      </c>
      <c r="D2697" s="409" t="s">
        <v>328</v>
      </c>
      <c r="E2697" s="410">
        <v>511.85332011459639</v>
      </c>
    </row>
    <row r="2698" spans="2:5" ht="15.75" x14ac:dyDescent="0.25">
      <c r="B2698" s="411" t="s">
        <v>106</v>
      </c>
      <c r="C2698" s="412">
        <v>2017</v>
      </c>
      <c r="D2698" s="412" t="s">
        <v>2930</v>
      </c>
      <c r="E2698" s="413">
        <v>499.0952687014468</v>
      </c>
    </row>
    <row r="2699" spans="2:5" ht="15.75" x14ac:dyDescent="0.25">
      <c r="B2699" s="411" t="s">
        <v>106</v>
      </c>
      <c r="C2699" s="412">
        <v>2018</v>
      </c>
      <c r="D2699" s="412" t="s">
        <v>2931</v>
      </c>
      <c r="E2699" s="413">
        <v>485.33626853645023</v>
      </c>
    </row>
    <row r="2700" spans="2:5" ht="15.75" x14ac:dyDescent="0.25">
      <c r="B2700" s="411" t="s">
        <v>106</v>
      </c>
      <c r="C2700" s="412">
        <v>2019</v>
      </c>
      <c r="D2700" s="412" t="s">
        <v>2932</v>
      </c>
      <c r="E2700" s="413">
        <v>468.07155621904809</v>
      </c>
    </row>
    <row r="2701" spans="2:5" ht="15.75" x14ac:dyDescent="0.25">
      <c r="B2701" s="411" t="s">
        <v>106</v>
      </c>
      <c r="C2701" s="412">
        <v>2020</v>
      </c>
      <c r="D2701" s="412" t="s">
        <v>2933</v>
      </c>
      <c r="E2701" s="413">
        <v>453.61358484326394</v>
      </c>
    </row>
    <row r="2702" spans="2:5" ht="15.75" x14ac:dyDescent="0.25">
      <c r="B2702" s="411" t="s">
        <v>106</v>
      </c>
      <c r="C2702" s="412">
        <v>2021</v>
      </c>
      <c r="D2702" s="412" t="s">
        <v>2934</v>
      </c>
      <c r="E2702" s="413">
        <v>439.06354574586163</v>
      </c>
    </row>
    <row r="2703" spans="2:5" ht="15.75" x14ac:dyDescent="0.25">
      <c r="B2703" s="411" t="s">
        <v>106</v>
      </c>
      <c r="C2703" s="412">
        <v>2022</v>
      </c>
      <c r="D2703" s="412" t="s">
        <v>2935</v>
      </c>
      <c r="E2703" s="413">
        <v>424.73111344854482</v>
      </c>
    </row>
    <row r="2704" spans="2:5" ht="15.75" x14ac:dyDescent="0.25">
      <c r="B2704" s="411" t="s">
        <v>106</v>
      </c>
      <c r="C2704" s="412">
        <v>2023</v>
      </c>
      <c r="D2704" s="412" t="s">
        <v>2936</v>
      </c>
      <c r="E2704" s="413">
        <v>410.6151082135807</v>
      </c>
    </row>
    <row r="2705" spans="2:5" ht="15.75" x14ac:dyDescent="0.25">
      <c r="B2705" s="411" t="s">
        <v>106</v>
      </c>
      <c r="C2705" s="412">
        <v>2024</v>
      </c>
      <c r="D2705" s="412" t="s">
        <v>2937</v>
      </c>
      <c r="E2705" s="413">
        <v>396.83563846998123</v>
      </c>
    </row>
    <row r="2706" spans="2:5" ht="15.75" x14ac:dyDescent="0.25">
      <c r="B2706" s="411" t="s">
        <v>106</v>
      </c>
      <c r="C2706" s="412">
        <v>2025</v>
      </c>
      <c r="D2706" s="412" t="s">
        <v>2938</v>
      </c>
      <c r="E2706" s="413">
        <v>383.37050889624504</v>
      </c>
    </row>
    <row r="2707" spans="2:5" ht="15.75" x14ac:dyDescent="0.25">
      <c r="B2707" s="411" t="s">
        <v>106</v>
      </c>
      <c r="C2707" s="412">
        <v>2026</v>
      </c>
      <c r="D2707" s="412" t="s">
        <v>2939</v>
      </c>
      <c r="E2707" s="413">
        <v>370.97388626496206</v>
      </c>
    </row>
    <row r="2708" spans="2:5" ht="15.75" x14ac:dyDescent="0.25">
      <c r="B2708" s="411" t="s">
        <v>106</v>
      </c>
      <c r="C2708" s="412">
        <v>2027</v>
      </c>
      <c r="D2708" s="412" t="s">
        <v>2940</v>
      </c>
      <c r="E2708" s="413">
        <v>359.56125918409185</v>
      </c>
    </row>
    <row r="2709" spans="2:5" ht="15.75" x14ac:dyDescent="0.25">
      <c r="B2709" s="411" t="s">
        <v>106</v>
      </c>
      <c r="C2709" s="412">
        <v>2028</v>
      </c>
      <c r="D2709" s="412" t="s">
        <v>2941</v>
      </c>
      <c r="E2709" s="413">
        <v>349.25191931563444</v>
      </c>
    </row>
    <row r="2710" spans="2:5" ht="15.75" x14ac:dyDescent="0.25">
      <c r="B2710" s="411" t="s">
        <v>106</v>
      </c>
      <c r="C2710" s="412">
        <v>2029</v>
      </c>
      <c r="D2710" s="412" t="s">
        <v>2942</v>
      </c>
      <c r="E2710" s="413">
        <v>340.00713809071686</v>
      </c>
    </row>
    <row r="2711" spans="2:5" ht="15.75" x14ac:dyDescent="0.25">
      <c r="B2711" s="411" t="s">
        <v>106</v>
      </c>
      <c r="C2711" s="412">
        <v>2030</v>
      </c>
      <c r="D2711" s="412" t="s">
        <v>2943</v>
      </c>
      <c r="E2711" s="413">
        <v>331.74118078031995</v>
      </c>
    </row>
    <row r="2712" spans="2:5" ht="15.75" x14ac:dyDescent="0.25">
      <c r="B2712" s="411" t="s">
        <v>106</v>
      </c>
      <c r="C2712" s="412">
        <v>2031</v>
      </c>
      <c r="D2712" s="412" t="s">
        <v>2944</v>
      </c>
      <c r="E2712" s="413">
        <v>324.37552893993978</v>
      </c>
    </row>
    <row r="2713" spans="2:5" ht="15.75" x14ac:dyDescent="0.25">
      <c r="B2713" s="411" t="s">
        <v>106</v>
      </c>
      <c r="C2713" s="412">
        <v>2032</v>
      </c>
      <c r="D2713" s="412" t="s">
        <v>2945</v>
      </c>
      <c r="E2713" s="413">
        <v>317.85256605586744</v>
      </c>
    </row>
    <row r="2714" spans="2:5" ht="15.75" x14ac:dyDescent="0.25">
      <c r="B2714" s="411" t="s">
        <v>106</v>
      </c>
      <c r="C2714" s="412">
        <v>2033</v>
      </c>
      <c r="D2714" s="412" t="s">
        <v>2946</v>
      </c>
      <c r="E2714" s="413">
        <v>312.10040745461629</v>
      </c>
    </row>
    <row r="2715" spans="2:5" ht="15.75" x14ac:dyDescent="0.25">
      <c r="B2715" s="411" t="s">
        <v>106</v>
      </c>
      <c r="C2715" s="412">
        <v>2034</v>
      </c>
      <c r="D2715" s="412" t="s">
        <v>2947</v>
      </c>
      <c r="E2715" s="413">
        <v>307.03987089428591</v>
      </c>
    </row>
    <row r="2716" spans="2:5" ht="15.75" x14ac:dyDescent="0.25">
      <c r="B2716" s="411" t="s">
        <v>106</v>
      </c>
      <c r="C2716" s="412">
        <v>2035</v>
      </c>
      <c r="D2716" s="412" t="s">
        <v>2948</v>
      </c>
      <c r="E2716" s="413">
        <v>302.63048767599713</v>
      </c>
    </row>
    <row r="2717" spans="2:5" ht="15.75" x14ac:dyDescent="0.25">
      <c r="B2717" s="411" t="s">
        <v>106</v>
      </c>
      <c r="C2717" s="412">
        <v>2036</v>
      </c>
      <c r="D2717" s="412" t="s">
        <v>2949</v>
      </c>
      <c r="E2717" s="413">
        <v>304.10778287233495</v>
      </c>
    </row>
    <row r="2718" spans="2:5" ht="15.75" x14ac:dyDescent="0.25">
      <c r="B2718" s="411" t="s">
        <v>106</v>
      </c>
      <c r="C2718" s="412">
        <v>2037</v>
      </c>
      <c r="D2718" s="412" t="s">
        <v>2950</v>
      </c>
      <c r="E2718" s="413">
        <v>300.73814253627694</v>
      </c>
    </row>
    <row r="2719" spans="2:5" ht="15.75" x14ac:dyDescent="0.25">
      <c r="B2719" s="411" t="s">
        <v>106</v>
      </c>
      <c r="C2719" s="412">
        <v>2038</v>
      </c>
      <c r="D2719" s="412" t="s">
        <v>2951</v>
      </c>
      <c r="E2719" s="413">
        <v>297.87317029138978</v>
      </c>
    </row>
    <row r="2720" spans="2:5" ht="15.75" x14ac:dyDescent="0.25">
      <c r="B2720" s="411" t="s">
        <v>106</v>
      </c>
      <c r="C2720" s="412">
        <v>2039</v>
      </c>
      <c r="D2720" s="412" t="s">
        <v>2952</v>
      </c>
      <c r="E2720" s="413">
        <v>295.42478591733561</v>
      </c>
    </row>
    <row r="2721" spans="2:5" ht="15.75" x14ac:dyDescent="0.25">
      <c r="B2721" s="411" t="s">
        <v>106</v>
      </c>
      <c r="C2721" s="412">
        <v>2040</v>
      </c>
      <c r="D2721" s="412" t="s">
        <v>2953</v>
      </c>
      <c r="E2721" s="413">
        <v>293.36814784379067</v>
      </c>
    </row>
    <row r="2722" spans="2:5" ht="15.75" x14ac:dyDescent="0.25">
      <c r="B2722" s="411" t="s">
        <v>106</v>
      </c>
      <c r="C2722" s="412">
        <v>2041</v>
      </c>
      <c r="D2722" s="412" t="s">
        <v>2954</v>
      </c>
      <c r="E2722" s="413">
        <v>291.66461429862051</v>
      </c>
    </row>
    <row r="2723" spans="2:5" ht="15.75" x14ac:dyDescent="0.25">
      <c r="B2723" s="411" t="s">
        <v>106</v>
      </c>
      <c r="C2723" s="412">
        <v>2042</v>
      </c>
      <c r="D2723" s="412" t="s">
        <v>2955</v>
      </c>
      <c r="E2723" s="413">
        <v>290.24544301055772</v>
      </c>
    </row>
    <row r="2724" spans="2:5" ht="15.75" x14ac:dyDescent="0.25">
      <c r="B2724" s="411" t="s">
        <v>106</v>
      </c>
      <c r="C2724" s="412">
        <v>2043</v>
      </c>
      <c r="D2724" s="412" t="s">
        <v>2956</v>
      </c>
      <c r="E2724" s="413">
        <v>289.08131682129658</v>
      </c>
    </row>
    <row r="2725" spans="2:5" ht="15.75" x14ac:dyDescent="0.25">
      <c r="B2725" s="411" t="s">
        <v>106</v>
      </c>
      <c r="C2725" s="412">
        <v>2044</v>
      </c>
      <c r="D2725" s="412" t="s">
        <v>2957</v>
      </c>
      <c r="E2725" s="413">
        <v>288.10701208716324</v>
      </c>
    </row>
    <row r="2726" spans="2:5" ht="15.75" x14ac:dyDescent="0.25">
      <c r="B2726" s="411" t="s">
        <v>106</v>
      </c>
      <c r="C2726" s="412">
        <v>2045</v>
      </c>
      <c r="D2726" s="412" t="s">
        <v>2958</v>
      </c>
      <c r="E2726" s="413">
        <v>287.28518778549386</v>
      </c>
    </row>
    <row r="2727" spans="2:5" ht="15.75" x14ac:dyDescent="0.25">
      <c r="B2727" s="411" t="s">
        <v>106</v>
      </c>
      <c r="C2727" s="412">
        <v>2046</v>
      </c>
      <c r="D2727" s="412" t="s">
        <v>2959</v>
      </c>
      <c r="E2727" s="413">
        <v>286.60283206962328</v>
      </c>
    </row>
    <row r="2728" spans="2:5" ht="15.75" x14ac:dyDescent="0.25">
      <c r="B2728" s="411" t="s">
        <v>106</v>
      </c>
      <c r="C2728" s="412">
        <v>2047</v>
      </c>
      <c r="D2728" s="412" t="s">
        <v>2960</v>
      </c>
      <c r="E2728" s="413">
        <v>286.04338078888719</v>
      </c>
    </row>
    <row r="2729" spans="2:5" ht="15.75" x14ac:dyDescent="0.25">
      <c r="B2729" s="411" t="s">
        <v>106</v>
      </c>
      <c r="C2729" s="412">
        <v>2048</v>
      </c>
      <c r="D2729" s="412" t="s">
        <v>2961</v>
      </c>
      <c r="E2729" s="413">
        <v>285.58617668548118</v>
      </c>
    </row>
    <row r="2730" spans="2:5" ht="15.75" x14ac:dyDescent="0.25">
      <c r="B2730" s="411" t="s">
        <v>106</v>
      </c>
      <c r="C2730" s="412">
        <v>2049</v>
      </c>
      <c r="D2730" s="412" t="s">
        <v>2962</v>
      </c>
      <c r="E2730" s="413">
        <v>285.21806165904724</v>
      </c>
    </row>
    <row r="2731" spans="2:5" ht="16.5" thickBot="1" x14ac:dyDescent="0.3">
      <c r="B2731" s="419" t="s">
        <v>106</v>
      </c>
      <c r="C2731" s="420">
        <v>2050</v>
      </c>
      <c r="D2731" s="420" t="s">
        <v>2963</v>
      </c>
      <c r="E2731" s="421">
        <v>284.91450196102994</v>
      </c>
    </row>
  </sheetData>
  <sheetProtection algorithmName="SHA-512" hashValue="tKeQ57JYNh2NWnU3/7+Lx3RKsDG0E+GWed+39yHwgWeAw85L+HiqlzrnjsOvulcsjT+loMETKlOGHronMqUaCw==" saltValue="Pb14JFKeYX8VgJzJIaZuHg==" spinCount="100000" sheet="1" objects="1" scenarios="1"/>
  <conditionalFormatting sqref="D2106:D2731">
    <cfRule type="duplicateValues" dxfId="4" priority="1"/>
  </conditionalFormatting>
  <hyperlinks>
    <hyperlink ref="B22" r:id="rId1" tooltip="Link to EMFAC2017 Database"/>
  </hyperlinks>
  <pageMargins left="0.7" right="0.7" top="0.98479166666666662" bottom="0.75" header="0.3" footer="0.3"/>
  <pageSetup scale="65" orientation="portrait" r:id="rId2"/>
  <headerFooter>
    <oddFooter>&amp;L&amp;"Avenir LT Std 55 Roman,Regular"&amp;12&amp;K000000FINAL November 1, 2019&amp;C&amp;"Avenir LT Std 55 Roman,Regular"&amp;12Page &amp;P of &amp;N&amp;R&amp;"Avenir LT Std 55 Roman,Regular"&amp;12&amp;K000000&amp;A</oddFooter>
  </headerFooter>
  <rowBreaks count="3" manualBreakCount="3">
    <brk id="47" max="10" man="1"/>
    <brk id="99" max="16383" man="1"/>
    <brk id="403" max="10"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N2732"/>
  <sheetViews>
    <sheetView showGridLines="0" zoomScaleNormal="100" workbookViewId="0"/>
  </sheetViews>
  <sheetFormatPr defaultRowHeight="15" x14ac:dyDescent="0.25"/>
  <cols>
    <col min="1" max="1" width="3.28515625" style="71" customWidth="1"/>
    <col min="2" max="2" width="27" style="71" customWidth="1"/>
    <col min="3" max="3" width="9.28515625" style="71" bestFit="1" customWidth="1"/>
    <col min="4" max="4" width="34" style="71" customWidth="1"/>
    <col min="5" max="5" width="19.7109375" style="157" customWidth="1"/>
    <col min="6" max="6" width="15.140625" style="157" customWidth="1"/>
    <col min="7" max="7" width="14.7109375" style="157" customWidth="1"/>
    <col min="8" max="8" width="15" style="157" customWidth="1"/>
    <col min="9" max="9" width="16.42578125" style="157" customWidth="1"/>
    <col min="10" max="10" width="17.5703125" style="157" customWidth="1"/>
    <col min="11" max="11" width="14.7109375" style="71" customWidth="1"/>
    <col min="12" max="12" width="9.140625" style="71"/>
    <col min="13" max="13" width="16.7109375" style="71" customWidth="1"/>
    <col min="14" max="14" width="19.5703125" style="71" customWidth="1"/>
    <col min="15" max="16384" width="9.140625" style="71"/>
  </cols>
  <sheetData>
    <row r="2" spans="2:10" ht="18.75" x14ac:dyDescent="0.3">
      <c r="F2" s="72"/>
      <c r="G2" s="72"/>
    </row>
    <row r="3" spans="2:10" ht="18.75" x14ac:dyDescent="0.3">
      <c r="F3" s="73"/>
      <c r="G3" s="73"/>
    </row>
    <row r="4" spans="2:10" ht="18.75" x14ac:dyDescent="0.3">
      <c r="F4" s="74"/>
      <c r="G4" s="74"/>
    </row>
    <row r="7" spans="2:10" ht="15.75" thickBot="1" x14ac:dyDescent="0.3"/>
    <row r="8" spans="2:10" ht="15.95" customHeight="1" x14ac:dyDescent="0.25">
      <c r="B8" s="899" t="s">
        <v>329</v>
      </c>
      <c r="C8" s="900"/>
      <c r="D8" s="900"/>
      <c r="E8" s="900"/>
      <c r="F8" s="900"/>
      <c r="G8" s="900"/>
      <c r="H8" s="900"/>
      <c r="I8" s="900"/>
      <c r="J8" s="901"/>
    </row>
    <row r="9" spans="2:10" ht="15.95" customHeight="1" x14ac:dyDescent="0.25">
      <c r="B9" s="1036" t="s">
        <v>182</v>
      </c>
      <c r="C9" s="1037"/>
      <c r="D9" s="1037"/>
      <c r="E9" s="1037"/>
      <c r="F9" s="1037"/>
      <c r="G9" s="1037"/>
      <c r="H9" s="1037"/>
      <c r="I9" s="1037"/>
      <c r="J9" s="1038"/>
    </row>
    <row r="10" spans="2:10" ht="15.75" x14ac:dyDescent="0.25">
      <c r="B10" s="149" t="s">
        <v>4591</v>
      </c>
      <c r="C10" s="64"/>
      <c r="D10" s="64"/>
      <c r="E10" s="18"/>
      <c r="F10" s="18"/>
      <c r="G10" s="18"/>
      <c r="H10" s="18"/>
      <c r="I10" s="18"/>
      <c r="J10" s="227"/>
    </row>
    <row r="11" spans="2:10" ht="15.75" x14ac:dyDescent="0.25">
      <c r="B11" s="149" t="s">
        <v>183</v>
      </c>
      <c r="C11" s="64"/>
      <c r="D11" s="64"/>
      <c r="E11" s="18"/>
      <c r="F11" s="18"/>
      <c r="G11" s="18"/>
      <c r="H11" s="18"/>
      <c r="I11" s="18"/>
      <c r="J11" s="227"/>
    </row>
    <row r="12" spans="2:10" ht="15.75" x14ac:dyDescent="0.25">
      <c r="B12" s="149" t="s">
        <v>184</v>
      </c>
      <c r="C12" s="64"/>
      <c r="D12" s="64"/>
      <c r="E12" s="18"/>
      <c r="F12" s="18"/>
      <c r="G12" s="18"/>
      <c r="H12" s="18"/>
      <c r="I12" s="18"/>
      <c r="J12" s="227"/>
    </row>
    <row r="13" spans="2:10" ht="15.75" customHeight="1" x14ac:dyDescent="0.25">
      <c r="B13" s="911" t="s">
        <v>5108</v>
      </c>
      <c r="C13" s="906"/>
      <c r="D13" s="906"/>
      <c r="E13" s="906"/>
      <c r="F13" s="906"/>
      <c r="G13" s="906"/>
      <c r="H13" s="906"/>
      <c r="I13" s="906"/>
      <c r="J13" s="907"/>
    </row>
    <row r="14" spans="2:10" ht="15.75" customHeight="1" x14ac:dyDescent="0.25">
      <c r="B14" s="911" t="s">
        <v>5109</v>
      </c>
      <c r="C14" s="906"/>
      <c r="D14" s="906"/>
      <c r="E14" s="906"/>
      <c r="F14" s="906"/>
      <c r="G14" s="906"/>
      <c r="H14" s="906"/>
      <c r="I14" s="906"/>
      <c r="J14" s="907"/>
    </row>
    <row r="15" spans="2:10" ht="15.75" x14ac:dyDescent="0.25">
      <c r="B15" s="149" t="s">
        <v>185</v>
      </c>
      <c r="C15" s="64"/>
      <c r="D15" s="64"/>
      <c r="E15" s="18"/>
      <c r="F15" s="18"/>
      <c r="G15" s="18"/>
      <c r="H15" s="18"/>
      <c r="I15" s="18"/>
      <c r="J15" s="227"/>
    </row>
    <row r="16" spans="2:10" ht="15.75" x14ac:dyDescent="0.25">
      <c r="B16" s="149" t="s">
        <v>4760</v>
      </c>
      <c r="C16" s="64"/>
      <c r="D16" s="64"/>
      <c r="E16" s="18"/>
      <c r="F16" s="18"/>
      <c r="G16" s="18"/>
      <c r="H16" s="18"/>
      <c r="I16" s="18"/>
      <c r="J16" s="227"/>
    </row>
    <row r="17" spans="2:14" ht="15.75" x14ac:dyDescent="0.25">
      <c r="B17" s="149" t="s">
        <v>330</v>
      </c>
      <c r="C17" s="64"/>
      <c r="D17" s="64"/>
      <c r="E17" s="18"/>
      <c r="F17" s="18"/>
      <c r="G17" s="18"/>
      <c r="H17" s="18"/>
      <c r="I17" s="18"/>
      <c r="J17" s="227"/>
    </row>
    <row r="18" spans="2:14" ht="15.75" x14ac:dyDescent="0.25">
      <c r="B18" s="149" t="s">
        <v>187</v>
      </c>
      <c r="C18" s="64"/>
      <c r="D18" s="64"/>
      <c r="E18" s="18"/>
      <c r="F18" s="18"/>
      <c r="G18" s="18"/>
      <c r="H18" s="18"/>
      <c r="I18" s="18"/>
      <c r="J18" s="227"/>
    </row>
    <row r="19" spans="2:14" ht="15.75" x14ac:dyDescent="0.25">
      <c r="B19" s="149" t="s">
        <v>188</v>
      </c>
      <c r="C19" s="64"/>
      <c r="D19" s="64"/>
      <c r="E19" s="18"/>
      <c r="F19" s="18"/>
      <c r="G19" s="18"/>
      <c r="H19" s="18"/>
      <c r="I19" s="18"/>
      <c r="J19" s="227"/>
    </row>
    <row r="20" spans="2:14" s="387" customFormat="1" ht="15.75" x14ac:dyDescent="0.25">
      <c r="B20" s="384" t="s">
        <v>331</v>
      </c>
      <c r="C20" s="385"/>
      <c r="D20" s="385"/>
      <c r="E20" s="91"/>
      <c r="F20" s="91"/>
      <c r="G20" s="91"/>
      <c r="H20" s="91"/>
      <c r="I20" s="91"/>
      <c r="J20" s="386"/>
    </row>
    <row r="21" spans="2:14" ht="15.75" x14ac:dyDescent="0.25">
      <c r="B21" s="149" t="s">
        <v>332</v>
      </c>
      <c r="C21" s="64"/>
      <c r="D21" s="64"/>
      <c r="E21" s="18"/>
      <c r="F21" s="18"/>
      <c r="G21" s="18"/>
      <c r="H21" s="18"/>
      <c r="I21" s="18"/>
      <c r="J21" s="227"/>
    </row>
    <row r="22" spans="2:14" ht="15.75" customHeight="1" x14ac:dyDescent="0.25">
      <c r="B22" s="905" t="s">
        <v>190</v>
      </c>
      <c r="C22" s="27"/>
      <c r="D22" s="27"/>
      <c r="E22" s="18"/>
      <c r="F22" s="18"/>
      <c r="G22" s="18"/>
      <c r="H22" s="18"/>
      <c r="I22" s="18"/>
      <c r="J22" s="227"/>
    </row>
    <row r="23" spans="2:14" ht="16.5" thickBot="1" x14ac:dyDescent="0.3">
      <c r="B23" s="164" t="s">
        <v>4590</v>
      </c>
      <c r="C23" s="388"/>
      <c r="D23" s="165"/>
      <c r="E23" s="165"/>
      <c r="F23" s="165"/>
      <c r="G23" s="165"/>
      <c r="H23" s="165"/>
      <c r="I23" s="165"/>
      <c r="J23" s="389"/>
    </row>
    <row r="24" spans="2:14" ht="15.75" x14ac:dyDescent="0.25">
      <c r="B24" s="166"/>
      <c r="C24" s="87"/>
      <c r="D24" s="18"/>
    </row>
    <row r="25" spans="2:14" ht="15.75" customHeight="1" x14ac:dyDescent="0.25">
      <c r="B25" s="1035" t="s">
        <v>5103</v>
      </c>
      <c r="C25" s="904"/>
      <c r="D25" s="904"/>
      <c r="E25" s="904"/>
      <c r="F25" s="904"/>
      <c r="G25" s="904"/>
      <c r="H25" s="904"/>
      <c r="I25" s="904"/>
      <c r="J25" s="904"/>
    </row>
    <row r="26" spans="2:14" ht="15.75" customHeight="1" x14ac:dyDescent="0.25">
      <c r="B26" s="904" t="s">
        <v>5104</v>
      </c>
      <c r="C26" s="904"/>
      <c r="D26" s="904"/>
      <c r="E26" s="904"/>
      <c r="F26" s="904"/>
      <c r="G26" s="904"/>
      <c r="H26" s="904"/>
      <c r="I26" s="904"/>
      <c r="J26" s="904"/>
    </row>
    <row r="27" spans="2:14" ht="15.75" customHeight="1" x14ac:dyDescent="0.25">
      <c r="B27" s="904" t="s">
        <v>5105</v>
      </c>
      <c r="C27" s="904"/>
      <c r="D27" s="904"/>
      <c r="E27" s="904"/>
      <c r="F27" s="904"/>
      <c r="G27" s="904"/>
      <c r="H27" s="904"/>
      <c r="I27" s="904"/>
      <c r="J27" s="904"/>
    </row>
    <row r="28" spans="2:14" ht="15.75" customHeight="1" x14ac:dyDescent="0.25">
      <c r="B28" s="904" t="s">
        <v>5106</v>
      </c>
      <c r="C28" s="904"/>
      <c r="D28" s="904"/>
      <c r="E28" s="904"/>
      <c r="F28" s="904"/>
      <c r="G28" s="904"/>
      <c r="H28" s="904"/>
      <c r="I28" s="904"/>
      <c r="J28" s="904"/>
    </row>
    <row r="29" spans="2:14" s="390" customFormat="1" ht="21.75" customHeight="1" x14ac:dyDescent="0.25">
      <c r="B29" s="904" t="s">
        <v>5107</v>
      </c>
      <c r="C29" s="904"/>
      <c r="D29" s="904"/>
      <c r="E29" s="904"/>
      <c r="F29" s="904"/>
      <c r="G29" s="904"/>
      <c r="H29" s="904"/>
      <c r="I29" s="904"/>
      <c r="J29" s="904"/>
    </row>
    <row r="30" spans="2:14" ht="15.75" thickBot="1" x14ac:dyDescent="0.3"/>
    <row r="31" spans="2:14" ht="16.5" thickBot="1" x14ac:dyDescent="0.3">
      <c r="B31" s="17"/>
      <c r="C31" s="17"/>
      <c r="D31" s="17"/>
      <c r="E31" s="17"/>
      <c r="F31" s="968" t="s">
        <v>333</v>
      </c>
      <c r="G31" s="969"/>
      <c r="H31" s="969"/>
      <c r="I31" s="970"/>
      <c r="J31" s="1033" t="s">
        <v>334</v>
      </c>
      <c r="K31" s="1034"/>
      <c r="M31" s="968" t="s">
        <v>4847</v>
      </c>
      <c r="N31" s="970"/>
    </row>
    <row r="32" spans="2:14" ht="51" thickBot="1" x14ac:dyDescent="0.3">
      <c r="B32" s="674" t="s">
        <v>191</v>
      </c>
      <c r="C32" s="675" t="s">
        <v>192</v>
      </c>
      <c r="D32" s="676" t="s">
        <v>193</v>
      </c>
      <c r="E32" s="504" t="s">
        <v>4592</v>
      </c>
      <c r="F32" s="677" t="s">
        <v>335</v>
      </c>
      <c r="G32" s="678" t="s">
        <v>4863</v>
      </c>
      <c r="H32" s="678" t="s">
        <v>4864</v>
      </c>
      <c r="I32" s="679" t="s">
        <v>4865</v>
      </c>
      <c r="J32" s="680" t="s">
        <v>4866</v>
      </c>
      <c r="K32" s="681" t="s">
        <v>4867</v>
      </c>
      <c r="M32" s="677" t="s">
        <v>4868</v>
      </c>
      <c r="N32" s="679" t="s">
        <v>4869</v>
      </c>
    </row>
    <row r="33" spans="2:14" ht="16.5" thickBot="1" x14ac:dyDescent="0.3">
      <c r="B33" s="668" t="s">
        <v>59</v>
      </c>
      <c r="C33" s="289">
        <v>2015</v>
      </c>
      <c r="D33" s="682" t="s">
        <v>194</v>
      </c>
      <c r="E33" s="683">
        <v>4.2318133827712767E-2</v>
      </c>
      <c r="F33" s="391">
        <v>4.6321506837899394E-2</v>
      </c>
      <c r="G33" s="392">
        <v>0.17906415435642617</v>
      </c>
      <c r="H33" s="392">
        <v>1.845886335174505E-3</v>
      </c>
      <c r="I33" s="393">
        <v>1.9967393644572608E-3</v>
      </c>
      <c r="J33" s="684">
        <v>1.8522150350307076E-4</v>
      </c>
      <c r="K33" s="685">
        <v>1.9359639981854357E-4</v>
      </c>
      <c r="M33" s="686">
        <v>2.0000009999999999E-3</v>
      </c>
      <c r="N33" s="673">
        <v>1.5750005000000001E-2</v>
      </c>
    </row>
    <row r="34" spans="2:14" ht="15.75" x14ac:dyDescent="0.25">
      <c r="B34" s="667" t="s">
        <v>59</v>
      </c>
      <c r="C34" s="110">
        <v>2016</v>
      </c>
      <c r="D34" s="687" t="s">
        <v>195</v>
      </c>
      <c r="E34" s="688">
        <v>4.1437438391664805E-2</v>
      </c>
      <c r="F34" s="310">
        <v>3.7528423620930805E-2</v>
      </c>
      <c r="G34" s="311">
        <v>0.14995854826351473</v>
      </c>
      <c r="H34" s="311">
        <v>1.7336011552978481E-3</v>
      </c>
      <c r="I34" s="394">
        <v>1.8770103882661362E-3</v>
      </c>
      <c r="J34" s="689">
        <v>1.5419382438808989E-4</v>
      </c>
      <c r="K34" s="690">
        <v>1.6116578153859418E-4</v>
      </c>
    </row>
    <row r="35" spans="2:14" ht="15.75" x14ac:dyDescent="0.25">
      <c r="B35" s="667" t="s">
        <v>59</v>
      </c>
      <c r="C35" s="110">
        <v>2017</v>
      </c>
      <c r="D35" s="687" t="s">
        <v>520</v>
      </c>
      <c r="E35" s="688">
        <v>4.0503137185616676E-2</v>
      </c>
      <c r="F35" s="310">
        <v>3.0903615331154346E-2</v>
      </c>
      <c r="G35" s="311">
        <v>0.12693677484814589</v>
      </c>
      <c r="H35" s="311">
        <v>1.6853567113776903E-3</v>
      </c>
      <c r="I35" s="394">
        <v>1.8259165111956873E-3</v>
      </c>
      <c r="J35" s="689">
        <v>1.3842473933365642E-4</v>
      </c>
      <c r="K35" s="690">
        <v>1.4468369220569348E-4</v>
      </c>
    </row>
    <row r="36" spans="2:14" ht="15.75" x14ac:dyDescent="0.25">
      <c r="B36" s="667" t="s">
        <v>59</v>
      </c>
      <c r="C36" s="110">
        <v>2018</v>
      </c>
      <c r="D36" s="687" t="s">
        <v>521</v>
      </c>
      <c r="E36" s="688">
        <v>3.9510692828002673E-2</v>
      </c>
      <c r="F36" s="310">
        <v>2.5346446835130751E-2</v>
      </c>
      <c r="G36" s="311">
        <v>0.10733297046057931</v>
      </c>
      <c r="H36" s="311">
        <v>1.6690262560310472E-3</v>
      </c>
      <c r="I36" s="394">
        <v>1.8092447296245164E-3</v>
      </c>
      <c r="J36" s="689">
        <v>1.2553414464406518E-4</v>
      </c>
      <c r="K36" s="690">
        <v>1.3121024248390531E-4</v>
      </c>
    </row>
    <row r="37" spans="2:14" ht="15.75" x14ac:dyDescent="0.25">
      <c r="B37" s="667" t="s">
        <v>59</v>
      </c>
      <c r="C37" s="110">
        <v>2019</v>
      </c>
      <c r="D37" s="687" t="s">
        <v>522</v>
      </c>
      <c r="E37" s="688">
        <v>3.8485617469655682E-2</v>
      </c>
      <c r="F37" s="310">
        <v>2.0871322822979446E-2</v>
      </c>
      <c r="G37" s="311">
        <v>9.1087437699289134E-2</v>
      </c>
      <c r="H37" s="311">
        <v>1.6610811247354503E-3</v>
      </c>
      <c r="I37" s="394">
        <v>1.8014459955281374E-3</v>
      </c>
      <c r="J37" s="689">
        <v>1.141870863496247E-4</v>
      </c>
      <c r="K37" s="690">
        <v>1.1935011605151706E-4</v>
      </c>
    </row>
    <row r="38" spans="2:14" ht="15.75" x14ac:dyDescent="0.25">
      <c r="B38" s="667" t="s">
        <v>59</v>
      </c>
      <c r="C38" s="110">
        <v>2020</v>
      </c>
      <c r="D38" s="687" t="s">
        <v>523</v>
      </c>
      <c r="E38" s="688">
        <v>3.7436225696497259E-2</v>
      </c>
      <c r="F38" s="310">
        <v>1.7548097294952332E-2</v>
      </c>
      <c r="G38" s="311">
        <v>7.7764765884386022E-2</v>
      </c>
      <c r="H38" s="311">
        <v>1.6196505521143716E-3</v>
      </c>
      <c r="I38" s="394">
        <v>1.7568890438275865E-3</v>
      </c>
      <c r="J38" s="689">
        <v>1.0501686322417573E-4</v>
      </c>
      <c r="K38" s="690">
        <v>1.0976525196587491E-4</v>
      </c>
    </row>
    <row r="39" spans="2:14" ht="15.75" x14ac:dyDescent="0.25">
      <c r="B39" s="667" t="s">
        <v>59</v>
      </c>
      <c r="C39" s="110">
        <v>2021</v>
      </c>
      <c r="D39" s="687" t="s">
        <v>524</v>
      </c>
      <c r="E39" s="688">
        <v>3.6369770011950693E-2</v>
      </c>
      <c r="F39" s="310">
        <v>1.4956581020117736E-2</v>
      </c>
      <c r="G39" s="311">
        <v>6.6856947058371377E-2</v>
      </c>
      <c r="H39" s="311">
        <v>1.5381047111725362E-3</v>
      </c>
      <c r="I39" s="394">
        <v>1.6686836540355703E-3</v>
      </c>
      <c r="J39" s="689">
        <v>9.4896269705568731E-5</v>
      </c>
      <c r="K39" s="690">
        <v>9.918705672708902E-5</v>
      </c>
    </row>
    <row r="40" spans="2:14" ht="15.75" x14ac:dyDescent="0.25">
      <c r="B40" s="667" t="s">
        <v>59</v>
      </c>
      <c r="C40" s="110">
        <v>2022</v>
      </c>
      <c r="D40" s="687" t="s">
        <v>525</v>
      </c>
      <c r="E40" s="688">
        <v>3.5315677831917892E-2</v>
      </c>
      <c r="F40" s="310">
        <v>1.2678959574810553E-2</v>
      </c>
      <c r="G40" s="311">
        <v>5.776827391228205E-2</v>
      </c>
      <c r="H40" s="311">
        <v>1.4625655321586952E-3</v>
      </c>
      <c r="I40" s="394">
        <v>1.5869922655433566E-3</v>
      </c>
      <c r="J40" s="689">
        <v>8.5930814990325849E-5</v>
      </c>
      <c r="K40" s="690">
        <v>8.9816230049588613E-5</v>
      </c>
    </row>
    <row r="41" spans="2:14" ht="15.75" x14ac:dyDescent="0.25">
      <c r="B41" s="667" t="s">
        <v>59</v>
      </c>
      <c r="C41" s="110">
        <v>2023</v>
      </c>
      <c r="D41" s="687" t="s">
        <v>526</v>
      </c>
      <c r="E41" s="688">
        <v>3.4264567666734608E-2</v>
      </c>
      <c r="F41" s="310">
        <v>1.0950460256219732E-2</v>
      </c>
      <c r="G41" s="311">
        <v>5.0427785562345874E-2</v>
      </c>
      <c r="H41" s="311">
        <v>1.3954184224252827E-3</v>
      </c>
      <c r="I41" s="394">
        <v>1.5143645203266191E-3</v>
      </c>
      <c r="J41" s="689">
        <v>7.68774743547705E-5</v>
      </c>
      <c r="K41" s="690">
        <v>8.0353530055523245E-5</v>
      </c>
    </row>
    <row r="42" spans="2:14" ht="15.75" x14ac:dyDescent="0.25">
      <c r="B42" s="667" t="s">
        <v>59</v>
      </c>
      <c r="C42" s="110">
        <v>2024</v>
      </c>
      <c r="D42" s="687" t="s">
        <v>527</v>
      </c>
      <c r="E42" s="688">
        <v>3.3222277549078291E-2</v>
      </c>
      <c r="F42" s="310">
        <v>9.4976988557285581E-3</v>
      </c>
      <c r="G42" s="311">
        <v>4.4378713659671651E-2</v>
      </c>
      <c r="H42" s="311">
        <v>1.3331553275959327E-3</v>
      </c>
      <c r="I42" s="394">
        <v>1.4470909211193993E-3</v>
      </c>
      <c r="J42" s="689">
        <v>6.6828788175852022E-5</v>
      </c>
      <c r="K42" s="690">
        <v>6.9850489880014419E-5</v>
      </c>
    </row>
    <row r="43" spans="2:14" ht="15.75" x14ac:dyDescent="0.25">
      <c r="B43" s="667" t="s">
        <v>59</v>
      </c>
      <c r="C43" s="110">
        <v>2025</v>
      </c>
      <c r="D43" s="687" t="s">
        <v>528</v>
      </c>
      <c r="E43" s="688">
        <v>3.2188587175573366E-2</v>
      </c>
      <c r="F43" s="310">
        <v>8.3259339357102148E-3</v>
      </c>
      <c r="G43" s="311">
        <v>3.9576034414853981E-2</v>
      </c>
      <c r="H43" s="311">
        <v>1.2808907463487704E-3</v>
      </c>
      <c r="I43" s="394">
        <v>1.3905628428036957E-3</v>
      </c>
      <c r="J43" s="689">
        <v>5.9516957417453759E-5</v>
      </c>
      <c r="K43" s="690">
        <v>6.220805292591285E-5</v>
      </c>
    </row>
    <row r="44" spans="2:14" ht="15.75" x14ac:dyDescent="0.25">
      <c r="B44" s="667" t="s">
        <v>59</v>
      </c>
      <c r="C44" s="110">
        <v>2026</v>
      </c>
      <c r="D44" s="687" t="s">
        <v>529</v>
      </c>
      <c r="E44" s="688">
        <v>3.1253790118845652E-2</v>
      </c>
      <c r="F44" s="310">
        <v>7.3678105160681412E-3</v>
      </c>
      <c r="G44" s="311">
        <v>3.5740318041279577E-2</v>
      </c>
      <c r="H44" s="311">
        <v>1.2246088327580091E-3</v>
      </c>
      <c r="I44" s="394">
        <v>1.3296359537424466E-3</v>
      </c>
      <c r="J44" s="689">
        <v>5.2803109688169289E-5</v>
      </c>
      <c r="K44" s="690">
        <v>5.5190629600371091E-5</v>
      </c>
    </row>
    <row r="45" spans="2:14" ht="15.75" x14ac:dyDescent="0.25">
      <c r="B45" s="667" t="s">
        <v>59</v>
      </c>
      <c r="C45" s="110">
        <v>2027</v>
      </c>
      <c r="D45" s="687" t="s">
        <v>530</v>
      </c>
      <c r="E45" s="688">
        <v>3.0404428091334423E-2</v>
      </c>
      <c r="F45" s="310">
        <v>6.5559688266096008E-3</v>
      </c>
      <c r="G45" s="311">
        <v>3.2556038466236906E-2</v>
      </c>
      <c r="H45" s="311">
        <v>1.157659832907039E-3</v>
      </c>
      <c r="I45" s="394">
        <v>1.2571731985564763E-3</v>
      </c>
      <c r="J45" s="689">
        <v>4.4532085109311966E-5</v>
      </c>
      <c r="K45" s="690">
        <v>4.6545634458749978E-5</v>
      </c>
    </row>
    <row r="46" spans="2:14" ht="15.75" x14ac:dyDescent="0.25">
      <c r="B46" s="667" t="s">
        <v>59</v>
      </c>
      <c r="C46" s="110">
        <v>2028</v>
      </c>
      <c r="D46" s="687" t="s">
        <v>531</v>
      </c>
      <c r="E46" s="688">
        <v>2.9641484274572152E-2</v>
      </c>
      <c r="F46" s="310">
        <v>5.8801340630914812E-3</v>
      </c>
      <c r="G46" s="311">
        <v>2.9953087741398935E-2</v>
      </c>
      <c r="H46" s="311">
        <v>1.0848219993963768E-3</v>
      </c>
      <c r="I46" s="394">
        <v>1.178231111838862E-3</v>
      </c>
      <c r="J46" s="689">
        <v>3.8047645605023967E-5</v>
      </c>
      <c r="K46" s="690">
        <v>3.9767984100937466E-5</v>
      </c>
    </row>
    <row r="47" spans="2:14" ht="15.75" x14ac:dyDescent="0.25">
      <c r="B47" s="667" t="s">
        <v>59</v>
      </c>
      <c r="C47" s="110">
        <v>2029</v>
      </c>
      <c r="D47" s="687" t="s">
        <v>532</v>
      </c>
      <c r="E47" s="688">
        <v>2.8958690239296019E-2</v>
      </c>
      <c r="F47" s="310">
        <v>5.2971202226985694E-3</v>
      </c>
      <c r="G47" s="311">
        <v>2.7778012997591538E-2</v>
      </c>
      <c r="H47" s="311">
        <v>1.0167436391056372E-3</v>
      </c>
      <c r="I47" s="394">
        <v>1.1043667711198876E-3</v>
      </c>
      <c r="J47" s="689">
        <v>3.3857516240604353E-5</v>
      </c>
      <c r="K47" s="690">
        <v>3.5388409014710258E-5</v>
      </c>
    </row>
    <row r="48" spans="2:14" ht="15.75" x14ac:dyDescent="0.25">
      <c r="B48" s="667" t="s">
        <v>59</v>
      </c>
      <c r="C48" s="110">
        <v>2030</v>
      </c>
      <c r="D48" s="687" t="s">
        <v>533</v>
      </c>
      <c r="E48" s="688">
        <v>2.8352153496036012E-2</v>
      </c>
      <c r="F48" s="310">
        <v>4.8112783641022791E-3</v>
      </c>
      <c r="G48" s="311">
        <v>2.6014349591747303E-2</v>
      </c>
      <c r="H48" s="311">
        <v>9.5305894971655009E-4</v>
      </c>
      <c r="I48" s="394">
        <v>1.0352567713770094E-3</v>
      </c>
      <c r="J48" s="689">
        <v>3.0248615596263403E-5</v>
      </c>
      <c r="K48" s="690">
        <v>3.1616320589095564E-5</v>
      </c>
    </row>
    <row r="49" spans="2:11" ht="15.75" x14ac:dyDescent="0.25">
      <c r="B49" s="667" t="s">
        <v>59</v>
      </c>
      <c r="C49" s="110">
        <v>2031</v>
      </c>
      <c r="D49" s="687" t="s">
        <v>534</v>
      </c>
      <c r="E49" s="688">
        <v>2.7814614066947983E-2</v>
      </c>
      <c r="F49" s="310">
        <v>4.384598191749081E-3</v>
      </c>
      <c r="G49" s="311">
        <v>2.4505049601076641E-2</v>
      </c>
      <c r="H49" s="311">
        <v>8.9406575161882381E-4</v>
      </c>
      <c r="I49" s="394">
        <v>9.7118956336727309E-4</v>
      </c>
      <c r="J49" s="689">
        <v>2.8040759310826972E-5</v>
      </c>
      <c r="K49" s="690">
        <v>2.9308640696059897E-5</v>
      </c>
    </row>
    <row r="50" spans="2:11" ht="15.75" x14ac:dyDescent="0.25">
      <c r="B50" s="667" t="s">
        <v>59</v>
      </c>
      <c r="C50" s="110">
        <v>2032</v>
      </c>
      <c r="D50" s="687" t="s">
        <v>535</v>
      </c>
      <c r="E50" s="688">
        <v>2.7341207975227884E-2</v>
      </c>
      <c r="F50" s="310">
        <v>4.017247021496609E-3</v>
      </c>
      <c r="G50" s="311">
        <v>2.3268175044566103E-2</v>
      </c>
      <c r="H50" s="311">
        <v>8.3913549916532872E-4</v>
      </c>
      <c r="I50" s="394">
        <v>9.115402329558372E-4</v>
      </c>
      <c r="J50" s="689">
        <v>2.5868095103530696E-5</v>
      </c>
      <c r="K50" s="690">
        <v>2.7037740180282421E-5</v>
      </c>
    </row>
    <row r="51" spans="2:11" ht="15.75" x14ac:dyDescent="0.25">
      <c r="B51" s="667" t="s">
        <v>59</v>
      </c>
      <c r="C51" s="110">
        <v>2033</v>
      </c>
      <c r="D51" s="687" t="s">
        <v>536</v>
      </c>
      <c r="E51" s="688">
        <v>2.6927142182076386E-2</v>
      </c>
      <c r="F51" s="310">
        <v>3.700930545454997E-3</v>
      </c>
      <c r="G51" s="311">
        <v>2.2258747090060062E-2</v>
      </c>
      <c r="H51" s="311">
        <v>7.8904048894661417E-4</v>
      </c>
      <c r="I51" s="394">
        <v>8.5712003786575194E-4</v>
      </c>
      <c r="J51" s="689">
        <v>2.439037653091063E-5</v>
      </c>
      <c r="K51" s="690">
        <v>2.5493202257862807E-5</v>
      </c>
    </row>
    <row r="52" spans="2:11" ht="15.75" x14ac:dyDescent="0.25">
      <c r="B52" s="667" t="s">
        <v>59</v>
      </c>
      <c r="C52" s="110">
        <v>2034</v>
      </c>
      <c r="D52" s="687" t="s">
        <v>537</v>
      </c>
      <c r="E52" s="688">
        <v>2.6566367913521377E-2</v>
      </c>
      <c r="F52" s="310">
        <v>3.4215479628094151E-3</v>
      </c>
      <c r="G52" s="311">
        <v>2.1413102151464494E-2</v>
      </c>
      <c r="H52" s="311">
        <v>7.4302566655126408E-4</v>
      </c>
      <c r="I52" s="394">
        <v>8.0713148716722279E-4</v>
      </c>
      <c r="J52" s="689">
        <v>2.3055442932839073E-5</v>
      </c>
      <c r="K52" s="690">
        <v>2.4097910021458037E-5</v>
      </c>
    </row>
    <row r="53" spans="2:11" ht="15.75" x14ac:dyDescent="0.25">
      <c r="B53" s="667" t="s">
        <v>59</v>
      </c>
      <c r="C53" s="110">
        <v>2035</v>
      </c>
      <c r="D53" s="687" t="s">
        <v>538</v>
      </c>
      <c r="E53" s="688">
        <v>2.6254501976128435E-2</v>
      </c>
      <c r="F53" s="310">
        <v>3.1738408065816529E-3</v>
      </c>
      <c r="G53" s="311">
        <v>2.0703840824835451E-2</v>
      </c>
      <c r="H53" s="311">
        <v>7.0108622452739089E-4</v>
      </c>
      <c r="I53" s="394">
        <v>7.6156810529967296E-4</v>
      </c>
      <c r="J53" s="689">
        <v>2.1875807237445335E-5</v>
      </c>
      <c r="K53" s="690">
        <v>2.2864938639216886E-5</v>
      </c>
    </row>
    <row r="54" spans="2:11" ht="15.75" x14ac:dyDescent="0.25">
      <c r="B54" s="667" t="s">
        <v>59</v>
      </c>
      <c r="C54" s="110">
        <v>2036</v>
      </c>
      <c r="D54" s="687" t="s">
        <v>539</v>
      </c>
      <c r="E54" s="688">
        <v>2.5987053086084018E-2</v>
      </c>
      <c r="F54" s="310">
        <v>2.9583184727899709E-3</v>
      </c>
      <c r="G54" s="311">
        <v>2.011665279591535E-2</v>
      </c>
      <c r="H54" s="311">
        <v>6.6447686732870788E-4</v>
      </c>
      <c r="I54" s="394">
        <v>7.217969056820603E-4</v>
      </c>
      <c r="J54" s="689">
        <v>2.0825945722178041E-5</v>
      </c>
      <c r="K54" s="690">
        <v>2.1767598406515126E-5</v>
      </c>
    </row>
    <row r="55" spans="2:11" ht="15.75" x14ac:dyDescent="0.25">
      <c r="B55" s="667" t="s">
        <v>59</v>
      </c>
      <c r="C55" s="110">
        <v>2037</v>
      </c>
      <c r="D55" s="687" t="s">
        <v>540</v>
      </c>
      <c r="E55" s="688">
        <v>2.5760135013449384E-2</v>
      </c>
      <c r="F55" s="310">
        <v>2.775663565481899E-3</v>
      </c>
      <c r="G55" s="311">
        <v>1.9643141716541489E-2</v>
      </c>
      <c r="H55" s="311">
        <v>6.3220717763360441E-4</v>
      </c>
      <c r="I55" s="394">
        <v>6.8673874256127267E-4</v>
      </c>
      <c r="J55" s="689">
        <v>1.9928923360598796E-5</v>
      </c>
      <c r="K55" s="690">
        <v>2.0830029442186572E-5</v>
      </c>
    </row>
    <row r="56" spans="2:11" ht="15.75" x14ac:dyDescent="0.25">
      <c r="B56" s="667" t="s">
        <v>59</v>
      </c>
      <c r="C56" s="110">
        <v>2038</v>
      </c>
      <c r="D56" s="687" t="s">
        <v>541</v>
      </c>
      <c r="E56" s="688">
        <v>2.5569471674821414E-2</v>
      </c>
      <c r="F56" s="310">
        <v>2.613864190911204E-3</v>
      </c>
      <c r="G56" s="311">
        <v>1.9228440257156327E-2</v>
      </c>
      <c r="H56" s="311">
        <v>6.039416109973921E-4</v>
      </c>
      <c r="I56" s="394">
        <v>6.560279231796665E-4</v>
      </c>
      <c r="J56" s="689">
        <v>1.9201479002290362E-5</v>
      </c>
      <c r="K56" s="690">
        <v>2.0069688100349175E-5</v>
      </c>
    </row>
    <row r="57" spans="2:11" ht="15.75" x14ac:dyDescent="0.25">
      <c r="B57" s="667" t="s">
        <v>59</v>
      </c>
      <c r="C57" s="110">
        <v>2039</v>
      </c>
      <c r="D57" s="687" t="s">
        <v>542</v>
      </c>
      <c r="E57" s="688">
        <v>2.541013517465086E-2</v>
      </c>
      <c r="F57" s="310">
        <v>2.466578643126523E-3</v>
      </c>
      <c r="G57" s="311">
        <v>1.8854340561498061E-2</v>
      </c>
      <c r="H57" s="311">
        <v>5.7930034345168857E-4</v>
      </c>
      <c r="I57" s="394">
        <v>6.2925423801571238E-4</v>
      </c>
      <c r="J57" s="689">
        <v>1.8588828661240472E-5</v>
      </c>
      <c r="K57" s="690">
        <v>1.9429337815448222E-5</v>
      </c>
    </row>
    <row r="58" spans="2:11" ht="15.75" x14ac:dyDescent="0.25">
      <c r="B58" s="667" t="s">
        <v>59</v>
      </c>
      <c r="C58" s="110">
        <v>2040</v>
      </c>
      <c r="D58" s="687" t="s">
        <v>543</v>
      </c>
      <c r="E58" s="688">
        <v>2.5277579747226837E-2</v>
      </c>
      <c r="F58" s="310">
        <v>2.3330430887681325E-3</v>
      </c>
      <c r="G58" s="311">
        <v>1.8532052567215788E-2</v>
      </c>
      <c r="H58" s="311">
        <v>5.58035746536422E-4</v>
      </c>
      <c r="I58" s="394">
        <v>6.0614926313751454E-4</v>
      </c>
      <c r="J58" s="689">
        <v>1.8071604391891461E-5</v>
      </c>
      <c r="K58" s="690">
        <v>1.8888720202981809E-5</v>
      </c>
    </row>
    <row r="59" spans="2:11" ht="15.75" x14ac:dyDescent="0.25">
      <c r="B59" s="667" t="s">
        <v>59</v>
      </c>
      <c r="C59" s="110">
        <v>2041</v>
      </c>
      <c r="D59" s="687" t="s">
        <v>544</v>
      </c>
      <c r="E59" s="688">
        <v>2.516918059002057E-2</v>
      </c>
      <c r="F59" s="310">
        <v>2.2250401132171147E-3</v>
      </c>
      <c r="G59" s="311">
        <v>1.8269997262577147E-2</v>
      </c>
      <c r="H59" s="311">
        <v>5.4117162554935799E-4</v>
      </c>
      <c r="I59" s="394">
        <v>5.8782554836508971E-4</v>
      </c>
      <c r="J59" s="689">
        <v>1.7652464947113084E-5</v>
      </c>
      <c r="K59" s="690">
        <v>1.845063114306579E-5</v>
      </c>
    </row>
    <row r="60" spans="2:11" ht="15.75" x14ac:dyDescent="0.25">
      <c r="B60" s="667" t="s">
        <v>59</v>
      </c>
      <c r="C60" s="110">
        <v>2042</v>
      </c>
      <c r="D60" s="687" t="s">
        <v>545</v>
      </c>
      <c r="E60" s="688">
        <v>2.5079906266032792E-2</v>
      </c>
      <c r="F60" s="310">
        <v>2.1331497081107415E-3</v>
      </c>
      <c r="G60" s="311">
        <v>1.8032354948834491E-2</v>
      </c>
      <c r="H60" s="311">
        <v>5.270130257519339E-4</v>
      </c>
      <c r="I60" s="394">
        <v>5.7244103323611235E-4</v>
      </c>
      <c r="J60" s="689">
        <v>1.7315924998196063E-5</v>
      </c>
      <c r="K60" s="690">
        <v>1.8098878216059857E-5</v>
      </c>
    </row>
    <row r="61" spans="2:11" ht="15.75" x14ac:dyDescent="0.25">
      <c r="B61" s="667" t="s">
        <v>59</v>
      </c>
      <c r="C61" s="110">
        <v>2043</v>
      </c>
      <c r="D61" s="687" t="s">
        <v>546</v>
      </c>
      <c r="E61" s="688">
        <v>2.5007228140197398E-2</v>
      </c>
      <c r="F61" s="310">
        <v>2.0637173464977815E-3</v>
      </c>
      <c r="G61" s="311">
        <v>1.7854750943016168E-2</v>
      </c>
      <c r="H61" s="311">
        <v>5.1524476653226094E-4</v>
      </c>
      <c r="I61" s="394">
        <v>5.5965316547494756E-4</v>
      </c>
      <c r="J61" s="689">
        <v>1.7052311261824026E-5</v>
      </c>
      <c r="K61" s="690">
        <v>1.7823338085763207E-5</v>
      </c>
    </row>
    <row r="62" spans="2:11" ht="15.75" x14ac:dyDescent="0.25">
      <c r="B62" s="667" t="s">
        <v>59</v>
      </c>
      <c r="C62" s="110">
        <v>2044</v>
      </c>
      <c r="D62" s="687" t="s">
        <v>547</v>
      </c>
      <c r="E62" s="688">
        <v>2.4947814569345885E-2</v>
      </c>
      <c r="F62" s="310">
        <v>2.0134410107800942E-3</v>
      </c>
      <c r="G62" s="311">
        <v>1.7722564001676253E-2</v>
      </c>
      <c r="H62" s="311">
        <v>5.0551495842948377E-4</v>
      </c>
      <c r="I62" s="394">
        <v>5.4908001440777962E-4</v>
      </c>
      <c r="J62" s="689">
        <v>1.6844890455430776E-5</v>
      </c>
      <c r="K62" s="690">
        <v>1.7606541796361838E-5</v>
      </c>
    </row>
    <row r="63" spans="2:11" ht="15.75" x14ac:dyDescent="0.25">
      <c r="B63" s="667" t="s">
        <v>59</v>
      </c>
      <c r="C63" s="110">
        <v>2045</v>
      </c>
      <c r="D63" s="687" t="s">
        <v>548</v>
      </c>
      <c r="E63" s="688">
        <v>2.489836611984925E-2</v>
      </c>
      <c r="F63" s="310">
        <v>1.980005955847798E-3</v>
      </c>
      <c r="G63" s="311">
        <v>1.7635250993743183E-2</v>
      </c>
      <c r="H63" s="311">
        <v>4.974695566786762E-4</v>
      </c>
      <c r="I63" s="394">
        <v>5.4033692752630509E-4</v>
      </c>
      <c r="J63" s="689">
        <v>1.6685502119793264E-5</v>
      </c>
      <c r="K63" s="690">
        <v>1.7439944971449283E-5</v>
      </c>
    </row>
    <row r="64" spans="2:11" ht="15.75" x14ac:dyDescent="0.25">
      <c r="B64" s="667" t="s">
        <v>59</v>
      </c>
      <c r="C64" s="110">
        <v>2046</v>
      </c>
      <c r="D64" s="687" t="s">
        <v>549</v>
      </c>
      <c r="E64" s="688">
        <v>2.4858224327319382E-2</v>
      </c>
      <c r="F64" s="310">
        <v>1.9521908340758571E-3</v>
      </c>
      <c r="G64" s="311">
        <v>1.7566655803311498E-2</v>
      </c>
      <c r="H64" s="311">
        <v>4.9092942598038809E-4</v>
      </c>
      <c r="I64" s="394">
        <v>5.332283736047981E-4</v>
      </c>
      <c r="J64" s="689">
        <v>1.6563356874237478E-5</v>
      </c>
      <c r="K64" s="690">
        <v>1.731227184313393E-5</v>
      </c>
    </row>
    <row r="65" spans="2:11" ht="15.75" x14ac:dyDescent="0.25">
      <c r="B65" s="667" t="s">
        <v>59</v>
      </c>
      <c r="C65" s="110">
        <v>2047</v>
      </c>
      <c r="D65" s="687" t="s">
        <v>550</v>
      </c>
      <c r="E65" s="688">
        <v>2.4825635520625899E-2</v>
      </c>
      <c r="F65" s="310">
        <v>1.9284188982245946E-3</v>
      </c>
      <c r="G65" s="311">
        <v>1.7505671734555261E-2</v>
      </c>
      <c r="H65" s="311">
        <v>4.8564850320610036E-4</v>
      </c>
      <c r="I65" s="394">
        <v>5.2748989940332646E-4</v>
      </c>
      <c r="J65" s="689">
        <v>1.6461675488161683E-5</v>
      </c>
      <c r="K65" s="690">
        <v>1.7205996317270363E-5</v>
      </c>
    </row>
    <row r="66" spans="2:11" ht="15.75" x14ac:dyDescent="0.25">
      <c r="B66" s="667" t="s">
        <v>59</v>
      </c>
      <c r="C66" s="110">
        <v>2048</v>
      </c>
      <c r="D66" s="687" t="s">
        <v>551</v>
      </c>
      <c r="E66" s="688">
        <v>2.4799078534169464E-2</v>
      </c>
      <c r="F66" s="310">
        <v>1.9094707950452628E-3</v>
      </c>
      <c r="G66" s="311">
        <v>1.7456125983160698E-2</v>
      </c>
      <c r="H66" s="311">
        <v>4.8137641711672776E-4</v>
      </c>
      <c r="I66" s="394">
        <v>5.2284642182573199E-4</v>
      </c>
      <c r="J66" s="689">
        <v>1.6377720637913E-5</v>
      </c>
      <c r="K66" s="690">
        <v>1.7118248552337232E-5</v>
      </c>
    </row>
    <row r="67" spans="2:11" ht="15.75" x14ac:dyDescent="0.25">
      <c r="B67" s="667" t="s">
        <v>59</v>
      </c>
      <c r="C67" s="110">
        <v>2049</v>
      </c>
      <c r="D67" s="687" t="s">
        <v>552</v>
      </c>
      <c r="E67" s="688">
        <v>2.4777543727897769E-2</v>
      </c>
      <c r="F67" s="310">
        <v>1.9017333430385883E-3</v>
      </c>
      <c r="G67" s="311">
        <v>1.7467302243951273E-2</v>
      </c>
      <c r="H67" s="311">
        <v>4.785004031822193E-4</v>
      </c>
      <c r="I67" s="394">
        <v>5.1972149731459815E-4</v>
      </c>
      <c r="J67" s="689">
        <v>1.6315736356282683E-5</v>
      </c>
      <c r="K67" s="690">
        <v>1.705346564130136E-5</v>
      </c>
    </row>
    <row r="68" spans="2:11" ht="15.75" x14ac:dyDescent="0.25">
      <c r="B68" s="667" t="s">
        <v>59</v>
      </c>
      <c r="C68" s="110">
        <v>2050</v>
      </c>
      <c r="D68" s="687" t="s">
        <v>553</v>
      </c>
      <c r="E68" s="688">
        <v>2.4760405948195872E-2</v>
      </c>
      <c r="F68" s="310">
        <v>1.8956051964599575E-3</v>
      </c>
      <c r="G68" s="311">
        <v>1.7478368599709738E-2</v>
      </c>
      <c r="H68" s="311">
        <v>4.7622294695865938E-4</v>
      </c>
      <c r="I68" s="394">
        <v>5.1724701252805019E-4</v>
      </c>
      <c r="J68" s="689">
        <v>1.6256745655125557E-5</v>
      </c>
      <c r="K68" s="690">
        <v>1.6991808067126688E-5</v>
      </c>
    </row>
    <row r="69" spans="2:11" ht="15.75" x14ac:dyDescent="0.25">
      <c r="B69" s="667" t="s">
        <v>60</v>
      </c>
      <c r="C69" s="110">
        <v>2015</v>
      </c>
      <c r="D69" s="687" t="s">
        <v>196</v>
      </c>
      <c r="E69" s="688">
        <v>4.2288798310925052E-2</v>
      </c>
      <c r="F69" s="310">
        <v>5.4970827927198977E-2</v>
      </c>
      <c r="G69" s="311">
        <v>0.23674528931661651</v>
      </c>
      <c r="H69" s="311">
        <v>1.8615468117903044E-3</v>
      </c>
      <c r="I69" s="394">
        <v>2.0181148500864913E-3</v>
      </c>
      <c r="J69" s="689">
        <v>6.2326770756643147E-5</v>
      </c>
      <c r="K69" s="690">
        <v>6.5144909432444972E-5</v>
      </c>
    </row>
    <row r="70" spans="2:11" ht="15.75" x14ac:dyDescent="0.25">
      <c r="B70" s="667" t="s">
        <v>60</v>
      </c>
      <c r="C70" s="110">
        <v>2016</v>
      </c>
      <c r="D70" s="687" t="s">
        <v>197</v>
      </c>
      <c r="E70" s="688">
        <v>4.1480089717239384E-2</v>
      </c>
      <c r="F70" s="310">
        <v>4.5784752117942917E-2</v>
      </c>
      <c r="G70" s="311">
        <v>0.20405333683318749</v>
      </c>
      <c r="H70" s="311">
        <v>1.754341069188341E-3</v>
      </c>
      <c r="I70" s="394">
        <v>1.9030974144192145E-3</v>
      </c>
      <c r="J70" s="689">
        <v>5.147310699297109E-5</v>
      </c>
      <c r="K70" s="690">
        <v>5.3800494314974939E-5</v>
      </c>
    </row>
    <row r="71" spans="2:11" ht="15.75" x14ac:dyDescent="0.25">
      <c r="B71" s="667" t="s">
        <v>60</v>
      </c>
      <c r="C71" s="110">
        <v>2017</v>
      </c>
      <c r="D71" s="687" t="s">
        <v>554</v>
      </c>
      <c r="E71" s="688">
        <v>4.0428140011512792E-2</v>
      </c>
      <c r="F71" s="310">
        <v>3.8646451434649086E-2</v>
      </c>
      <c r="G71" s="311">
        <v>0.17533708664993841</v>
      </c>
      <c r="H71" s="311">
        <v>1.708136715000481E-3</v>
      </c>
      <c r="I71" s="394">
        <v>1.8535613648769694E-3</v>
      </c>
      <c r="J71" s="689">
        <v>5.0369842356388918E-5</v>
      </c>
      <c r="K71" s="690">
        <v>5.2647343605983631E-5</v>
      </c>
    </row>
    <row r="72" spans="2:11" ht="15.75" x14ac:dyDescent="0.25">
      <c r="B72" s="667" t="s">
        <v>60</v>
      </c>
      <c r="C72" s="110">
        <v>2018</v>
      </c>
      <c r="D72" s="687" t="s">
        <v>555</v>
      </c>
      <c r="E72" s="688">
        <v>3.9366322001049794E-2</v>
      </c>
      <c r="F72" s="310">
        <v>3.0909429689166882E-2</v>
      </c>
      <c r="G72" s="311">
        <v>0.14887479851847463</v>
      </c>
      <c r="H72" s="311">
        <v>1.6779142245659728E-3</v>
      </c>
      <c r="I72" s="394">
        <v>1.8217193744646395E-3</v>
      </c>
      <c r="J72" s="689">
        <v>4.9721679329642351E-5</v>
      </c>
      <c r="K72" s="690">
        <v>5.1969872236352782E-5</v>
      </c>
    </row>
    <row r="73" spans="2:11" ht="15.75" x14ac:dyDescent="0.25">
      <c r="B73" s="667" t="s">
        <v>60</v>
      </c>
      <c r="C73" s="110">
        <v>2019</v>
      </c>
      <c r="D73" s="687" t="s">
        <v>556</v>
      </c>
      <c r="E73" s="688">
        <v>3.8282605810950665E-2</v>
      </c>
      <c r="F73" s="310">
        <v>2.6527540442831708E-2</v>
      </c>
      <c r="G73" s="311">
        <v>0.12823473948710407</v>
      </c>
      <c r="H73" s="311">
        <v>1.6695080955968374E-3</v>
      </c>
      <c r="I73" s="394">
        <v>1.812800476837689E-3</v>
      </c>
      <c r="J73" s="689">
        <v>4.9176847626346558E-5</v>
      </c>
      <c r="K73" s="690">
        <v>5.1400403574525296E-5</v>
      </c>
    </row>
    <row r="74" spans="2:11" ht="15.75" x14ac:dyDescent="0.25">
      <c r="B74" s="667" t="s">
        <v>60</v>
      </c>
      <c r="C74" s="110">
        <v>2020</v>
      </c>
      <c r="D74" s="687" t="s">
        <v>557</v>
      </c>
      <c r="E74" s="688">
        <v>3.7172884043528066E-2</v>
      </c>
      <c r="F74" s="310">
        <v>2.2389299117352018E-2</v>
      </c>
      <c r="G74" s="311">
        <v>0.10985503853257178</v>
      </c>
      <c r="H74" s="311">
        <v>1.6177843935354021E-3</v>
      </c>
      <c r="I74" s="394">
        <v>1.7567810214667596E-3</v>
      </c>
      <c r="J74" s="689">
        <v>4.8766938081077756E-5</v>
      </c>
      <c r="K74" s="690">
        <v>5.0971962797964134E-5</v>
      </c>
    </row>
    <row r="75" spans="2:11" ht="15.75" x14ac:dyDescent="0.25">
      <c r="B75" s="667" t="s">
        <v>60</v>
      </c>
      <c r="C75" s="110">
        <v>2021</v>
      </c>
      <c r="D75" s="687" t="s">
        <v>558</v>
      </c>
      <c r="E75" s="688">
        <v>3.6051550201079828E-2</v>
      </c>
      <c r="F75" s="310">
        <v>1.8675636669930634E-2</v>
      </c>
      <c r="G75" s="311">
        <v>9.4089154365539732E-2</v>
      </c>
      <c r="H75" s="311">
        <v>1.5277427051727881E-3</v>
      </c>
      <c r="I75" s="394">
        <v>1.6591846609723482E-3</v>
      </c>
      <c r="J75" s="689">
        <v>4.6441274154078459E-5</v>
      </c>
      <c r="K75" s="690">
        <v>4.8541143888874734E-5</v>
      </c>
    </row>
    <row r="76" spans="2:11" ht="15.75" x14ac:dyDescent="0.25">
      <c r="B76" s="667" t="s">
        <v>60</v>
      </c>
      <c r="C76" s="110">
        <v>2022</v>
      </c>
      <c r="D76" s="687" t="s">
        <v>559</v>
      </c>
      <c r="E76" s="688">
        <v>3.4948189708754032E-2</v>
      </c>
      <c r="F76" s="310">
        <v>1.4968456111952445E-2</v>
      </c>
      <c r="G76" s="311">
        <v>8.0186186788728742E-2</v>
      </c>
      <c r="H76" s="311">
        <v>1.4420803705157265E-3</v>
      </c>
      <c r="I76" s="394">
        <v>1.5664523509003906E-3</v>
      </c>
      <c r="J76" s="689">
        <v>4.3949559850294517E-5</v>
      </c>
      <c r="K76" s="690">
        <v>4.593676418276467E-5</v>
      </c>
    </row>
    <row r="77" spans="2:11" ht="15.75" x14ac:dyDescent="0.25">
      <c r="B77" s="667" t="s">
        <v>60</v>
      </c>
      <c r="C77" s="110">
        <v>2023</v>
      </c>
      <c r="D77" s="687" t="s">
        <v>560</v>
      </c>
      <c r="E77" s="688">
        <v>3.3858442857261944E-2</v>
      </c>
      <c r="F77" s="310">
        <v>1.2761862948536118E-2</v>
      </c>
      <c r="G77" s="311">
        <v>6.93856008205741E-2</v>
      </c>
      <c r="H77" s="311">
        <v>1.3664861805289385E-3</v>
      </c>
      <c r="I77" s="394">
        <v>1.4843865324229858E-3</v>
      </c>
      <c r="J77" s="689">
        <v>4.161356461219027E-5</v>
      </c>
      <c r="K77" s="690">
        <v>4.3495145964029291E-5</v>
      </c>
    </row>
    <row r="78" spans="2:11" ht="15.75" x14ac:dyDescent="0.25">
      <c r="B78" s="667" t="s">
        <v>60</v>
      </c>
      <c r="C78" s="110">
        <v>2024</v>
      </c>
      <c r="D78" s="687" t="s">
        <v>561</v>
      </c>
      <c r="E78" s="688">
        <v>3.2794044925033003E-2</v>
      </c>
      <c r="F78" s="310">
        <v>1.1030395874910323E-2</v>
      </c>
      <c r="G78" s="311">
        <v>6.0860709089896221E-2</v>
      </c>
      <c r="H78" s="311">
        <v>1.3036040118428931E-3</v>
      </c>
      <c r="I78" s="394">
        <v>1.4161140385979486E-3</v>
      </c>
      <c r="J78" s="689">
        <v>3.9447602717130548E-5</v>
      </c>
      <c r="K78" s="690">
        <v>4.1231247870000823E-5</v>
      </c>
    </row>
    <row r="79" spans="2:11" ht="15.75" x14ac:dyDescent="0.25">
      <c r="B79" s="667" t="s">
        <v>60</v>
      </c>
      <c r="C79" s="110">
        <v>2025</v>
      </c>
      <c r="D79" s="687" t="s">
        <v>562</v>
      </c>
      <c r="E79" s="688">
        <v>3.1744114764954146E-2</v>
      </c>
      <c r="F79" s="310">
        <v>9.6539511706437518E-3</v>
      </c>
      <c r="G79" s="311">
        <v>5.3989161303997717E-2</v>
      </c>
      <c r="H79" s="311">
        <v>1.2503617573228251E-3</v>
      </c>
      <c r="I79" s="394">
        <v>1.3582932741669431E-3</v>
      </c>
      <c r="J79" s="689">
        <v>3.7443659182338522E-5</v>
      </c>
      <c r="K79" s="690">
        <v>3.9136691155912483E-5</v>
      </c>
    </row>
    <row r="80" spans="2:11" ht="15.75" x14ac:dyDescent="0.25">
      <c r="B80" s="667" t="s">
        <v>60</v>
      </c>
      <c r="C80" s="110">
        <v>2026</v>
      </c>
      <c r="D80" s="687" t="s">
        <v>563</v>
      </c>
      <c r="E80" s="688">
        <v>3.0796629506135854E-2</v>
      </c>
      <c r="F80" s="310">
        <v>8.4920372897376514E-3</v>
      </c>
      <c r="G80" s="311">
        <v>4.8399356243859902E-2</v>
      </c>
      <c r="H80" s="311">
        <v>1.1959937406564823E-3</v>
      </c>
      <c r="I80" s="394">
        <v>1.299248040943001E-3</v>
      </c>
      <c r="J80" s="689">
        <v>3.5494984817236904E-5</v>
      </c>
      <c r="K80" s="690">
        <v>3.7099909772050526E-5</v>
      </c>
    </row>
    <row r="81" spans="2:11" ht="15.75" x14ac:dyDescent="0.25">
      <c r="B81" s="667" t="s">
        <v>60</v>
      </c>
      <c r="C81" s="110">
        <v>2027</v>
      </c>
      <c r="D81" s="687" t="s">
        <v>564</v>
      </c>
      <c r="E81" s="688">
        <v>2.9939407351273338E-2</v>
      </c>
      <c r="F81" s="310">
        <v>7.5335549782165447E-3</v>
      </c>
      <c r="G81" s="311">
        <v>4.375762986370707E-2</v>
      </c>
      <c r="H81" s="311">
        <v>1.1336984083464409E-3</v>
      </c>
      <c r="I81" s="394">
        <v>1.2315723576568126E-3</v>
      </c>
      <c r="J81" s="689">
        <v>3.3701598655619423E-5</v>
      </c>
      <c r="K81" s="690">
        <v>3.5225433458409013E-5</v>
      </c>
    </row>
    <row r="82" spans="2:11" ht="15.75" x14ac:dyDescent="0.25">
      <c r="B82" s="667" t="s">
        <v>60</v>
      </c>
      <c r="C82" s="110">
        <v>2028</v>
      </c>
      <c r="D82" s="687" t="s">
        <v>565</v>
      </c>
      <c r="E82" s="688">
        <v>2.9171957338605742E-2</v>
      </c>
      <c r="F82" s="310">
        <v>6.7405947438845112E-3</v>
      </c>
      <c r="G82" s="311">
        <v>3.9944288025694566E-2</v>
      </c>
      <c r="H82" s="311">
        <v>1.065204769486162E-3</v>
      </c>
      <c r="I82" s="394">
        <v>1.1571533316638953E-3</v>
      </c>
      <c r="J82" s="689">
        <v>3.1955189839512689E-5</v>
      </c>
      <c r="K82" s="690">
        <v>3.3400062206647513E-5</v>
      </c>
    </row>
    <row r="83" spans="2:11" ht="15.75" x14ac:dyDescent="0.25">
      <c r="B83" s="667" t="s">
        <v>60</v>
      </c>
      <c r="C83" s="110">
        <v>2029</v>
      </c>
      <c r="D83" s="687" t="s">
        <v>566</v>
      </c>
      <c r="E83" s="688">
        <v>2.848394857955603E-2</v>
      </c>
      <c r="F83" s="310">
        <v>6.0646357057495409E-3</v>
      </c>
      <c r="G83" s="311">
        <v>3.6726235212028661E-2</v>
      </c>
      <c r="H83" s="311">
        <v>1.0002644840878914E-3</v>
      </c>
      <c r="I83" s="394">
        <v>1.0865917767571925E-3</v>
      </c>
      <c r="J83" s="689">
        <v>3.0375627610807112E-5</v>
      </c>
      <c r="K83" s="690">
        <v>3.1749081303634198E-5</v>
      </c>
    </row>
    <row r="84" spans="2:11" ht="15.75" x14ac:dyDescent="0.25">
      <c r="B84" s="667" t="s">
        <v>60</v>
      </c>
      <c r="C84" s="110">
        <v>2030</v>
      </c>
      <c r="D84" s="687" t="s">
        <v>567</v>
      </c>
      <c r="E84" s="688">
        <v>2.787279099102432E-2</v>
      </c>
      <c r="F84" s="310">
        <v>5.492758398754234E-3</v>
      </c>
      <c r="G84" s="311">
        <v>3.4093856212970203E-2</v>
      </c>
      <c r="H84" s="311">
        <v>9.3942630321606308E-4</v>
      </c>
      <c r="I84" s="394">
        <v>1.0204894890427829E-3</v>
      </c>
      <c r="J84" s="689">
        <v>2.8853357618605878E-5</v>
      </c>
      <c r="K84" s="690">
        <v>3.0157977002741587E-5</v>
      </c>
    </row>
    <row r="85" spans="2:11" ht="15.75" x14ac:dyDescent="0.25">
      <c r="B85" s="667" t="s">
        <v>60</v>
      </c>
      <c r="C85" s="110">
        <v>2031</v>
      </c>
      <c r="D85" s="687" t="s">
        <v>568</v>
      </c>
      <c r="E85" s="688">
        <v>2.7326671407958157E-2</v>
      </c>
      <c r="F85" s="310">
        <v>4.971138211908953E-3</v>
      </c>
      <c r="G85" s="311">
        <v>3.17131093877965E-2</v>
      </c>
      <c r="H85" s="311">
        <v>8.8162659551965815E-4</v>
      </c>
      <c r="I85" s="394">
        <v>9.5768715899094187E-4</v>
      </c>
      <c r="J85" s="689">
        <v>2.7419431724341934E-5</v>
      </c>
      <c r="K85" s="690">
        <v>2.8659214253915168E-5</v>
      </c>
    </row>
    <row r="86" spans="2:11" ht="15.75" x14ac:dyDescent="0.25">
      <c r="B86" s="667" t="s">
        <v>60</v>
      </c>
      <c r="C86" s="110">
        <v>2032</v>
      </c>
      <c r="D86" s="687" t="s">
        <v>569</v>
      </c>
      <c r="E86" s="688">
        <v>2.6846969581842954E-2</v>
      </c>
      <c r="F86" s="310">
        <v>4.5504031275132332E-3</v>
      </c>
      <c r="G86" s="311">
        <v>2.9854577291665255E-2</v>
      </c>
      <c r="H86" s="311">
        <v>8.2966909167148778E-4</v>
      </c>
      <c r="I86" s="394">
        <v>9.0123291100171468E-4</v>
      </c>
      <c r="J86" s="689">
        <v>2.6133518488154363E-5</v>
      </c>
      <c r="K86" s="690">
        <v>2.7315157518430044E-5</v>
      </c>
    </row>
    <row r="87" spans="2:11" ht="15.75" x14ac:dyDescent="0.25">
      <c r="B87" s="667" t="s">
        <v>60</v>
      </c>
      <c r="C87" s="110">
        <v>2033</v>
      </c>
      <c r="D87" s="687" t="s">
        <v>570</v>
      </c>
      <c r="E87" s="688">
        <v>2.6424987445590124E-2</v>
      </c>
      <c r="F87" s="310">
        <v>4.1600477713248244E-3</v>
      </c>
      <c r="G87" s="311">
        <v>2.8208427648312145E-2</v>
      </c>
      <c r="H87" s="311">
        <v>7.8037856287121771E-4</v>
      </c>
      <c r="I87" s="394">
        <v>8.476769032947991E-4</v>
      </c>
      <c r="J87" s="689">
        <v>2.4923446999299207E-5</v>
      </c>
      <c r="K87" s="690">
        <v>2.6050378741443118E-5</v>
      </c>
    </row>
    <row r="88" spans="2:11" ht="15.75" x14ac:dyDescent="0.25">
      <c r="B88" s="667" t="s">
        <v>60</v>
      </c>
      <c r="C88" s="110">
        <v>2034</v>
      </c>
      <c r="D88" s="687" t="s">
        <v>571</v>
      </c>
      <c r="E88" s="688">
        <v>2.6056410148126385E-2</v>
      </c>
      <c r="F88" s="310">
        <v>3.8254132162473722E-3</v>
      </c>
      <c r="G88" s="311">
        <v>2.6864680065536106E-2</v>
      </c>
      <c r="H88" s="311">
        <v>7.3557278542431194E-4</v>
      </c>
      <c r="I88" s="394">
        <v>7.9899126379320005E-4</v>
      </c>
      <c r="J88" s="689">
        <v>2.3860368217164962E-5</v>
      </c>
      <c r="K88" s="690">
        <v>2.4939230133736079E-5</v>
      </c>
    </row>
    <row r="89" spans="2:11" ht="15.75" x14ac:dyDescent="0.25">
      <c r="B89" s="667" t="s">
        <v>60</v>
      </c>
      <c r="C89" s="110">
        <v>2035</v>
      </c>
      <c r="D89" s="687" t="s">
        <v>572</v>
      </c>
      <c r="E89" s="688">
        <v>2.5735129656485958E-2</v>
      </c>
      <c r="F89" s="310">
        <v>3.5113042583018528E-3</v>
      </c>
      <c r="G89" s="311">
        <v>2.56601702775772E-2</v>
      </c>
      <c r="H89" s="311">
        <v>6.9389548188706815E-4</v>
      </c>
      <c r="I89" s="394">
        <v>7.5370538570137028E-4</v>
      </c>
      <c r="J89" s="689">
        <v>2.2875269985623976E-5</v>
      </c>
      <c r="K89" s="690">
        <v>2.3909591514972902E-5</v>
      </c>
    </row>
    <row r="90" spans="2:11" ht="15.75" x14ac:dyDescent="0.25">
      <c r="B90" s="667" t="s">
        <v>60</v>
      </c>
      <c r="C90" s="110">
        <v>2036</v>
      </c>
      <c r="D90" s="687" t="s">
        <v>573</v>
      </c>
      <c r="E90" s="688">
        <v>2.5458661853085939E-2</v>
      </c>
      <c r="F90" s="310">
        <v>3.2344133006109673E-3</v>
      </c>
      <c r="G90" s="311">
        <v>2.4633336489667833E-2</v>
      </c>
      <c r="H90" s="311">
        <v>6.5789382740592177E-4</v>
      </c>
      <c r="I90" s="394">
        <v>7.1458771069151013E-4</v>
      </c>
      <c r="J90" s="689">
        <v>2.2004467298860849E-5</v>
      </c>
      <c r="K90" s="690">
        <v>2.2999419444720294E-5</v>
      </c>
    </row>
    <row r="91" spans="2:11" ht="15.75" x14ac:dyDescent="0.25">
      <c r="B91" s="667" t="s">
        <v>60</v>
      </c>
      <c r="C91" s="110">
        <v>2037</v>
      </c>
      <c r="D91" s="687" t="s">
        <v>574</v>
      </c>
      <c r="E91" s="688">
        <v>2.5219790793369494E-2</v>
      </c>
      <c r="F91" s="310">
        <v>2.998419598652464E-3</v>
      </c>
      <c r="G91" s="311">
        <v>2.3788988014503791E-2</v>
      </c>
      <c r="H91" s="311">
        <v>6.2585406667945375E-4</v>
      </c>
      <c r="I91" s="394">
        <v>6.7977396083470612E-4</v>
      </c>
      <c r="J91" s="689">
        <v>2.1233983139990782E-5</v>
      </c>
      <c r="K91" s="690">
        <v>2.219408745308726E-5</v>
      </c>
    </row>
    <row r="92" spans="2:11" ht="15.75" x14ac:dyDescent="0.25">
      <c r="B92" s="667" t="s">
        <v>60</v>
      </c>
      <c r="C92" s="110">
        <v>2038</v>
      </c>
      <c r="D92" s="687" t="s">
        <v>575</v>
      </c>
      <c r="E92" s="688">
        <v>2.5021006123453312E-2</v>
      </c>
      <c r="F92" s="310">
        <v>2.774049787725602E-3</v>
      </c>
      <c r="G92" s="311">
        <v>2.2978313512870621E-2</v>
      </c>
      <c r="H92" s="311">
        <v>5.9712101423335456E-4</v>
      </c>
      <c r="I92" s="394">
        <v>6.4855292782246376E-4</v>
      </c>
      <c r="J92" s="689">
        <v>2.0551478803303036E-5</v>
      </c>
      <c r="K92" s="690">
        <v>2.148072699404382E-5</v>
      </c>
    </row>
    <row r="93" spans="2:11" ht="15.75" x14ac:dyDescent="0.25">
      <c r="B93" s="667" t="s">
        <v>60</v>
      </c>
      <c r="C93" s="110">
        <v>2039</v>
      </c>
      <c r="D93" s="687" t="s">
        <v>576</v>
      </c>
      <c r="E93" s="688">
        <v>2.485316827938509E-2</v>
      </c>
      <c r="F93" s="310">
        <v>2.5744283527178056E-3</v>
      </c>
      <c r="G93" s="311">
        <v>2.2270317043905859E-2</v>
      </c>
      <c r="H93" s="311">
        <v>5.7194573902103829E-4</v>
      </c>
      <c r="I93" s="394">
        <v>6.2119675020060028E-4</v>
      </c>
      <c r="J93" s="689">
        <v>1.9976993652316752E-5</v>
      </c>
      <c r="K93" s="690">
        <v>2.0880264398301132E-5</v>
      </c>
    </row>
    <row r="94" spans="2:11" ht="15.75" x14ac:dyDescent="0.25">
      <c r="B94" s="667" t="s">
        <v>60</v>
      </c>
      <c r="C94" s="110">
        <v>2040</v>
      </c>
      <c r="D94" s="687" t="s">
        <v>577</v>
      </c>
      <c r="E94" s="688">
        <v>2.4712628865791172E-2</v>
      </c>
      <c r="F94" s="310">
        <v>2.3880531953548588E-3</v>
      </c>
      <c r="G94" s="311">
        <v>2.163204423574289E-2</v>
      </c>
      <c r="H94" s="311">
        <v>5.4979093354782539E-4</v>
      </c>
      <c r="I94" s="394">
        <v>5.9712277224780407E-4</v>
      </c>
      <c r="J94" s="689">
        <v>1.9479059270000106E-5</v>
      </c>
      <c r="K94" s="690">
        <v>2.0359813033187327E-5</v>
      </c>
    </row>
    <row r="95" spans="2:11" ht="15.75" x14ac:dyDescent="0.25">
      <c r="B95" s="667" t="s">
        <v>60</v>
      </c>
      <c r="C95" s="110">
        <v>2041</v>
      </c>
      <c r="D95" s="687" t="s">
        <v>578</v>
      </c>
      <c r="E95" s="688">
        <v>2.4597329439582503E-2</v>
      </c>
      <c r="F95" s="310">
        <v>2.2495248713551045E-3</v>
      </c>
      <c r="G95" s="311">
        <v>2.114851097434027E-2</v>
      </c>
      <c r="H95" s="311">
        <v>5.3270325817096772E-4</v>
      </c>
      <c r="I95" s="394">
        <v>5.785558008529519E-4</v>
      </c>
      <c r="J95" s="689">
        <v>1.905522877044122E-5</v>
      </c>
      <c r="K95" s="690">
        <v>1.99168200031042E-5</v>
      </c>
    </row>
    <row r="96" spans="2:11" ht="15.75" x14ac:dyDescent="0.25">
      <c r="B96" s="667" t="s">
        <v>60</v>
      </c>
      <c r="C96" s="110">
        <v>2042</v>
      </c>
      <c r="D96" s="687" t="s">
        <v>579</v>
      </c>
      <c r="E96" s="688">
        <v>2.4500845475839059E-2</v>
      </c>
      <c r="F96" s="310">
        <v>2.132506730941593E-3</v>
      </c>
      <c r="G96" s="311">
        <v>2.0725035504297537E-2</v>
      </c>
      <c r="H96" s="311">
        <v>5.1815207882000914E-4</v>
      </c>
      <c r="I96" s="394">
        <v>5.6274536566938401E-4</v>
      </c>
      <c r="J96" s="689">
        <v>1.8706426738354028E-5</v>
      </c>
      <c r="K96" s="690">
        <v>1.9552243357902632E-5</v>
      </c>
    </row>
    <row r="97" spans="2:11" ht="15.75" x14ac:dyDescent="0.25">
      <c r="B97" s="667" t="s">
        <v>60</v>
      </c>
      <c r="C97" s="110">
        <v>2043</v>
      </c>
      <c r="D97" s="687" t="s">
        <v>580</v>
      </c>
      <c r="E97" s="688">
        <v>2.4423694609577797E-2</v>
      </c>
      <c r="F97" s="310">
        <v>2.0430221648886642E-3</v>
      </c>
      <c r="G97" s="311">
        <v>2.0399849207255436E-2</v>
      </c>
      <c r="H97" s="311">
        <v>5.0583350190530542E-4</v>
      </c>
      <c r="I97" s="394">
        <v>5.4935959964960983E-4</v>
      </c>
      <c r="J97" s="689">
        <v>1.841400632143849E-5</v>
      </c>
      <c r="K97" s="690">
        <v>1.9246597393162633E-5</v>
      </c>
    </row>
    <row r="98" spans="2:11" ht="15.75" x14ac:dyDescent="0.25">
      <c r="B98" s="667" t="s">
        <v>60</v>
      </c>
      <c r="C98" s="110">
        <v>2044</v>
      </c>
      <c r="D98" s="687" t="s">
        <v>581</v>
      </c>
      <c r="E98" s="688">
        <v>2.4357317506971805E-2</v>
      </c>
      <c r="F98" s="310">
        <v>1.9727299672757602E-3</v>
      </c>
      <c r="G98" s="311">
        <v>2.0114642888347113E-2</v>
      </c>
      <c r="H98" s="311">
        <v>4.9537194109426403E-4</v>
      </c>
      <c r="I98" s="394">
        <v>5.3799252985715744E-4</v>
      </c>
      <c r="J98" s="689">
        <v>1.817607884880533E-5</v>
      </c>
      <c r="K98" s="690">
        <v>1.8997925944076202E-5</v>
      </c>
    </row>
    <row r="99" spans="2:11" ht="15.75" x14ac:dyDescent="0.25">
      <c r="B99" s="667" t="s">
        <v>60</v>
      </c>
      <c r="C99" s="110">
        <v>2045</v>
      </c>
      <c r="D99" s="687" t="s">
        <v>582</v>
      </c>
      <c r="E99" s="688">
        <v>2.4303269904353043E-2</v>
      </c>
      <c r="F99" s="310">
        <v>1.9268143360235018E-3</v>
      </c>
      <c r="G99" s="311">
        <v>1.9931847805416788E-2</v>
      </c>
      <c r="H99" s="311">
        <v>4.8658982792794425E-4</v>
      </c>
      <c r="I99" s="394">
        <v>5.2844871372911123E-4</v>
      </c>
      <c r="J99" s="689">
        <v>1.7983794285078631E-5</v>
      </c>
      <c r="K99" s="690">
        <v>1.8796944701042827E-5</v>
      </c>
    </row>
    <row r="100" spans="2:11" ht="15.75" x14ac:dyDescent="0.25">
      <c r="B100" s="667" t="s">
        <v>60</v>
      </c>
      <c r="C100" s="110">
        <v>2046</v>
      </c>
      <c r="D100" s="687" t="s">
        <v>583</v>
      </c>
      <c r="E100" s="688">
        <v>2.4260815296421778E-2</v>
      </c>
      <c r="F100" s="310">
        <v>1.8877790616386105E-3</v>
      </c>
      <c r="G100" s="311">
        <v>1.9777811682784464E-2</v>
      </c>
      <c r="H100" s="311">
        <v>4.7899779896300166E-4</v>
      </c>
      <c r="I100" s="394">
        <v>5.2021097615036205E-4</v>
      </c>
      <c r="J100" s="689">
        <v>1.7530002361034792E-5</v>
      </c>
      <c r="K100" s="690">
        <v>1.8322627571598477E-5</v>
      </c>
    </row>
    <row r="101" spans="2:11" ht="15.75" x14ac:dyDescent="0.25">
      <c r="B101" s="667" t="s">
        <v>60</v>
      </c>
      <c r="C101" s="110">
        <v>2047</v>
      </c>
      <c r="D101" s="687" t="s">
        <v>584</v>
      </c>
      <c r="E101" s="688">
        <v>2.4226004464342327E-2</v>
      </c>
      <c r="F101" s="310">
        <v>1.8522120545310344E-3</v>
      </c>
      <c r="G101" s="311">
        <v>1.9636748985844402E-2</v>
      </c>
      <c r="H101" s="311">
        <v>4.7296556962491087E-4</v>
      </c>
      <c r="I101" s="394">
        <v>5.1365432444898016E-4</v>
      </c>
      <c r="J101" s="689">
        <v>1.7428315606022053E-5</v>
      </c>
      <c r="K101" s="690">
        <v>1.821634320296255E-5</v>
      </c>
    </row>
    <row r="102" spans="2:11" ht="15.75" x14ac:dyDescent="0.25">
      <c r="B102" s="667" t="s">
        <v>60</v>
      </c>
      <c r="C102" s="110">
        <v>2048</v>
      </c>
      <c r="D102" s="687" t="s">
        <v>585</v>
      </c>
      <c r="E102" s="688">
        <v>2.4200599930398106E-2</v>
      </c>
      <c r="F102" s="310">
        <v>1.8254837924570339E-3</v>
      </c>
      <c r="G102" s="311">
        <v>1.9535351561983324E-2</v>
      </c>
      <c r="H102" s="311">
        <v>4.6805267494234854E-4</v>
      </c>
      <c r="I102" s="394">
        <v>5.0831482684295418E-4</v>
      </c>
      <c r="J102" s="689">
        <v>1.7344750587786666E-5</v>
      </c>
      <c r="K102" s="690">
        <v>1.812900313001702E-5</v>
      </c>
    </row>
    <row r="103" spans="2:11" ht="15.75" x14ac:dyDescent="0.25">
      <c r="B103" s="667" t="s">
        <v>60</v>
      </c>
      <c r="C103" s="110">
        <v>2049</v>
      </c>
      <c r="D103" s="687" t="s">
        <v>586</v>
      </c>
      <c r="E103" s="688">
        <v>2.4176223939062495E-2</v>
      </c>
      <c r="F103" s="310">
        <v>1.8149078817139435E-3</v>
      </c>
      <c r="G103" s="311">
        <v>1.9536436646562072E-2</v>
      </c>
      <c r="H103" s="311">
        <v>4.6473695660031252E-4</v>
      </c>
      <c r="I103" s="394">
        <v>5.0471859852395601E-4</v>
      </c>
      <c r="J103" s="689">
        <v>1.7109533098465486E-5</v>
      </c>
      <c r="K103" s="690">
        <v>1.7883153170850713E-5</v>
      </c>
    </row>
    <row r="104" spans="2:11" ht="15.75" x14ac:dyDescent="0.25">
      <c r="B104" s="667" t="s">
        <v>60</v>
      </c>
      <c r="C104" s="110">
        <v>2050</v>
      </c>
      <c r="D104" s="687" t="s">
        <v>587</v>
      </c>
      <c r="E104" s="688">
        <v>2.4159695069691633E-2</v>
      </c>
      <c r="F104" s="310">
        <v>1.8070547401345418E-3</v>
      </c>
      <c r="G104" s="311">
        <v>1.9548255165732158E-2</v>
      </c>
      <c r="H104" s="311">
        <v>4.6221519814411931E-4</v>
      </c>
      <c r="I104" s="394">
        <v>5.0197774439572629E-4</v>
      </c>
      <c r="J104" s="689">
        <v>1.7064658399551534E-5</v>
      </c>
      <c r="K104" s="690">
        <v>1.7836249072044826E-5</v>
      </c>
    </row>
    <row r="105" spans="2:11" ht="15.75" x14ac:dyDescent="0.25">
      <c r="B105" s="667" t="s">
        <v>61</v>
      </c>
      <c r="C105" s="110">
        <v>2015</v>
      </c>
      <c r="D105" s="687" t="s">
        <v>198</v>
      </c>
      <c r="E105" s="688">
        <v>4.3995933182822924E-2</v>
      </c>
      <c r="F105" s="310">
        <v>8.4987137376659458E-2</v>
      </c>
      <c r="G105" s="311">
        <v>0.34290659654772737</v>
      </c>
      <c r="H105" s="311">
        <v>2.4893511273728994E-3</v>
      </c>
      <c r="I105" s="394">
        <v>2.6883851152968608E-3</v>
      </c>
      <c r="J105" s="689">
        <v>2.3371628500686403E-4</v>
      </c>
      <c r="K105" s="690">
        <v>2.4428390411543175E-4</v>
      </c>
    </row>
    <row r="106" spans="2:11" ht="15.75" x14ac:dyDescent="0.25">
      <c r="B106" s="667" t="s">
        <v>61</v>
      </c>
      <c r="C106" s="110">
        <v>2016</v>
      </c>
      <c r="D106" s="687" t="s">
        <v>199</v>
      </c>
      <c r="E106" s="688">
        <v>4.3290571831934729E-2</v>
      </c>
      <c r="F106" s="310">
        <v>7.2107761441680657E-2</v>
      </c>
      <c r="G106" s="311">
        <v>0.30452955603640447</v>
      </c>
      <c r="H106" s="311">
        <v>2.2993261925608522E-3</v>
      </c>
      <c r="I106" s="394">
        <v>2.4845501424877034E-3</v>
      </c>
      <c r="J106" s="689">
        <v>2.2839046357927799E-4</v>
      </c>
      <c r="K106" s="690">
        <v>2.3871726600624727E-4</v>
      </c>
    </row>
    <row r="107" spans="2:11" ht="15.75" x14ac:dyDescent="0.25">
      <c r="B107" s="667" t="s">
        <v>61</v>
      </c>
      <c r="C107" s="110">
        <v>2017</v>
      </c>
      <c r="D107" s="687" t="s">
        <v>588</v>
      </c>
      <c r="E107" s="688">
        <v>4.2280761897653028E-2</v>
      </c>
      <c r="F107" s="310">
        <v>6.0119035662900458E-2</v>
      </c>
      <c r="G107" s="311">
        <v>0.2673188564131615</v>
      </c>
      <c r="H107" s="311">
        <v>2.1404438310592667E-3</v>
      </c>
      <c r="I107" s="394">
        <v>2.3147902972823634E-3</v>
      </c>
      <c r="J107" s="689">
        <v>2.1122951761731184E-4</v>
      </c>
      <c r="K107" s="690">
        <v>2.2078037639333453E-4</v>
      </c>
    </row>
    <row r="108" spans="2:11" ht="15.75" x14ac:dyDescent="0.25">
      <c r="B108" s="667" t="s">
        <v>61</v>
      </c>
      <c r="C108" s="110">
        <v>2018</v>
      </c>
      <c r="D108" s="687" t="s">
        <v>589</v>
      </c>
      <c r="E108" s="688">
        <v>4.1211471480696989E-2</v>
      </c>
      <c r="F108" s="310">
        <v>5.0338720233867415E-2</v>
      </c>
      <c r="G108" s="311">
        <v>0.23405652596808676</v>
      </c>
      <c r="H108" s="311">
        <v>2.0198073696760079E-3</v>
      </c>
      <c r="I108" s="394">
        <v>2.1859036620845351E-3</v>
      </c>
      <c r="J108" s="689">
        <v>1.9483040755200075E-4</v>
      </c>
      <c r="K108" s="690">
        <v>2.0363977123322987E-4</v>
      </c>
    </row>
    <row r="109" spans="2:11" ht="15.75" x14ac:dyDescent="0.25">
      <c r="B109" s="667" t="s">
        <v>61</v>
      </c>
      <c r="C109" s="110">
        <v>2019</v>
      </c>
      <c r="D109" s="687" t="s">
        <v>590</v>
      </c>
      <c r="E109" s="688">
        <v>4.0084477812169707E-2</v>
      </c>
      <c r="F109" s="310">
        <v>4.1919990948351873E-2</v>
      </c>
      <c r="G109" s="311">
        <v>0.20445759904980682</v>
      </c>
      <c r="H109" s="311">
        <v>1.9203385764215021E-3</v>
      </c>
      <c r="I109" s="394">
        <v>2.0795880655026101E-3</v>
      </c>
      <c r="J109" s="689">
        <v>1.8022129468484038E-4</v>
      </c>
      <c r="K109" s="690">
        <v>1.8837010564626551E-4</v>
      </c>
    </row>
    <row r="110" spans="2:11" ht="15.75" x14ac:dyDescent="0.25">
      <c r="B110" s="667" t="s">
        <v>61</v>
      </c>
      <c r="C110" s="110">
        <v>2020</v>
      </c>
      <c r="D110" s="687" t="s">
        <v>591</v>
      </c>
      <c r="E110" s="688">
        <v>3.8924704682464804E-2</v>
      </c>
      <c r="F110" s="310">
        <v>3.5815648691317266E-2</v>
      </c>
      <c r="G110" s="311">
        <v>0.17901701598336575</v>
      </c>
      <c r="H110" s="311">
        <v>1.81715794265409E-3</v>
      </c>
      <c r="I110" s="394">
        <v>1.9684958088194409E-3</v>
      </c>
      <c r="J110" s="689">
        <v>1.6396399939043772E-4</v>
      </c>
      <c r="K110" s="690">
        <v>1.713777235708275E-4</v>
      </c>
    </row>
    <row r="111" spans="2:11" ht="15.75" x14ac:dyDescent="0.25">
      <c r="B111" s="667" t="s">
        <v>61</v>
      </c>
      <c r="C111" s="110">
        <v>2021</v>
      </c>
      <c r="D111" s="687" t="s">
        <v>592</v>
      </c>
      <c r="E111" s="688">
        <v>3.773895184964262E-2</v>
      </c>
      <c r="F111" s="310">
        <v>3.1072109049580472E-2</v>
      </c>
      <c r="G111" s="311">
        <v>0.15647195326939456</v>
      </c>
      <c r="H111" s="311">
        <v>1.698333612787023E-3</v>
      </c>
      <c r="I111" s="394">
        <v>1.8400258962509193E-3</v>
      </c>
      <c r="J111" s="689">
        <v>1.5129700527211136E-4</v>
      </c>
      <c r="K111" s="690">
        <v>1.5813798651761419E-4</v>
      </c>
    </row>
    <row r="112" spans="2:11" ht="15.75" x14ac:dyDescent="0.25">
      <c r="B112" s="667" t="s">
        <v>61</v>
      </c>
      <c r="C112" s="110">
        <v>2022</v>
      </c>
      <c r="D112" s="687" t="s">
        <v>593</v>
      </c>
      <c r="E112" s="688">
        <v>3.6553657030012815E-2</v>
      </c>
      <c r="F112" s="310">
        <v>2.6007068700484082E-2</v>
      </c>
      <c r="G112" s="311">
        <v>0.13549794325505593</v>
      </c>
      <c r="H112" s="311">
        <v>1.5802706955311957E-3</v>
      </c>
      <c r="I112" s="394">
        <v>1.7125834099628019E-3</v>
      </c>
      <c r="J112" s="689">
        <v>1.3906745231951977E-4</v>
      </c>
      <c r="K112" s="690">
        <v>1.453554627211049E-4</v>
      </c>
    </row>
    <row r="113" spans="2:11" ht="15.75" x14ac:dyDescent="0.25">
      <c r="B113" s="667" t="s">
        <v>61</v>
      </c>
      <c r="C113" s="110">
        <v>2023</v>
      </c>
      <c r="D113" s="687" t="s">
        <v>594</v>
      </c>
      <c r="E113" s="688">
        <v>3.5382727889690609E-2</v>
      </c>
      <c r="F113" s="310">
        <v>2.2568016047253423E-2</v>
      </c>
      <c r="G113" s="311">
        <v>0.11860191811538763</v>
      </c>
      <c r="H113" s="311">
        <v>1.4707592422162981E-3</v>
      </c>
      <c r="I113" s="394">
        <v>1.5941774571456781E-3</v>
      </c>
      <c r="J113" s="689">
        <v>1.2480275450945649E-4</v>
      </c>
      <c r="K113" s="690">
        <v>1.3044578555457406E-4</v>
      </c>
    </row>
    <row r="114" spans="2:11" ht="15.75" x14ac:dyDescent="0.25">
      <c r="B114" s="667" t="s">
        <v>61</v>
      </c>
      <c r="C114" s="110">
        <v>2024</v>
      </c>
      <c r="D114" s="687" t="s">
        <v>595</v>
      </c>
      <c r="E114" s="688">
        <v>3.4228424481763921E-2</v>
      </c>
      <c r="F114" s="310">
        <v>1.953605863047125E-2</v>
      </c>
      <c r="G114" s="311">
        <v>0.10383249927065757</v>
      </c>
      <c r="H114" s="311">
        <v>1.3642418271090633E-3</v>
      </c>
      <c r="I114" s="394">
        <v>1.4791987481382444E-3</v>
      </c>
      <c r="J114" s="689">
        <v>1.0641617995488748E-4</v>
      </c>
      <c r="K114" s="690">
        <v>1.1122784897377238E-4</v>
      </c>
    </row>
    <row r="115" spans="2:11" ht="15.75" x14ac:dyDescent="0.25">
      <c r="B115" s="667" t="s">
        <v>61</v>
      </c>
      <c r="C115" s="110">
        <v>2025</v>
      </c>
      <c r="D115" s="687" t="s">
        <v>596</v>
      </c>
      <c r="E115" s="688">
        <v>3.3102736153435099E-2</v>
      </c>
      <c r="F115" s="310">
        <v>1.716378268182844E-2</v>
      </c>
      <c r="G115" s="311">
        <v>9.202426185106137E-2</v>
      </c>
      <c r="H115" s="311">
        <v>1.2861068128172941E-3</v>
      </c>
      <c r="I115" s="394">
        <v>1.3946005749904105E-3</v>
      </c>
      <c r="J115" s="689">
        <v>9.8034717076127349E-5</v>
      </c>
      <c r="K115" s="690">
        <v>1.0246741077231535E-4</v>
      </c>
    </row>
    <row r="116" spans="2:11" ht="15.75" x14ac:dyDescent="0.25">
      <c r="B116" s="667" t="s">
        <v>61</v>
      </c>
      <c r="C116" s="110">
        <v>2026</v>
      </c>
      <c r="D116" s="687" t="s">
        <v>597</v>
      </c>
      <c r="E116" s="688">
        <v>3.2058157626956768E-2</v>
      </c>
      <c r="F116" s="310">
        <v>1.5135216184055991E-2</v>
      </c>
      <c r="G116" s="311">
        <v>8.2082281196123458E-2</v>
      </c>
      <c r="H116" s="311">
        <v>1.2153884525242882E-3</v>
      </c>
      <c r="I116" s="394">
        <v>1.3180792985437422E-3</v>
      </c>
      <c r="J116" s="689">
        <v>8.8862348863333733E-5</v>
      </c>
      <c r="K116" s="690">
        <v>9.2880311718655261E-5</v>
      </c>
    </row>
    <row r="117" spans="2:11" ht="15.75" x14ac:dyDescent="0.25">
      <c r="B117" s="667" t="s">
        <v>61</v>
      </c>
      <c r="C117" s="110">
        <v>2027</v>
      </c>
      <c r="D117" s="687" t="s">
        <v>598</v>
      </c>
      <c r="E117" s="688">
        <v>3.1086052288078328E-2</v>
      </c>
      <c r="F117" s="310">
        <v>1.3360415756893609E-2</v>
      </c>
      <c r="G117" s="311">
        <v>7.3377624858455406E-2</v>
      </c>
      <c r="H117" s="311">
        <v>1.1392375837557265E-3</v>
      </c>
      <c r="I117" s="394">
        <v>1.2357809955973928E-3</v>
      </c>
      <c r="J117" s="689">
        <v>7.6550677545758367E-5</v>
      </c>
      <c r="K117" s="690">
        <v>8.0011952285385276E-5</v>
      </c>
    </row>
    <row r="118" spans="2:11" ht="15.75" x14ac:dyDescent="0.25">
      <c r="B118" s="667" t="s">
        <v>61</v>
      </c>
      <c r="C118" s="110">
        <v>2028</v>
      </c>
      <c r="D118" s="687" t="s">
        <v>599</v>
      </c>
      <c r="E118" s="688">
        <v>3.0195421843273479E-2</v>
      </c>
      <c r="F118" s="310">
        <v>1.1831560749219729E-2</v>
      </c>
      <c r="G118" s="311">
        <v>6.5729477820099524E-2</v>
      </c>
      <c r="H118" s="311">
        <v>1.0582275352749063E-3</v>
      </c>
      <c r="I118" s="394">
        <v>1.1482452346450269E-3</v>
      </c>
      <c r="J118" s="689">
        <v>6.3100722565710257E-5</v>
      </c>
      <c r="K118" s="690">
        <v>6.5953851452158261E-5</v>
      </c>
    </row>
    <row r="119" spans="2:11" ht="15.75" x14ac:dyDescent="0.25">
      <c r="B119" s="667" t="s">
        <v>61</v>
      </c>
      <c r="C119" s="110">
        <v>2029</v>
      </c>
      <c r="D119" s="687" t="s">
        <v>600</v>
      </c>
      <c r="E119" s="688">
        <v>2.9383256638276435E-2</v>
      </c>
      <c r="F119" s="310">
        <v>1.0444700432197796E-2</v>
      </c>
      <c r="G119" s="311">
        <v>5.8873093462620429E-2</v>
      </c>
      <c r="H119" s="311">
        <v>9.8372944772736736E-4</v>
      </c>
      <c r="I119" s="394">
        <v>1.0675785914133118E-3</v>
      </c>
      <c r="J119" s="689">
        <v>5.4673653459665119E-5</v>
      </c>
      <c r="K119" s="690">
        <v>5.7145759922016924E-5</v>
      </c>
    </row>
    <row r="120" spans="2:11" ht="15.75" x14ac:dyDescent="0.25">
      <c r="B120" s="667" t="s">
        <v>61</v>
      </c>
      <c r="C120" s="110">
        <v>2030</v>
      </c>
      <c r="D120" s="687" t="s">
        <v>601</v>
      </c>
      <c r="E120" s="688">
        <v>2.8648109829054601E-2</v>
      </c>
      <c r="F120" s="310">
        <v>9.2596527120930271E-3</v>
      </c>
      <c r="G120" s="311">
        <v>5.2906078848632729E-2</v>
      </c>
      <c r="H120" s="311">
        <v>9.1131127825622594E-4</v>
      </c>
      <c r="I120" s="394">
        <v>9.8917632243834775E-4</v>
      </c>
      <c r="J120" s="689">
        <v>4.6197459219311434E-5</v>
      </c>
      <c r="K120" s="690">
        <v>4.8286302817191418E-5</v>
      </c>
    </row>
    <row r="121" spans="2:11" ht="15.75" x14ac:dyDescent="0.25">
      <c r="B121" s="667" t="s">
        <v>61</v>
      </c>
      <c r="C121" s="110">
        <v>2031</v>
      </c>
      <c r="D121" s="687" t="s">
        <v>602</v>
      </c>
      <c r="E121" s="688">
        <v>2.799063794497568E-2</v>
      </c>
      <c r="F121" s="310">
        <v>8.2277069044746545E-3</v>
      </c>
      <c r="G121" s="311">
        <v>4.7690473492768636E-2</v>
      </c>
      <c r="H121" s="311">
        <v>8.4700783925702541E-4</v>
      </c>
      <c r="I121" s="394">
        <v>9.1945279677170132E-4</v>
      </c>
      <c r="J121" s="689">
        <v>4.1183213566261743E-5</v>
      </c>
      <c r="K121" s="690">
        <v>4.3045335416892766E-5</v>
      </c>
    </row>
    <row r="122" spans="2:11" ht="15.75" x14ac:dyDescent="0.25">
      <c r="B122" s="667" t="s">
        <v>61</v>
      </c>
      <c r="C122" s="110">
        <v>2032</v>
      </c>
      <c r="D122" s="687" t="s">
        <v>603</v>
      </c>
      <c r="E122" s="688">
        <v>2.7406248982480286E-2</v>
      </c>
      <c r="F122" s="310">
        <v>7.3492044321051605E-3</v>
      </c>
      <c r="G122" s="311">
        <v>4.3393539755890283E-2</v>
      </c>
      <c r="H122" s="311">
        <v>7.8834917947702258E-4</v>
      </c>
      <c r="I122" s="394">
        <v>8.5586215841223156E-4</v>
      </c>
      <c r="J122" s="689">
        <v>3.6329371466163199E-5</v>
      </c>
      <c r="K122" s="690">
        <v>3.7972024791972357E-5</v>
      </c>
    </row>
    <row r="123" spans="2:11" ht="15.75" x14ac:dyDescent="0.25">
      <c r="B123" s="667" t="s">
        <v>61</v>
      </c>
      <c r="C123" s="110">
        <v>2033</v>
      </c>
      <c r="D123" s="687" t="s">
        <v>604</v>
      </c>
      <c r="E123" s="688">
        <v>2.6885843267295581E-2</v>
      </c>
      <c r="F123" s="310">
        <v>6.5718120771249694E-3</v>
      </c>
      <c r="G123" s="311">
        <v>3.963878095669341E-2</v>
      </c>
      <c r="H123" s="311">
        <v>7.3578882803448432E-4</v>
      </c>
      <c r="I123" s="394">
        <v>7.9881347764101354E-4</v>
      </c>
      <c r="J123" s="689">
        <v>3.3616436011489688E-5</v>
      </c>
      <c r="K123" s="690">
        <v>3.5136422184581901E-5</v>
      </c>
    </row>
    <row r="124" spans="2:11" ht="15.75" x14ac:dyDescent="0.25">
      <c r="B124" s="667" t="s">
        <v>61</v>
      </c>
      <c r="C124" s="110">
        <v>2034</v>
      </c>
      <c r="D124" s="687" t="s">
        <v>605</v>
      </c>
      <c r="E124" s="688">
        <v>2.6422648654055459E-2</v>
      </c>
      <c r="F124" s="310">
        <v>5.849795160232138E-3</v>
      </c>
      <c r="G124" s="311">
        <v>3.6274209417520957E-2</v>
      </c>
      <c r="H124" s="311">
        <v>6.8580814372188801E-4</v>
      </c>
      <c r="I124" s="394">
        <v>7.4460381569632845E-4</v>
      </c>
      <c r="J124" s="689">
        <v>3.0091820196155148E-5</v>
      </c>
      <c r="K124" s="690">
        <v>3.1452441031749983E-5</v>
      </c>
    </row>
    <row r="125" spans="2:11" ht="15.75" x14ac:dyDescent="0.25">
      <c r="B125" s="667" t="s">
        <v>61</v>
      </c>
      <c r="C125" s="110">
        <v>2035</v>
      </c>
      <c r="D125" s="687" t="s">
        <v>606</v>
      </c>
      <c r="E125" s="688">
        <v>2.6013073050226557E-2</v>
      </c>
      <c r="F125" s="310">
        <v>5.197846514780234E-3</v>
      </c>
      <c r="G125" s="311">
        <v>3.3335178909048073E-2</v>
      </c>
      <c r="H125" s="311">
        <v>6.4057396152887125E-4</v>
      </c>
      <c r="I125" s="394">
        <v>6.9549305024914636E-4</v>
      </c>
      <c r="J125" s="689">
        <v>2.8068974284050724E-5</v>
      </c>
      <c r="K125" s="690">
        <v>2.9338123673598126E-5</v>
      </c>
    </row>
    <row r="126" spans="2:11" ht="15.75" x14ac:dyDescent="0.25">
      <c r="B126" s="667" t="s">
        <v>61</v>
      </c>
      <c r="C126" s="110">
        <v>2036</v>
      </c>
      <c r="D126" s="687" t="s">
        <v>607</v>
      </c>
      <c r="E126" s="688">
        <v>2.5653861163397434E-2</v>
      </c>
      <c r="F126" s="310">
        <v>4.6210927001710794E-3</v>
      </c>
      <c r="G126" s="311">
        <v>3.0782311823134956E-2</v>
      </c>
      <c r="H126" s="311">
        <v>6.0382896300878051E-4</v>
      </c>
      <c r="I126" s="394">
        <v>6.5560494723329804E-4</v>
      </c>
      <c r="J126" s="689">
        <v>2.6292000672421925E-5</v>
      </c>
      <c r="K126" s="690">
        <v>2.7480808454385256E-5</v>
      </c>
    </row>
    <row r="127" spans="2:11" ht="15.75" x14ac:dyDescent="0.25">
      <c r="B127" s="667" t="s">
        <v>61</v>
      </c>
      <c r="C127" s="110">
        <v>2037</v>
      </c>
      <c r="D127" s="687" t="s">
        <v>608</v>
      </c>
      <c r="E127" s="688">
        <v>2.5340574354401738E-2</v>
      </c>
      <c r="F127" s="310">
        <v>4.1141682575479141E-3</v>
      </c>
      <c r="G127" s="311">
        <v>2.8580918761278756E-2</v>
      </c>
      <c r="H127" s="311">
        <v>5.7056970148929573E-4</v>
      </c>
      <c r="I127" s="394">
        <v>6.1950894796590061E-4</v>
      </c>
      <c r="J127" s="689">
        <v>2.4472121870032253E-5</v>
      </c>
      <c r="K127" s="690">
        <v>2.5578640245165659E-5</v>
      </c>
    </row>
    <row r="128" spans="2:11" ht="15.75" x14ac:dyDescent="0.25">
      <c r="B128" s="667" t="s">
        <v>61</v>
      </c>
      <c r="C128" s="110">
        <v>2038</v>
      </c>
      <c r="D128" s="687" t="s">
        <v>609</v>
      </c>
      <c r="E128" s="688">
        <v>2.506910697656865E-2</v>
      </c>
      <c r="F128" s="310">
        <v>3.6496548362576109E-3</v>
      </c>
      <c r="G128" s="311">
        <v>2.6530349872866454E-2</v>
      </c>
      <c r="H128" s="311">
        <v>5.4067669531637644E-4</v>
      </c>
      <c r="I128" s="394">
        <v>5.8705209458242687E-4</v>
      </c>
      <c r="J128" s="689">
        <v>2.3205539086040153E-5</v>
      </c>
      <c r="K128" s="690">
        <v>2.4254790852494737E-5</v>
      </c>
    </row>
    <row r="129" spans="2:11" ht="15.75" x14ac:dyDescent="0.25">
      <c r="B129" s="667" t="s">
        <v>61</v>
      </c>
      <c r="C129" s="110">
        <v>2039</v>
      </c>
      <c r="D129" s="687" t="s">
        <v>610</v>
      </c>
      <c r="E129" s="688">
        <v>2.483038587834081E-2</v>
      </c>
      <c r="F129" s="310">
        <v>3.202615039145801E-3</v>
      </c>
      <c r="G129" s="311">
        <v>2.4565713170898475E-2</v>
      </c>
      <c r="H129" s="311">
        <v>5.1351792022649159E-4</v>
      </c>
      <c r="I129" s="394">
        <v>5.5755998383023853E-4</v>
      </c>
      <c r="J129" s="689">
        <v>2.2124070206118087E-5</v>
      </c>
      <c r="K129" s="690">
        <v>2.3124423922460003E-5</v>
      </c>
    </row>
    <row r="130" spans="2:11" ht="15.75" x14ac:dyDescent="0.25">
      <c r="B130" s="667" t="s">
        <v>61</v>
      </c>
      <c r="C130" s="110">
        <v>2040</v>
      </c>
      <c r="D130" s="687" t="s">
        <v>611</v>
      </c>
      <c r="E130" s="688">
        <v>2.4623860741156307E-2</v>
      </c>
      <c r="F130" s="310">
        <v>2.8238989213047851E-3</v>
      </c>
      <c r="G130" s="311">
        <v>2.3067673532428602E-2</v>
      </c>
      <c r="H130" s="311">
        <v>4.8965269457307661E-4</v>
      </c>
      <c r="I130" s="394">
        <v>5.3164577926314335E-4</v>
      </c>
      <c r="J130" s="689">
        <v>2.1151293425417696E-5</v>
      </c>
      <c r="K130" s="690">
        <v>2.2107664542647012E-5</v>
      </c>
    </row>
    <row r="131" spans="2:11" ht="15.75" x14ac:dyDescent="0.25">
      <c r="B131" s="667" t="s">
        <v>61</v>
      </c>
      <c r="C131" s="110">
        <v>2041</v>
      </c>
      <c r="D131" s="687" t="s">
        <v>612</v>
      </c>
      <c r="E131" s="688">
        <v>2.4444926862990966E-2</v>
      </c>
      <c r="F131" s="310">
        <v>2.4949440043010181E-3</v>
      </c>
      <c r="G131" s="311">
        <v>2.1732456858032455E-2</v>
      </c>
      <c r="H131" s="311">
        <v>4.7257847578554836E-4</v>
      </c>
      <c r="I131" s="394">
        <v>5.1311217324249655E-4</v>
      </c>
      <c r="J131" s="689">
        <v>2.0287715023420796E-5</v>
      </c>
      <c r="K131" s="690">
        <v>2.1205037498315309E-5</v>
      </c>
    </row>
    <row r="132" spans="2:11" ht="15.75" x14ac:dyDescent="0.25">
      <c r="B132" s="667" t="s">
        <v>61</v>
      </c>
      <c r="C132" s="110">
        <v>2042</v>
      </c>
      <c r="D132" s="687" t="s">
        <v>613</v>
      </c>
      <c r="E132" s="688">
        <v>2.4286966659143948E-2</v>
      </c>
      <c r="F132" s="310">
        <v>2.2252624230099365E-3</v>
      </c>
      <c r="G132" s="311">
        <v>2.0593747740592298E-2</v>
      </c>
      <c r="H132" s="311">
        <v>4.5737599728317021E-4</v>
      </c>
      <c r="I132" s="394">
        <v>4.9661600548932792E-4</v>
      </c>
      <c r="J132" s="689">
        <v>1.9406318952982054E-5</v>
      </c>
      <c r="K132" s="690">
        <v>2.0283790689018324E-5</v>
      </c>
    </row>
    <row r="133" spans="2:11" ht="15.75" x14ac:dyDescent="0.25">
      <c r="B133" s="667" t="s">
        <v>61</v>
      </c>
      <c r="C133" s="110">
        <v>2043</v>
      </c>
      <c r="D133" s="687" t="s">
        <v>614</v>
      </c>
      <c r="E133" s="688">
        <v>2.4147439373988132E-2</v>
      </c>
      <c r="F133" s="310">
        <v>2.0200271658153369E-3</v>
      </c>
      <c r="G133" s="311">
        <v>1.9698887768513199E-2</v>
      </c>
      <c r="H133" s="311">
        <v>4.4399612846571349E-4</v>
      </c>
      <c r="I133" s="394">
        <v>4.820919211014787E-4</v>
      </c>
      <c r="J133" s="689">
        <v>1.8742678687538265E-5</v>
      </c>
      <c r="K133" s="690">
        <v>1.9590137615405966E-5</v>
      </c>
    </row>
    <row r="134" spans="2:11" ht="15.75" x14ac:dyDescent="0.25">
      <c r="B134" s="667" t="s">
        <v>61</v>
      </c>
      <c r="C134" s="110">
        <v>2044</v>
      </c>
      <c r="D134" s="687" t="s">
        <v>615</v>
      </c>
      <c r="E134" s="688">
        <v>2.4025629875890232E-2</v>
      </c>
      <c r="F134" s="310">
        <v>1.8856416182856692E-3</v>
      </c>
      <c r="G134" s="311">
        <v>1.9073320691284073E-2</v>
      </c>
      <c r="H134" s="311">
        <v>4.3227836858790664E-4</v>
      </c>
      <c r="I134" s="394">
        <v>4.6937111148655523E-4</v>
      </c>
      <c r="J134" s="689">
        <v>1.8204436181510087E-5</v>
      </c>
      <c r="K134" s="690">
        <v>1.9027554411809152E-5</v>
      </c>
    </row>
    <row r="135" spans="2:11" ht="15.75" x14ac:dyDescent="0.25">
      <c r="B135" s="667" t="s">
        <v>61</v>
      </c>
      <c r="C135" s="110">
        <v>2045</v>
      </c>
      <c r="D135" s="687" t="s">
        <v>616</v>
      </c>
      <c r="E135" s="688">
        <v>2.3914456510605812E-2</v>
      </c>
      <c r="F135" s="310">
        <v>1.8062439949612203E-3</v>
      </c>
      <c r="G135" s="311">
        <v>1.8662104085983441E-2</v>
      </c>
      <c r="H135" s="311">
        <v>4.2181199859107237E-4</v>
      </c>
      <c r="I135" s="394">
        <v>4.5800721037609433E-4</v>
      </c>
      <c r="J135" s="689">
        <v>1.7734927940724396E-5</v>
      </c>
      <c r="K135" s="690">
        <v>1.8536826003745739E-5</v>
      </c>
    </row>
    <row r="136" spans="2:11" ht="15.75" x14ac:dyDescent="0.25">
      <c r="B136" s="667" t="s">
        <v>61</v>
      </c>
      <c r="C136" s="110">
        <v>2046</v>
      </c>
      <c r="D136" s="687" t="s">
        <v>617</v>
      </c>
      <c r="E136" s="688">
        <v>2.3819483103950836E-2</v>
      </c>
      <c r="F136" s="310">
        <v>1.7411391518181503E-3</v>
      </c>
      <c r="G136" s="311">
        <v>1.8343573848097931E-2</v>
      </c>
      <c r="H136" s="311">
        <v>4.1286856375821621E-4</v>
      </c>
      <c r="I136" s="394">
        <v>4.4829675103413207E-4</v>
      </c>
      <c r="J136" s="689">
        <v>1.7351924332680184E-5</v>
      </c>
      <c r="K136" s="690">
        <v>1.8136503544672014E-5</v>
      </c>
    </row>
    <row r="137" spans="2:11" ht="15.75" x14ac:dyDescent="0.25">
      <c r="B137" s="667" t="s">
        <v>61</v>
      </c>
      <c r="C137" s="110">
        <v>2047</v>
      </c>
      <c r="D137" s="687" t="s">
        <v>618</v>
      </c>
      <c r="E137" s="688">
        <v>2.3737366375896306E-2</v>
      </c>
      <c r="F137" s="310">
        <v>1.6859636675122722E-3</v>
      </c>
      <c r="G137" s="311">
        <v>1.8072456888263883E-2</v>
      </c>
      <c r="H137" s="311">
        <v>4.0519349164499358E-4</v>
      </c>
      <c r="I137" s="394">
        <v>4.3996623123222051E-4</v>
      </c>
      <c r="J137" s="689">
        <v>1.6957244513314649E-5</v>
      </c>
      <c r="K137" s="690">
        <v>1.7723972377107991E-5</v>
      </c>
    </row>
    <row r="138" spans="2:11" ht="15.75" x14ac:dyDescent="0.25">
      <c r="B138" s="667" t="s">
        <v>61</v>
      </c>
      <c r="C138" s="110">
        <v>2048</v>
      </c>
      <c r="D138" s="687" t="s">
        <v>619</v>
      </c>
      <c r="E138" s="688">
        <v>2.3664859636947824E-2</v>
      </c>
      <c r="F138" s="310">
        <v>1.6393397761060454E-3</v>
      </c>
      <c r="G138" s="311">
        <v>1.7838254656585367E-2</v>
      </c>
      <c r="H138" s="311">
        <v>3.9856399015939268E-4</v>
      </c>
      <c r="I138" s="394">
        <v>4.3277093686341705E-4</v>
      </c>
      <c r="J138" s="689">
        <v>1.6613181599299954E-5</v>
      </c>
      <c r="K138" s="690">
        <v>1.7364351163501664E-5</v>
      </c>
    </row>
    <row r="139" spans="2:11" ht="15.75" x14ac:dyDescent="0.25">
      <c r="B139" s="667" t="s">
        <v>61</v>
      </c>
      <c r="C139" s="110">
        <v>2049</v>
      </c>
      <c r="D139" s="687" t="s">
        <v>620</v>
      </c>
      <c r="E139" s="688">
        <v>2.360310627381304E-2</v>
      </c>
      <c r="F139" s="310">
        <v>1.6235321496202253E-3</v>
      </c>
      <c r="G139" s="311">
        <v>1.783914905110582E-2</v>
      </c>
      <c r="H139" s="311">
        <v>3.947951624661044E-4</v>
      </c>
      <c r="I139" s="394">
        <v>4.2868041465524668E-4</v>
      </c>
      <c r="J139" s="689">
        <v>1.6410934658495718E-5</v>
      </c>
      <c r="K139" s="690">
        <v>1.7152959303735719E-5</v>
      </c>
    </row>
    <row r="140" spans="2:11" ht="15.75" x14ac:dyDescent="0.25">
      <c r="B140" s="667" t="s">
        <v>61</v>
      </c>
      <c r="C140" s="110">
        <v>2050</v>
      </c>
      <c r="D140" s="687" t="s">
        <v>621</v>
      </c>
      <c r="E140" s="688">
        <v>2.3549707299791785E-2</v>
      </c>
      <c r="F140" s="310">
        <v>1.6101340718763419E-3</v>
      </c>
      <c r="G140" s="311">
        <v>1.784181637969286E-2</v>
      </c>
      <c r="H140" s="311">
        <v>3.916238147729001E-4</v>
      </c>
      <c r="I140" s="394">
        <v>4.2523891996356424E-4</v>
      </c>
      <c r="J140" s="689">
        <v>1.6221018177789846E-5</v>
      </c>
      <c r="K140" s="690">
        <v>1.6954460647388724E-5</v>
      </c>
    </row>
    <row r="141" spans="2:11" ht="15.75" x14ac:dyDescent="0.25">
      <c r="B141" s="667" t="s">
        <v>62</v>
      </c>
      <c r="C141" s="110">
        <v>2015</v>
      </c>
      <c r="D141" s="687" t="s">
        <v>200</v>
      </c>
      <c r="E141" s="688">
        <v>4.6472843740422543E-2</v>
      </c>
      <c r="F141" s="310">
        <v>8.5494605288095021E-2</v>
      </c>
      <c r="G141" s="311">
        <v>0.30518908319516641</v>
      </c>
      <c r="H141" s="311">
        <v>2.5735360969280237E-3</v>
      </c>
      <c r="I141" s="394">
        <v>2.7787773549588207E-3</v>
      </c>
      <c r="J141" s="689">
        <v>2.7861059666740607E-4</v>
      </c>
      <c r="K141" s="690">
        <v>2.9120813359364759E-4</v>
      </c>
    </row>
    <row r="142" spans="2:11" ht="15.75" x14ac:dyDescent="0.25">
      <c r="B142" s="667" t="s">
        <v>62</v>
      </c>
      <c r="C142" s="110">
        <v>2016</v>
      </c>
      <c r="D142" s="687" t="s">
        <v>201</v>
      </c>
      <c r="E142" s="688">
        <v>4.5754467169005185E-2</v>
      </c>
      <c r="F142" s="310">
        <v>7.1451637683814906E-2</v>
      </c>
      <c r="G142" s="311">
        <v>0.26222091085063148</v>
      </c>
      <c r="H142" s="311">
        <v>2.3652695265170796E-3</v>
      </c>
      <c r="I142" s="394">
        <v>2.5555615442029115E-3</v>
      </c>
      <c r="J142" s="689">
        <v>2.5680687560979257E-4</v>
      </c>
      <c r="K142" s="690">
        <v>2.6841854069661127E-4</v>
      </c>
    </row>
    <row r="143" spans="2:11" ht="15.75" x14ac:dyDescent="0.25">
      <c r="B143" s="667" t="s">
        <v>62</v>
      </c>
      <c r="C143" s="110">
        <v>2017</v>
      </c>
      <c r="D143" s="687" t="s">
        <v>622</v>
      </c>
      <c r="E143" s="688">
        <v>4.4606160064638044E-2</v>
      </c>
      <c r="F143" s="310">
        <v>5.8946339237389497E-2</v>
      </c>
      <c r="G143" s="311">
        <v>0.22506316755077346</v>
      </c>
      <c r="H143" s="311">
        <v>2.2015886504264588E-3</v>
      </c>
      <c r="I143" s="394">
        <v>2.3805697895320603E-3</v>
      </c>
      <c r="J143" s="689">
        <v>2.3288620559888009E-4</v>
      </c>
      <c r="K143" s="690">
        <v>2.4341628544311417E-4</v>
      </c>
    </row>
    <row r="144" spans="2:11" ht="15.75" x14ac:dyDescent="0.25">
      <c r="B144" s="667" t="s">
        <v>62</v>
      </c>
      <c r="C144" s="110">
        <v>2018</v>
      </c>
      <c r="D144" s="687" t="s">
        <v>623</v>
      </c>
      <c r="E144" s="688">
        <v>4.3388870147189708E-2</v>
      </c>
      <c r="F144" s="310">
        <v>4.8263281647497824E-2</v>
      </c>
      <c r="G144" s="311">
        <v>0.19226073396650833</v>
      </c>
      <c r="H144" s="311">
        <v>2.0850101924484638E-3</v>
      </c>
      <c r="I144" s="394">
        <v>2.2562236760609367E-3</v>
      </c>
      <c r="J144" s="689">
        <v>2.1225863189713604E-4</v>
      </c>
      <c r="K144" s="690">
        <v>2.2185602197616802E-4</v>
      </c>
    </row>
    <row r="145" spans="2:11" ht="15.75" x14ac:dyDescent="0.25">
      <c r="B145" s="667" t="s">
        <v>62</v>
      </c>
      <c r="C145" s="110">
        <v>2019</v>
      </c>
      <c r="D145" s="687" t="s">
        <v>624</v>
      </c>
      <c r="E145" s="688">
        <v>4.2117348817344892E-2</v>
      </c>
      <c r="F145" s="310">
        <v>3.891548526255828E-2</v>
      </c>
      <c r="G145" s="311">
        <v>0.1636359012854908</v>
      </c>
      <c r="H145" s="311">
        <v>1.9906891849833705E-3</v>
      </c>
      <c r="I145" s="394">
        <v>2.155837463361134E-3</v>
      </c>
      <c r="J145" s="689">
        <v>1.9115416321119686E-4</v>
      </c>
      <c r="K145" s="690">
        <v>1.9979730493664065E-4</v>
      </c>
    </row>
    <row r="146" spans="2:11" ht="15.75" x14ac:dyDescent="0.25">
      <c r="B146" s="667" t="s">
        <v>62</v>
      </c>
      <c r="C146" s="110">
        <v>2020</v>
      </c>
      <c r="D146" s="687" t="s">
        <v>625</v>
      </c>
      <c r="E146" s="688">
        <v>4.0824514564618886E-2</v>
      </c>
      <c r="F146" s="310">
        <v>3.2527842649594782E-2</v>
      </c>
      <c r="G146" s="311">
        <v>0.1402500613724692</v>
      </c>
      <c r="H146" s="311">
        <v>1.9020834875096656E-3</v>
      </c>
      <c r="I146" s="394">
        <v>2.0605458380215792E-3</v>
      </c>
      <c r="J146" s="689">
        <v>1.7562381586021304E-4</v>
      </c>
      <c r="K146" s="690">
        <v>1.8356474977097349E-4</v>
      </c>
    </row>
    <row r="147" spans="2:11" ht="15.75" x14ac:dyDescent="0.25">
      <c r="B147" s="667" t="s">
        <v>62</v>
      </c>
      <c r="C147" s="110">
        <v>2021</v>
      </c>
      <c r="D147" s="687" t="s">
        <v>626</v>
      </c>
      <c r="E147" s="688">
        <v>3.9572393331734443E-2</v>
      </c>
      <c r="F147" s="310">
        <v>2.7875004058515753E-2</v>
      </c>
      <c r="G147" s="311">
        <v>0.12039647427300744</v>
      </c>
      <c r="H147" s="311">
        <v>1.8047708570294006E-3</v>
      </c>
      <c r="I147" s="394">
        <v>1.9556766931114818E-3</v>
      </c>
      <c r="J147" s="689">
        <v>1.5745897454809313E-4</v>
      </c>
      <c r="K147" s="690">
        <v>1.6457857026374928E-4</v>
      </c>
    </row>
    <row r="148" spans="2:11" ht="15.75" x14ac:dyDescent="0.25">
      <c r="B148" s="667" t="s">
        <v>62</v>
      </c>
      <c r="C148" s="110">
        <v>2022</v>
      </c>
      <c r="D148" s="687" t="s">
        <v>627</v>
      </c>
      <c r="E148" s="688">
        <v>3.8276781381696476E-2</v>
      </c>
      <c r="F148" s="310">
        <v>2.2942431631587185E-2</v>
      </c>
      <c r="G148" s="311">
        <v>0.1026340877489882</v>
      </c>
      <c r="H148" s="311">
        <v>1.6966314313509238E-3</v>
      </c>
      <c r="I148" s="394">
        <v>1.8390829632111963E-3</v>
      </c>
      <c r="J148" s="689">
        <v>1.4216679231476937E-4</v>
      </c>
      <c r="K148" s="690">
        <v>1.4859494306032419E-4</v>
      </c>
    </row>
    <row r="149" spans="2:11" ht="15.75" x14ac:dyDescent="0.25">
      <c r="B149" s="667" t="s">
        <v>62</v>
      </c>
      <c r="C149" s="110">
        <v>2023</v>
      </c>
      <c r="D149" s="687" t="s">
        <v>628</v>
      </c>
      <c r="E149" s="688">
        <v>3.7001413123927109E-2</v>
      </c>
      <c r="F149" s="310">
        <v>1.963502659710456E-2</v>
      </c>
      <c r="G149" s="311">
        <v>8.8595938986474859E-2</v>
      </c>
      <c r="H149" s="311">
        <v>1.6003675225821309E-3</v>
      </c>
      <c r="I149" s="394">
        <v>1.7350669156237716E-3</v>
      </c>
      <c r="J149" s="689">
        <v>1.2749877109895173E-4</v>
      </c>
      <c r="K149" s="690">
        <v>1.3326369755406489E-4</v>
      </c>
    </row>
    <row r="150" spans="2:11" ht="15.75" x14ac:dyDescent="0.25">
      <c r="B150" s="667" t="s">
        <v>62</v>
      </c>
      <c r="C150" s="110">
        <v>2024</v>
      </c>
      <c r="D150" s="687" t="s">
        <v>629</v>
      </c>
      <c r="E150" s="688">
        <v>3.5749291415299617E-2</v>
      </c>
      <c r="F150" s="310">
        <v>1.6800677433550504E-2</v>
      </c>
      <c r="G150" s="311">
        <v>7.6708477742252354E-2</v>
      </c>
      <c r="H150" s="311">
        <v>1.5113604509702746E-3</v>
      </c>
      <c r="I150" s="394">
        <v>1.6389764661236962E-3</v>
      </c>
      <c r="J150" s="689">
        <v>1.120089675110169E-4</v>
      </c>
      <c r="K150" s="690">
        <v>1.1707351632362724E-4</v>
      </c>
    </row>
    <row r="151" spans="2:11" ht="15.75" x14ac:dyDescent="0.25">
      <c r="B151" s="667" t="s">
        <v>62</v>
      </c>
      <c r="C151" s="110">
        <v>2025</v>
      </c>
      <c r="D151" s="687" t="s">
        <v>630</v>
      </c>
      <c r="E151" s="688">
        <v>3.4529483080278124E-2</v>
      </c>
      <c r="F151" s="310">
        <v>1.4566485788422571E-2</v>
      </c>
      <c r="G151" s="311">
        <v>6.72857117706568E-2</v>
      </c>
      <c r="H151" s="311">
        <v>1.4410083799157401E-3</v>
      </c>
      <c r="I151" s="394">
        <v>1.5629398505325907E-3</v>
      </c>
      <c r="J151" s="689">
        <v>1.0113370542765852E-4</v>
      </c>
      <c r="K151" s="690">
        <v>1.0570652328937039E-4</v>
      </c>
    </row>
    <row r="152" spans="2:11" ht="15.75" x14ac:dyDescent="0.25">
      <c r="B152" s="667" t="s">
        <v>62</v>
      </c>
      <c r="C152" s="110">
        <v>2026</v>
      </c>
      <c r="D152" s="687" t="s">
        <v>631</v>
      </c>
      <c r="E152" s="688">
        <v>3.3406424435889225E-2</v>
      </c>
      <c r="F152" s="310">
        <v>1.2718779544656706E-2</v>
      </c>
      <c r="G152" s="311">
        <v>5.9590017661397814E-2</v>
      </c>
      <c r="H152" s="311">
        <v>1.3705021777443483E-3</v>
      </c>
      <c r="I152" s="394">
        <v>1.4868181058508433E-3</v>
      </c>
      <c r="J152" s="689">
        <v>8.7950186092928349E-5</v>
      </c>
      <c r="K152" s="690">
        <v>9.1926907994711009E-5</v>
      </c>
    </row>
    <row r="153" spans="2:11" ht="15.75" x14ac:dyDescent="0.25">
      <c r="B153" s="667" t="s">
        <v>62</v>
      </c>
      <c r="C153" s="110">
        <v>2027</v>
      </c>
      <c r="D153" s="687" t="s">
        <v>632</v>
      </c>
      <c r="E153" s="688">
        <v>3.2371986218079837E-2</v>
      </c>
      <c r="F153" s="310">
        <v>1.1150828429059859E-2</v>
      </c>
      <c r="G153" s="311">
        <v>5.3089661239021355E-2</v>
      </c>
      <c r="H153" s="311">
        <v>1.2909145105332092E-3</v>
      </c>
      <c r="I153" s="394">
        <v>1.4009616012853427E-3</v>
      </c>
      <c r="J153" s="689">
        <v>7.1398981217799337E-5</v>
      </c>
      <c r="K153" s="690">
        <v>7.4627329330014623E-5</v>
      </c>
    </row>
    <row r="154" spans="2:11" ht="15.75" x14ac:dyDescent="0.25">
      <c r="B154" s="667" t="s">
        <v>62</v>
      </c>
      <c r="C154" s="110">
        <v>2028</v>
      </c>
      <c r="D154" s="687" t="s">
        <v>633</v>
      </c>
      <c r="E154" s="688">
        <v>3.1435505035283036E-2</v>
      </c>
      <c r="F154" s="310">
        <v>9.8668853672104467E-3</v>
      </c>
      <c r="G154" s="311">
        <v>4.7733436117184322E-2</v>
      </c>
      <c r="H154" s="311">
        <v>1.2089716149710189E-3</v>
      </c>
      <c r="I154" s="394">
        <v>1.3123932675644953E-3</v>
      </c>
      <c r="J154" s="689">
        <v>5.8369959656229878E-5</v>
      </c>
      <c r="K154" s="690">
        <v>6.1009188433463851E-5</v>
      </c>
    </row>
    <row r="155" spans="2:11" ht="15.75" x14ac:dyDescent="0.25">
      <c r="B155" s="667" t="s">
        <v>62</v>
      </c>
      <c r="C155" s="110">
        <v>2029</v>
      </c>
      <c r="D155" s="687" t="s">
        <v>634</v>
      </c>
      <c r="E155" s="688">
        <v>3.0589641219208451E-2</v>
      </c>
      <c r="F155" s="310">
        <v>8.727696614716722E-3</v>
      </c>
      <c r="G155" s="311">
        <v>4.3077583200131775E-2</v>
      </c>
      <c r="H155" s="311">
        <v>1.1314865303055067E-3</v>
      </c>
      <c r="I155" s="394">
        <v>1.2284811333594966E-3</v>
      </c>
      <c r="J155" s="689">
        <v>4.9888215532260246E-5</v>
      </c>
      <c r="K155" s="690">
        <v>5.2143937788159057E-5</v>
      </c>
    </row>
    <row r="156" spans="2:11" ht="15.75" x14ac:dyDescent="0.25">
      <c r="B156" s="667" t="s">
        <v>62</v>
      </c>
      <c r="C156" s="110">
        <v>2030</v>
      </c>
      <c r="D156" s="687" t="s">
        <v>635</v>
      </c>
      <c r="E156" s="688">
        <v>2.9832186148225741E-2</v>
      </c>
      <c r="F156" s="310">
        <v>7.7881043842132989E-3</v>
      </c>
      <c r="G156" s="311">
        <v>3.9215529207247836E-2</v>
      </c>
      <c r="H156" s="311">
        <v>1.0576378274654984E-3</v>
      </c>
      <c r="I156" s="394">
        <v>1.1484823251782577E-3</v>
      </c>
      <c r="J156" s="689">
        <v>4.2359987119090846E-5</v>
      </c>
      <c r="K156" s="690">
        <v>4.4275321458385842E-5</v>
      </c>
    </row>
    <row r="157" spans="2:11" ht="15.75" x14ac:dyDescent="0.25">
      <c r="B157" s="667" t="s">
        <v>62</v>
      </c>
      <c r="C157" s="110">
        <v>2031</v>
      </c>
      <c r="D157" s="687" t="s">
        <v>636</v>
      </c>
      <c r="E157" s="688">
        <v>2.9156121240029125E-2</v>
      </c>
      <c r="F157" s="310">
        <v>6.9435297611338959E-3</v>
      </c>
      <c r="G157" s="311">
        <v>3.5768133656993127E-2</v>
      </c>
      <c r="H157" s="311">
        <v>9.8933910517852225E-4</v>
      </c>
      <c r="I157" s="394">
        <v>1.0743634283749937E-3</v>
      </c>
      <c r="J157" s="689">
        <v>3.8548458284087685E-5</v>
      </c>
      <c r="K157" s="690">
        <v>4.0291451465655731E-5</v>
      </c>
    </row>
    <row r="158" spans="2:11" ht="15.75" x14ac:dyDescent="0.25">
      <c r="B158" s="667" t="s">
        <v>62</v>
      </c>
      <c r="C158" s="110">
        <v>2032</v>
      </c>
      <c r="D158" s="687" t="s">
        <v>637</v>
      </c>
      <c r="E158" s="688">
        <v>2.8558214858127557E-2</v>
      </c>
      <c r="F158" s="310">
        <v>6.2397287437063291E-3</v>
      </c>
      <c r="G158" s="311">
        <v>3.3022967433473396E-2</v>
      </c>
      <c r="H158" s="311">
        <v>9.2589713315294891E-4</v>
      </c>
      <c r="I158" s="394">
        <v>1.0055336141971511E-3</v>
      </c>
      <c r="J158" s="689">
        <v>3.4543785316225418E-5</v>
      </c>
      <c r="K158" s="690">
        <v>3.6105701458430445E-5</v>
      </c>
    </row>
    <row r="159" spans="2:11" ht="15.75" x14ac:dyDescent="0.25">
      <c r="B159" s="667" t="s">
        <v>62</v>
      </c>
      <c r="C159" s="110">
        <v>2033</v>
      </c>
      <c r="D159" s="687" t="s">
        <v>638</v>
      </c>
      <c r="E159" s="688">
        <v>2.8029263646084775E-2</v>
      </c>
      <c r="F159" s="310">
        <v>5.6149578510165223E-3</v>
      </c>
      <c r="G159" s="311">
        <v>3.0639691807386522E-2</v>
      </c>
      <c r="H159" s="311">
        <v>8.6715985372394651E-4</v>
      </c>
      <c r="I159" s="394">
        <v>9.4176464469612341E-4</v>
      </c>
      <c r="J159" s="689">
        <v>3.1872701333786723E-5</v>
      </c>
      <c r="K159" s="690">
        <v>3.3313842049911682E-5</v>
      </c>
    </row>
    <row r="160" spans="2:11" ht="15.75" x14ac:dyDescent="0.25">
      <c r="B160" s="667" t="s">
        <v>62</v>
      </c>
      <c r="C160" s="110">
        <v>2034</v>
      </c>
      <c r="D160" s="687" t="s">
        <v>639</v>
      </c>
      <c r="E160" s="688">
        <v>2.756363591945267E-2</v>
      </c>
      <c r="F160" s="310">
        <v>5.0453189214870577E-3</v>
      </c>
      <c r="G160" s="311">
        <v>2.8534487660799586E-2</v>
      </c>
      <c r="H160" s="311">
        <v>8.1209141236644159E-4</v>
      </c>
      <c r="I160" s="394">
        <v>8.8197324347024579E-4</v>
      </c>
      <c r="J160" s="689">
        <v>2.9511633872388652E-5</v>
      </c>
      <c r="K160" s="690">
        <v>3.0846018548724598E-5</v>
      </c>
    </row>
    <row r="161" spans="2:11" ht="15.75" x14ac:dyDescent="0.25">
      <c r="B161" s="667" t="s">
        <v>62</v>
      </c>
      <c r="C161" s="110">
        <v>2035</v>
      </c>
      <c r="D161" s="687" t="s">
        <v>640</v>
      </c>
      <c r="E161" s="688">
        <v>2.7158170665162323E-2</v>
      </c>
      <c r="F161" s="310">
        <v>4.5488738269685693E-3</v>
      </c>
      <c r="G161" s="311">
        <v>2.6780183728805841E-2</v>
      </c>
      <c r="H161" s="311">
        <v>7.6152464507264284E-4</v>
      </c>
      <c r="I161" s="394">
        <v>8.270714165788223E-4</v>
      </c>
      <c r="J161" s="689">
        <v>2.7280618465146541E-5</v>
      </c>
      <c r="K161" s="690">
        <v>2.8514123790991182E-5</v>
      </c>
    </row>
    <row r="162" spans="2:11" ht="15.75" x14ac:dyDescent="0.25">
      <c r="B162" s="667" t="s">
        <v>62</v>
      </c>
      <c r="C162" s="110">
        <v>2036</v>
      </c>
      <c r="D162" s="687" t="s">
        <v>641</v>
      </c>
      <c r="E162" s="688">
        <v>2.6806533408006521E-2</v>
      </c>
      <c r="F162" s="310">
        <v>4.112994045989255E-3</v>
      </c>
      <c r="G162" s="311">
        <v>2.5275781803840675E-2</v>
      </c>
      <c r="H162" s="311">
        <v>7.1822332720946453E-4</v>
      </c>
      <c r="I162" s="394">
        <v>7.8006181868779277E-4</v>
      </c>
      <c r="J162" s="689">
        <v>2.5280622875857895E-5</v>
      </c>
      <c r="K162" s="690">
        <v>2.642370038011032E-5</v>
      </c>
    </row>
    <row r="163" spans="2:11" ht="15.75" x14ac:dyDescent="0.25">
      <c r="B163" s="667" t="s">
        <v>62</v>
      </c>
      <c r="C163" s="110">
        <v>2037</v>
      </c>
      <c r="D163" s="687" t="s">
        <v>642</v>
      </c>
      <c r="E163" s="688">
        <v>2.6505125101416546E-2</v>
      </c>
      <c r="F163" s="310">
        <v>3.7406960793678599E-3</v>
      </c>
      <c r="G163" s="311">
        <v>2.4037329182327122E-2</v>
      </c>
      <c r="H163" s="311">
        <v>6.7962475624878168E-4</v>
      </c>
      <c r="I163" s="394">
        <v>7.3814744621386185E-4</v>
      </c>
      <c r="J163" s="689">
        <v>2.3744028324349595E-5</v>
      </c>
      <c r="K163" s="690">
        <v>2.4817627932847781E-5</v>
      </c>
    </row>
    <row r="164" spans="2:11" ht="15.75" x14ac:dyDescent="0.25">
      <c r="B164" s="667" t="s">
        <v>62</v>
      </c>
      <c r="C164" s="110">
        <v>2038</v>
      </c>
      <c r="D164" s="687" t="s">
        <v>643</v>
      </c>
      <c r="E164" s="688">
        <v>2.6248769358273846E-2</v>
      </c>
      <c r="F164" s="310">
        <v>3.4093054164584754E-3</v>
      </c>
      <c r="G164" s="311">
        <v>2.2940840885473941E-2</v>
      </c>
      <c r="H164" s="311">
        <v>6.4512292548600926E-4</v>
      </c>
      <c r="I164" s="394">
        <v>7.0067660133729746E-4</v>
      </c>
      <c r="J164" s="689">
        <v>2.2506144609033479E-5</v>
      </c>
      <c r="K164" s="690">
        <v>2.3523772873049666E-5</v>
      </c>
    </row>
    <row r="165" spans="2:11" ht="15.75" x14ac:dyDescent="0.25">
      <c r="B165" s="667" t="s">
        <v>62</v>
      </c>
      <c r="C165" s="110">
        <v>2039</v>
      </c>
      <c r="D165" s="687" t="s">
        <v>644</v>
      </c>
      <c r="E165" s="688">
        <v>2.6029520032362322E-2</v>
      </c>
      <c r="F165" s="310">
        <v>3.0899490154417827E-3</v>
      </c>
      <c r="G165" s="311">
        <v>2.1886992287688929E-2</v>
      </c>
      <c r="H165" s="311">
        <v>6.1407979774483006E-4</v>
      </c>
      <c r="I165" s="394">
        <v>6.6695812720290808E-4</v>
      </c>
      <c r="J165" s="689">
        <v>2.1469265442648165E-5</v>
      </c>
      <c r="K165" s="690">
        <v>2.2440012860604311E-5</v>
      </c>
    </row>
    <row r="166" spans="2:11" ht="15.75" x14ac:dyDescent="0.25">
      <c r="B166" s="667" t="s">
        <v>62</v>
      </c>
      <c r="C166" s="110">
        <v>2040</v>
      </c>
      <c r="D166" s="687" t="s">
        <v>645</v>
      </c>
      <c r="E166" s="688">
        <v>2.5844871369911034E-2</v>
      </c>
      <c r="F166" s="310">
        <v>2.8231007479136193E-3</v>
      </c>
      <c r="G166" s="311">
        <v>2.1086997811355687E-2</v>
      </c>
      <c r="H166" s="311">
        <v>5.8702428233530326E-4</v>
      </c>
      <c r="I166" s="394">
        <v>6.375713325329753E-4</v>
      </c>
      <c r="J166" s="689">
        <v>2.0544978315270173E-5</v>
      </c>
      <c r="K166" s="690">
        <v>2.1473930959370827E-5</v>
      </c>
    </row>
    <row r="167" spans="2:11" ht="15.75" x14ac:dyDescent="0.25">
      <c r="B167" s="667" t="s">
        <v>62</v>
      </c>
      <c r="C167" s="110">
        <v>2041</v>
      </c>
      <c r="D167" s="687" t="s">
        <v>646</v>
      </c>
      <c r="E167" s="688">
        <v>2.5690605249382277E-2</v>
      </c>
      <c r="F167" s="310">
        <v>2.6127757729719719E-3</v>
      </c>
      <c r="G167" s="311">
        <v>2.042811633993857E-2</v>
      </c>
      <c r="H167" s="311">
        <v>5.6629462310316949E-4</v>
      </c>
      <c r="I167" s="394">
        <v>6.1505913207463079E-4</v>
      </c>
      <c r="J167" s="689">
        <v>1.9778515876706881E-5</v>
      </c>
      <c r="K167" s="690">
        <v>2.0672806552126141E-5</v>
      </c>
    </row>
    <row r="168" spans="2:11" ht="15.75" x14ac:dyDescent="0.25">
      <c r="B168" s="667" t="s">
        <v>62</v>
      </c>
      <c r="C168" s="110">
        <v>2042</v>
      </c>
      <c r="D168" s="687" t="s">
        <v>647</v>
      </c>
      <c r="E168" s="688">
        <v>2.5559946157639284E-2</v>
      </c>
      <c r="F168" s="310">
        <v>2.43492210976758E-3</v>
      </c>
      <c r="G168" s="311">
        <v>1.9844117384344256E-2</v>
      </c>
      <c r="H168" s="311">
        <v>5.4856150586928009E-4</v>
      </c>
      <c r="I168" s="394">
        <v>5.9579790518675976E-4</v>
      </c>
      <c r="J168" s="689">
        <v>1.9187446623569777E-5</v>
      </c>
      <c r="K168" s="690">
        <v>2.0055010825544146E-5</v>
      </c>
    </row>
    <row r="169" spans="2:11" ht="15.75" x14ac:dyDescent="0.25">
      <c r="B169" s="667" t="s">
        <v>62</v>
      </c>
      <c r="C169" s="110">
        <v>2043</v>
      </c>
      <c r="D169" s="687" t="s">
        <v>648</v>
      </c>
      <c r="E169" s="688">
        <v>2.5451350060455936E-2</v>
      </c>
      <c r="F169" s="310">
        <v>2.3050074468566033E-3</v>
      </c>
      <c r="G169" s="311">
        <v>1.9418962660149867E-2</v>
      </c>
      <c r="H169" s="311">
        <v>5.3353364007801358E-4</v>
      </c>
      <c r="I169" s="394">
        <v>5.7947378240098878E-4</v>
      </c>
      <c r="J169" s="689">
        <v>1.8711701320113583E-5</v>
      </c>
      <c r="K169" s="690">
        <v>1.9557764765887319E-5</v>
      </c>
    </row>
    <row r="170" spans="2:11" ht="15.75" x14ac:dyDescent="0.25">
      <c r="B170" s="667" t="s">
        <v>62</v>
      </c>
      <c r="C170" s="110">
        <v>2044</v>
      </c>
      <c r="D170" s="687" t="s">
        <v>649</v>
      </c>
      <c r="E170" s="688">
        <v>2.5359522544236613E-2</v>
      </c>
      <c r="F170" s="310">
        <v>2.2089980384830026E-3</v>
      </c>
      <c r="G170" s="311">
        <v>1.9082688723675325E-2</v>
      </c>
      <c r="H170" s="311">
        <v>5.2075584533858323E-4</v>
      </c>
      <c r="I170" s="394">
        <v>5.6559342069358812E-4</v>
      </c>
      <c r="J170" s="689">
        <v>1.8315746378115806E-5</v>
      </c>
      <c r="K170" s="690">
        <v>1.914390175809953E-5</v>
      </c>
    </row>
    <row r="171" spans="2:11" ht="15.75" x14ac:dyDescent="0.25">
      <c r="B171" s="667" t="s">
        <v>62</v>
      </c>
      <c r="C171" s="110">
        <v>2045</v>
      </c>
      <c r="D171" s="687" t="s">
        <v>650</v>
      </c>
      <c r="E171" s="688">
        <v>2.5281860286784707E-2</v>
      </c>
      <c r="F171" s="310">
        <v>2.1493217804611016E-3</v>
      </c>
      <c r="G171" s="311">
        <v>1.8878200872276294E-2</v>
      </c>
      <c r="H171" s="311">
        <v>5.1001324662228837E-4</v>
      </c>
      <c r="I171" s="394">
        <v>5.5392226880988558E-4</v>
      </c>
      <c r="J171" s="689">
        <v>1.8014288106999575E-5</v>
      </c>
      <c r="K171" s="690">
        <v>1.8828818958630267E-5</v>
      </c>
    </row>
    <row r="172" spans="2:11" ht="15.75" x14ac:dyDescent="0.25">
      <c r="B172" s="667" t="s">
        <v>62</v>
      </c>
      <c r="C172" s="110">
        <v>2046</v>
      </c>
      <c r="D172" s="687" t="s">
        <v>651</v>
      </c>
      <c r="E172" s="688">
        <v>2.5216297347772702E-2</v>
      </c>
      <c r="F172" s="310">
        <v>2.0979963851881626E-3</v>
      </c>
      <c r="G172" s="311">
        <v>1.8709405596496632E-2</v>
      </c>
      <c r="H172" s="311">
        <v>5.0101256402191436E-4</v>
      </c>
      <c r="I172" s="394">
        <v>5.441457754349168E-4</v>
      </c>
      <c r="J172" s="689">
        <v>1.7731101537209667E-5</v>
      </c>
      <c r="K172" s="690">
        <v>1.8532825792558478E-5</v>
      </c>
    </row>
    <row r="173" spans="2:11" ht="15.75" x14ac:dyDescent="0.25">
      <c r="B173" s="667" t="s">
        <v>62</v>
      </c>
      <c r="C173" s="110">
        <v>2047</v>
      </c>
      <c r="D173" s="687" t="s">
        <v>652</v>
      </c>
      <c r="E173" s="688">
        <v>2.5161686734360578E-2</v>
      </c>
      <c r="F173" s="310">
        <v>2.0532165161126492E-3</v>
      </c>
      <c r="G173" s="311">
        <v>1.8558730091699095E-2</v>
      </c>
      <c r="H173" s="311">
        <v>4.9361837833623336E-4</v>
      </c>
      <c r="I173" s="394">
        <v>5.3611235778876351E-4</v>
      </c>
      <c r="J173" s="689">
        <v>1.751305630797421E-5</v>
      </c>
      <c r="K173" s="690">
        <v>1.8304915770938739E-5</v>
      </c>
    </row>
    <row r="174" spans="2:11" ht="15.75" x14ac:dyDescent="0.25">
      <c r="B174" s="667" t="s">
        <v>62</v>
      </c>
      <c r="C174" s="110">
        <v>2048</v>
      </c>
      <c r="D174" s="687" t="s">
        <v>653</v>
      </c>
      <c r="E174" s="688">
        <v>2.5116032937954925E-2</v>
      </c>
      <c r="F174" s="310">
        <v>2.017672696289512E-3</v>
      </c>
      <c r="G174" s="311">
        <v>1.8437395472168501E-2</v>
      </c>
      <c r="H174" s="311">
        <v>4.8757468583313112E-4</v>
      </c>
      <c r="I174" s="394">
        <v>5.2954838617790467E-4</v>
      </c>
      <c r="J174" s="689">
        <v>1.731700447009149E-5</v>
      </c>
      <c r="K174" s="690">
        <v>1.8100002631184905E-5</v>
      </c>
    </row>
    <row r="175" spans="2:11" ht="15.75" x14ac:dyDescent="0.25">
      <c r="B175" s="667" t="s">
        <v>62</v>
      </c>
      <c r="C175" s="110">
        <v>2049</v>
      </c>
      <c r="D175" s="687" t="s">
        <v>654</v>
      </c>
      <c r="E175" s="688">
        <v>2.5076835965316287E-2</v>
      </c>
      <c r="F175" s="310">
        <v>2.0043571547844956E-3</v>
      </c>
      <c r="G175" s="311">
        <v>1.8438612394016236E-2</v>
      </c>
      <c r="H175" s="311">
        <v>4.8377330368562949E-4</v>
      </c>
      <c r="I175" s="394">
        <v>5.2542005312109267E-4</v>
      </c>
      <c r="J175" s="689">
        <v>1.717130174844073E-5</v>
      </c>
      <c r="K175" s="690">
        <v>1.7947710687802078E-5</v>
      </c>
    </row>
    <row r="176" spans="2:11" ht="15.75" x14ac:dyDescent="0.25">
      <c r="B176" s="667" t="s">
        <v>62</v>
      </c>
      <c r="C176" s="110">
        <v>2050</v>
      </c>
      <c r="D176" s="687" t="s">
        <v>655</v>
      </c>
      <c r="E176" s="688">
        <v>2.5045534686515047E-2</v>
      </c>
      <c r="F176" s="310">
        <v>1.9939159415023173E-3</v>
      </c>
      <c r="G176" s="311">
        <v>1.8442287876353172E-2</v>
      </c>
      <c r="H176" s="311">
        <v>4.8071920528854262E-4</v>
      </c>
      <c r="I176" s="394">
        <v>5.2210487487477301E-4</v>
      </c>
      <c r="J176" s="689">
        <v>1.7024813316532637E-5</v>
      </c>
      <c r="K176" s="690">
        <v>1.7794596471975591E-5</v>
      </c>
    </row>
    <row r="177" spans="2:11" ht="15.75" x14ac:dyDescent="0.25">
      <c r="B177" s="667" t="s">
        <v>63</v>
      </c>
      <c r="C177" s="110">
        <v>2015</v>
      </c>
      <c r="D177" s="687" t="s">
        <v>202</v>
      </c>
      <c r="E177" s="688">
        <v>4.6634776217869343E-2</v>
      </c>
      <c r="F177" s="310">
        <v>0.10204053782448495</v>
      </c>
      <c r="G177" s="311">
        <v>0.35490876779939085</v>
      </c>
      <c r="H177" s="311">
        <v>3.2573399670467085E-3</v>
      </c>
      <c r="I177" s="394">
        <v>3.5159599343096027E-3</v>
      </c>
      <c r="J177" s="689">
        <v>4.0970788785525425E-4</v>
      </c>
      <c r="K177" s="690">
        <v>4.2823305435496408E-4</v>
      </c>
    </row>
    <row r="178" spans="2:11" ht="15.75" x14ac:dyDescent="0.25">
      <c r="B178" s="667" t="s">
        <v>63</v>
      </c>
      <c r="C178" s="110">
        <v>2016</v>
      </c>
      <c r="D178" s="687" t="s">
        <v>203</v>
      </c>
      <c r="E178" s="688">
        <v>4.5985201655706368E-2</v>
      </c>
      <c r="F178" s="310">
        <v>8.7634651114327597E-2</v>
      </c>
      <c r="G178" s="311">
        <v>0.31714742950098218</v>
      </c>
      <c r="H178" s="311">
        <v>2.9991826307406298E-3</v>
      </c>
      <c r="I178" s="394">
        <v>3.239736837280609E-3</v>
      </c>
      <c r="J178" s="689">
        <v>3.6295394101561955E-4</v>
      </c>
      <c r="K178" s="690">
        <v>3.7936511302753026E-4</v>
      </c>
    </row>
    <row r="179" spans="2:11" ht="15.75" x14ac:dyDescent="0.25">
      <c r="B179" s="667" t="s">
        <v>63</v>
      </c>
      <c r="C179" s="110">
        <v>2017</v>
      </c>
      <c r="D179" s="687" t="s">
        <v>656</v>
      </c>
      <c r="E179" s="688">
        <v>4.4934629308310506E-2</v>
      </c>
      <c r="F179" s="310">
        <v>7.4272670297588189E-2</v>
      </c>
      <c r="G179" s="311">
        <v>0.28023180672855041</v>
      </c>
      <c r="H179" s="311">
        <v>2.8051929514948159E-3</v>
      </c>
      <c r="I179" s="394">
        <v>3.0323612209316032E-3</v>
      </c>
      <c r="J179" s="689">
        <v>3.3237284486662349E-4</v>
      </c>
      <c r="K179" s="690">
        <v>3.4740126888339271E-4</v>
      </c>
    </row>
    <row r="180" spans="2:11" ht="15.75" x14ac:dyDescent="0.25">
      <c r="B180" s="667" t="s">
        <v>63</v>
      </c>
      <c r="C180" s="110">
        <v>2018</v>
      </c>
      <c r="D180" s="687" t="s">
        <v>657</v>
      </c>
      <c r="E180" s="688">
        <v>4.3813331395105348E-2</v>
      </c>
      <c r="F180" s="310">
        <v>6.2744665889937129E-2</v>
      </c>
      <c r="G180" s="311">
        <v>0.24650800299507075</v>
      </c>
      <c r="H180" s="311">
        <v>2.6520121498917245E-3</v>
      </c>
      <c r="I180" s="394">
        <v>2.8687580953261297E-3</v>
      </c>
      <c r="J180" s="689">
        <v>3.0340949883914044E-4</v>
      </c>
      <c r="K180" s="690">
        <v>3.1712832521160007E-4</v>
      </c>
    </row>
    <row r="181" spans="2:11" ht="15.75" x14ac:dyDescent="0.25">
      <c r="B181" s="667" t="s">
        <v>63</v>
      </c>
      <c r="C181" s="110">
        <v>2019</v>
      </c>
      <c r="D181" s="687" t="s">
        <v>658</v>
      </c>
      <c r="E181" s="688">
        <v>4.2635178924203938E-2</v>
      </c>
      <c r="F181" s="310">
        <v>5.3040610297384799E-2</v>
      </c>
      <c r="G181" s="311">
        <v>0.21666666970867907</v>
      </c>
      <c r="H181" s="311">
        <v>2.5253838863040839E-3</v>
      </c>
      <c r="I181" s="394">
        <v>2.7334495420995265E-3</v>
      </c>
      <c r="J181" s="689">
        <v>2.7661807065304116E-4</v>
      </c>
      <c r="K181" s="690">
        <v>2.8912551838239858E-4</v>
      </c>
    </row>
    <row r="182" spans="2:11" ht="15.75" x14ac:dyDescent="0.25">
      <c r="B182" s="667" t="s">
        <v>63</v>
      </c>
      <c r="C182" s="110">
        <v>2020</v>
      </c>
      <c r="D182" s="687" t="s">
        <v>659</v>
      </c>
      <c r="E182" s="688">
        <v>4.1423520575031215E-2</v>
      </c>
      <c r="F182" s="310">
        <v>4.596812143276989E-2</v>
      </c>
      <c r="G182" s="311">
        <v>0.19106281214735246</v>
      </c>
      <c r="H182" s="311">
        <v>2.3922978553139007E-3</v>
      </c>
      <c r="I182" s="394">
        <v>2.5903305023741866E-3</v>
      </c>
      <c r="J182" s="689">
        <v>2.4812653566826294E-4</v>
      </c>
      <c r="K182" s="690">
        <v>2.5934571922125413E-4</v>
      </c>
    </row>
    <row r="183" spans="2:11" ht="15.75" x14ac:dyDescent="0.25">
      <c r="B183" s="667" t="s">
        <v>63</v>
      </c>
      <c r="C183" s="110">
        <v>2021</v>
      </c>
      <c r="D183" s="687" t="s">
        <v>660</v>
      </c>
      <c r="E183" s="688">
        <v>4.0176517694818219E-2</v>
      </c>
      <c r="F183" s="310">
        <v>3.9759312006794618E-2</v>
      </c>
      <c r="G183" s="311">
        <v>0.16734634138422283</v>
      </c>
      <c r="H183" s="311">
        <v>2.2295856960745527E-3</v>
      </c>
      <c r="I183" s="394">
        <v>2.4147928440011453E-3</v>
      </c>
      <c r="J183" s="689">
        <v>2.2262995495152862E-4</v>
      </c>
      <c r="K183" s="690">
        <v>2.3269629229197747E-4</v>
      </c>
    </row>
    <row r="184" spans="2:11" ht="15.75" x14ac:dyDescent="0.25">
      <c r="B184" s="667" t="s">
        <v>63</v>
      </c>
      <c r="C184" s="110">
        <v>2022</v>
      </c>
      <c r="D184" s="687" t="s">
        <v>661</v>
      </c>
      <c r="E184" s="688">
        <v>3.8937151855784433E-2</v>
      </c>
      <c r="F184" s="310">
        <v>3.4076888107095714E-2</v>
      </c>
      <c r="G184" s="311">
        <v>0.14650530942713724</v>
      </c>
      <c r="H184" s="311">
        <v>2.0771865726840915E-3</v>
      </c>
      <c r="I184" s="394">
        <v>2.2504651977820114E-3</v>
      </c>
      <c r="J184" s="689">
        <v>1.978410058844539E-4</v>
      </c>
      <c r="K184" s="690">
        <v>2.067864960564298E-4</v>
      </c>
    </row>
    <row r="185" spans="2:11" ht="15.75" x14ac:dyDescent="0.25">
      <c r="B185" s="667" t="s">
        <v>63</v>
      </c>
      <c r="C185" s="110">
        <v>2023</v>
      </c>
      <c r="D185" s="687" t="s">
        <v>662</v>
      </c>
      <c r="E185" s="688">
        <v>3.7698388023586459E-2</v>
      </c>
      <c r="F185" s="310">
        <v>2.9702821283852675E-2</v>
      </c>
      <c r="G185" s="311">
        <v>0.12870189954612979</v>
      </c>
      <c r="H185" s="311">
        <v>1.9385167647620587E-3</v>
      </c>
      <c r="I185" s="394">
        <v>2.100547949218956E-3</v>
      </c>
      <c r="J185" s="689">
        <v>1.7942813268895729E-4</v>
      </c>
      <c r="K185" s="690">
        <v>1.8754108056851713E-4</v>
      </c>
    </row>
    <row r="186" spans="2:11" ht="15.75" x14ac:dyDescent="0.25">
      <c r="B186" s="667" t="s">
        <v>63</v>
      </c>
      <c r="C186" s="110">
        <v>2024</v>
      </c>
      <c r="D186" s="687" t="s">
        <v>663</v>
      </c>
      <c r="E186" s="688">
        <v>3.646941547966788E-2</v>
      </c>
      <c r="F186" s="310">
        <v>2.5772673363796406E-2</v>
      </c>
      <c r="G186" s="311">
        <v>0.11289756765403412</v>
      </c>
      <c r="H186" s="311">
        <v>1.7953071633443828E-3</v>
      </c>
      <c r="I186" s="394">
        <v>1.9461900128625159E-3</v>
      </c>
      <c r="J186" s="689">
        <v>1.4936046237214228E-4</v>
      </c>
      <c r="K186" s="690">
        <v>1.5611387372991005E-4</v>
      </c>
    </row>
    <row r="187" spans="2:11" ht="15.75" x14ac:dyDescent="0.25">
      <c r="B187" s="667" t="s">
        <v>63</v>
      </c>
      <c r="C187" s="110">
        <v>2025</v>
      </c>
      <c r="D187" s="687" t="s">
        <v>664</v>
      </c>
      <c r="E187" s="688">
        <v>3.5268417300768976E-2</v>
      </c>
      <c r="F187" s="310">
        <v>2.2698267404179837E-2</v>
      </c>
      <c r="G187" s="311">
        <v>0.10026195907900809</v>
      </c>
      <c r="H187" s="311">
        <v>1.6924935327693421E-3</v>
      </c>
      <c r="I187" s="394">
        <v>1.8350378933012148E-3</v>
      </c>
      <c r="J187" s="689">
        <v>1.3455805587589512E-4</v>
      </c>
      <c r="K187" s="690">
        <v>1.4064217669134977E-4</v>
      </c>
    </row>
    <row r="188" spans="2:11" ht="15.75" x14ac:dyDescent="0.25">
      <c r="B188" s="667" t="s">
        <v>63</v>
      </c>
      <c r="C188" s="110">
        <v>2026</v>
      </c>
      <c r="D188" s="687" t="s">
        <v>665</v>
      </c>
      <c r="E188" s="688">
        <v>3.4154756921073406E-2</v>
      </c>
      <c r="F188" s="310">
        <v>2.0110915704035229E-2</v>
      </c>
      <c r="G188" s="311">
        <v>8.9671246293619E-2</v>
      </c>
      <c r="H188" s="311">
        <v>1.5959935425236085E-3</v>
      </c>
      <c r="I188" s="394">
        <v>1.7307808192188595E-3</v>
      </c>
      <c r="J188" s="689">
        <v>1.1815599589048035E-4</v>
      </c>
      <c r="K188" s="690">
        <v>1.2349848307828003E-4</v>
      </c>
    </row>
    <row r="189" spans="2:11" ht="15.75" x14ac:dyDescent="0.25">
      <c r="B189" s="667" t="s">
        <v>63</v>
      </c>
      <c r="C189" s="110">
        <v>2027</v>
      </c>
      <c r="D189" s="687" t="s">
        <v>666</v>
      </c>
      <c r="E189" s="688">
        <v>3.3115079007761068E-2</v>
      </c>
      <c r="F189" s="310">
        <v>1.7771424091763563E-2</v>
      </c>
      <c r="G189" s="311">
        <v>8.0158948067542382E-2</v>
      </c>
      <c r="H189" s="311">
        <v>1.4895341575099311E-3</v>
      </c>
      <c r="I189" s="394">
        <v>1.61590994437453E-3</v>
      </c>
      <c r="J189" s="689">
        <v>9.6616083809068854E-5</v>
      </c>
      <c r="K189" s="690">
        <v>1.0098463501690991E-4</v>
      </c>
    </row>
    <row r="190" spans="2:11" ht="15.75" x14ac:dyDescent="0.25">
      <c r="B190" s="667" t="s">
        <v>63</v>
      </c>
      <c r="C190" s="110">
        <v>2028</v>
      </c>
      <c r="D190" s="687" t="s">
        <v>667</v>
      </c>
      <c r="E190" s="688">
        <v>3.2165377192015787E-2</v>
      </c>
      <c r="F190" s="310">
        <v>1.5815704508473308E-2</v>
      </c>
      <c r="G190" s="311">
        <v>7.2005947144264837E-2</v>
      </c>
      <c r="H190" s="311">
        <v>1.3864285945172216E-3</v>
      </c>
      <c r="I190" s="394">
        <v>1.504394617881045E-3</v>
      </c>
      <c r="J190" s="689">
        <v>8.1943653323333039E-5</v>
      </c>
      <c r="K190" s="690">
        <v>8.5648775122329634E-5</v>
      </c>
    </row>
    <row r="191" spans="2:11" ht="15.75" x14ac:dyDescent="0.25">
      <c r="B191" s="667" t="s">
        <v>63</v>
      </c>
      <c r="C191" s="110">
        <v>2029</v>
      </c>
      <c r="D191" s="687" t="s">
        <v>668</v>
      </c>
      <c r="E191" s="688">
        <v>3.1298651934062276E-2</v>
      </c>
      <c r="F191" s="310">
        <v>1.4047697677260379E-2</v>
      </c>
      <c r="G191" s="311">
        <v>6.4717769949845225E-2</v>
      </c>
      <c r="H191" s="311">
        <v>1.289961200173304E-3</v>
      </c>
      <c r="I191" s="394">
        <v>1.3999119689540682E-3</v>
      </c>
      <c r="J191" s="689">
        <v>7.1699362838441942E-5</v>
      </c>
      <c r="K191" s="690">
        <v>7.4941288785129151E-5</v>
      </c>
    </row>
    <row r="192" spans="2:11" ht="15.75" x14ac:dyDescent="0.25">
      <c r="B192" s="667" t="s">
        <v>63</v>
      </c>
      <c r="C192" s="110">
        <v>2030</v>
      </c>
      <c r="D192" s="687" t="s">
        <v>669</v>
      </c>
      <c r="E192" s="688">
        <v>3.0510261848798362E-2</v>
      </c>
      <c r="F192" s="310">
        <v>1.2493470172704574E-2</v>
      </c>
      <c r="G192" s="311">
        <v>5.8267430292481034E-2</v>
      </c>
      <c r="H192" s="311">
        <v>1.1955102637408457E-3</v>
      </c>
      <c r="I192" s="394">
        <v>1.2977222684299337E-3</v>
      </c>
      <c r="J192" s="689">
        <v>5.9099173835988611E-5</v>
      </c>
      <c r="K192" s="690">
        <v>6.1771367082833072E-5</v>
      </c>
    </row>
    <row r="193" spans="2:11" ht="15.75" x14ac:dyDescent="0.25">
      <c r="B193" s="667" t="s">
        <v>63</v>
      </c>
      <c r="C193" s="110">
        <v>2031</v>
      </c>
      <c r="D193" s="687" t="s">
        <v>670</v>
      </c>
      <c r="E193" s="688">
        <v>2.979690153886777E-2</v>
      </c>
      <c r="F193" s="310">
        <v>1.1047574631012615E-2</v>
      </c>
      <c r="G193" s="311">
        <v>5.2275865573506795E-2</v>
      </c>
      <c r="H193" s="311">
        <v>1.1093354269167165E-3</v>
      </c>
      <c r="I193" s="394">
        <v>1.2042888779001464E-3</v>
      </c>
      <c r="J193" s="689">
        <v>5.2262073665333364E-5</v>
      </c>
      <c r="K193" s="690">
        <v>5.462512983740433E-5</v>
      </c>
    </row>
    <row r="194" spans="2:11" ht="15.75" x14ac:dyDescent="0.25">
      <c r="B194" s="667" t="s">
        <v>63</v>
      </c>
      <c r="C194" s="110">
        <v>2032</v>
      </c>
      <c r="D194" s="687" t="s">
        <v>671</v>
      </c>
      <c r="E194" s="688">
        <v>2.9159202746858782E-2</v>
      </c>
      <c r="F194" s="310">
        <v>9.7940480837140874E-3</v>
      </c>
      <c r="G194" s="311">
        <v>4.7192525093783258E-2</v>
      </c>
      <c r="H194" s="311">
        <v>1.0313077341064579E-3</v>
      </c>
      <c r="I194" s="394">
        <v>1.1197027448342409E-3</v>
      </c>
      <c r="J194" s="689">
        <v>4.5737831873542062E-5</v>
      </c>
      <c r="K194" s="690">
        <v>4.7805899495971719E-5</v>
      </c>
    </row>
    <row r="195" spans="2:11" ht="15.75" x14ac:dyDescent="0.25">
      <c r="B195" s="667" t="s">
        <v>63</v>
      </c>
      <c r="C195" s="110">
        <v>2033</v>
      </c>
      <c r="D195" s="687" t="s">
        <v>672</v>
      </c>
      <c r="E195" s="688">
        <v>2.8593707988588197E-2</v>
      </c>
      <c r="F195" s="310">
        <v>8.7272280731926308E-3</v>
      </c>
      <c r="G195" s="311">
        <v>4.298807023333568E-2</v>
      </c>
      <c r="H195" s="311">
        <v>9.6286777200327777E-4</v>
      </c>
      <c r="I195" s="394">
        <v>1.0454355025786551E-3</v>
      </c>
      <c r="J195" s="689">
        <v>4.1791458850177513E-5</v>
      </c>
      <c r="K195" s="690">
        <v>4.3681076767661635E-5</v>
      </c>
    </row>
    <row r="196" spans="2:11" ht="15.75" x14ac:dyDescent="0.25">
      <c r="B196" s="667" t="s">
        <v>63</v>
      </c>
      <c r="C196" s="110">
        <v>2034</v>
      </c>
      <c r="D196" s="687" t="s">
        <v>673</v>
      </c>
      <c r="E196" s="688">
        <v>2.8088849504057652E-2</v>
      </c>
      <c r="F196" s="310">
        <v>7.7224709738193641E-3</v>
      </c>
      <c r="G196" s="311">
        <v>3.9142941119428835E-2</v>
      </c>
      <c r="H196" s="311">
        <v>8.9796428250476026E-4</v>
      </c>
      <c r="I196" s="394">
        <v>9.7498275982614753E-4</v>
      </c>
      <c r="J196" s="689">
        <v>3.8588883142456636E-5</v>
      </c>
      <c r="K196" s="690">
        <v>4.0333701338345799E-5</v>
      </c>
    </row>
    <row r="197" spans="2:11" ht="15.75" x14ac:dyDescent="0.25">
      <c r="B197" s="667" t="s">
        <v>63</v>
      </c>
      <c r="C197" s="110">
        <v>2035</v>
      </c>
      <c r="D197" s="687" t="s">
        <v>674</v>
      </c>
      <c r="E197" s="688">
        <v>2.7646055046135889E-2</v>
      </c>
      <c r="F197" s="310">
        <v>6.8700273113615441E-3</v>
      </c>
      <c r="G197" s="311">
        <v>3.5996705919938553E-2</v>
      </c>
      <c r="H197" s="311">
        <v>8.3997282376198172E-4</v>
      </c>
      <c r="I197" s="394">
        <v>9.1202973376437095E-4</v>
      </c>
      <c r="J197" s="689">
        <v>3.5811993015181842E-5</v>
      </c>
      <c r="K197" s="690">
        <v>3.7431249906425091E-5</v>
      </c>
    </row>
    <row r="198" spans="2:11" ht="15.75" x14ac:dyDescent="0.25">
      <c r="B198" s="667" t="s">
        <v>63</v>
      </c>
      <c r="C198" s="110">
        <v>2036</v>
      </c>
      <c r="D198" s="687" t="s">
        <v>675</v>
      </c>
      <c r="E198" s="688">
        <v>2.7254180421866826E-2</v>
      </c>
      <c r="F198" s="310">
        <v>6.0827426890873145E-3</v>
      </c>
      <c r="G198" s="311">
        <v>3.309894792621642E-2</v>
      </c>
      <c r="H198" s="311">
        <v>7.9095401751758609E-4</v>
      </c>
      <c r="I198" s="394">
        <v>8.5883872750384157E-4</v>
      </c>
      <c r="J198" s="689">
        <v>3.2938630699260723E-5</v>
      </c>
      <c r="K198" s="690">
        <v>3.4427971344662413E-5</v>
      </c>
    </row>
    <row r="199" spans="2:11" ht="15.75" x14ac:dyDescent="0.25">
      <c r="B199" s="667" t="s">
        <v>63</v>
      </c>
      <c r="C199" s="110">
        <v>2037</v>
      </c>
      <c r="D199" s="687" t="s">
        <v>676</v>
      </c>
      <c r="E199" s="688">
        <v>2.6913136328811579E-2</v>
      </c>
      <c r="F199" s="310">
        <v>5.4217375636318619E-3</v>
      </c>
      <c r="G199" s="311">
        <v>3.0693667450869117E-2</v>
      </c>
      <c r="H199" s="311">
        <v>7.4766871933595251E-4</v>
      </c>
      <c r="I199" s="394">
        <v>8.1186904680293609E-4</v>
      </c>
      <c r="J199" s="689">
        <v>3.0418099084012099E-5</v>
      </c>
      <c r="K199" s="690">
        <v>3.1793472254172493E-5</v>
      </c>
    </row>
    <row r="200" spans="2:11" ht="15.75" x14ac:dyDescent="0.25">
      <c r="B200" s="667" t="s">
        <v>63</v>
      </c>
      <c r="C200" s="110">
        <v>2038</v>
      </c>
      <c r="D200" s="687" t="s">
        <v>677</v>
      </c>
      <c r="E200" s="688">
        <v>2.6616798443288917E-2</v>
      </c>
      <c r="F200" s="310">
        <v>4.810983704390529E-3</v>
      </c>
      <c r="G200" s="311">
        <v>2.8446989095817062E-2</v>
      </c>
      <c r="H200" s="311">
        <v>7.0865471871080134E-4</v>
      </c>
      <c r="I200" s="394">
        <v>7.6951623312917616E-4</v>
      </c>
      <c r="J200" s="689">
        <v>2.8558936855201151E-5</v>
      </c>
      <c r="K200" s="690">
        <v>2.985024948960018E-5</v>
      </c>
    </row>
    <row r="201" spans="2:11" ht="15.75" x14ac:dyDescent="0.25">
      <c r="B201" s="667" t="s">
        <v>63</v>
      </c>
      <c r="C201" s="110">
        <v>2039</v>
      </c>
      <c r="D201" s="687" t="s">
        <v>678</v>
      </c>
      <c r="E201" s="688">
        <v>2.6356901459536491E-2</v>
      </c>
      <c r="F201" s="310">
        <v>4.2527136289575267E-3</v>
      </c>
      <c r="G201" s="311">
        <v>2.6410307690619955E-2</v>
      </c>
      <c r="H201" s="311">
        <v>6.7370072066456042E-4</v>
      </c>
      <c r="I201" s="394">
        <v>7.3156898996930156E-4</v>
      </c>
      <c r="J201" s="689">
        <v>2.695944282634475E-5</v>
      </c>
      <c r="K201" s="690">
        <v>2.8178434456524993E-5</v>
      </c>
    </row>
    <row r="202" spans="2:11" ht="15.75" x14ac:dyDescent="0.25">
      <c r="B202" s="667" t="s">
        <v>63</v>
      </c>
      <c r="C202" s="110">
        <v>2040</v>
      </c>
      <c r="D202" s="687" t="s">
        <v>679</v>
      </c>
      <c r="E202" s="688">
        <v>2.6127544391608089E-2</v>
      </c>
      <c r="F202" s="310">
        <v>3.7305141795357642E-3</v>
      </c>
      <c r="G202" s="311">
        <v>2.4661850758608606E-2</v>
      </c>
      <c r="H202" s="311">
        <v>6.4175434091056651E-4</v>
      </c>
      <c r="I202" s="394">
        <v>6.9688055854726354E-4</v>
      </c>
      <c r="J202" s="689">
        <v>2.5624805352811902E-5</v>
      </c>
      <c r="K202" s="690">
        <v>2.6783444830075756E-5</v>
      </c>
    </row>
    <row r="203" spans="2:11" ht="15.75" x14ac:dyDescent="0.25">
      <c r="B203" s="667" t="s">
        <v>63</v>
      </c>
      <c r="C203" s="110">
        <v>2041</v>
      </c>
      <c r="D203" s="687" t="s">
        <v>680</v>
      </c>
      <c r="E203" s="688">
        <v>2.5930526035864657E-2</v>
      </c>
      <c r="F203" s="310">
        <v>3.3194998064526066E-3</v>
      </c>
      <c r="G203" s="311">
        <v>2.3249187156578588E-2</v>
      </c>
      <c r="H203" s="311">
        <v>6.1947662294419112E-4</v>
      </c>
      <c r="I203" s="394">
        <v>6.7270307094451759E-4</v>
      </c>
      <c r="J203" s="689">
        <v>2.4402793312787513E-5</v>
      </c>
      <c r="K203" s="690">
        <v>2.5506177981516186E-5</v>
      </c>
    </row>
    <row r="204" spans="2:11" ht="15.75" x14ac:dyDescent="0.25">
      <c r="B204" s="667" t="s">
        <v>63</v>
      </c>
      <c r="C204" s="110">
        <v>2042</v>
      </c>
      <c r="D204" s="687" t="s">
        <v>681</v>
      </c>
      <c r="E204" s="688">
        <v>2.5754812058193879E-2</v>
      </c>
      <c r="F204" s="310">
        <v>2.9705115683921735E-3</v>
      </c>
      <c r="G204" s="311">
        <v>2.1984933465090575E-2</v>
      </c>
      <c r="H204" s="311">
        <v>5.9969185101953182E-4</v>
      </c>
      <c r="I204" s="394">
        <v>6.5122467345267454E-4</v>
      </c>
      <c r="J204" s="689">
        <v>2.3478131666051591E-5</v>
      </c>
      <c r="K204" s="690">
        <v>2.4539710824972634E-5</v>
      </c>
    </row>
    <row r="205" spans="2:11" ht="15.75" x14ac:dyDescent="0.25">
      <c r="B205" s="667" t="s">
        <v>63</v>
      </c>
      <c r="C205" s="110">
        <v>2043</v>
      </c>
      <c r="D205" s="687" t="s">
        <v>682</v>
      </c>
      <c r="E205" s="688">
        <v>2.5601800410717832E-2</v>
      </c>
      <c r="F205" s="310">
        <v>2.7131121163578523E-3</v>
      </c>
      <c r="G205" s="311">
        <v>2.1033847889415012E-2</v>
      </c>
      <c r="H205" s="311">
        <v>5.8212624359583803E-4</v>
      </c>
      <c r="I205" s="394">
        <v>6.3215773428775023E-4</v>
      </c>
      <c r="J205" s="689">
        <v>2.2592365251862186E-5</v>
      </c>
      <c r="K205" s="690">
        <v>2.3613893695002532E-5</v>
      </c>
    </row>
    <row r="206" spans="2:11" ht="15.75" x14ac:dyDescent="0.25">
      <c r="B206" s="667" t="s">
        <v>63</v>
      </c>
      <c r="C206" s="110">
        <v>2044</v>
      </c>
      <c r="D206" s="687" t="s">
        <v>683</v>
      </c>
      <c r="E206" s="688">
        <v>2.5467137584434762E-2</v>
      </c>
      <c r="F206" s="310">
        <v>2.5356258116716684E-3</v>
      </c>
      <c r="G206" s="311">
        <v>2.0336955843730332E-2</v>
      </c>
      <c r="H206" s="311">
        <v>5.667541811116626E-4</v>
      </c>
      <c r="I206" s="394">
        <v>6.1546681349466113E-4</v>
      </c>
      <c r="J206" s="689">
        <v>2.1952183156528951E-5</v>
      </c>
      <c r="K206" s="690">
        <v>2.2944762871457509E-5</v>
      </c>
    </row>
    <row r="207" spans="2:11" ht="15.75" x14ac:dyDescent="0.25">
      <c r="B207" s="667" t="s">
        <v>63</v>
      </c>
      <c r="C207" s="110">
        <v>2045</v>
      </c>
      <c r="D207" s="687" t="s">
        <v>684</v>
      </c>
      <c r="E207" s="688">
        <v>2.5346877594221832E-2</v>
      </c>
      <c r="F207" s="310">
        <v>2.4318327340847267E-3</v>
      </c>
      <c r="G207" s="311">
        <v>1.989334580212164E-2</v>
      </c>
      <c r="H207" s="311">
        <v>5.5323464702877149E-4</v>
      </c>
      <c r="I207" s="394">
        <v>6.0078777542997889E-4</v>
      </c>
      <c r="J207" s="689">
        <v>2.1362969690939331E-5</v>
      </c>
      <c r="K207" s="690">
        <v>2.2328914706778925E-5</v>
      </c>
    </row>
    <row r="208" spans="2:11" ht="15.75" x14ac:dyDescent="0.25">
      <c r="B208" s="667" t="s">
        <v>63</v>
      </c>
      <c r="C208" s="110">
        <v>2046</v>
      </c>
      <c r="D208" s="687" t="s">
        <v>685</v>
      </c>
      <c r="E208" s="688">
        <v>2.5239708148232988E-2</v>
      </c>
      <c r="F208" s="310">
        <v>2.340511768045804E-3</v>
      </c>
      <c r="G208" s="311">
        <v>1.9514086810981216E-2</v>
      </c>
      <c r="H208" s="311">
        <v>5.4160516216535451E-4</v>
      </c>
      <c r="I208" s="394">
        <v>5.8816024595003389E-4</v>
      </c>
      <c r="J208" s="689">
        <v>2.0881299710170414E-5</v>
      </c>
      <c r="K208" s="690">
        <v>2.1825463755505157E-5</v>
      </c>
    </row>
    <row r="209" spans="2:11" ht="15.75" x14ac:dyDescent="0.25">
      <c r="B209" s="667" t="s">
        <v>63</v>
      </c>
      <c r="C209" s="110">
        <v>2047</v>
      </c>
      <c r="D209" s="687" t="s">
        <v>686</v>
      </c>
      <c r="E209" s="688">
        <v>2.5149085576210872E-2</v>
      </c>
      <c r="F209" s="310">
        <v>2.2660470435860555E-3</v>
      </c>
      <c r="G209" s="311">
        <v>1.9212673425057648E-2</v>
      </c>
      <c r="H209" s="311">
        <v>5.3201365937589147E-4</v>
      </c>
      <c r="I209" s="394">
        <v>5.777430321000118E-4</v>
      </c>
      <c r="J209" s="689">
        <v>2.0534984170375343E-5</v>
      </c>
      <c r="K209" s="690">
        <v>2.1463483089795839E-5</v>
      </c>
    </row>
    <row r="210" spans="2:11" ht="15.75" x14ac:dyDescent="0.25">
      <c r="B210" s="667" t="s">
        <v>63</v>
      </c>
      <c r="C210" s="110">
        <v>2048</v>
      </c>
      <c r="D210" s="687" t="s">
        <v>687</v>
      </c>
      <c r="E210" s="688">
        <v>2.5068979198735932E-2</v>
      </c>
      <c r="F210" s="310">
        <v>2.2022452641011934E-3</v>
      </c>
      <c r="G210" s="311">
        <v>1.8942445169275315E-2</v>
      </c>
      <c r="H210" s="311">
        <v>5.2352461915457606E-4</v>
      </c>
      <c r="I210" s="394">
        <v>5.6853103977656295E-4</v>
      </c>
      <c r="J210" s="689">
        <v>2.0065119905437686E-5</v>
      </c>
      <c r="K210" s="690">
        <v>2.0972378131840128E-5</v>
      </c>
    </row>
    <row r="211" spans="2:11" ht="15.75" x14ac:dyDescent="0.25">
      <c r="B211" s="667" t="s">
        <v>63</v>
      </c>
      <c r="C211" s="110">
        <v>2049</v>
      </c>
      <c r="D211" s="687" t="s">
        <v>688</v>
      </c>
      <c r="E211" s="688">
        <v>2.500096274465493E-2</v>
      </c>
      <c r="F211" s="310">
        <v>2.1807426664684723E-3</v>
      </c>
      <c r="G211" s="311">
        <v>1.8939414963419169E-2</v>
      </c>
      <c r="H211" s="311">
        <v>5.1872198380202095E-4</v>
      </c>
      <c r="I211" s="394">
        <v>5.6331805341853212E-4</v>
      </c>
      <c r="J211" s="689">
        <v>1.9803469503864623E-5</v>
      </c>
      <c r="K211" s="690">
        <v>2.0698893034322761E-5</v>
      </c>
    </row>
    <row r="212" spans="2:11" ht="15.75" x14ac:dyDescent="0.25">
      <c r="B212" s="667" t="s">
        <v>63</v>
      </c>
      <c r="C212" s="110">
        <v>2050</v>
      </c>
      <c r="D212" s="687" t="s">
        <v>689</v>
      </c>
      <c r="E212" s="688">
        <v>2.4940231544815568E-2</v>
      </c>
      <c r="F212" s="310">
        <v>2.1619131217441483E-3</v>
      </c>
      <c r="G212" s="311">
        <v>1.8932988405190834E-2</v>
      </c>
      <c r="H212" s="311">
        <v>5.1453285476523542E-4</v>
      </c>
      <c r="I212" s="394">
        <v>5.5877707752022938E-4</v>
      </c>
      <c r="J212" s="689">
        <v>1.9444723940848592E-5</v>
      </c>
      <c r="K212" s="690">
        <v>2.0323924872915373E-5</v>
      </c>
    </row>
    <row r="213" spans="2:11" ht="15.75" x14ac:dyDescent="0.25">
      <c r="B213" s="667" t="s">
        <v>64</v>
      </c>
      <c r="C213" s="110">
        <v>2015</v>
      </c>
      <c r="D213" s="687" t="s">
        <v>4587</v>
      </c>
      <c r="E213" s="688">
        <v>4.4866291695745547E-2</v>
      </c>
      <c r="F213" s="310">
        <v>5.2772233595470217E-2</v>
      </c>
      <c r="G213" s="311">
        <v>0.21467708465041974</v>
      </c>
      <c r="H213" s="311">
        <v>1.8469545780672777E-3</v>
      </c>
      <c r="I213" s="394">
        <v>1.9985295974018942E-3</v>
      </c>
      <c r="J213" s="689">
        <v>1.5465459631957705E-4</v>
      </c>
      <c r="K213" s="690">
        <v>1.6164739239912053E-4</v>
      </c>
    </row>
    <row r="214" spans="2:11" ht="15.75" x14ac:dyDescent="0.25">
      <c r="B214" s="667" t="s">
        <v>64</v>
      </c>
      <c r="C214" s="110">
        <v>2016</v>
      </c>
      <c r="D214" s="687" t="s">
        <v>4588</v>
      </c>
      <c r="E214" s="688">
        <v>4.3953855868053837E-2</v>
      </c>
      <c r="F214" s="310">
        <v>4.385360489850907E-2</v>
      </c>
      <c r="G214" s="311">
        <v>0.18312018508325659</v>
      </c>
      <c r="H214" s="311">
        <v>1.7280030204019086E-3</v>
      </c>
      <c r="I214" s="394">
        <v>1.8714977546522872E-3</v>
      </c>
      <c r="J214" s="689">
        <v>1.2534487575694022E-4</v>
      </c>
      <c r="K214" s="690">
        <v>1.3101241428068442E-4</v>
      </c>
    </row>
    <row r="215" spans="2:11" ht="15.75" x14ac:dyDescent="0.25">
      <c r="B215" s="667" t="s">
        <v>64</v>
      </c>
      <c r="C215" s="110">
        <v>2017</v>
      </c>
      <c r="D215" s="687" t="s">
        <v>690</v>
      </c>
      <c r="E215" s="688">
        <v>4.2852395289840646E-2</v>
      </c>
      <c r="F215" s="310">
        <v>3.6329213152718941E-2</v>
      </c>
      <c r="G215" s="311">
        <v>0.15557279152593728</v>
      </c>
      <c r="H215" s="311">
        <v>1.6651548684262806E-3</v>
      </c>
      <c r="I215" s="394">
        <v>1.8044792130241149E-3</v>
      </c>
      <c r="J215" s="689">
        <v>1.1408497419771036E-4</v>
      </c>
      <c r="K215" s="690">
        <v>1.1924339304506454E-4</v>
      </c>
    </row>
    <row r="216" spans="2:11" ht="15.75" x14ac:dyDescent="0.25">
      <c r="B216" s="667" t="s">
        <v>64</v>
      </c>
      <c r="C216" s="110">
        <v>2018</v>
      </c>
      <c r="D216" s="687" t="s">
        <v>691</v>
      </c>
      <c r="E216" s="688">
        <v>4.1678566839487327E-2</v>
      </c>
      <c r="F216" s="310">
        <v>2.9918066371685096E-2</v>
      </c>
      <c r="G216" s="311">
        <v>0.13174166405612023</v>
      </c>
      <c r="H216" s="311">
        <v>1.6342498060787512E-3</v>
      </c>
      <c r="I216" s="394">
        <v>1.7719205082605022E-3</v>
      </c>
      <c r="J216" s="689">
        <v>1.0495996064461459E-4</v>
      </c>
      <c r="K216" s="690">
        <v>1.0970578168139888E-4</v>
      </c>
    </row>
    <row r="217" spans="2:11" ht="15.75" x14ac:dyDescent="0.25">
      <c r="B217" s="667" t="s">
        <v>64</v>
      </c>
      <c r="C217" s="110">
        <v>2019</v>
      </c>
      <c r="D217" s="687" t="s">
        <v>692</v>
      </c>
      <c r="E217" s="688">
        <v>4.0467051635682767E-2</v>
      </c>
      <c r="F217" s="310">
        <v>2.4576036541952988E-2</v>
      </c>
      <c r="G217" s="311">
        <v>0.11157671373837033</v>
      </c>
      <c r="H217" s="311">
        <v>1.6121794536162069E-3</v>
      </c>
      <c r="I217" s="394">
        <v>1.7488211457349228E-3</v>
      </c>
      <c r="J217" s="689">
        <v>9.5294997075317058E-5</v>
      </c>
      <c r="K217" s="690">
        <v>9.9603813652817433E-5</v>
      </c>
    </row>
    <row r="218" spans="2:11" ht="15.75" x14ac:dyDescent="0.25">
      <c r="B218" s="667" t="s">
        <v>64</v>
      </c>
      <c r="C218" s="110">
        <v>2020</v>
      </c>
      <c r="D218" s="687" t="s">
        <v>693</v>
      </c>
      <c r="E218" s="688">
        <v>3.9240670396350152E-2</v>
      </c>
      <c r="F218" s="310">
        <v>2.0476548505693037E-2</v>
      </c>
      <c r="G218" s="311">
        <v>9.4866810332708496E-2</v>
      </c>
      <c r="H218" s="311">
        <v>1.5645093744186421E-3</v>
      </c>
      <c r="I218" s="394">
        <v>1.6974465176831826E-3</v>
      </c>
      <c r="J218" s="689">
        <v>8.9333869575853293E-5</v>
      </c>
      <c r="K218" s="690">
        <v>9.337314377957134E-5</v>
      </c>
    </row>
    <row r="219" spans="2:11" ht="15.75" x14ac:dyDescent="0.25">
      <c r="B219" s="667" t="s">
        <v>64</v>
      </c>
      <c r="C219" s="110">
        <v>2021</v>
      </c>
      <c r="D219" s="687" t="s">
        <v>694</v>
      </c>
      <c r="E219" s="688">
        <v>3.8012357632477949E-2</v>
      </c>
      <c r="F219" s="310">
        <v>1.7336167478389768E-2</v>
      </c>
      <c r="G219" s="311">
        <v>8.1058383960328703E-2</v>
      </c>
      <c r="H219" s="311">
        <v>1.4810282323929375E-3</v>
      </c>
      <c r="I219" s="394">
        <v>1.6071116201324981E-3</v>
      </c>
      <c r="J219" s="689">
        <v>8.0935424968640407E-5</v>
      </c>
      <c r="K219" s="690">
        <v>8.4594964959338302E-5</v>
      </c>
    </row>
    <row r="220" spans="2:11" ht="15.75" x14ac:dyDescent="0.25">
      <c r="B220" s="667" t="s">
        <v>64</v>
      </c>
      <c r="C220" s="110">
        <v>2022</v>
      </c>
      <c r="D220" s="687" t="s">
        <v>695</v>
      </c>
      <c r="E220" s="688">
        <v>3.6809703601014286E-2</v>
      </c>
      <c r="F220" s="310">
        <v>1.448293735728802E-2</v>
      </c>
      <c r="G220" s="311">
        <v>6.9333836986252173E-2</v>
      </c>
      <c r="H220" s="311">
        <v>1.4004967116692734E-3</v>
      </c>
      <c r="I220" s="394">
        <v>1.5200055773278872E-3</v>
      </c>
      <c r="J220" s="689">
        <v>7.3218929155893667E-5</v>
      </c>
      <c r="K220" s="690">
        <v>7.6529570110547108E-5</v>
      </c>
    </row>
    <row r="221" spans="2:11" ht="15.75" x14ac:dyDescent="0.25">
      <c r="B221" s="667" t="s">
        <v>64</v>
      </c>
      <c r="C221" s="110">
        <v>2023</v>
      </c>
      <c r="D221" s="687" t="s">
        <v>696</v>
      </c>
      <c r="E221" s="688">
        <v>3.5627051473352038E-2</v>
      </c>
      <c r="F221" s="310">
        <v>1.2439504968298237E-2</v>
      </c>
      <c r="G221" s="311">
        <v>6.0007284062561561E-2</v>
      </c>
      <c r="H221" s="311">
        <v>1.3285295844182468E-3</v>
      </c>
      <c r="I221" s="394">
        <v>1.4421205526707098E-3</v>
      </c>
      <c r="J221" s="689">
        <v>6.4756693478213508E-5</v>
      </c>
      <c r="K221" s="690">
        <v>6.7684702402707271E-5</v>
      </c>
    </row>
    <row r="222" spans="2:11" ht="15.75" x14ac:dyDescent="0.25">
      <c r="B222" s="667" t="s">
        <v>64</v>
      </c>
      <c r="C222" s="110">
        <v>2024</v>
      </c>
      <c r="D222" s="687" t="s">
        <v>697</v>
      </c>
      <c r="E222" s="688">
        <v>3.4468415200160134E-2</v>
      </c>
      <c r="F222" s="310">
        <v>1.0734251678204151E-2</v>
      </c>
      <c r="G222" s="311">
        <v>5.2335971953179829E-2</v>
      </c>
      <c r="H222" s="311">
        <v>1.2675545388303048E-3</v>
      </c>
      <c r="I222" s="394">
        <v>1.3760716621274639E-3</v>
      </c>
      <c r="J222" s="689">
        <v>5.9003644307012891E-5</v>
      </c>
      <c r="K222" s="690">
        <v>6.1671526926860394E-5</v>
      </c>
    </row>
    <row r="223" spans="2:11" ht="15.75" x14ac:dyDescent="0.25">
      <c r="B223" s="667" t="s">
        <v>64</v>
      </c>
      <c r="C223" s="110">
        <v>2025</v>
      </c>
      <c r="D223" s="687" t="s">
        <v>698</v>
      </c>
      <c r="E223" s="688">
        <v>3.3332238598969013E-2</v>
      </c>
      <c r="F223" s="310">
        <v>9.3563951400374382E-3</v>
      </c>
      <c r="G223" s="311">
        <v>4.6210205748487915E-2</v>
      </c>
      <c r="H223" s="311">
        <v>1.2171135722301902E-3</v>
      </c>
      <c r="I223" s="394">
        <v>1.3214015203440097E-3</v>
      </c>
      <c r="J223" s="689">
        <v>5.4729710329445401E-5</v>
      </c>
      <c r="K223" s="690">
        <v>5.7204346074566455E-5</v>
      </c>
    </row>
    <row r="224" spans="2:11" ht="15.75" x14ac:dyDescent="0.25">
      <c r="B224" s="667" t="s">
        <v>64</v>
      </c>
      <c r="C224" s="110">
        <v>2026</v>
      </c>
      <c r="D224" s="687" t="s">
        <v>699</v>
      </c>
      <c r="E224" s="688">
        <v>3.2303380922489626E-2</v>
      </c>
      <c r="F224" s="310">
        <v>8.2223231542698141E-3</v>
      </c>
      <c r="G224" s="311">
        <v>4.1280528283316693E-2</v>
      </c>
      <c r="H224" s="311">
        <v>1.1636832991681098E-3</v>
      </c>
      <c r="I224" s="394">
        <v>1.2635272467942536E-3</v>
      </c>
      <c r="J224" s="689">
        <v>4.9173683567296827E-5</v>
      </c>
      <c r="K224" s="690">
        <v>5.1397100151843479E-5</v>
      </c>
    </row>
    <row r="225" spans="2:11" ht="15.75" x14ac:dyDescent="0.25">
      <c r="B225" s="667" t="s">
        <v>64</v>
      </c>
      <c r="C225" s="110">
        <v>2027</v>
      </c>
      <c r="D225" s="687" t="s">
        <v>700</v>
      </c>
      <c r="E225" s="688">
        <v>3.1369080984094175E-2</v>
      </c>
      <c r="F225" s="310">
        <v>7.2726293663980326E-3</v>
      </c>
      <c r="G225" s="311">
        <v>3.7209176894842537E-2</v>
      </c>
      <c r="H225" s="311">
        <v>1.1036095758029272E-3</v>
      </c>
      <c r="I225" s="394">
        <v>1.1984185521056634E-3</v>
      </c>
      <c r="J225" s="689">
        <v>4.3845596126589252E-5</v>
      </c>
      <c r="K225" s="690">
        <v>4.5828094899442107E-5</v>
      </c>
    </row>
    <row r="226" spans="2:11" ht="15.75" x14ac:dyDescent="0.25">
      <c r="B226" s="667" t="s">
        <v>64</v>
      </c>
      <c r="C226" s="110">
        <v>2028</v>
      </c>
      <c r="D226" s="687" t="s">
        <v>701</v>
      </c>
      <c r="E226" s="688">
        <v>3.0532715305571036E-2</v>
      </c>
      <c r="F226" s="310">
        <v>6.4989774884416625E-3</v>
      </c>
      <c r="G226" s="311">
        <v>3.3904812188403632E-2</v>
      </c>
      <c r="H226" s="311">
        <v>1.0363055419526923E-3</v>
      </c>
      <c r="I226" s="394">
        <v>1.1254837602697107E-3</v>
      </c>
      <c r="J226" s="689">
        <v>3.7593404817612223E-5</v>
      </c>
      <c r="K226" s="690">
        <v>3.929321053304858E-5</v>
      </c>
    </row>
    <row r="227" spans="2:11" ht="15.75" x14ac:dyDescent="0.25">
      <c r="B227" s="667" t="s">
        <v>64</v>
      </c>
      <c r="C227" s="110">
        <v>2029</v>
      </c>
      <c r="D227" s="687" t="s">
        <v>702</v>
      </c>
      <c r="E227" s="688">
        <v>2.9785213752214795E-2</v>
      </c>
      <c r="F227" s="310">
        <v>5.8219529415036771E-3</v>
      </c>
      <c r="G227" s="311">
        <v>3.1119458719394918E-2</v>
      </c>
      <c r="H227" s="311">
        <v>9.7222260826141673E-4</v>
      </c>
      <c r="I227" s="394">
        <v>1.0559850160190951E-3</v>
      </c>
      <c r="J227" s="689">
        <v>3.293405454427641E-5</v>
      </c>
      <c r="K227" s="690">
        <v>3.4423178810418782E-5</v>
      </c>
    </row>
    <row r="228" spans="2:11" ht="15.75" x14ac:dyDescent="0.25">
      <c r="B228" s="667" t="s">
        <v>64</v>
      </c>
      <c r="C228" s="110">
        <v>2030</v>
      </c>
      <c r="D228" s="687" t="s">
        <v>703</v>
      </c>
      <c r="E228" s="688">
        <v>2.9120277720738535E-2</v>
      </c>
      <c r="F228" s="310">
        <v>5.2548897282307001E-3</v>
      </c>
      <c r="G228" s="311">
        <v>2.8821313298519124E-2</v>
      </c>
      <c r="H228" s="311">
        <v>9.1224823500407539E-4</v>
      </c>
      <c r="I228" s="394">
        <v>9.9090531054710088E-4</v>
      </c>
      <c r="J228" s="689">
        <v>2.944070220795105E-5</v>
      </c>
      <c r="K228" s="690">
        <v>3.0771878040702626E-5</v>
      </c>
    </row>
    <row r="229" spans="2:11" ht="15.75" x14ac:dyDescent="0.25">
      <c r="B229" s="667" t="s">
        <v>64</v>
      </c>
      <c r="C229" s="110">
        <v>2031</v>
      </c>
      <c r="D229" s="687" t="s">
        <v>704</v>
      </c>
      <c r="E229" s="688">
        <v>2.8532517804712856E-2</v>
      </c>
      <c r="F229" s="310">
        <v>4.7662482453170538E-3</v>
      </c>
      <c r="G229" s="311">
        <v>2.6891864254918296E-2</v>
      </c>
      <c r="H229" s="311">
        <v>8.5738296252143545E-4</v>
      </c>
      <c r="I229" s="394">
        <v>9.3130567230657044E-4</v>
      </c>
      <c r="J229" s="689">
        <v>2.7759633691690348E-5</v>
      </c>
      <c r="K229" s="690">
        <v>2.9014803853503466E-5</v>
      </c>
    </row>
    <row r="230" spans="2:11" ht="15.75" x14ac:dyDescent="0.25">
      <c r="B230" s="667" t="s">
        <v>64</v>
      </c>
      <c r="C230" s="110">
        <v>2032</v>
      </c>
      <c r="D230" s="687" t="s">
        <v>705</v>
      </c>
      <c r="E230" s="688">
        <v>2.8013114407358073E-2</v>
      </c>
      <c r="F230" s="310">
        <v>4.3431165920924187E-3</v>
      </c>
      <c r="G230" s="311">
        <v>2.5291760754734525E-2</v>
      </c>
      <c r="H230" s="311">
        <v>8.0573093648809838E-4</v>
      </c>
      <c r="I230" s="394">
        <v>8.752193958640902E-4</v>
      </c>
      <c r="J230" s="689">
        <v>2.5632638227581442E-5</v>
      </c>
      <c r="K230" s="690">
        <v>2.6791628489320935E-5</v>
      </c>
    </row>
    <row r="231" spans="2:11" ht="15.75" x14ac:dyDescent="0.25">
      <c r="B231" s="667" t="s">
        <v>64</v>
      </c>
      <c r="C231" s="110">
        <v>2033</v>
      </c>
      <c r="D231" s="687" t="s">
        <v>706</v>
      </c>
      <c r="E231" s="688">
        <v>2.7555947985768808E-2</v>
      </c>
      <c r="F231" s="310">
        <v>3.974858309635107E-3</v>
      </c>
      <c r="G231" s="311">
        <v>2.3966703763861605E-2</v>
      </c>
      <c r="H231" s="311">
        <v>7.5809263705562378E-4</v>
      </c>
      <c r="I231" s="394">
        <v>8.2347998627910223E-4</v>
      </c>
      <c r="J231" s="689">
        <v>2.3958488400074029E-5</v>
      </c>
      <c r="K231" s="690">
        <v>2.504178266567421E-5</v>
      </c>
    </row>
    <row r="232" spans="2:11" ht="15.75" x14ac:dyDescent="0.25">
      <c r="B232" s="667" t="s">
        <v>64</v>
      </c>
      <c r="C232" s="110">
        <v>2034</v>
      </c>
      <c r="D232" s="687" t="s">
        <v>707</v>
      </c>
      <c r="E232" s="688">
        <v>2.7155571044033423E-2</v>
      </c>
      <c r="F232" s="310">
        <v>3.6486450550207096E-3</v>
      </c>
      <c r="G232" s="311">
        <v>2.284705088533948E-2</v>
      </c>
      <c r="H232" s="311">
        <v>7.1440788726170911E-4</v>
      </c>
      <c r="I232" s="394">
        <v>7.7602280066422396E-4</v>
      </c>
      <c r="J232" s="689">
        <v>2.2674088178089603E-5</v>
      </c>
      <c r="K232" s="690">
        <v>2.3699311481753603E-5</v>
      </c>
    </row>
    <row r="233" spans="2:11" ht="15.75" x14ac:dyDescent="0.25">
      <c r="B233" s="667" t="s">
        <v>64</v>
      </c>
      <c r="C233" s="110">
        <v>2035</v>
      </c>
      <c r="D233" s="687" t="s">
        <v>708</v>
      </c>
      <c r="E233" s="688">
        <v>2.6807864931418041E-2</v>
      </c>
      <c r="F233" s="310">
        <v>3.3611711467867113E-3</v>
      </c>
      <c r="G233" s="311">
        <v>2.1922456045024265E-2</v>
      </c>
      <c r="H233" s="311">
        <v>6.7417611414362258E-4</v>
      </c>
      <c r="I233" s="394">
        <v>7.3232168461322502E-4</v>
      </c>
      <c r="J233" s="689">
        <v>2.1377614332936707E-5</v>
      </c>
      <c r="K233" s="690">
        <v>2.2344221543763215E-5</v>
      </c>
    </row>
    <row r="234" spans="2:11" ht="15.75" x14ac:dyDescent="0.25">
      <c r="B234" s="667" t="s">
        <v>64</v>
      </c>
      <c r="C234" s="110">
        <v>2036</v>
      </c>
      <c r="D234" s="687" t="s">
        <v>709</v>
      </c>
      <c r="E234" s="688">
        <v>2.6506940366924355E-2</v>
      </c>
      <c r="F234" s="310">
        <v>3.1125948209666235E-3</v>
      </c>
      <c r="G234" s="311">
        <v>2.1155948695561026E-2</v>
      </c>
      <c r="H234" s="311">
        <v>6.3903073813563276E-4</v>
      </c>
      <c r="I234" s="394">
        <v>6.9414207685465732E-4</v>
      </c>
      <c r="J234" s="689">
        <v>2.0346067811297638E-5</v>
      </c>
      <c r="K234" s="690">
        <v>2.1266024201240207E-5</v>
      </c>
    </row>
    <row r="235" spans="2:11" ht="15.75" x14ac:dyDescent="0.25">
      <c r="B235" s="667" t="s">
        <v>64</v>
      </c>
      <c r="C235" s="110">
        <v>2037</v>
      </c>
      <c r="D235" s="687" t="s">
        <v>710</v>
      </c>
      <c r="E235" s="688">
        <v>2.6249418831777702E-2</v>
      </c>
      <c r="F235" s="310">
        <v>2.8958469041529661E-3</v>
      </c>
      <c r="G235" s="311">
        <v>2.0518523831519832E-2</v>
      </c>
      <c r="H235" s="311">
        <v>6.0741678987342377E-4</v>
      </c>
      <c r="I235" s="394">
        <v>6.5979726689191823E-4</v>
      </c>
      <c r="J235" s="689">
        <v>1.9439443327446779E-5</v>
      </c>
      <c r="K235" s="690">
        <v>2.0318418630025228E-5</v>
      </c>
    </row>
    <row r="236" spans="2:11" ht="15.75" x14ac:dyDescent="0.25">
      <c r="B236" s="667" t="s">
        <v>64</v>
      </c>
      <c r="C236" s="110">
        <v>2038</v>
      </c>
      <c r="D236" s="687" t="s">
        <v>711</v>
      </c>
      <c r="E236" s="688">
        <v>2.6030629887177248E-2</v>
      </c>
      <c r="F236" s="310">
        <v>2.7005339958628299E-3</v>
      </c>
      <c r="G236" s="311">
        <v>1.9950317771388632E-2</v>
      </c>
      <c r="H236" s="311">
        <v>5.7922247239830841E-4</v>
      </c>
      <c r="I236" s="394">
        <v>6.2916668775021931E-4</v>
      </c>
      <c r="J236" s="689">
        <v>1.8658451672127058E-5</v>
      </c>
      <c r="K236" s="690">
        <v>1.9502103254352047E-5</v>
      </c>
    </row>
    <row r="237" spans="2:11" ht="15.75" x14ac:dyDescent="0.25">
      <c r="B237" s="667" t="s">
        <v>64</v>
      </c>
      <c r="C237" s="110">
        <v>2039</v>
      </c>
      <c r="D237" s="687" t="s">
        <v>712</v>
      </c>
      <c r="E237" s="688">
        <v>2.5845937046230599E-2</v>
      </c>
      <c r="F237" s="310">
        <v>2.5201158388736219E-3</v>
      </c>
      <c r="G237" s="311">
        <v>1.9429399531155019E-2</v>
      </c>
      <c r="H237" s="311">
        <v>5.5430593372118061E-4</v>
      </c>
      <c r="I237" s="394">
        <v>6.0209539968661039E-4</v>
      </c>
      <c r="J237" s="689">
        <v>1.7998302690034851E-5</v>
      </c>
      <c r="K237" s="690">
        <v>1.8812098571084196E-5</v>
      </c>
    </row>
    <row r="238" spans="2:11" ht="15.75" x14ac:dyDescent="0.25">
      <c r="B238" s="667" t="s">
        <v>64</v>
      </c>
      <c r="C238" s="110">
        <v>2040</v>
      </c>
      <c r="D238" s="687" t="s">
        <v>713</v>
      </c>
      <c r="E238" s="688">
        <v>2.5690342107196749E-2</v>
      </c>
      <c r="F238" s="310">
        <v>2.3595988118327248E-3</v>
      </c>
      <c r="G238" s="311">
        <v>1.8995558496170822E-2</v>
      </c>
      <c r="H238" s="311">
        <v>5.3253413997843507E-4</v>
      </c>
      <c r="I238" s="394">
        <v>5.7844013805405229E-4</v>
      </c>
      <c r="J238" s="689">
        <v>1.7439225246918963E-5</v>
      </c>
      <c r="K238" s="690">
        <v>1.8227751013349413E-5</v>
      </c>
    </row>
    <row r="239" spans="2:11" ht="15.75" x14ac:dyDescent="0.25">
      <c r="B239" s="667" t="s">
        <v>64</v>
      </c>
      <c r="C239" s="110">
        <v>2041</v>
      </c>
      <c r="D239" s="687" t="s">
        <v>714</v>
      </c>
      <c r="E239" s="688">
        <v>2.5562314889580984E-2</v>
      </c>
      <c r="F239" s="310">
        <v>2.2364645721438736E-3</v>
      </c>
      <c r="G239" s="311">
        <v>1.8664070914964737E-2</v>
      </c>
      <c r="H239" s="311">
        <v>5.1531362417344339E-4</v>
      </c>
      <c r="I239" s="394">
        <v>5.5973096775054857E-4</v>
      </c>
      <c r="J239" s="689">
        <v>1.6978077909245772E-5</v>
      </c>
      <c r="K239" s="690">
        <v>1.7745754501647036E-5</v>
      </c>
    </row>
    <row r="240" spans="2:11" ht="15.75" x14ac:dyDescent="0.25">
      <c r="B240" s="667" t="s">
        <v>64</v>
      </c>
      <c r="C240" s="110">
        <v>2042</v>
      </c>
      <c r="D240" s="687" t="s">
        <v>715</v>
      </c>
      <c r="E240" s="688">
        <v>2.5456017417633318E-2</v>
      </c>
      <c r="F240" s="310">
        <v>2.1311407075549817E-3</v>
      </c>
      <c r="G240" s="311">
        <v>1.8362673851408353E-2</v>
      </c>
      <c r="H240" s="311">
        <v>5.0071794398646595E-4</v>
      </c>
      <c r="I240" s="394">
        <v>5.4387300696124425E-4</v>
      </c>
      <c r="J240" s="689">
        <v>1.6604419697259259E-5</v>
      </c>
      <c r="K240" s="690">
        <v>1.735519917594094E-5</v>
      </c>
    </row>
    <row r="241" spans="2:11" ht="15.75" x14ac:dyDescent="0.25">
      <c r="B241" s="667" t="s">
        <v>64</v>
      </c>
      <c r="C241" s="110">
        <v>2043</v>
      </c>
      <c r="D241" s="687" t="s">
        <v>716</v>
      </c>
      <c r="E241" s="688">
        <v>2.5369253893076534E-2</v>
      </c>
      <c r="F241" s="310">
        <v>2.0522256528230217E-3</v>
      </c>
      <c r="G241" s="311">
        <v>1.8143727194859342E-2</v>
      </c>
      <c r="H241" s="311">
        <v>4.8854431126684849E-4</v>
      </c>
      <c r="I241" s="394">
        <v>5.3064515642720078E-4</v>
      </c>
      <c r="J241" s="689">
        <v>1.6312709988891123E-5</v>
      </c>
      <c r="K241" s="690">
        <v>1.7050291635956359E-5</v>
      </c>
    </row>
    <row r="242" spans="2:11" ht="15.75" x14ac:dyDescent="0.25">
      <c r="B242" s="667" t="s">
        <v>64</v>
      </c>
      <c r="C242" s="110">
        <v>2044</v>
      </c>
      <c r="D242" s="687" t="s">
        <v>717</v>
      </c>
      <c r="E242" s="688">
        <v>2.5297377977774226E-2</v>
      </c>
      <c r="F242" s="310">
        <v>1.9922615721904972E-3</v>
      </c>
      <c r="G242" s="311">
        <v>1.7965278388765341E-2</v>
      </c>
      <c r="H242" s="311">
        <v>4.783390323206191E-4</v>
      </c>
      <c r="I242" s="394">
        <v>5.1955626134886032E-4</v>
      </c>
      <c r="J242" s="689">
        <v>1.6068987018475384E-5</v>
      </c>
      <c r="K242" s="690">
        <v>1.6795554412065343E-5</v>
      </c>
    </row>
    <row r="243" spans="2:11" ht="15.75" x14ac:dyDescent="0.25">
      <c r="B243" s="667" t="s">
        <v>64</v>
      </c>
      <c r="C243" s="110">
        <v>2045</v>
      </c>
      <c r="D243" s="687" t="s">
        <v>718</v>
      </c>
      <c r="E243" s="688">
        <v>2.5236611158029203E-2</v>
      </c>
      <c r="F243" s="310">
        <v>1.9515332295704827E-3</v>
      </c>
      <c r="G243" s="311">
        <v>1.7846984335635585E-2</v>
      </c>
      <c r="H243" s="311">
        <v>4.6981384446293526E-4</v>
      </c>
      <c r="I243" s="394">
        <v>5.1029178041732274E-4</v>
      </c>
      <c r="J243" s="689">
        <v>1.5893254086430574E-5</v>
      </c>
      <c r="K243" s="690">
        <v>1.6611876344780489E-5</v>
      </c>
    </row>
    <row r="244" spans="2:11" ht="15.75" x14ac:dyDescent="0.25">
      <c r="B244" s="667" t="s">
        <v>64</v>
      </c>
      <c r="C244" s="110">
        <v>2046</v>
      </c>
      <c r="D244" s="687" t="s">
        <v>719</v>
      </c>
      <c r="E244" s="688">
        <v>2.5186785150874438E-2</v>
      </c>
      <c r="F244" s="310">
        <v>1.9169659997652323E-3</v>
      </c>
      <c r="G244" s="311">
        <v>1.7752604310630606E-2</v>
      </c>
      <c r="H244" s="311">
        <v>4.6276220159463679E-4</v>
      </c>
      <c r="I244" s="394">
        <v>5.0262872292031104E-4</v>
      </c>
      <c r="J244" s="689">
        <v>1.5735318134101769E-5</v>
      </c>
      <c r="K244" s="690">
        <v>1.6446797570531796E-5</v>
      </c>
    </row>
    <row r="245" spans="2:11" ht="15.75" x14ac:dyDescent="0.25">
      <c r="B245" s="667" t="s">
        <v>64</v>
      </c>
      <c r="C245" s="110">
        <v>2047</v>
      </c>
      <c r="D245" s="687" t="s">
        <v>720</v>
      </c>
      <c r="E245" s="688">
        <v>2.5145628474360464E-2</v>
      </c>
      <c r="F245" s="310">
        <v>1.8869256106649774E-3</v>
      </c>
      <c r="G245" s="311">
        <v>1.7666117117801305E-2</v>
      </c>
      <c r="H245" s="311">
        <v>4.5698481298739844E-4</v>
      </c>
      <c r="I245" s="394">
        <v>4.9635093207624659E-4</v>
      </c>
      <c r="J245" s="689">
        <v>1.5613351317501628E-5</v>
      </c>
      <c r="K245" s="690">
        <v>1.6319318598751491E-5</v>
      </c>
    </row>
    <row r="246" spans="2:11" ht="15.75" x14ac:dyDescent="0.25">
      <c r="B246" s="667" t="s">
        <v>64</v>
      </c>
      <c r="C246" s="110">
        <v>2048</v>
      </c>
      <c r="D246" s="687" t="s">
        <v>721</v>
      </c>
      <c r="E246" s="688">
        <v>2.511181700986086E-2</v>
      </c>
      <c r="F246" s="310">
        <v>1.8630537365358711E-3</v>
      </c>
      <c r="G246" s="311">
        <v>1.7595281413618186E-2</v>
      </c>
      <c r="H246" s="311">
        <v>4.5224871938652353E-4</v>
      </c>
      <c r="I246" s="394">
        <v>4.9120648414921562E-4</v>
      </c>
      <c r="J246" s="689">
        <v>1.5470402860802663E-5</v>
      </c>
      <c r="K246" s="690">
        <v>1.6169900810043329E-5</v>
      </c>
    </row>
    <row r="247" spans="2:11" ht="15.75" x14ac:dyDescent="0.25">
      <c r="B247" s="667" t="s">
        <v>64</v>
      </c>
      <c r="C247" s="110">
        <v>2049</v>
      </c>
      <c r="D247" s="687" t="s">
        <v>722</v>
      </c>
      <c r="E247" s="688">
        <v>2.5083411399383224E-2</v>
      </c>
      <c r="F247" s="310">
        <v>1.8536263461148854E-3</v>
      </c>
      <c r="G247" s="311">
        <v>1.760453751025506E-2</v>
      </c>
      <c r="H247" s="311">
        <v>4.4916820950526568E-4</v>
      </c>
      <c r="I247" s="394">
        <v>4.8785878337279174E-4</v>
      </c>
      <c r="J247" s="689">
        <v>1.5402037813342036E-5</v>
      </c>
      <c r="K247" s="690">
        <v>1.6098442704118814E-5</v>
      </c>
    </row>
    <row r="248" spans="2:11" ht="15.75" x14ac:dyDescent="0.25">
      <c r="B248" s="667" t="s">
        <v>64</v>
      </c>
      <c r="C248" s="110">
        <v>2050</v>
      </c>
      <c r="D248" s="687" t="s">
        <v>723</v>
      </c>
      <c r="E248" s="688">
        <v>2.5060446377145919E-2</v>
      </c>
      <c r="F248" s="310">
        <v>1.8461370239567106E-3</v>
      </c>
      <c r="G248" s="311">
        <v>1.7614041010375708E-2</v>
      </c>
      <c r="H248" s="311">
        <v>4.4672957158399578E-4</v>
      </c>
      <c r="I248" s="394">
        <v>4.8521029170769595E-4</v>
      </c>
      <c r="J248" s="689">
        <v>1.532420229126615E-5</v>
      </c>
      <c r="K248" s="690">
        <v>1.6017095012919962E-5</v>
      </c>
    </row>
    <row r="249" spans="2:11" ht="15.75" x14ac:dyDescent="0.25">
      <c r="B249" s="667" t="s">
        <v>65</v>
      </c>
      <c r="C249" s="110">
        <v>2015</v>
      </c>
      <c r="D249" s="687" t="s">
        <v>206</v>
      </c>
      <c r="E249" s="688">
        <v>4.2868772159691343E-2</v>
      </c>
      <c r="F249" s="310">
        <v>4.3996151579743993E-2</v>
      </c>
      <c r="G249" s="311">
        <v>0.17808112307729196</v>
      </c>
      <c r="H249" s="311">
        <v>1.7122408872532846E-3</v>
      </c>
      <c r="I249" s="394">
        <v>1.853846369181518E-3</v>
      </c>
      <c r="J249" s="689">
        <v>1.3649001682218936E-4</v>
      </c>
      <c r="K249" s="690">
        <v>1.4266148986483585E-4</v>
      </c>
    </row>
    <row r="250" spans="2:11" ht="15.75" x14ac:dyDescent="0.25">
      <c r="B250" s="667" t="s">
        <v>65</v>
      </c>
      <c r="C250" s="110">
        <v>2016</v>
      </c>
      <c r="D250" s="687" t="s">
        <v>207</v>
      </c>
      <c r="E250" s="688">
        <v>4.2001288659377155E-2</v>
      </c>
      <c r="F250" s="310">
        <v>3.6529454448866509E-2</v>
      </c>
      <c r="G250" s="311">
        <v>0.1510316894199954</v>
      </c>
      <c r="H250" s="311">
        <v>1.6244054261802504E-3</v>
      </c>
      <c r="I250" s="394">
        <v>1.7598778195328378E-3</v>
      </c>
      <c r="J250" s="689">
        <v>1.1828353594274654E-4</v>
      </c>
      <c r="K250" s="690">
        <v>1.2363179409289612E-4</v>
      </c>
    </row>
    <row r="251" spans="2:11" ht="15.75" x14ac:dyDescent="0.25">
      <c r="B251" s="667" t="s">
        <v>65</v>
      </c>
      <c r="C251" s="110">
        <v>2017</v>
      </c>
      <c r="D251" s="687" t="s">
        <v>724</v>
      </c>
      <c r="E251" s="688">
        <v>4.1040884087771186E-2</v>
      </c>
      <c r="F251" s="310">
        <v>3.0370953589759539E-2</v>
      </c>
      <c r="G251" s="311">
        <v>0.12868136359302049</v>
      </c>
      <c r="H251" s="311">
        <v>1.5849718773827807E-3</v>
      </c>
      <c r="I251" s="394">
        <v>1.7180916554545662E-3</v>
      </c>
      <c r="J251" s="689">
        <v>1.0723859856977582E-4</v>
      </c>
      <c r="K251" s="690">
        <v>1.1208745313193722E-4</v>
      </c>
    </row>
    <row r="252" spans="2:11" ht="15.75" x14ac:dyDescent="0.25">
      <c r="B252" s="667" t="s">
        <v>65</v>
      </c>
      <c r="C252" s="110">
        <v>2018</v>
      </c>
      <c r="D252" s="687" t="s">
        <v>725</v>
      </c>
      <c r="E252" s="688">
        <v>4.0009866823056656E-2</v>
      </c>
      <c r="F252" s="310">
        <v>2.5248039116561594E-2</v>
      </c>
      <c r="G252" s="311">
        <v>0.10956864814900077</v>
      </c>
      <c r="H252" s="311">
        <v>1.5761823723816916E-3</v>
      </c>
      <c r="I252" s="394">
        <v>1.7093708524018908E-3</v>
      </c>
      <c r="J252" s="689">
        <v>9.8218061788793673E-5</v>
      </c>
      <c r="K252" s="690">
        <v>1.0265904818035261E-4</v>
      </c>
    </row>
    <row r="253" spans="2:11" ht="15.75" x14ac:dyDescent="0.25">
      <c r="B253" s="667" t="s">
        <v>65</v>
      </c>
      <c r="C253" s="110">
        <v>2019</v>
      </c>
      <c r="D253" s="687" t="s">
        <v>726</v>
      </c>
      <c r="E253" s="688">
        <v>3.8941177576773657E-2</v>
      </c>
      <c r="F253" s="310">
        <v>2.0953819953779401E-2</v>
      </c>
      <c r="G253" s="311">
        <v>9.342488550737757E-2</v>
      </c>
      <c r="H253" s="311">
        <v>1.5748956579668533E-3</v>
      </c>
      <c r="I253" s="394">
        <v>1.708651955576475E-3</v>
      </c>
      <c r="J253" s="689">
        <v>9.0294598215471733E-5</v>
      </c>
      <c r="K253" s="690">
        <v>9.4377319221042809E-5</v>
      </c>
    </row>
    <row r="254" spans="2:11" ht="15.75" x14ac:dyDescent="0.25">
      <c r="B254" s="667" t="s">
        <v>65</v>
      </c>
      <c r="C254" s="110">
        <v>2020</v>
      </c>
      <c r="D254" s="687" t="s">
        <v>727</v>
      </c>
      <c r="E254" s="688">
        <v>3.7845704182928902E-2</v>
      </c>
      <c r="F254" s="310">
        <v>1.7714054041828731E-2</v>
      </c>
      <c r="G254" s="311">
        <v>8.0116189346350897E-2</v>
      </c>
      <c r="H254" s="311">
        <v>1.5442516588443282E-3</v>
      </c>
      <c r="I254" s="394">
        <v>1.6757074773007643E-3</v>
      </c>
      <c r="J254" s="689">
        <v>8.4111768887142196E-5</v>
      </c>
      <c r="K254" s="690">
        <v>8.7914927172629497E-5</v>
      </c>
    </row>
    <row r="255" spans="2:11" ht="15.75" x14ac:dyDescent="0.25">
      <c r="B255" s="667" t="s">
        <v>65</v>
      </c>
      <c r="C255" s="110">
        <v>2021</v>
      </c>
      <c r="D255" s="687" t="s">
        <v>728</v>
      </c>
      <c r="E255" s="688">
        <v>3.673334445470372E-2</v>
      </c>
      <c r="F255" s="310">
        <v>1.5127683596428187E-2</v>
      </c>
      <c r="G255" s="311">
        <v>6.9028269672849779E-2</v>
      </c>
      <c r="H255" s="311">
        <v>1.4753820978789249E-3</v>
      </c>
      <c r="I255" s="394">
        <v>1.6011802787700719E-3</v>
      </c>
      <c r="J255" s="689">
        <v>7.6867551623449983E-5</v>
      </c>
      <c r="K255" s="690">
        <v>8.034316761419062E-5</v>
      </c>
    </row>
    <row r="256" spans="2:11" ht="15.75" x14ac:dyDescent="0.25">
      <c r="B256" s="667" t="s">
        <v>65</v>
      </c>
      <c r="C256" s="110">
        <v>2022</v>
      </c>
      <c r="D256" s="687" t="s">
        <v>729</v>
      </c>
      <c r="E256" s="688">
        <v>3.563202810215943E-2</v>
      </c>
      <c r="F256" s="310">
        <v>1.2673389990337501E-2</v>
      </c>
      <c r="G256" s="311">
        <v>5.9465438120474647E-2</v>
      </c>
      <c r="H256" s="311">
        <v>1.4066717024440536E-3</v>
      </c>
      <c r="I256" s="394">
        <v>1.5268724470921021E-3</v>
      </c>
      <c r="J256" s="689">
        <v>7.0173305688000975E-5</v>
      </c>
      <c r="K256" s="690">
        <v>7.3346232686144873E-5</v>
      </c>
    </row>
    <row r="257" spans="2:11" ht="15.75" x14ac:dyDescent="0.25">
      <c r="B257" s="667" t="s">
        <v>65</v>
      </c>
      <c r="C257" s="110">
        <v>2023</v>
      </c>
      <c r="D257" s="687" t="s">
        <v>730</v>
      </c>
      <c r="E257" s="688">
        <v>3.4536961483244359E-2</v>
      </c>
      <c r="F257" s="310">
        <v>1.096358975646136E-2</v>
      </c>
      <c r="G257" s="311">
        <v>5.19267166109754E-2</v>
      </c>
      <c r="H257" s="311">
        <v>1.3452026044794888E-3</v>
      </c>
      <c r="I257" s="394">
        <v>1.4603046491664775E-3</v>
      </c>
      <c r="J257" s="689">
        <v>6.3803506725033338E-5</v>
      </c>
      <c r="K257" s="690">
        <v>6.6688416968256495E-5</v>
      </c>
    </row>
    <row r="258" spans="2:11" ht="15.75" x14ac:dyDescent="0.25">
      <c r="B258" s="667" t="s">
        <v>65</v>
      </c>
      <c r="C258" s="110">
        <v>2024</v>
      </c>
      <c r="D258" s="687" t="s">
        <v>731</v>
      </c>
      <c r="E258" s="688">
        <v>3.3452783190648344E-2</v>
      </c>
      <c r="F258" s="310">
        <v>9.5148132456049483E-3</v>
      </c>
      <c r="G258" s="311">
        <v>4.5666890576372549E-2</v>
      </c>
      <c r="H258" s="311">
        <v>1.2884598182411938E-3</v>
      </c>
      <c r="I258" s="394">
        <v>1.3988906517122732E-3</v>
      </c>
      <c r="J258" s="689">
        <v>5.714679876196711E-5</v>
      </c>
      <c r="K258" s="690">
        <v>5.9730726407217064E-5</v>
      </c>
    </row>
    <row r="259" spans="2:11" ht="15.75" x14ac:dyDescent="0.25">
      <c r="B259" s="667" t="s">
        <v>65</v>
      </c>
      <c r="C259" s="110">
        <v>2025</v>
      </c>
      <c r="D259" s="687" t="s">
        <v>732</v>
      </c>
      <c r="E259" s="688">
        <v>3.2379856183069045E-2</v>
      </c>
      <c r="F259" s="310">
        <v>8.3369745282425283E-3</v>
      </c>
      <c r="G259" s="311">
        <v>4.0666491576122107E-2</v>
      </c>
      <c r="H259" s="311">
        <v>1.2399178383585613E-3</v>
      </c>
      <c r="I259" s="394">
        <v>1.3463171206755324E-3</v>
      </c>
      <c r="J259" s="689">
        <v>5.2059386953798306E-5</v>
      </c>
      <c r="K259" s="690">
        <v>5.4413285329106597E-5</v>
      </c>
    </row>
    <row r="260" spans="2:11" ht="15.75" x14ac:dyDescent="0.25">
      <c r="B260" s="667" t="s">
        <v>65</v>
      </c>
      <c r="C260" s="110">
        <v>2026</v>
      </c>
      <c r="D260" s="687" t="s">
        <v>733</v>
      </c>
      <c r="E260" s="688">
        <v>3.1402902362314425E-2</v>
      </c>
      <c r="F260" s="310">
        <v>7.3690263648372454E-3</v>
      </c>
      <c r="G260" s="311">
        <v>3.6650433241285391E-2</v>
      </c>
      <c r="H260" s="311">
        <v>1.1874544796441431E-3</v>
      </c>
      <c r="I260" s="394">
        <v>1.2894716870070592E-3</v>
      </c>
      <c r="J260" s="689">
        <v>4.7038232067664868E-5</v>
      </c>
      <c r="K260" s="690">
        <v>4.9165094912023751E-5</v>
      </c>
    </row>
    <row r="261" spans="2:11" ht="15.75" x14ac:dyDescent="0.25">
      <c r="B261" s="667" t="s">
        <v>65</v>
      </c>
      <c r="C261" s="110">
        <v>2027</v>
      </c>
      <c r="D261" s="687" t="s">
        <v>734</v>
      </c>
      <c r="E261" s="688">
        <v>3.0511174087321034E-2</v>
      </c>
      <c r="F261" s="310">
        <v>6.5516088070300656E-3</v>
      </c>
      <c r="G261" s="311">
        <v>3.3323037731814484E-2</v>
      </c>
      <c r="H261" s="311">
        <v>1.1261911470608471E-3</v>
      </c>
      <c r="I261" s="394">
        <v>1.223080054450413E-3</v>
      </c>
      <c r="J261" s="689">
        <v>4.1441983637450156E-5</v>
      </c>
      <c r="K261" s="690">
        <v>4.331581220358612E-5</v>
      </c>
    </row>
    <row r="262" spans="2:11" ht="15.75" x14ac:dyDescent="0.25">
      <c r="B262" s="667" t="s">
        <v>65</v>
      </c>
      <c r="C262" s="110">
        <v>2028</v>
      </c>
      <c r="D262" s="687" t="s">
        <v>735</v>
      </c>
      <c r="E262" s="688">
        <v>2.9708990189260827E-2</v>
      </c>
      <c r="F262" s="310">
        <v>5.8690918550369335E-3</v>
      </c>
      <c r="G262" s="311">
        <v>3.0600455311487564E-2</v>
      </c>
      <c r="H262" s="311">
        <v>1.0581884192264962E-3</v>
      </c>
      <c r="I262" s="394">
        <v>1.1493196552164143E-3</v>
      </c>
      <c r="J262" s="689">
        <v>3.6751556397519923E-5</v>
      </c>
      <c r="K262" s="690">
        <v>3.8413302864486013E-5</v>
      </c>
    </row>
    <row r="263" spans="2:11" ht="15.75" x14ac:dyDescent="0.25">
      <c r="B263" s="667" t="s">
        <v>65</v>
      </c>
      <c r="C263" s="110">
        <v>2029</v>
      </c>
      <c r="D263" s="687" t="s">
        <v>736</v>
      </c>
      <c r="E263" s="688">
        <v>2.8991430753468925E-2</v>
      </c>
      <c r="F263" s="310">
        <v>5.2803084461587081E-3</v>
      </c>
      <c r="G263" s="311">
        <v>2.8326648136638207E-2</v>
      </c>
      <c r="H263" s="311">
        <v>9.9276382117705346E-4</v>
      </c>
      <c r="I263" s="394">
        <v>1.0783174195564871E-3</v>
      </c>
      <c r="J263" s="689">
        <v>3.3129159102631617E-5</v>
      </c>
      <c r="K263" s="690">
        <v>3.4627117363495522E-5</v>
      </c>
    </row>
    <row r="264" spans="2:11" ht="15.75" x14ac:dyDescent="0.25">
      <c r="B264" s="667" t="s">
        <v>65</v>
      </c>
      <c r="C264" s="110">
        <v>2030</v>
      </c>
      <c r="D264" s="687" t="s">
        <v>737</v>
      </c>
      <c r="E264" s="688">
        <v>2.8353685158327223E-2</v>
      </c>
      <c r="F264" s="310">
        <v>4.78706938281307E-3</v>
      </c>
      <c r="G264" s="311">
        <v>2.6470751311902168E-2</v>
      </c>
      <c r="H264" s="311">
        <v>9.3112140416730285E-4</v>
      </c>
      <c r="I264" s="394">
        <v>1.011401229343E-3</v>
      </c>
      <c r="J264" s="689">
        <v>3.016905337469465E-5</v>
      </c>
      <c r="K264" s="690">
        <v>3.1533158886065198E-5</v>
      </c>
    </row>
    <row r="265" spans="2:11" ht="15.75" x14ac:dyDescent="0.25">
      <c r="B265" s="667" t="s">
        <v>65</v>
      </c>
      <c r="C265" s="110">
        <v>2031</v>
      </c>
      <c r="D265" s="687" t="s">
        <v>738</v>
      </c>
      <c r="E265" s="688">
        <v>2.7789106626250663E-2</v>
      </c>
      <c r="F265" s="310">
        <v>4.3565602702937811E-3</v>
      </c>
      <c r="G265" s="311">
        <v>2.4894251286549259E-2</v>
      </c>
      <c r="H265" s="311">
        <v>8.7348781695015287E-4</v>
      </c>
      <c r="I265" s="394">
        <v>9.4880840051297976E-4</v>
      </c>
      <c r="J265" s="689">
        <v>2.8075736659912603E-5</v>
      </c>
      <c r="K265" s="690">
        <v>2.9345199187355257E-5</v>
      </c>
    </row>
    <row r="266" spans="2:11" ht="15.75" x14ac:dyDescent="0.25">
      <c r="B266" s="667" t="s">
        <v>65</v>
      </c>
      <c r="C266" s="110">
        <v>2032</v>
      </c>
      <c r="D266" s="687" t="s">
        <v>739</v>
      </c>
      <c r="E266" s="688">
        <v>2.7292243628594989E-2</v>
      </c>
      <c r="F266" s="310">
        <v>3.9873559770117126E-3</v>
      </c>
      <c r="G266" s="311">
        <v>2.3610505706038593E-2</v>
      </c>
      <c r="H266" s="311">
        <v>8.2008462438622003E-4</v>
      </c>
      <c r="I266" s="394">
        <v>8.9080870752219392E-4</v>
      </c>
      <c r="J266" s="689">
        <v>2.6143178494110822E-5</v>
      </c>
      <c r="K266" s="690">
        <v>2.7325258008610811E-5</v>
      </c>
    </row>
    <row r="267" spans="2:11" ht="15.75" x14ac:dyDescent="0.25">
      <c r="B267" s="667" t="s">
        <v>65</v>
      </c>
      <c r="C267" s="110">
        <v>2033</v>
      </c>
      <c r="D267" s="687" t="s">
        <v>740</v>
      </c>
      <c r="E267" s="688">
        <v>2.6857717831512959E-2</v>
      </c>
      <c r="F267" s="310">
        <v>3.6675462251971407E-3</v>
      </c>
      <c r="G267" s="311">
        <v>2.2549563098021926E-2</v>
      </c>
      <c r="H267" s="311">
        <v>7.7121273140002959E-4</v>
      </c>
      <c r="I267" s="394">
        <v>8.3771975389936373E-4</v>
      </c>
      <c r="J267" s="689">
        <v>2.4654191193378486E-5</v>
      </c>
      <c r="K267" s="690">
        <v>2.576894739747273E-5</v>
      </c>
    </row>
    <row r="268" spans="2:11" ht="15.75" x14ac:dyDescent="0.25">
      <c r="B268" s="667" t="s">
        <v>65</v>
      </c>
      <c r="C268" s="110">
        <v>2034</v>
      </c>
      <c r="D268" s="687" t="s">
        <v>741</v>
      </c>
      <c r="E268" s="688">
        <v>2.6479341429897815E-2</v>
      </c>
      <c r="F268" s="310">
        <v>3.3833931197766432E-3</v>
      </c>
      <c r="G268" s="311">
        <v>2.165253432576647E-2</v>
      </c>
      <c r="H268" s="311">
        <v>7.2624115716522558E-4</v>
      </c>
      <c r="I268" s="394">
        <v>7.8886760709237101E-4</v>
      </c>
      <c r="J268" s="689">
        <v>2.3261223982853769E-5</v>
      </c>
      <c r="K268" s="690">
        <v>2.4312994271689642E-5</v>
      </c>
    </row>
    <row r="269" spans="2:11" ht="15.75" x14ac:dyDescent="0.25">
      <c r="B269" s="667" t="s">
        <v>65</v>
      </c>
      <c r="C269" s="110">
        <v>2035</v>
      </c>
      <c r="D269" s="687" t="s">
        <v>742</v>
      </c>
      <c r="E269" s="688">
        <v>2.6152579021701861E-2</v>
      </c>
      <c r="F269" s="310">
        <v>3.1358873852199457E-3</v>
      </c>
      <c r="G269" s="311">
        <v>2.0916789354383392E-2</v>
      </c>
      <c r="H269" s="311">
        <v>6.8546932678498077E-4</v>
      </c>
      <c r="I269" s="394">
        <v>7.4457513732813306E-4</v>
      </c>
      <c r="J269" s="689">
        <v>2.2072689359112696E-5</v>
      </c>
      <c r="K269" s="690">
        <v>2.3070708888786194E-5</v>
      </c>
    </row>
    <row r="270" spans="2:11" ht="15.75" x14ac:dyDescent="0.25">
      <c r="B270" s="667" t="s">
        <v>65</v>
      </c>
      <c r="C270" s="110">
        <v>2036</v>
      </c>
      <c r="D270" s="687" t="s">
        <v>743</v>
      </c>
      <c r="E270" s="688">
        <v>2.5872868606240582E-2</v>
      </c>
      <c r="F270" s="310">
        <v>2.9220673325321697E-3</v>
      </c>
      <c r="G270" s="311">
        <v>2.0312087707052999E-2</v>
      </c>
      <c r="H270" s="311">
        <v>6.4973388450342243E-4</v>
      </c>
      <c r="I270" s="394">
        <v>7.0575444822597213E-4</v>
      </c>
      <c r="J270" s="689">
        <v>2.101517570524919E-5</v>
      </c>
      <c r="K270" s="690">
        <v>2.1965388402287377E-5</v>
      </c>
    </row>
    <row r="271" spans="2:11" ht="15.75" x14ac:dyDescent="0.25">
      <c r="B271" s="667" t="s">
        <v>65</v>
      </c>
      <c r="C271" s="110">
        <v>2037</v>
      </c>
      <c r="D271" s="687" t="s">
        <v>744</v>
      </c>
      <c r="E271" s="688">
        <v>2.5635636067888469E-2</v>
      </c>
      <c r="F271" s="310">
        <v>2.7397674049526454E-3</v>
      </c>
      <c r="G271" s="311">
        <v>1.9821057415266932E-2</v>
      </c>
      <c r="H271" s="311">
        <v>6.1818423411521151E-4</v>
      </c>
      <c r="I271" s="394">
        <v>6.7148011091520423E-4</v>
      </c>
      <c r="J271" s="689">
        <v>2.0103793032043981E-5</v>
      </c>
      <c r="K271" s="690">
        <v>2.1012791220488682E-5</v>
      </c>
    </row>
    <row r="272" spans="2:11" ht="15.75" x14ac:dyDescent="0.25">
      <c r="B272" s="667" t="s">
        <v>65</v>
      </c>
      <c r="C272" s="110">
        <v>2038</v>
      </c>
      <c r="D272" s="687" t="s">
        <v>745</v>
      </c>
      <c r="E272" s="688">
        <v>2.543644117678804E-2</v>
      </c>
      <c r="F272" s="310">
        <v>2.5783798458044868E-3</v>
      </c>
      <c r="G272" s="311">
        <v>1.9391783491850445E-2</v>
      </c>
      <c r="H272" s="311">
        <v>5.9048459450079522E-4</v>
      </c>
      <c r="I272" s="394">
        <v>6.4138637966539643E-4</v>
      </c>
      <c r="J272" s="689">
        <v>1.9339469405712751E-5</v>
      </c>
      <c r="K272" s="690">
        <v>2.0213908257997266E-5</v>
      </c>
    </row>
    <row r="273" spans="2:11" ht="15.75" x14ac:dyDescent="0.25">
      <c r="B273" s="667" t="s">
        <v>65</v>
      </c>
      <c r="C273" s="110">
        <v>2039</v>
      </c>
      <c r="D273" s="687" t="s">
        <v>746</v>
      </c>
      <c r="E273" s="688">
        <v>2.5269878327070817E-2</v>
      </c>
      <c r="F273" s="310">
        <v>2.4292045720516334E-3</v>
      </c>
      <c r="G273" s="311">
        <v>1.8997020043060954E-2</v>
      </c>
      <c r="H273" s="311">
        <v>5.6631102118349561E-4</v>
      </c>
      <c r="I273" s="394">
        <v>6.1512300661848156E-4</v>
      </c>
      <c r="J273" s="689">
        <v>1.869273478286777E-5</v>
      </c>
      <c r="K273" s="690">
        <v>1.9537936832245087E-5</v>
      </c>
    </row>
    <row r="274" spans="2:11" ht="15.75" x14ac:dyDescent="0.25">
      <c r="B274" s="667" t="s">
        <v>65</v>
      </c>
      <c r="C274" s="110">
        <v>2040</v>
      </c>
      <c r="D274" s="687" t="s">
        <v>747</v>
      </c>
      <c r="E274" s="688">
        <v>2.5131437850579117E-2</v>
      </c>
      <c r="F274" s="310">
        <v>2.298058881571106E-3</v>
      </c>
      <c r="G274" s="311">
        <v>1.8669450350133641E-2</v>
      </c>
      <c r="H274" s="311">
        <v>5.4553157935727237E-4</v>
      </c>
      <c r="I274" s="394">
        <v>5.9254582435947802E-4</v>
      </c>
      <c r="J274" s="689">
        <v>1.8158179426691893E-5</v>
      </c>
      <c r="K274" s="690">
        <v>1.8979210649613688E-5</v>
      </c>
    </row>
    <row r="275" spans="2:11" ht="15.75" x14ac:dyDescent="0.25">
      <c r="B275" s="667" t="s">
        <v>65</v>
      </c>
      <c r="C275" s="110">
        <v>2041</v>
      </c>
      <c r="D275" s="687" t="s">
        <v>748</v>
      </c>
      <c r="E275" s="688">
        <v>2.501832004851948E-2</v>
      </c>
      <c r="F275" s="310">
        <v>2.1967217372878558E-3</v>
      </c>
      <c r="G275" s="311">
        <v>1.8409821390411495E-2</v>
      </c>
      <c r="H275" s="311">
        <v>5.2898464187565856E-4</v>
      </c>
      <c r="I275" s="394">
        <v>5.7456905284753346E-4</v>
      </c>
      <c r="J275" s="689">
        <v>1.7708271767160666E-5</v>
      </c>
      <c r="K275" s="690">
        <v>1.8508956546447092E-5</v>
      </c>
    </row>
    <row r="276" spans="2:11" ht="15.75" x14ac:dyDescent="0.25">
      <c r="B276" s="667" t="s">
        <v>65</v>
      </c>
      <c r="C276" s="110">
        <v>2042</v>
      </c>
      <c r="D276" s="687" t="s">
        <v>749</v>
      </c>
      <c r="E276" s="688">
        <v>2.4924888716906516E-2</v>
      </c>
      <c r="F276" s="310">
        <v>2.1092021648965288E-3</v>
      </c>
      <c r="G276" s="311">
        <v>1.8166738655032943E-2</v>
      </c>
      <c r="H276" s="311">
        <v>5.1508569996959865E-4</v>
      </c>
      <c r="I276" s="394">
        <v>5.5946781520572455E-4</v>
      </c>
      <c r="J276" s="689">
        <v>1.7349768238778971E-5</v>
      </c>
      <c r="K276" s="690">
        <v>1.8134248932399795E-5</v>
      </c>
    </row>
    <row r="277" spans="2:11" ht="15.75" x14ac:dyDescent="0.25">
      <c r="B277" s="667" t="s">
        <v>65</v>
      </c>
      <c r="C277" s="110">
        <v>2043</v>
      </c>
      <c r="D277" s="687" t="s">
        <v>750</v>
      </c>
      <c r="E277" s="688">
        <v>2.4848817035979864E-2</v>
      </c>
      <c r="F277" s="310">
        <v>2.0422030380067399E-3</v>
      </c>
      <c r="G277" s="311">
        <v>1.7982706152543909E-2</v>
      </c>
      <c r="H277" s="311">
        <v>5.0350995159076947E-4</v>
      </c>
      <c r="I277" s="394">
        <v>5.4688991114875405E-4</v>
      </c>
      <c r="J277" s="689">
        <v>1.7064685530335248E-5</v>
      </c>
      <c r="K277" s="690">
        <v>1.7836276912073773E-5</v>
      </c>
    </row>
    <row r="278" spans="2:11" ht="15.75" x14ac:dyDescent="0.25">
      <c r="B278" s="667" t="s">
        <v>65</v>
      </c>
      <c r="C278" s="110">
        <v>2044</v>
      </c>
      <c r="D278" s="687" t="s">
        <v>751</v>
      </c>
      <c r="E278" s="688">
        <v>2.478630015651136E-2</v>
      </c>
      <c r="F278" s="310">
        <v>1.9902201844523423E-3</v>
      </c>
      <c r="G278" s="311">
        <v>1.7829699029256144E-2</v>
      </c>
      <c r="H278" s="311">
        <v>4.9387233731350061E-4</v>
      </c>
      <c r="I278" s="394">
        <v>5.364179223211438E-4</v>
      </c>
      <c r="J278" s="689">
        <v>1.683995327588561E-5</v>
      </c>
      <c r="K278" s="690">
        <v>1.7601378262160364E-5</v>
      </c>
    </row>
    <row r="279" spans="2:11" ht="15.75" x14ac:dyDescent="0.25">
      <c r="B279" s="667" t="s">
        <v>65</v>
      </c>
      <c r="C279" s="110">
        <v>2045</v>
      </c>
      <c r="D279" s="687" t="s">
        <v>752</v>
      </c>
      <c r="E279" s="688">
        <v>2.473403275316062E-2</v>
      </c>
      <c r="F279" s="310">
        <v>1.9536155898345294E-3</v>
      </c>
      <c r="G279" s="311">
        <v>1.7725404724229996E-2</v>
      </c>
      <c r="H279" s="311">
        <v>4.8589807748343342E-4</v>
      </c>
      <c r="I279" s="394">
        <v>5.277525104465129E-4</v>
      </c>
      <c r="J279" s="689">
        <v>1.6667876571894817E-5</v>
      </c>
      <c r="K279" s="690">
        <v>1.742151932014082E-5</v>
      </c>
    </row>
    <row r="280" spans="2:11" ht="15.75" x14ac:dyDescent="0.25">
      <c r="B280" s="667" t="s">
        <v>65</v>
      </c>
      <c r="C280" s="110">
        <v>2046</v>
      </c>
      <c r="D280" s="687" t="s">
        <v>753</v>
      </c>
      <c r="E280" s="688">
        <v>2.4690501557212509E-2</v>
      </c>
      <c r="F280" s="310">
        <v>1.9213617102033509E-3</v>
      </c>
      <c r="G280" s="311">
        <v>1.7635944078386773E-2</v>
      </c>
      <c r="H280" s="311">
        <v>4.793286185315161E-4</v>
      </c>
      <c r="I280" s="394">
        <v>5.2061279751199551E-4</v>
      </c>
      <c r="J280" s="689">
        <v>1.653025444394694E-5</v>
      </c>
      <c r="K280" s="690">
        <v>1.7277678479896429E-5</v>
      </c>
    </row>
    <row r="281" spans="2:11" ht="15.75" x14ac:dyDescent="0.25">
      <c r="B281" s="667" t="s">
        <v>65</v>
      </c>
      <c r="C281" s="110">
        <v>2047</v>
      </c>
      <c r="D281" s="687" t="s">
        <v>754</v>
      </c>
      <c r="E281" s="688">
        <v>2.465426037325838E-2</v>
      </c>
      <c r="F281" s="310">
        <v>1.8923134099514899E-3</v>
      </c>
      <c r="G281" s="311">
        <v>1.7549029447236693E-2</v>
      </c>
      <c r="H281" s="311">
        <v>4.7397160550968472E-4</v>
      </c>
      <c r="I281" s="394">
        <v>5.1479151175628515E-4</v>
      </c>
      <c r="J281" s="689">
        <v>1.6423105067953963E-5</v>
      </c>
      <c r="K281" s="690">
        <v>1.7165693846890722E-5</v>
      </c>
    </row>
    <row r="282" spans="2:11" ht="15.75" x14ac:dyDescent="0.25">
      <c r="B282" s="667" t="s">
        <v>65</v>
      </c>
      <c r="C282" s="110">
        <v>2048</v>
      </c>
      <c r="D282" s="687" t="s">
        <v>755</v>
      </c>
      <c r="E282" s="688">
        <v>2.4624707384285974E-2</v>
      </c>
      <c r="F282" s="310">
        <v>1.8695337393395386E-3</v>
      </c>
      <c r="G282" s="311">
        <v>1.748064064469278E-2</v>
      </c>
      <c r="H282" s="311">
        <v>4.6963088112669425E-4</v>
      </c>
      <c r="I282" s="394">
        <v>5.1007401176266843E-4</v>
      </c>
      <c r="J282" s="689">
        <v>1.6332587151511814E-5</v>
      </c>
      <c r="K282" s="690">
        <v>1.707107577589984E-5</v>
      </c>
    </row>
    <row r="283" spans="2:11" ht="15.75" x14ac:dyDescent="0.25">
      <c r="B283" s="667" t="s">
        <v>65</v>
      </c>
      <c r="C283" s="110">
        <v>2049</v>
      </c>
      <c r="D283" s="687" t="s">
        <v>756</v>
      </c>
      <c r="E283" s="688">
        <v>2.4599839189138942E-2</v>
      </c>
      <c r="F283" s="310">
        <v>1.8607778295343512E-3</v>
      </c>
      <c r="G283" s="311">
        <v>1.7489045110512573E-2</v>
      </c>
      <c r="H283" s="311">
        <v>4.667858148408718E-4</v>
      </c>
      <c r="I283" s="394">
        <v>5.0698293883350487E-4</v>
      </c>
      <c r="J283" s="689">
        <v>1.6267416743005541E-5</v>
      </c>
      <c r="K283" s="690">
        <v>1.7002964466043224E-5</v>
      </c>
    </row>
    <row r="284" spans="2:11" ht="15.75" x14ac:dyDescent="0.25">
      <c r="B284" s="667" t="s">
        <v>65</v>
      </c>
      <c r="C284" s="110">
        <v>2050</v>
      </c>
      <c r="D284" s="687" t="s">
        <v>757</v>
      </c>
      <c r="E284" s="688">
        <v>2.4580299957419088E-2</v>
      </c>
      <c r="F284" s="310">
        <v>1.8539645865975152E-3</v>
      </c>
      <c r="G284" s="311">
        <v>1.7498830853565114E-2</v>
      </c>
      <c r="H284" s="311">
        <v>4.6451514949661239E-4</v>
      </c>
      <c r="I284" s="394">
        <v>5.0451605944364065E-4</v>
      </c>
      <c r="J284" s="689">
        <v>1.6198941173500436E-5</v>
      </c>
      <c r="K284" s="690">
        <v>1.6931382803873277E-5</v>
      </c>
    </row>
    <row r="285" spans="2:11" ht="15.75" x14ac:dyDescent="0.25">
      <c r="B285" s="667" t="s">
        <v>66</v>
      </c>
      <c r="C285" s="110">
        <v>2015</v>
      </c>
      <c r="D285" s="687" t="s">
        <v>208</v>
      </c>
      <c r="E285" s="688">
        <v>4.7270505185088775E-2</v>
      </c>
      <c r="F285" s="310">
        <v>9.0781922512730914E-2</v>
      </c>
      <c r="G285" s="311">
        <v>0.34451810197856214</v>
      </c>
      <c r="H285" s="311">
        <v>3.1109934064670387E-3</v>
      </c>
      <c r="I285" s="394">
        <v>3.3610443048982508E-3</v>
      </c>
      <c r="J285" s="689">
        <v>3.8641215861735182E-4</v>
      </c>
      <c r="K285" s="690">
        <v>4.0388399447880866E-4</v>
      </c>
    </row>
    <row r="286" spans="2:11" ht="15.75" x14ac:dyDescent="0.25">
      <c r="B286" s="667" t="s">
        <v>66</v>
      </c>
      <c r="C286" s="110">
        <v>2016</v>
      </c>
      <c r="D286" s="687" t="s">
        <v>209</v>
      </c>
      <c r="E286" s="688">
        <v>4.648192181819414E-2</v>
      </c>
      <c r="F286" s="310">
        <v>7.7281265407341496E-2</v>
      </c>
      <c r="G286" s="311">
        <v>0.30132705733703996</v>
      </c>
      <c r="H286" s="311">
        <v>2.862618567852972E-3</v>
      </c>
      <c r="I286" s="394">
        <v>3.0941221243476727E-3</v>
      </c>
      <c r="J286" s="689">
        <v>3.5298428619624745E-4</v>
      </c>
      <c r="K286" s="690">
        <v>3.6894466260829235E-4</v>
      </c>
    </row>
    <row r="287" spans="2:11" ht="15.75" x14ac:dyDescent="0.25">
      <c r="B287" s="667" t="s">
        <v>66</v>
      </c>
      <c r="C287" s="110">
        <v>2017</v>
      </c>
      <c r="D287" s="687" t="s">
        <v>758</v>
      </c>
      <c r="E287" s="688">
        <v>4.5563902415390455E-2</v>
      </c>
      <c r="F287" s="310">
        <v>6.5844019381775074E-2</v>
      </c>
      <c r="G287" s="311">
        <v>0.26467917297027915</v>
      </c>
      <c r="H287" s="311">
        <v>2.6765752984746344E-3</v>
      </c>
      <c r="I287" s="394">
        <v>2.8944256427707277E-3</v>
      </c>
      <c r="J287" s="689">
        <v>3.2498615546968642E-4</v>
      </c>
      <c r="K287" s="690">
        <v>3.3968059009027767E-4</v>
      </c>
    </row>
    <row r="288" spans="2:11" ht="15.75" x14ac:dyDescent="0.25">
      <c r="B288" s="667" t="s">
        <v>66</v>
      </c>
      <c r="C288" s="110">
        <v>2018</v>
      </c>
      <c r="D288" s="687" t="s">
        <v>759</v>
      </c>
      <c r="E288" s="688">
        <v>4.4588664585792477E-2</v>
      </c>
      <c r="F288" s="310">
        <v>5.6339215596475124E-2</v>
      </c>
      <c r="G288" s="311">
        <v>0.23200983467783115</v>
      </c>
      <c r="H288" s="311">
        <v>2.5390409674155806E-3</v>
      </c>
      <c r="I288" s="394">
        <v>2.7468252045836335E-3</v>
      </c>
      <c r="J288" s="689">
        <v>3.0106826890756834E-4</v>
      </c>
      <c r="K288" s="690">
        <v>3.1468123505972909E-4</v>
      </c>
    </row>
    <row r="289" spans="2:11" ht="15.75" x14ac:dyDescent="0.25">
      <c r="B289" s="667" t="s">
        <v>66</v>
      </c>
      <c r="C289" s="110">
        <v>2019</v>
      </c>
      <c r="D289" s="687" t="s">
        <v>760</v>
      </c>
      <c r="E289" s="688">
        <v>4.3530871356280157E-2</v>
      </c>
      <c r="F289" s="310">
        <v>4.735366668064845E-2</v>
      </c>
      <c r="G289" s="311">
        <v>0.20231548251437914</v>
      </c>
      <c r="H289" s="311">
        <v>2.4172650654852258E-3</v>
      </c>
      <c r="I289" s="394">
        <v>2.616472785493964E-3</v>
      </c>
      <c r="J289" s="689">
        <v>2.7427674263301769E-4</v>
      </c>
      <c r="K289" s="690">
        <v>2.8667831352381765E-4</v>
      </c>
    </row>
    <row r="290" spans="2:11" ht="15.75" x14ac:dyDescent="0.25">
      <c r="B290" s="667" t="s">
        <v>66</v>
      </c>
      <c r="C290" s="110">
        <v>2020</v>
      </c>
      <c r="D290" s="687" t="s">
        <v>761</v>
      </c>
      <c r="E290" s="688">
        <v>4.2420844469730636E-2</v>
      </c>
      <c r="F290" s="310">
        <v>4.0427744222136304E-2</v>
      </c>
      <c r="G290" s="311">
        <v>0.17661390039248881</v>
      </c>
      <c r="H290" s="311">
        <v>2.2905462373530748E-3</v>
      </c>
      <c r="I290" s="394">
        <v>2.480181778068624E-3</v>
      </c>
      <c r="J290" s="689">
        <v>2.4675850668491118E-4</v>
      </c>
      <c r="K290" s="690">
        <v>2.5791582730723921E-4</v>
      </c>
    </row>
    <row r="291" spans="2:11" ht="15.75" x14ac:dyDescent="0.25">
      <c r="B291" s="667" t="s">
        <v>66</v>
      </c>
      <c r="C291" s="110">
        <v>2021</v>
      </c>
      <c r="D291" s="687" t="s">
        <v>762</v>
      </c>
      <c r="E291" s="688">
        <v>4.1264120370022958E-2</v>
      </c>
      <c r="F291" s="310">
        <v>3.5030772063855208E-2</v>
      </c>
      <c r="G291" s="311">
        <v>0.15415413974549819</v>
      </c>
      <c r="H291" s="311">
        <v>2.1448733141357606E-3</v>
      </c>
      <c r="I291" s="394">
        <v>2.3230287036492252E-3</v>
      </c>
      <c r="J291" s="689">
        <v>2.2023617247390014E-4</v>
      </c>
      <c r="K291" s="690">
        <v>2.3019427145832731E-4</v>
      </c>
    </row>
    <row r="292" spans="2:11" ht="15.75" x14ac:dyDescent="0.25">
      <c r="B292" s="667" t="s">
        <v>66</v>
      </c>
      <c r="C292" s="110">
        <v>2022</v>
      </c>
      <c r="D292" s="687" t="s">
        <v>763</v>
      </c>
      <c r="E292" s="688">
        <v>4.0093815650400953E-2</v>
      </c>
      <c r="F292" s="310">
        <v>2.9995731033763118E-2</v>
      </c>
      <c r="G292" s="311">
        <v>0.13455644366252117</v>
      </c>
      <c r="H292" s="311">
        <v>2.0176601611173696E-3</v>
      </c>
      <c r="I292" s="394">
        <v>2.1856623178527885E-3</v>
      </c>
      <c r="J292" s="689">
        <v>2.0268990456142626E-4</v>
      </c>
      <c r="K292" s="690">
        <v>2.1185464003622577E-4</v>
      </c>
    </row>
    <row r="293" spans="2:11" ht="15.75" x14ac:dyDescent="0.25">
      <c r="B293" s="667" t="s">
        <v>66</v>
      </c>
      <c r="C293" s="110">
        <v>2023</v>
      </c>
      <c r="D293" s="687" t="s">
        <v>764</v>
      </c>
      <c r="E293" s="688">
        <v>3.8909064874212133E-2</v>
      </c>
      <c r="F293" s="310">
        <v>2.6161255527452094E-2</v>
      </c>
      <c r="G293" s="311">
        <v>0.11807515360173633</v>
      </c>
      <c r="H293" s="311">
        <v>1.9033942297395183E-3</v>
      </c>
      <c r="I293" s="394">
        <v>2.0621501746365357E-3</v>
      </c>
      <c r="J293" s="689">
        <v>1.859683676742214E-4</v>
      </c>
      <c r="K293" s="690">
        <v>1.9437704055761271E-4</v>
      </c>
    </row>
    <row r="294" spans="2:11" ht="15.75" x14ac:dyDescent="0.25">
      <c r="B294" s="667" t="s">
        <v>66</v>
      </c>
      <c r="C294" s="110">
        <v>2024</v>
      </c>
      <c r="D294" s="687" t="s">
        <v>765</v>
      </c>
      <c r="E294" s="688">
        <v>3.7719915023007575E-2</v>
      </c>
      <c r="F294" s="310">
        <v>2.2839137669811112E-2</v>
      </c>
      <c r="G294" s="311">
        <v>0.10389981870783364</v>
      </c>
      <c r="H294" s="311">
        <v>1.7966894109010178E-3</v>
      </c>
      <c r="I294" s="394">
        <v>1.9470299117570759E-3</v>
      </c>
      <c r="J294" s="689">
        <v>1.6527901303193537E-4</v>
      </c>
      <c r="K294" s="690">
        <v>1.7275219142791248E-4</v>
      </c>
    </row>
    <row r="295" spans="2:11" ht="15.75" x14ac:dyDescent="0.25">
      <c r="B295" s="667" t="s">
        <v>66</v>
      </c>
      <c r="C295" s="110">
        <v>2025</v>
      </c>
      <c r="D295" s="687" t="s">
        <v>766</v>
      </c>
      <c r="E295" s="688">
        <v>3.6532643085736907E-2</v>
      </c>
      <c r="F295" s="310">
        <v>2.0051747988690607E-2</v>
      </c>
      <c r="G295" s="311">
        <v>9.2000903064417217E-2</v>
      </c>
      <c r="H295" s="311">
        <v>1.7028331306032627E-3</v>
      </c>
      <c r="I295" s="394">
        <v>1.8459116078961009E-3</v>
      </c>
      <c r="J295" s="689">
        <v>1.4327396394818377E-4</v>
      </c>
      <c r="K295" s="690">
        <v>1.4975217406952229E-4</v>
      </c>
    </row>
    <row r="296" spans="2:11" ht="15.75" x14ac:dyDescent="0.25">
      <c r="B296" s="667" t="s">
        <v>66</v>
      </c>
      <c r="C296" s="110">
        <v>2026</v>
      </c>
      <c r="D296" s="687" t="s">
        <v>767</v>
      </c>
      <c r="E296" s="688">
        <v>3.5417397007550491E-2</v>
      </c>
      <c r="F296" s="310">
        <v>1.7699180894345672E-2</v>
      </c>
      <c r="G296" s="311">
        <v>8.2076470029228812E-2</v>
      </c>
      <c r="H296" s="311">
        <v>1.6160144608458706E-3</v>
      </c>
      <c r="I296" s="394">
        <v>1.7524100123736089E-3</v>
      </c>
      <c r="J296" s="689">
        <v>1.2159366199696199E-4</v>
      </c>
      <c r="K296" s="690">
        <v>1.2709158680835003E-4</v>
      </c>
    </row>
    <row r="297" spans="2:11" ht="15.75" x14ac:dyDescent="0.25">
      <c r="B297" s="667" t="s">
        <v>66</v>
      </c>
      <c r="C297" s="110">
        <v>2027</v>
      </c>
      <c r="D297" s="687" t="s">
        <v>768</v>
      </c>
      <c r="E297" s="688">
        <v>3.4368511620525677E-2</v>
      </c>
      <c r="F297" s="310">
        <v>1.572842745345622E-2</v>
      </c>
      <c r="G297" s="311">
        <v>7.3646990616483429E-2</v>
      </c>
      <c r="H297" s="311">
        <v>1.5255236462807928E-3</v>
      </c>
      <c r="I297" s="394">
        <v>1.6549311213428042E-3</v>
      </c>
      <c r="J297" s="689">
        <v>9.9470194004804214E-5</v>
      </c>
      <c r="K297" s="690">
        <v>1.039677949493345E-4</v>
      </c>
    </row>
    <row r="298" spans="2:11" ht="15.75" x14ac:dyDescent="0.25">
      <c r="B298" s="667" t="s">
        <v>66</v>
      </c>
      <c r="C298" s="110">
        <v>2028</v>
      </c>
      <c r="D298" s="687" t="s">
        <v>769</v>
      </c>
      <c r="E298" s="688">
        <v>3.3396093548417695E-2</v>
      </c>
      <c r="F298" s="310">
        <v>1.4064314052540635E-2</v>
      </c>
      <c r="G298" s="311">
        <v>6.6436632550179633E-2</v>
      </c>
      <c r="H298" s="311">
        <v>1.4375356663111716E-3</v>
      </c>
      <c r="I298" s="394">
        <v>1.5598084693719664E-3</v>
      </c>
      <c r="J298" s="689">
        <v>8.5967864502473106E-5</v>
      </c>
      <c r="K298" s="690">
        <v>8.9854949560337434E-5</v>
      </c>
    </row>
    <row r="299" spans="2:11" ht="15.75" x14ac:dyDescent="0.25">
      <c r="B299" s="667" t="s">
        <v>66</v>
      </c>
      <c r="C299" s="110">
        <v>2029</v>
      </c>
      <c r="D299" s="687" t="s">
        <v>770</v>
      </c>
      <c r="E299" s="688">
        <v>3.2498545301335065E-2</v>
      </c>
      <c r="F299" s="310">
        <v>1.2582120740969144E-2</v>
      </c>
      <c r="G299" s="311">
        <v>6.0085718759349961E-2</v>
      </c>
      <c r="H299" s="311">
        <v>1.3518889123835744E-3</v>
      </c>
      <c r="I299" s="394">
        <v>1.4671462729148202E-3</v>
      </c>
      <c r="J299" s="689">
        <v>7.4477841634948798E-5</v>
      </c>
      <c r="K299" s="690">
        <v>7.7845399190940365E-5</v>
      </c>
    </row>
    <row r="300" spans="2:11" ht="15.75" x14ac:dyDescent="0.25">
      <c r="B300" s="667" t="s">
        <v>66</v>
      </c>
      <c r="C300" s="110">
        <v>2030</v>
      </c>
      <c r="D300" s="687" t="s">
        <v>771</v>
      </c>
      <c r="E300" s="688">
        <v>3.1673783683172897E-2</v>
      </c>
      <c r="F300" s="310">
        <v>1.1279316003736864E-2</v>
      </c>
      <c r="G300" s="311">
        <v>5.4467981841865888E-2</v>
      </c>
      <c r="H300" s="311">
        <v>1.266013695563486E-3</v>
      </c>
      <c r="I300" s="394">
        <v>1.3742956151596853E-3</v>
      </c>
      <c r="J300" s="689">
        <v>6.1586647541741679E-5</v>
      </c>
      <c r="K300" s="690">
        <v>6.4371320284648721E-5</v>
      </c>
    </row>
    <row r="301" spans="2:11" ht="15.75" x14ac:dyDescent="0.25">
      <c r="B301" s="667" t="s">
        <v>66</v>
      </c>
      <c r="C301" s="110">
        <v>2031</v>
      </c>
      <c r="D301" s="687" t="s">
        <v>772</v>
      </c>
      <c r="E301" s="688">
        <v>3.0920958349776973E-2</v>
      </c>
      <c r="F301" s="310">
        <v>1.0091032979004532E-2</v>
      </c>
      <c r="G301" s="311">
        <v>4.9356088607821126E-2</v>
      </c>
      <c r="H301" s="311">
        <v>1.1850018968352877E-3</v>
      </c>
      <c r="I301" s="394">
        <v>1.2865963312506542E-3</v>
      </c>
      <c r="J301" s="689">
        <v>5.1941394314611504E-5</v>
      </c>
      <c r="K301" s="690">
        <v>5.4289952654747495E-5</v>
      </c>
    </row>
    <row r="302" spans="2:11" ht="15.75" x14ac:dyDescent="0.25">
      <c r="B302" s="667" t="s">
        <v>66</v>
      </c>
      <c r="C302" s="110">
        <v>2032</v>
      </c>
      <c r="D302" s="687" t="s">
        <v>773</v>
      </c>
      <c r="E302" s="688">
        <v>3.0238540593015204E-2</v>
      </c>
      <c r="F302" s="310">
        <v>9.0377042252618289E-3</v>
      </c>
      <c r="G302" s="311">
        <v>4.4929370618210111E-2</v>
      </c>
      <c r="H302" s="311">
        <v>1.1103944767643615E-3</v>
      </c>
      <c r="I302" s="394">
        <v>1.2057136045714747E-3</v>
      </c>
      <c r="J302" s="689">
        <v>4.5814789390883998E-5</v>
      </c>
      <c r="K302" s="690">
        <v>4.7886332825108567E-5</v>
      </c>
    </row>
    <row r="303" spans="2:11" ht="15.75" x14ac:dyDescent="0.25">
      <c r="B303" s="667" t="s">
        <v>66</v>
      </c>
      <c r="C303" s="110">
        <v>2033</v>
      </c>
      <c r="D303" s="687" t="s">
        <v>774</v>
      </c>
      <c r="E303" s="688">
        <v>2.9624830782141731E-2</v>
      </c>
      <c r="F303" s="310">
        <v>8.1297087418924236E-3</v>
      </c>
      <c r="G303" s="311">
        <v>4.1195016070367976E-2</v>
      </c>
      <c r="H303" s="311">
        <v>1.0421175963729356E-3</v>
      </c>
      <c r="I303" s="394">
        <v>1.1316095487424241E-3</v>
      </c>
      <c r="J303" s="689">
        <v>4.2206610191239735E-5</v>
      </c>
      <c r="K303" s="690">
        <v>4.4115007095421412E-5</v>
      </c>
    </row>
    <row r="304" spans="2:11" ht="15.75" x14ac:dyDescent="0.25">
      <c r="B304" s="667" t="s">
        <v>66</v>
      </c>
      <c r="C304" s="110">
        <v>2034</v>
      </c>
      <c r="D304" s="687" t="s">
        <v>775</v>
      </c>
      <c r="E304" s="688">
        <v>2.9071928663278263E-2</v>
      </c>
      <c r="F304" s="310">
        <v>7.2851487785730203E-3</v>
      </c>
      <c r="G304" s="311">
        <v>3.7874432371889692E-2</v>
      </c>
      <c r="H304" s="311">
        <v>9.7526787212321407E-4</v>
      </c>
      <c r="I304" s="394">
        <v>1.0590852447479606E-3</v>
      </c>
      <c r="J304" s="689">
        <v>3.7939376384223976E-5</v>
      </c>
      <c r="K304" s="690">
        <v>3.9654823924345603E-5</v>
      </c>
    </row>
    <row r="305" spans="2:11" ht="15.75" x14ac:dyDescent="0.25">
      <c r="B305" s="667" t="s">
        <v>66</v>
      </c>
      <c r="C305" s="110">
        <v>2035</v>
      </c>
      <c r="D305" s="687" t="s">
        <v>776</v>
      </c>
      <c r="E305" s="688">
        <v>2.8578867663783071E-2</v>
      </c>
      <c r="F305" s="310">
        <v>6.5251387912897765E-3</v>
      </c>
      <c r="G305" s="311">
        <v>3.5024659102430557E-2</v>
      </c>
      <c r="H305" s="311">
        <v>9.1294468700436578E-4</v>
      </c>
      <c r="I305" s="394">
        <v>9.9142322669061697E-4</v>
      </c>
      <c r="J305" s="689">
        <v>3.5106811118360546E-5</v>
      </c>
      <c r="K305" s="690">
        <v>3.669418381599837E-5</v>
      </c>
    </row>
    <row r="306" spans="2:11" ht="15.75" x14ac:dyDescent="0.25">
      <c r="B306" s="667" t="s">
        <v>66</v>
      </c>
      <c r="C306" s="110">
        <v>2036</v>
      </c>
      <c r="D306" s="687" t="s">
        <v>777</v>
      </c>
      <c r="E306" s="688">
        <v>2.8141644140170917E-2</v>
      </c>
      <c r="F306" s="310">
        <v>5.8451382701932651E-3</v>
      </c>
      <c r="G306" s="311">
        <v>3.2501661346533463E-2</v>
      </c>
      <c r="H306" s="311">
        <v>8.6002039730659222E-4</v>
      </c>
      <c r="I306" s="394">
        <v>9.3397031119233178E-4</v>
      </c>
      <c r="J306" s="689">
        <v>3.2581482576639028E-5</v>
      </c>
      <c r="K306" s="690">
        <v>3.4054670123542394E-5</v>
      </c>
    </row>
    <row r="307" spans="2:11" ht="15.75" x14ac:dyDescent="0.25">
      <c r="B307" s="667" t="s">
        <v>66</v>
      </c>
      <c r="C307" s="110">
        <v>2037</v>
      </c>
      <c r="D307" s="687" t="s">
        <v>778</v>
      </c>
      <c r="E307" s="688">
        <v>2.7759295784109891E-2</v>
      </c>
      <c r="F307" s="310">
        <v>5.2525201473104825E-3</v>
      </c>
      <c r="G307" s="311">
        <v>3.0379417608622523E-2</v>
      </c>
      <c r="H307" s="311">
        <v>8.1180731701319066E-4</v>
      </c>
      <c r="I307" s="394">
        <v>8.8162834856757299E-4</v>
      </c>
      <c r="J307" s="689">
        <v>3.0357212946274726E-5</v>
      </c>
      <c r="K307" s="690">
        <v>3.1729833913824605E-5</v>
      </c>
    </row>
    <row r="308" spans="2:11" ht="15.75" x14ac:dyDescent="0.25">
      <c r="B308" s="667" t="s">
        <v>66</v>
      </c>
      <c r="C308" s="110">
        <v>2038</v>
      </c>
      <c r="D308" s="687" t="s">
        <v>779</v>
      </c>
      <c r="E308" s="688">
        <v>2.742326618184741E-2</v>
      </c>
      <c r="F308" s="310">
        <v>4.659452428328604E-3</v>
      </c>
      <c r="G308" s="311">
        <v>2.8180990924189953E-2</v>
      </c>
      <c r="H308" s="311">
        <v>7.6671665842277103E-4</v>
      </c>
      <c r="I308" s="394">
        <v>8.3266691351602772E-4</v>
      </c>
      <c r="J308" s="689">
        <v>2.8480799572480686E-5</v>
      </c>
      <c r="K308" s="690">
        <v>2.976857495844808E-5</v>
      </c>
    </row>
    <row r="309" spans="2:11" ht="15.75" x14ac:dyDescent="0.25">
      <c r="B309" s="667" t="s">
        <v>66</v>
      </c>
      <c r="C309" s="110">
        <v>2039</v>
      </c>
      <c r="D309" s="687" t="s">
        <v>780</v>
      </c>
      <c r="E309" s="688">
        <v>2.7133602479920072E-2</v>
      </c>
      <c r="F309" s="310">
        <v>4.1384861111551921E-3</v>
      </c>
      <c r="G309" s="311">
        <v>2.631236212301406E-2</v>
      </c>
      <c r="H309" s="311">
        <v>7.2623338720042771E-4</v>
      </c>
      <c r="I309" s="394">
        <v>7.8870999542936997E-4</v>
      </c>
      <c r="J309" s="689">
        <v>2.677920598532864E-5</v>
      </c>
      <c r="K309" s="690">
        <v>2.7990038086129829E-5</v>
      </c>
    </row>
    <row r="310" spans="2:11" ht="15.75" x14ac:dyDescent="0.25">
      <c r="B310" s="667" t="s">
        <v>66</v>
      </c>
      <c r="C310" s="110">
        <v>2040</v>
      </c>
      <c r="D310" s="687" t="s">
        <v>781</v>
      </c>
      <c r="E310" s="688">
        <v>2.6880991872873718E-2</v>
      </c>
      <c r="F310" s="310">
        <v>3.6527626799531432E-3</v>
      </c>
      <c r="G310" s="311">
        <v>2.4707076994936909E-2</v>
      </c>
      <c r="H310" s="311">
        <v>6.8917450920246088E-4</v>
      </c>
      <c r="I310" s="394">
        <v>7.4846979549513155E-4</v>
      </c>
      <c r="J310" s="689">
        <v>2.5257054490839516E-5</v>
      </c>
      <c r="K310" s="690">
        <v>2.639906401556106E-5</v>
      </c>
    </row>
    <row r="311" spans="2:11" ht="15.75" x14ac:dyDescent="0.25">
      <c r="B311" s="667" t="s">
        <v>66</v>
      </c>
      <c r="C311" s="110">
        <v>2041</v>
      </c>
      <c r="D311" s="687" t="s">
        <v>782</v>
      </c>
      <c r="E311" s="688">
        <v>2.6667344439805049E-2</v>
      </c>
      <c r="F311" s="310">
        <v>3.2763558705576567E-3</v>
      </c>
      <c r="G311" s="311">
        <v>2.3424824294536229E-2</v>
      </c>
      <c r="H311" s="311">
        <v>6.6235596023381845E-4</v>
      </c>
      <c r="I311" s="394">
        <v>7.1935121770471387E-4</v>
      </c>
      <c r="J311" s="689">
        <v>2.4093121845013321E-5</v>
      </c>
      <c r="K311" s="690">
        <v>2.5182501248339697E-5</v>
      </c>
    </row>
    <row r="312" spans="2:11" ht="15.75" x14ac:dyDescent="0.25">
      <c r="B312" s="667" t="s">
        <v>66</v>
      </c>
      <c r="C312" s="110">
        <v>2042</v>
      </c>
      <c r="D312" s="687" t="s">
        <v>783</v>
      </c>
      <c r="E312" s="688">
        <v>2.6485108844514212E-2</v>
      </c>
      <c r="F312" s="310">
        <v>2.9886119483467049E-3</v>
      </c>
      <c r="G312" s="311">
        <v>2.2420636336802014E-2</v>
      </c>
      <c r="H312" s="311">
        <v>6.3906740730087846E-4</v>
      </c>
      <c r="I312" s="394">
        <v>6.9406266657247534E-4</v>
      </c>
      <c r="J312" s="689">
        <v>2.315253069424235E-5</v>
      </c>
      <c r="K312" s="690">
        <v>2.4199379578238405E-5</v>
      </c>
    </row>
    <row r="313" spans="2:11" ht="15.75" x14ac:dyDescent="0.25">
      <c r="B313" s="667" t="s">
        <v>66</v>
      </c>
      <c r="C313" s="110">
        <v>2043</v>
      </c>
      <c r="D313" s="687" t="s">
        <v>784</v>
      </c>
      <c r="E313" s="688">
        <v>2.6326110773355109E-2</v>
      </c>
      <c r="F313" s="310">
        <v>2.7447868140872884E-3</v>
      </c>
      <c r="G313" s="311">
        <v>2.1533505587204682E-2</v>
      </c>
      <c r="H313" s="311">
        <v>6.1856058389321014E-4</v>
      </c>
      <c r="I313" s="394">
        <v>6.7179445697166523E-4</v>
      </c>
      <c r="J313" s="689">
        <v>2.2333994786216229E-5</v>
      </c>
      <c r="K313" s="690">
        <v>2.3343835175800093E-5</v>
      </c>
    </row>
    <row r="314" spans="2:11" ht="15.75" x14ac:dyDescent="0.25">
      <c r="B314" s="667" t="s">
        <v>66</v>
      </c>
      <c r="C314" s="110">
        <v>2044</v>
      </c>
      <c r="D314" s="687" t="s">
        <v>785</v>
      </c>
      <c r="E314" s="688">
        <v>2.6192543333318115E-2</v>
      </c>
      <c r="F314" s="310">
        <v>2.5910966289479707E-3</v>
      </c>
      <c r="G314" s="311">
        <v>2.0964720619336748E-2</v>
      </c>
      <c r="H314" s="311">
        <v>6.0113123312905271E-4</v>
      </c>
      <c r="I314" s="394">
        <v>6.5286742972819672E-4</v>
      </c>
      <c r="J314" s="689">
        <v>2.1660148080088602E-5</v>
      </c>
      <c r="K314" s="690">
        <v>2.2639521656291451E-5</v>
      </c>
    </row>
    <row r="315" spans="2:11" ht="15.75" x14ac:dyDescent="0.25">
      <c r="B315" s="667" t="s">
        <v>66</v>
      </c>
      <c r="C315" s="110">
        <v>2045</v>
      </c>
      <c r="D315" s="687" t="s">
        <v>786</v>
      </c>
      <c r="E315" s="688">
        <v>2.607246231807616E-2</v>
      </c>
      <c r="F315" s="310">
        <v>2.4909015064891195E-3</v>
      </c>
      <c r="G315" s="311">
        <v>2.0559779431625722E-2</v>
      </c>
      <c r="H315" s="311">
        <v>5.8579885589430075E-4</v>
      </c>
      <c r="I315" s="394">
        <v>6.3621932424576103E-4</v>
      </c>
      <c r="J315" s="689">
        <v>2.1016829931916661E-5</v>
      </c>
      <c r="K315" s="690">
        <v>2.1967116416292606E-5</v>
      </c>
    </row>
    <row r="316" spans="2:11" ht="15.75" x14ac:dyDescent="0.25">
      <c r="B316" s="667" t="s">
        <v>66</v>
      </c>
      <c r="C316" s="110">
        <v>2046</v>
      </c>
      <c r="D316" s="687" t="s">
        <v>787</v>
      </c>
      <c r="E316" s="688">
        <v>2.5972423210875804E-2</v>
      </c>
      <c r="F316" s="310">
        <v>2.4089861496575473E-3</v>
      </c>
      <c r="G316" s="311">
        <v>2.0259327547070344E-2</v>
      </c>
      <c r="H316" s="311">
        <v>5.7313919391398737E-4</v>
      </c>
      <c r="I316" s="394">
        <v>6.224679752258709E-4</v>
      </c>
      <c r="J316" s="689">
        <v>2.0606814903281202E-5</v>
      </c>
      <c r="K316" s="690">
        <v>2.1538569506577164E-5</v>
      </c>
    </row>
    <row r="317" spans="2:11" ht="15.75" x14ac:dyDescent="0.25">
      <c r="B317" s="667" t="s">
        <v>66</v>
      </c>
      <c r="C317" s="110">
        <v>2047</v>
      </c>
      <c r="D317" s="687" t="s">
        <v>788</v>
      </c>
      <c r="E317" s="688">
        <v>2.5886388157124594E-2</v>
      </c>
      <c r="F317" s="310">
        <v>2.3361092711104065E-3</v>
      </c>
      <c r="G317" s="311">
        <v>1.9977213876218845E-2</v>
      </c>
      <c r="H317" s="311">
        <v>5.6223923212083955E-4</v>
      </c>
      <c r="I317" s="394">
        <v>6.1063186389878382E-4</v>
      </c>
      <c r="J317" s="689">
        <v>2.0168408406062286E-5</v>
      </c>
      <c r="K317" s="690">
        <v>2.1080333805164213E-5</v>
      </c>
    </row>
    <row r="318" spans="2:11" ht="15.75" x14ac:dyDescent="0.25">
      <c r="B318" s="667" t="s">
        <v>66</v>
      </c>
      <c r="C318" s="110">
        <v>2048</v>
      </c>
      <c r="D318" s="687" t="s">
        <v>789</v>
      </c>
      <c r="E318" s="688">
        <v>2.581029833711327E-2</v>
      </c>
      <c r="F318" s="310">
        <v>2.2718872877999078E-3</v>
      </c>
      <c r="G318" s="311">
        <v>1.9709090122702062E-2</v>
      </c>
      <c r="H318" s="311">
        <v>5.5281337251716694E-4</v>
      </c>
      <c r="I318" s="394">
        <v>6.0040165027860177E-4</v>
      </c>
      <c r="J318" s="689">
        <v>1.9661197682537349E-5</v>
      </c>
      <c r="K318" s="690">
        <v>2.0550191462856089E-5</v>
      </c>
    </row>
    <row r="319" spans="2:11" ht="15.75" x14ac:dyDescent="0.25">
      <c r="B319" s="667" t="s">
        <v>66</v>
      </c>
      <c r="C319" s="110">
        <v>2049</v>
      </c>
      <c r="D319" s="687" t="s">
        <v>790</v>
      </c>
      <c r="E319" s="688">
        <v>2.574628252409706E-2</v>
      </c>
      <c r="F319" s="310">
        <v>2.2502711847149168E-3</v>
      </c>
      <c r="G319" s="311">
        <v>1.9698898290291152E-2</v>
      </c>
      <c r="H319" s="311">
        <v>5.4744371832285215E-4</v>
      </c>
      <c r="I319" s="394">
        <v>5.9457109245066096E-4</v>
      </c>
      <c r="J319" s="689">
        <v>1.9446296434231013E-5</v>
      </c>
      <c r="K319" s="690">
        <v>2.0325569939879802E-5</v>
      </c>
    </row>
    <row r="320" spans="2:11" ht="15.75" x14ac:dyDescent="0.25">
      <c r="B320" s="667" t="s">
        <v>66</v>
      </c>
      <c r="C320" s="110">
        <v>2050</v>
      </c>
      <c r="D320" s="687" t="s">
        <v>791</v>
      </c>
      <c r="E320" s="688">
        <v>2.569187161871022E-2</v>
      </c>
      <c r="F320" s="310">
        <v>2.2321968546471895E-3</v>
      </c>
      <c r="G320" s="311">
        <v>1.9685021951349566E-2</v>
      </c>
      <c r="H320" s="311">
        <v>5.4283986413901407E-4</v>
      </c>
      <c r="I320" s="394">
        <v>5.8958406358311098E-4</v>
      </c>
      <c r="J320" s="689">
        <v>1.8964301751541082E-5</v>
      </c>
      <c r="K320" s="690">
        <v>1.9821781962673885E-5</v>
      </c>
    </row>
    <row r="321" spans="2:11" ht="15.75" x14ac:dyDescent="0.25">
      <c r="B321" s="407" t="s">
        <v>4885</v>
      </c>
      <c r="C321" s="408">
        <v>2015</v>
      </c>
      <c r="D321" s="409" t="s">
        <v>4925</v>
      </c>
      <c r="E321" s="688">
        <v>4.5644386464213572E-2</v>
      </c>
      <c r="F321" s="310">
        <v>6.1819056319592204E-2</v>
      </c>
      <c r="G321" s="311">
        <v>0.22934723088913153</v>
      </c>
      <c r="H321" s="311">
        <v>2.1762739656239253E-3</v>
      </c>
      <c r="I321" s="394">
        <v>2.3514460483456717E-3</v>
      </c>
      <c r="J321" s="689">
        <v>2.5894229736132547E-4</v>
      </c>
      <c r="K321" s="690">
        <v>2.7065052077120404E-4</v>
      </c>
    </row>
    <row r="322" spans="2:11" ht="15.75" x14ac:dyDescent="0.25">
      <c r="B322" s="407" t="s">
        <v>4885</v>
      </c>
      <c r="C322" s="408">
        <v>2016</v>
      </c>
      <c r="D322" s="409" t="s">
        <v>4926</v>
      </c>
      <c r="E322" s="688">
        <v>4.4781698234962475E-2</v>
      </c>
      <c r="F322" s="310">
        <v>5.0803397410458258E-2</v>
      </c>
      <c r="G322" s="311">
        <v>0.19636094344092705</v>
      </c>
      <c r="H322" s="311">
        <v>2.0247372182929184E-3</v>
      </c>
      <c r="I322" s="394">
        <v>2.18966221513513E-3</v>
      </c>
      <c r="J322" s="689">
        <v>2.2263168076046416E-4</v>
      </c>
      <c r="K322" s="690">
        <v>2.326981037429473E-4</v>
      </c>
    </row>
    <row r="323" spans="2:11" ht="15.75" x14ac:dyDescent="0.25">
      <c r="B323" s="407" t="s">
        <v>4885</v>
      </c>
      <c r="C323" s="412">
        <v>2017</v>
      </c>
      <c r="D323" s="409" t="s">
        <v>4927</v>
      </c>
      <c r="E323" s="688">
        <v>4.3723229642216643E-2</v>
      </c>
      <c r="F323" s="310">
        <v>4.2243947417565146E-2</v>
      </c>
      <c r="G323" s="311">
        <v>0.16941219739407185</v>
      </c>
      <c r="H323" s="311">
        <v>1.9466468746818103E-3</v>
      </c>
      <c r="I323" s="394">
        <v>2.1068094296028124E-3</v>
      </c>
      <c r="J323" s="689">
        <v>1.9838571101626868E-4</v>
      </c>
      <c r="K323" s="690">
        <v>2.0735584037031359E-4</v>
      </c>
    </row>
    <row r="324" spans="2:11" ht="15.75" x14ac:dyDescent="0.25">
      <c r="B324" s="407" t="s">
        <v>4885</v>
      </c>
      <c r="C324" s="412">
        <v>2018</v>
      </c>
      <c r="D324" s="409" t="s">
        <v>4928</v>
      </c>
      <c r="E324" s="688">
        <v>4.2598485073423752E-2</v>
      </c>
      <c r="F324" s="310">
        <v>3.4920364916475141E-2</v>
      </c>
      <c r="G324" s="311">
        <v>0.14580747657229873</v>
      </c>
      <c r="H324" s="311">
        <v>1.9046317687648664E-3</v>
      </c>
      <c r="I324" s="394">
        <v>2.0627979911834772E-3</v>
      </c>
      <c r="J324" s="689">
        <v>1.7836224097753087E-4</v>
      </c>
      <c r="K324" s="690">
        <v>1.864269888860437E-4</v>
      </c>
    </row>
    <row r="325" spans="2:11" ht="15.75" x14ac:dyDescent="0.25">
      <c r="B325" s="407" t="s">
        <v>4885</v>
      </c>
      <c r="C325" s="412">
        <v>2019</v>
      </c>
      <c r="D325" s="409" t="s">
        <v>4929</v>
      </c>
      <c r="E325" s="688">
        <v>4.1144768366918549E-2</v>
      </c>
      <c r="F325" s="310">
        <v>2.8625814381137177E-2</v>
      </c>
      <c r="G325" s="311">
        <v>0.12530966086180853</v>
      </c>
      <c r="H325" s="311">
        <v>1.8453106861304415E-3</v>
      </c>
      <c r="I325" s="394">
        <v>1.9996501489693078E-3</v>
      </c>
      <c r="J325" s="689">
        <v>1.58955191944465E-4</v>
      </c>
      <c r="K325" s="690">
        <v>1.6614243681010898E-4</v>
      </c>
    </row>
    <row r="326" spans="2:11" ht="15.75" x14ac:dyDescent="0.25">
      <c r="B326" s="407" t="s">
        <v>4885</v>
      </c>
      <c r="C326" s="412">
        <v>2020</v>
      </c>
      <c r="D326" s="409" t="s">
        <v>4930</v>
      </c>
      <c r="E326" s="688">
        <v>3.9964538775937711E-2</v>
      </c>
      <c r="F326" s="310">
        <v>2.4152063018244425E-2</v>
      </c>
      <c r="G326" s="311">
        <v>0.10823599159924222</v>
      </c>
      <c r="H326" s="311">
        <v>1.7921103456791496E-3</v>
      </c>
      <c r="I326" s="394">
        <v>1.9426635951576125E-3</v>
      </c>
      <c r="J326" s="689">
        <v>1.4391637862245225E-4</v>
      </c>
      <c r="K326" s="690">
        <v>1.5042364051072628E-4</v>
      </c>
    </row>
    <row r="327" spans="2:11" ht="15.75" x14ac:dyDescent="0.25">
      <c r="B327" s="407" t="s">
        <v>4885</v>
      </c>
      <c r="C327" s="412">
        <v>2021</v>
      </c>
      <c r="D327" s="409" t="s">
        <v>4931</v>
      </c>
      <c r="E327" s="688">
        <v>3.8772269376079707E-2</v>
      </c>
      <c r="F327" s="310">
        <v>2.0759716932591064E-2</v>
      </c>
      <c r="G327" s="311">
        <v>9.4007097800161837E-2</v>
      </c>
      <c r="H327" s="311">
        <v>1.705043136349568E-3</v>
      </c>
      <c r="I327" s="394">
        <v>1.8487267068190536E-3</v>
      </c>
      <c r="J327" s="689">
        <v>1.2839049833019404E-4</v>
      </c>
      <c r="K327" s="690">
        <v>1.3419575191666005E-4</v>
      </c>
    </row>
    <row r="328" spans="2:11" ht="15.75" x14ac:dyDescent="0.25">
      <c r="B328" s="407" t="s">
        <v>4885</v>
      </c>
      <c r="C328" s="412">
        <v>2022</v>
      </c>
      <c r="D328" s="409" t="s">
        <v>4932</v>
      </c>
      <c r="E328" s="688">
        <v>3.7593312218435454E-2</v>
      </c>
      <c r="F328" s="310">
        <v>1.7573658855290854E-2</v>
      </c>
      <c r="G328" s="311">
        <v>8.173393694145574E-2</v>
      </c>
      <c r="H328" s="311">
        <v>1.6180485973977929E-3</v>
      </c>
      <c r="I328" s="394">
        <v>1.7548141483547017E-3</v>
      </c>
      <c r="J328" s="689">
        <v>1.155057092497375E-4</v>
      </c>
      <c r="K328" s="690">
        <v>1.2072835641622175E-4</v>
      </c>
    </row>
    <row r="329" spans="2:11" ht="15.75" x14ac:dyDescent="0.25">
      <c r="B329" s="407" t="s">
        <v>4885</v>
      </c>
      <c r="C329" s="412">
        <v>2023</v>
      </c>
      <c r="D329" s="409" t="s">
        <v>4933</v>
      </c>
      <c r="E329" s="688">
        <v>3.6423583914970678E-2</v>
      </c>
      <c r="F329" s="310">
        <v>1.5257775750029928E-2</v>
      </c>
      <c r="G329" s="311">
        <v>7.163590105874211E-2</v>
      </c>
      <c r="H329" s="311">
        <v>1.537241975968518E-3</v>
      </c>
      <c r="I329" s="394">
        <v>1.6674984977692944E-3</v>
      </c>
      <c r="J329" s="689">
        <v>1.0277723615094913E-4</v>
      </c>
      <c r="K329" s="690">
        <v>1.0742436831802149E-4</v>
      </c>
    </row>
    <row r="330" spans="2:11" ht="15.75" x14ac:dyDescent="0.25">
      <c r="B330" s="407" t="s">
        <v>4885</v>
      </c>
      <c r="C330" s="412">
        <v>2024</v>
      </c>
      <c r="D330" s="409" t="s">
        <v>4934</v>
      </c>
      <c r="E330" s="688">
        <v>3.5269988320453943E-2</v>
      </c>
      <c r="F330" s="310">
        <v>1.3254956991039187E-2</v>
      </c>
      <c r="G330" s="311">
        <v>6.3053415070432259E-2</v>
      </c>
      <c r="H330" s="311">
        <v>1.4638021270768334E-3</v>
      </c>
      <c r="I330" s="394">
        <v>1.5881036889152445E-3</v>
      </c>
      <c r="J330" s="689">
        <v>9.2209560889301202E-5</v>
      </c>
      <c r="K330" s="690">
        <v>9.6378862262199973E-5</v>
      </c>
    </row>
    <row r="331" spans="2:11" ht="15.75" x14ac:dyDescent="0.25">
      <c r="B331" s="407" t="s">
        <v>4885</v>
      </c>
      <c r="C331" s="412">
        <v>2025</v>
      </c>
      <c r="D331" s="409" t="s">
        <v>4935</v>
      </c>
      <c r="E331" s="688">
        <v>3.4134174846009654E-2</v>
      </c>
      <c r="F331" s="310">
        <v>1.1647746179026674E-2</v>
      </c>
      <c r="G331" s="311">
        <v>5.6032236412521405E-2</v>
      </c>
      <c r="H331" s="311">
        <v>1.3991019241337164E-3</v>
      </c>
      <c r="I331" s="394">
        <v>1.518195643770114E-3</v>
      </c>
      <c r="J331" s="689">
        <v>8.1518514296761795E-5</v>
      </c>
      <c r="K331" s="690">
        <v>8.5204419593972651E-5</v>
      </c>
    </row>
    <row r="332" spans="2:11" ht="15.75" x14ac:dyDescent="0.25">
      <c r="B332" s="407" t="s">
        <v>4885</v>
      </c>
      <c r="C332" s="412">
        <v>2026</v>
      </c>
      <c r="D332" s="409" t="s">
        <v>4936</v>
      </c>
      <c r="E332" s="688">
        <v>3.3090120386262682E-2</v>
      </c>
      <c r="F332" s="310">
        <v>1.0307372199822404E-2</v>
      </c>
      <c r="G332" s="311">
        <v>5.0258125210345443E-2</v>
      </c>
      <c r="H332" s="311">
        <v>1.3333554309138498E-3</v>
      </c>
      <c r="I332" s="394">
        <v>1.4471148717708617E-3</v>
      </c>
      <c r="J332" s="689">
        <v>7.1512103455098562E-5</v>
      </c>
      <c r="K332" s="690">
        <v>7.4745567260440732E-5</v>
      </c>
    </row>
    <row r="333" spans="2:11" ht="15.75" x14ac:dyDescent="0.25">
      <c r="B333" s="407" t="s">
        <v>4885</v>
      </c>
      <c r="C333" s="412">
        <v>2027</v>
      </c>
      <c r="D333" s="409" t="s">
        <v>4937</v>
      </c>
      <c r="E333" s="688">
        <v>3.2129543269757865E-2</v>
      </c>
      <c r="F333" s="310">
        <v>9.1435921237140276E-3</v>
      </c>
      <c r="G333" s="311">
        <v>4.5335424188883769E-2</v>
      </c>
      <c r="H333" s="311">
        <v>1.2604217496801236E-3</v>
      </c>
      <c r="I333" s="394">
        <v>1.3681975642622062E-3</v>
      </c>
      <c r="J333" s="689">
        <v>6.1982958202686864E-5</v>
      </c>
      <c r="K333" s="690">
        <v>6.4785552966371366E-5</v>
      </c>
    </row>
    <row r="334" spans="2:11" ht="15.75" x14ac:dyDescent="0.25">
      <c r="B334" s="407" t="s">
        <v>4885</v>
      </c>
      <c r="C334" s="412">
        <v>2028</v>
      </c>
      <c r="D334" s="409" t="s">
        <v>4938</v>
      </c>
      <c r="E334" s="688">
        <v>3.1258589354496935E-2</v>
      </c>
      <c r="F334" s="310">
        <v>8.1619626414119514E-3</v>
      </c>
      <c r="G334" s="311">
        <v>4.1202230903486119E-2</v>
      </c>
      <c r="H334" s="311">
        <v>1.1822034134771932E-3</v>
      </c>
      <c r="I334" s="394">
        <v>1.2834675040485485E-3</v>
      </c>
      <c r="J334" s="689">
        <v>5.3960461218817355E-5</v>
      </c>
      <c r="K334" s="690">
        <v>5.6400310414556149E-5</v>
      </c>
    </row>
    <row r="335" spans="2:11" ht="15.75" x14ac:dyDescent="0.25">
      <c r="B335" s="407" t="s">
        <v>4885</v>
      </c>
      <c r="C335" s="412">
        <v>2029</v>
      </c>
      <c r="D335" s="409" t="s">
        <v>4939</v>
      </c>
      <c r="E335" s="688">
        <v>3.0473152502081786E-2</v>
      </c>
      <c r="F335" s="310">
        <v>7.2959829648476587E-3</v>
      </c>
      <c r="G335" s="311">
        <v>3.7673315750585364E-2</v>
      </c>
      <c r="H335" s="311">
        <v>1.1075767531784249E-3</v>
      </c>
      <c r="I335" s="394">
        <v>1.2025351393842097E-3</v>
      </c>
      <c r="J335" s="689">
        <v>4.8505097651888085E-5</v>
      </c>
      <c r="K335" s="690">
        <v>5.0698274997264721E-5</v>
      </c>
    </row>
    <row r="336" spans="2:11" ht="15.75" x14ac:dyDescent="0.25">
      <c r="B336" s="407" t="s">
        <v>4885</v>
      </c>
      <c r="C336" s="412">
        <v>2030</v>
      </c>
      <c r="D336" s="409" t="s">
        <v>4940</v>
      </c>
      <c r="E336" s="688">
        <v>2.9768035992035164E-2</v>
      </c>
      <c r="F336" s="310">
        <v>6.5656226275221203E-3</v>
      </c>
      <c r="G336" s="311">
        <v>3.470798526105727E-2</v>
      </c>
      <c r="H336" s="311">
        <v>1.0360104823956744E-3</v>
      </c>
      <c r="I336" s="394">
        <v>1.1249374543423824E-3</v>
      </c>
      <c r="J336" s="689">
        <v>4.2911019001698465E-5</v>
      </c>
      <c r="K336" s="690">
        <v>4.4851268234084915E-5</v>
      </c>
    </row>
    <row r="337" spans="2:11" ht="15.75" x14ac:dyDescent="0.25">
      <c r="B337" s="407" t="s">
        <v>4885</v>
      </c>
      <c r="C337" s="412">
        <v>2031</v>
      </c>
      <c r="D337" s="409" t="s">
        <v>4941</v>
      </c>
      <c r="E337" s="688">
        <v>2.9139586374300235E-2</v>
      </c>
      <c r="F337" s="310">
        <v>5.9184670713315441E-3</v>
      </c>
      <c r="G337" s="311">
        <v>3.2143546637757037E-2</v>
      </c>
      <c r="H337" s="311">
        <v>9.701136588369855E-4</v>
      </c>
      <c r="I337" s="394">
        <v>1.0534129167462283E-3</v>
      </c>
      <c r="J337" s="689">
        <v>3.951303057746144E-5</v>
      </c>
      <c r="K337" s="690">
        <v>4.1299636730102385E-5</v>
      </c>
    </row>
    <row r="338" spans="2:11" ht="15.75" x14ac:dyDescent="0.25">
      <c r="B338" s="407" t="s">
        <v>4885</v>
      </c>
      <c r="C338" s="412">
        <v>2032</v>
      </c>
      <c r="D338" s="409" t="s">
        <v>4942</v>
      </c>
      <c r="E338" s="688">
        <v>2.8583254507738735E-2</v>
      </c>
      <c r="F338" s="310">
        <v>5.365556498852478E-3</v>
      </c>
      <c r="G338" s="311">
        <v>3.0032601585353785E-2</v>
      </c>
      <c r="H338" s="311">
        <v>9.0914377908326725E-4</v>
      </c>
      <c r="I338" s="394">
        <v>9.872442991534741E-4</v>
      </c>
      <c r="J338" s="689">
        <v>3.6158420844087127E-5</v>
      </c>
      <c r="K338" s="690">
        <v>3.7793340470802731E-5</v>
      </c>
    </row>
    <row r="339" spans="2:11" ht="15.75" x14ac:dyDescent="0.25">
      <c r="B339" s="407" t="s">
        <v>4885</v>
      </c>
      <c r="C339" s="412">
        <v>2033</v>
      </c>
      <c r="D339" s="409" t="s">
        <v>4943</v>
      </c>
      <c r="E339" s="688">
        <v>2.8093027995701798E-2</v>
      </c>
      <c r="F339" s="310">
        <v>4.8840079230288158E-3</v>
      </c>
      <c r="G339" s="311">
        <v>2.8252180708226118E-2</v>
      </c>
      <c r="H339" s="311">
        <v>8.5371204234122456E-4</v>
      </c>
      <c r="I339" s="394">
        <v>9.2706333436591494E-4</v>
      </c>
      <c r="J339" s="689">
        <v>3.3657318872757443E-5</v>
      </c>
      <c r="K339" s="690">
        <v>3.5179150956181139E-5</v>
      </c>
    </row>
    <row r="340" spans="2:11" ht="15.75" x14ac:dyDescent="0.25">
      <c r="B340" s="407" t="s">
        <v>4885</v>
      </c>
      <c r="C340" s="412">
        <v>2034</v>
      </c>
      <c r="D340" s="409" t="s">
        <v>4944</v>
      </c>
      <c r="E340" s="688">
        <v>2.7663799740040181E-2</v>
      </c>
      <c r="F340" s="310">
        <v>4.4546765546310142E-3</v>
      </c>
      <c r="G340" s="311">
        <v>2.6728973098749456E-2</v>
      </c>
      <c r="H340" s="311">
        <v>8.0246035573632317E-4</v>
      </c>
      <c r="I340" s="394">
        <v>8.7143418565526582E-4</v>
      </c>
      <c r="J340" s="689">
        <v>3.101870039810401E-5</v>
      </c>
      <c r="K340" s="690">
        <v>3.2421223715990984E-5</v>
      </c>
    </row>
    <row r="341" spans="2:11" ht="15.75" x14ac:dyDescent="0.25">
      <c r="B341" s="407" t="s">
        <v>4885</v>
      </c>
      <c r="C341" s="412">
        <v>2035</v>
      </c>
      <c r="D341" s="409" t="s">
        <v>4945</v>
      </c>
      <c r="E341" s="688">
        <v>2.7288537808421689E-2</v>
      </c>
      <c r="F341" s="310">
        <v>4.0697967523640353E-3</v>
      </c>
      <c r="G341" s="311">
        <v>2.5405299939844233E-2</v>
      </c>
      <c r="H341" s="311">
        <v>7.5594308473614174E-4</v>
      </c>
      <c r="I341" s="394">
        <v>8.2092665321176607E-4</v>
      </c>
      <c r="J341" s="689">
        <v>2.9040649572240635E-5</v>
      </c>
      <c r="K341" s="690">
        <v>3.0353733982482478E-5</v>
      </c>
    </row>
    <row r="342" spans="2:11" ht="15.75" x14ac:dyDescent="0.25">
      <c r="B342" s="407" t="s">
        <v>4885</v>
      </c>
      <c r="C342" s="412">
        <v>2036</v>
      </c>
      <c r="D342" s="409" t="s">
        <v>4946</v>
      </c>
      <c r="E342" s="688">
        <v>2.6965055267387607E-2</v>
      </c>
      <c r="F342" s="310">
        <v>3.7452114929242531E-3</v>
      </c>
      <c r="G342" s="311">
        <v>2.4329675214655198E-2</v>
      </c>
      <c r="H342" s="311">
        <v>7.160091001232338E-4</v>
      </c>
      <c r="I342" s="394">
        <v>7.7757812557533964E-4</v>
      </c>
      <c r="J342" s="689">
        <v>2.706272238211985E-5</v>
      </c>
      <c r="K342" s="690">
        <v>2.8286370279505747E-5</v>
      </c>
    </row>
    <row r="343" spans="2:11" ht="15.75" x14ac:dyDescent="0.25">
      <c r="B343" s="407" t="s">
        <v>4885</v>
      </c>
      <c r="C343" s="412">
        <v>2037</v>
      </c>
      <c r="D343" s="409" t="s">
        <v>4947</v>
      </c>
      <c r="E343" s="688">
        <v>2.6687025905840357E-2</v>
      </c>
      <c r="F343" s="310">
        <v>3.4635926407798668E-3</v>
      </c>
      <c r="G343" s="311">
        <v>2.342229011069959E-2</v>
      </c>
      <c r="H343" s="311">
        <v>6.8088003559221486E-4</v>
      </c>
      <c r="I343" s="394">
        <v>7.3942829131305092E-4</v>
      </c>
      <c r="J343" s="689">
        <v>2.5744997150518209E-5</v>
      </c>
      <c r="K343" s="690">
        <v>2.6909070543199259E-5</v>
      </c>
    </row>
    <row r="344" spans="2:11" ht="15.75" x14ac:dyDescent="0.25">
      <c r="B344" s="407" t="s">
        <v>4885</v>
      </c>
      <c r="C344" s="412">
        <v>2038</v>
      </c>
      <c r="D344" s="409" t="s">
        <v>4948</v>
      </c>
      <c r="E344" s="688">
        <v>2.6450140531544389E-2</v>
      </c>
      <c r="F344" s="310">
        <v>3.2114941270405001E-3</v>
      </c>
      <c r="G344" s="311">
        <v>2.2613424728579936E-2</v>
      </c>
      <c r="H344" s="311">
        <v>6.497523903642306E-4</v>
      </c>
      <c r="I344" s="394">
        <v>7.0562015245696612E-4</v>
      </c>
      <c r="J344" s="689">
        <v>2.4638168628453734E-5</v>
      </c>
      <c r="K344" s="690">
        <v>2.5752200312221603E-5</v>
      </c>
    </row>
    <row r="345" spans="2:11" ht="15.75" x14ac:dyDescent="0.25">
      <c r="B345" s="407" t="s">
        <v>4885</v>
      </c>
      <c r="C345" s="412">
        <v>2039</v>
      </c>
      <c r="D345" s="409" t="s">
        <v>4949</v>
      </c>
      <c r="E345" s="688">
        <v>2.6247451385983681E-2</v>
      </c>
      <c r="F345" s="310">
        <v>2.9766585067585159E-3</v>
      </c>
      <c r="G345" s="311">
        <v>2.1859655107096213E-2</v>
      </c>
      <c r="H345" s="311">
        <v>6.2225836882467034E-4</v>
      </c>
      <c r="I345" s="394">
        <v>6.7575849941264963E-4</v>
      </c>
      <c r="J345" s="689">
        <v>2.3709361222466218E-5</v>
      </c>
      <c r="K345" s="690">
        <v>2.4781397206992472E-5</v>
      </c>
    </row>
    <row r="346" spans="2:11" ht="15.75" x14ac:dyDescent="0.25">
      <c r="B346" s="407" t="s">
        <v>4885</v>
      </c>
      <c r="C346" s="412">
        <v>2040</v>
      </c>
      <c r="D346" s="409" t="s">
        <v>4950</v>
      </c>
      <c r="E346" s="688">
        <v>2.607461712477474E-2</v>
      </c>
      <c r="F346" s="310">
        <v>2.7639898713205076E-3</v>
      </c>
      <c r="G346" s="311">
        <v>2.1208346395528602E-2</v>
      </c>
      <c r="H346" s="311">
        <v>5.9803314966638225E-4</v>
      </c>
      <c r="I346" s="394">
        <v>6.4944620838268505E-4</v>
      </c>
      <c r="J346" s="689">
        <v>2.2868428548958295E-5</v>
      </c>
      <c r="K346" s="690">
        <v>2.3902442609567313E-5</v>
      </c>
    </row>
    <row r="347" spans="2:11" ht="15.75" x14ac:dyDescent="0.25">
      <c r="B347" s="407" t="s">
        <v>4885</v>
      </c>
      <c r="C347" s="412">
        <v>2041</v>
      </c>
      <c r="D347" s="409" t="s">
        <v>4951</v>
      </c>
      <c r="E347" s="688">
        <v>2.5929028028574098E-2</v>
      </c>
      <c r="F347" s="310">
        <v>2.5972290859344643E-3</v>
      </c>
      <c r="G347" s="311">
        <v>2.0683186512108712E-2</v>
      </c>
      <c r="H347" s="311">
        <v>5.790628962837797E-4</v>
      </c>
      <c r="I347" s="394">
        <v>6.2884403995014263E-4</v>
      </c>
      <c r="J347" s="689">
        <v>2.2174000006265819E-5</v>
      </c>
      <c r="K347" s="690">
        <v>2.3176611794788739E-5</v>
      </c>
    </row>
    <row r="348" spans="2:11" ht="15.75" x14ac:dyDescent="0.25">
      <c r="B348" s="407" t="s">
        <v>4885</v>
      </c>
      <c r="C348" s="412">
        <v>2042</v>
      </c>
      <c r="D348" s="409" t="s">
        <v>4952</v>
      </c>
      <c r="E348" s="688">
        <v>2.5804711951645715E-2</v>
      </c>
      <c r="F348" s="310">
        <v>2.4519788873690719E-3</v>
      </c>
      <c r="G348" s="311">
        <v>2.0203883982348472E-2</v>
      </c>
      <c r="H348" s="311">
        <v>5.6277948541880879E-4</v>
      </c>
      <c r="I348" s="394">
        <v>6.1116032432693274E-4</v>
      </c>
      <c r="J348" s="689">
        <v>2.1564471497328314E-5</v>
      </c>
      <c r="K348" s="690">
        <v>2.2539513605206812E-5</v>
      </c>
    </row>
    <row r="349" spans="2:11" ht="15.75" x14ac:dyDescent="0.25">
      <c r="B349" s="407" t="s">
        <v>4885</v>
      </c>
      <c r="C349" s="412">
        <v>2043</v>
      </c>
      <c r="D349" s="409" t="s">
        <v>4953</v>
      </c>
      <c r="E349" s="688">
        <v>2.5700009092183944E-2</v>
      </c>
      <c r="F349" s="310">
        <v>2.3411905750159302E-3</v>
      </c>
      <c r="G349" s="311">
        <v>1.9842158881619231E-2</v>
      </c>
      <c r="H349" s="311">
        <v>5.4896117284276651E-4</v>
      </c>
      <c r="I349" s="394">
        <v>5.9615237140402978E-4</v>
      </c>
      <c r="J349" s="689">
        <v>2.1067483853276293E-5</v>
      </c>
      <c r="K349" s="690">
        <v>2.2020064054436217E-5</v>
      </c>
    </row>
    <row r="350" spans="2:11" ht="15.75" x14ac:dyDescent="0.25">
      <c r="B350" s="407" t="s">
        <v>4885</v>
      </c>
      <c r="C350" s="412">
        <v>2044</v>
      </c>
      <c r="D350" s="409" t="s">
        <v>4954</v>
      </c>
      <c r="E350" s="688">
        <v>2.5610561018027275E-2</v>
      </c>
      <c r="F350" s="310">
        <v>2.2568318805166461E-3</v>
      </c>
      <c r="G350" s="311">
        <v>1.9550186629341885E-2</v>
      </c>
      <c r="H350" s="311">
        <v>5.3720266983058919E-4</v>
      </c>
      <c r="I350" s="394">
        <v>5.8338080328901635E-4</v>
      </c>
      <c r="J350" s="689">
        <v>2.06732410140068E-5</v>
      </c>
      <c r="K350" s="690">
        <v>2.1607989478161487E-5</v>
      </c>
    </row>
    <row r="351" spans="2:11" ht="15.75" x14ac:dyDescent="0.25">
      <c r="B351" s="407" t="s">
        <v>4885</v>
      </c>
      <c r="C351" s="412">
        <v>2045</v>
      </c>
      <c r="D351" s="409" t="s">
        <v>4955</v>
      </c>
      <c r="E351" s="688">
        <v>2.5532506537554275E-2</v>
      </c>
      <c r="F351" s="310">
        <v>2.1994826603745138E-3</v>
      </c>
      <c r="G351" s="311">
        <v>1.9351469173513311E-2</v>
      </c>
      <c r="H351" s="311">
        <v>5.2725190525625566E-4</v>
      </c>
      <c r="I351" s="394">
        <v>5.725711999021207E-4</v>
      </c>
      <c r="J351" s="689">
        <v>2.0370198322393409E-5</v>
      </c>
      <c r="K351" s="690">
        <v>2.1291247884377572E-5</v>
      </c>
    </row>
    <row r="352" spans="2:11" ht="15.75" x14ac:dyDescent="0.25">
      <c r="B352" s="407" t="s">
        <v>4885</v>
      </c>
      <c r="C352" s="412">
        <v>2046</v>
      </c>
      <c r="D352" s="409" t="s">
        <v>4956</v>
      </c>
      <c r="E352" s="688">
        <v>2.5465429977606077E-2</v>
      </c>
      <c r="F352" s="310">
        <v>2.1498247376320833E-3</v>
      </c>
      <c r="G352" s="311">
        <v>1.9186314197614011E-2</v>
      </c>
      <c r="H352" s="311">
        <v>5.1880820486280017E-4</v>
      </c>
      <c r="I352" s="394">
        <v>5.6340002542645145E-4</v>
      </c>
      <c r="J352" s="689">
        <v>2.0088096208395195E-5</v>
      </c>
      <c r="K352" s="690">
        <v>2.0996392130025493E-5</v>
      </c>
    </row>
    <row r="353" spans="2:11" ht="15.75" x14ac:dyDescent="0.25">
      <c r="B353" s="407" t="s">
        <v>4885</v>
      </c>
      <c r="C353" s="412">
        <v>2047</v>
      </c>
      <c r="D353" s="409" t="s">
        <v>4957</v>
      </c>
      <c r="E353" s="688">
        <v>2.5408598274012956E-2</v>
      </c>
      <c r="F353" s="310">
        <v>2.106163120197224E-3</v>
      </c>
      <c r="G353" s="311">
        <v>1.9038818232543435E-2</v>
      </c>
      <c r="H353" s="311">
        <v>5.1178139469739402E-4</v>
      </c>
      <c r="I353" s="394">
        <v>5.5576631016234824E-4</v>
      </c>
      <c r="J353" s="689">
        <v>1.9893895347609381E-5</v>
      </c>
      <c r="K353" s="690">
        <v>2.0793411728501711E-5</v>
      </c>
    </row>
    <row r="354" spans="2:11" ht="15.75" x14ac:dyDescent="0.25">
      <c r="B354" s="407" t="s">
        <v>4885</v>
      </c>
      <c r="C354" s="412">
        <v>2048</v>
      </c>
      <c r="D354" s="409" t="s">
        <v>4958</v>
      </c>
      <c r="E354" s="688">
        <v>2.536099371343423E-2</v>
      </c>
      <c r="F354" s="310">
        <v>2.0714859728840234E-3</v>
      </c>
      <c r="G354" s="311">
        <v>1.8921547339520145E-2</v>
      </c>
      <c r="H354" s="311">
        <v>5.0587006020270898E-4</v>
      </c>
      <c r="I354" s="394">
        <v>5.4934653358824209E-4</v>
      </c>
      <c r="J354" s="689">
        <v>1.9669547694249665E-5</v>
      </c>
      <c r="K354" s="690">
        <v>2.0558914801893195E-5</v>
      </c>
    </row>
    <row r="355" spans="2:11" ht="15.75" x14ac:dyDescent="0.25">
      <c r="B355" s="407" t="s">
        <v>4885</v>
      </c>
      <c r="C355" s="412">
        <v>2049</v>
      </c>
      <c r="D355" s="409" t="s">
        <v>4959</v>
      </c>
      <c r="E355" s="688">
        <v>2.5319518902006816E-2</v>
      </c>
      <c r="F355" s="310">
        <v>2.0576021487871154E-3</v>
      </c>
      <c r="G355" s="311">
        <v>1.8924676016995191E-2</v>
      </c>
      <c r="H355" s="311">
        <v>5.0203580841656173E-4</v>
      </c>
      <c r="I355" s="394">
        <v>5.451819076677302E-4</v>
      </c>
      <c r="J355" s="689">
        <v>1.9536357931103672E-5</v>
      </c>
      <c r="K355" s="690">
        <v>2.0419706942333265E-5</v>
      </c>
    </row>
    <row r="356" spans="2:11" ht="15.75" x14ac:dyDescent="0.25">
      <c r="B356" s="407" t="s">
        <v>4885</v>
      </c>
      <c r="C356" s="412">
        <v>2050</v>
      </c>
      <c r="D356" s="409" t="s">
        <v>4960</v>
      </c>
      <c r="E356" s="688">
        <v>2.5284307156365895E-2</v>
      </c>
      <c r="F356" s="310">
        <v>2.0460851126685151E-3</v>
      </c>
      <c r="G356" s="311">
        <v>1.8928917858009854E-2</v>
      </c>
      <c r="H356" s="311">
        <v>4.9887859346261967E-4</v>
      </c>
      <c r="I356" s="394">
        <v>5.4175404747630997E-4</v>
      </c>
      <c r="J356" s="689">
        <v>1.939571966160949E-5</v>
      </c>
      <c r="K356" s="690">
        <v>2.0272713530736397E-5</v>
      </c>
    </row>
    <row r="357" spans="2:11" ht="15.75" x14ac:dyDescent="0.25">
      <c r="B357" s="407" t="s">
        <v>4886</v>
      </c>
      <c r="C357" s="408">
        <v>2015</v>
      </c>
      <c r="D357" s="409" t="s">
        <v>4889</v>
      </c>
      <c r="E357" s="688">
        <v>4.5644386464213572E-2</v>
      </c>
      <c r="F357" s="310">
        <v>6.1819056319592204E-2</v>
      </c>
      <c r="G357" s="311">
        <v>0.22934723088913153</v>
      </c>
      <c r="H357" s="311">
        <v>2.1762739656239253E-3</v>
      </c>
      <c r="I357" s="394">
        <v>2.3514460483456717E-3</v>
      </c>
      <c r="J357" s="689">
        <v>2.5894229736132547E-4</v>
      </c>
      <c r="K357" s="690">
        <v>2.7065052077120404E-4</v>
      </c>
    </row>
    <row r="358" spans="2:11" ht="15.75" x14ac:dyDescent="0.25">
      <c r="B358" s="407" t="s">
        <v>4886</v>
      </c>
      <c r="C358" s="408">
        <v>2016</v>
      </c>
      <c r="D358" s="409" t="s">
        <v>4890</v>
      </c>
      <c r="E358" s="688">
        <v>4.4781698234962475E-2</v>
      </c>
      <c r="F358" s="310">
        <v>5.0803397410458258E-2</v>
      </c>
      <c r="G358" s="311">
        <v>0.19636094344092705</v>
      </c>
      <c r="H358" s="311">
        <v>2.0247372182929184E-3</v>
      </c>
      <c r="I358" s="394">
        <v>2.18966221513513E-3</v>
      </c>
      <c r="J358" s="689">
        <v>2.2263168076046416E-4</v>
      </c>
      <c r="K358" s="690">
        <v>2.326981037429473E-4</v>
      </c>
    </row>
    <row r="359" spans="2:11" ht="15.75" x14ac:dyDescent="0.25">
      <c r="B359" s="407" t="s">
        <v>4886</v>
      </c>
      <c r="C359" s="412">
        <v>2017</v>
      </c>
      <c r="D359" s="409" t="s">
        <v>4891</v>
      </c>
      <c r="E359" s="688">
        <v>4.3723229642216643E-2</v>
      </c>
      <c r="F359" s="310">
        <v>4.2243947417565146E-2</v>
      </c>
      <c r="G359" s="311">
        <v>0.16941219739407185</v>
      </c>
      <c r="H359" s="311">
        <v>1.9466468746818103E-3</v>
      </c>
      <c r="I359" s="394">
        <v>2.1068094296028124E-3</v>
      </c>
      <c r="J359" s="689">
        <v>1.9838571101626868E-4</v>
      </c>
      <c r="K359" s="690">
        <v>2.0735584037031359E-4</v>
      </c>
    </row>
    <row r="360" spans="2:11" ht="15.75" x14ac:dyDescent="0.25">
      <c r="B360" s="407" t="s">
        <v>4886</v>
      </c>
      <c r="C360" s="412">
        <v>2018</v>
      </c>
      <c r="D360" s="409" t="s">
        <v>4892</v>
      </c>
      <c r="E360" s="688">
        <v>4.2598485073423752E-2</v>
      </c>
      <c r="F360" s="310">
        <v>3.4920364916475141E-2</v>
      </c>
      <c r="G360" s="311">
        <v>0.14580747657229873</v>
      </c>
      <c r="H360" s="311">
        <v>1.9046317687648664E-3</v>
      </c>
      <c r="I360" s="394">
        <v>2.0627979911834772E-3</v>
      </c>
      <c r="J360" s="689">
        <v>1.7836224097753087E-4</v>
      </c>
      <c r="K360" s="690">
        <v>1.864269888860437E-4</v>
      </c>
    </row>
    <row r="361" spans="2:11" ht="15.75" x14ac:dyDescent="0.25">
      <c r="B361" s="407" t="s">
        <v>4886</v>
      </c>
      <c r="C361" s="412">
        <v>2019</v>
      </c>
      <c r="D361" s="409" t="s">
        <v>4893</v>
      </c>
      <c r="E361" s="688">
        <v>4.1144768366918549E-2</v>
      </c>
      <c r="F361" s="310">
        <v>2.8625814381137177E-2</v>
      </c>
      <c r="G361" s="311">
        <v>0.12530966086180853</v>
      </c>
      <c r="H361" s="311">
        <v>1.8453106861304415E-3</v>
      </c>
      <c r="I361" s="394">
        <v>1.9996501489693078E-3</v>
      </c>
      <c r="J361" s="689">
        <v>1.58955191944465E-4</v>
      </c>
      <c r="K361" s="690">
        <v>1.6614243681010898E-4</v>
      </c>
    </row>
    <row r="362" spans="2:11" ht="15.75" x14ac:dyDescent="0.25">
      <c r="B362" s="407" t="s">
        <v>4886</v>
      </c>
      <c r="C362" s="412">
        <v>2020</v>
      </c>
      <c r="D362" s="409" t="s">
        <v>4894</v>
      </c>
      <c r="E362" s="688">
        <v>3.9964538775937711E-2</v>
      </c>
      <c r="F362" s="310">
        <v>2.4152063018244425E-2</v>
      </c>
      <c r="G362" s="311">
        <v>0.10823599159924222</v>
      </c>
      <c r="H362" s="311">
        <v>1.7921103456791496E-3</v>
      </c>
      <c r="I362" s="394">
        <v>1.9426635951576125E-3</v>
      </c>
      <c r="J362" s="689">
        <v>1.4391637862245225E-4</v>
      </c>
      <c r="K362" s="690">
        <v>1.5042364051072628E-4</v>
      </c>
    </row>
    <row r="363" spans="2:11" ht="15.75" x14ac:dyDescent="0.25">
      <c r="B363" s="407" t="s">
        <v>4886</v>
      </c>
      <c r="C363" s="412">
        <v>2021</v>
      </c>
      <c r="D363" s="409" t="s">
        <v>4895</v>
      </c>
      <c r="E363" s="688">
        <v>3.8772269376079707E-2</v>
      </c>
      <c r="F363" s="310">
        <v>2.0759716932591064E-2</v>
      </c>
      <c r="G363" s="311">
        <v>9.4007097800161837E-2</v>
      </c>
      <c r="H363" s="311">
        <v>1.705043136349568E-3</v>
      </c>
      <c r="I363" s="394">
        <v>1.8487267068190536E-3</v>
      </c>
      <c r="J363" s="689">
        <v>1.2839049833019404E-4</v>
      </c>
      <c r="K363" s="690">
        <v>1.3419575191666005E-4</v>
      </c>
    </row>
    <row r="364" spans="2:11" ht="15.75" x14ac:dyDescent="0.25">
      <c r="B364" s="407" t="s">
        <v>4886</v>
      </c>
      <c r="C364" s="412">
        <v>2022</v>
      </c>
      <c r="D364" s="409" t="s">
        <v>4896</v>
      </c>
      <c r="E364" s="688">
        <v>3.7593312218435454E-2</v>
      </c>
      <c r="F364" s="310">
        <v>1.7573658855290854E-2</v>
      </c>
      <c r="G364" s="311">
        <v>8.173393694145574E-2</v>
      </c>
      <c r="H364" s="311">
        <v>1.6180485973977929E-3</v>
      </c>
      <c r="I364" s="394">
        <v>1.7548141483547017E-3</v>
      </c>
      <c r="J364" s="689">
        <v>1.155057092497375E-4</v>
      </c>
      <c r="K364" s="690">
        <v>1.2072835641622175E-4</v>
      </c>
    </row>
    <row r="365" spans="2:11" ht="15.75" x14ac:dyDescent="0.25">
      <c r="B365" s="407" t="s">
        <v>4886</v>
      </c>
      <c r="C365" s="412">
        <v>2023</v>
      </c>
      <c r="D365" s="409" t="s">
        <v>4897</v>
      </c>
      <c r="E365" s="688">
        <v>3.6423583914970678E-2</v>
      </c>
      <c r="F365" s="310">
        <v>1.5257775750029928E-2</v>
      </c>
      <c r="G365" s="311">
        <v>7.163590105874211E-2</v>
      </c>
      <c r="H365" s="311">
        <v>1.537241975968518E-3</v>
      </c>
      <c r="I365" s="394">
        <v>1.6674984977692944E-3</v>
      </c>
      <c r="J365" s="689">
        <v>1.0277723615094913E-4</v>
      </c>
      <c r="K365" s="690">
        <v>1.0742436831802149E-4</v>
      </c>
    </row>
    <row r="366" spans="2:11" ht="15.75" x14ac:dyDescent="0.25">
      <c r="B366" s="407" t="s">
        <v>4886</v>
      </c>
      <c r="C366" s="412">
        <v>2024</v>
      </c>
      <c r="D366" s="409" t="s">
        <v>4898</v>
      </c>
      <c r="E366" s="688">
        <v>3.5269988320453943E-2</v>
      </c>
      <c r="F366" s="310">
        <v>1.3254956991039187E-2</v>
      </c>
      <c r="G366" s="311">
        <v>6.3053415070432259E-2</v>
      </c>
      <c r="H366" s="311">
        <v>1.4638021270768334E-3</v>
      </c>
      <c r="I366" s="394">
        <v>1.5881036889152445E-3</v>
      </c>
      <c r="J366" s="689">
        <v>9.2209560889301202E-5</v>
      </c>
      <c r="K366" s="690">
        <v>9.6378862262199973E-5</v>
      </c>
    </row>
    <row r="367" spans="2:11" ht="15.75" x14ac:dyDescent="0.25">
      <c r="B367" s="407" t="s">
        <v>4886</v>
      </c>
      <c r="C367" s="412">
        <v>2025</v>
      </c>
      <c r="D367" s="409" t="s">
        <v>4899</v>
      </c>
      <c r="E367" s="688">
        <v>3.4134174846009654E-2</v>
      </c>
      <c r="F367" s="310">
        <v>1.1647746179026674E-2</v>
      </c>
      <c r="G367" s="311">
        <v>5.6032236412521405E-2</v>
      </c>
      <c r="H367" s="311">
        <v>1.3991019241337164E-3</v>
      </c>
      <c r="I367" s="394">
        <v>1.518195643770114E-3</v>
      </c>
      <c r="J367" s="689">
        <v>8.1518514296761795E-5</v>
      </c>
      <c r="K367" s="690">
        <v>8.5204419593972651E-5</v>
      </c>
    </row>
    <row r="368" spans="2:11" ht="15.75" x14ac:dyDescent="0.25">
      <c r="B368" s="407" t="s">
        <v>4886</v>
      </c>
      <c r="C368" s="412">
        <v>2026</v>
      </c>
      <c r="D368" s="409" t="s">
        <v>4900</v>
      </c>
      <c r="E368" s="688">
        <v>3.3090120386262682E-2</v>
      </c>
      <c r="F368" s="310">
        <v>1.0307372199822404E-2</v>
      </c>
      <c r="G368" s="311">
        <v>5.0258125210345443E-2</v>
      </c>
      <c r="H368" s="311">
        <v>1.3333554309138498E-3</v>
      </c>
      <c r="I368" s="394">
        <v>1.4471148717708617E-3</v>
      </c>
      <c r="J368" s="689">
        <v>7.1512103455098562E-5</v>
      </c>
      <c r="K368" s="690">
        <v>7.4745567260440732E-5</v>
      </c>
    </row>
    <row r="369" spans="2:11" ht="15.75" x14ac:dyDescent="0.25">
      <c r="B369" s="407" t="s">
        <v>4886</v>
      </c>
      <c r="C369" s="412">
        <v>2027</v>
      </c>
      <c r="D369" s="409" t="s">
        <v>4901</v>
      </c>
      <c r="E369" s="688">
        <v>3.2129543269757865E-2</v>
      </c>
      <c r="F369" s="310">
        <v>9.1435921237140276E-3</v>
      </c>
      <c r="G369" s="311">
        <v>4.5335424188883769E-2</v>
      </c>
      <c r="H369" s="311">
        <v>1.2604217496801236E-3</v>
      </c>
      <c r="I369" s="394">
        <v>1.3681975642622062E-3</v>
      </c>
      <c r="J369" s="689">
        <v>6.1982958202686864E-5</v>
      </c>
      <c r="K369" s="690">
        <v>6.4785552966371366E-5</v>
      </c>
    </row>
    <row r="370" spans="2:11" ht="15.75" x14ac:dyDescent="0.25">
      <c r="B370" s="407" t="s">
        <v>4886</v>
      </c>
      <c r="C370" s="412">
        <v>2028</v>
      </c>
      <c r="D370" s="409" t="s">
        <v>4902</v>
      </c>
      <c r="E370" s="688">
        <v>3.1258589354496935E-2</v>
      </c>
      <c r="F370" s="310">
        <v>8.1619626414119514E-3</v>
      </c>
      <c r="G370" s="311">
        <v>4.1202230903486119E-2</v>
      </c>
      <c r="H370" s="311">
        <v>1.1822034134771932E-3</v>
      </c>
      <c r="I370" s="394">
        <v>1.2834675040485485E-3</v>
      </c>
      <c r="J370" s="689">
        <v>5.3960461218817355E-5</v>
      </c>
      <c r="K370" s="690">
        <v>5.6400310414556149E-5</v>
      </c>
    </row>
    <row r="371" spans="2:11" ht="15.75" x14ac:dyDescent="0.25">
      <c r="B371" s="407" t="s">
        <v>4886</v>
      </c>
      <c r="C371" s="412">
        <v>2029</v>
      </c>
      <c r="D371" s="409" t="s">
        <v>4903</v>
      </c>
      <c r="E371" s="688">
        <v>3.0473152502081786E-2</v>
      </c>
      <c r="F371" s="310">
        <v>7.2959829648476587E-3</v>
      </c>
      <c r="G371" s="311">
        <v>3.7673315750585364E-2</v>
      </c>
      <c r="H371" s="311">
        <v>1.1075767531784249E-3</v>
      </c>
      <c r="I371" s="394">
        <v>1.2025351393842097E-3</v>
      </c>
      <c r="J371" s="689">
        <v>4.8505097651888085E-5</v>
      </c>
      <c r="K371" s="690">
        <v>5.0698274997264721E-5</v>
      </c>
    </row>
    <row r="372" spans="2:11" ht="15.75" x14ac:dyDescent="0.25">
      <c r="B372" s="407" t="s">
        <v>4886</v>
      </c>
      <c r="C372" s="412">
        <v>2030</v>
      </c>
      <c r="D372" s="409" t="s">
        <v>4904</v>
      </c>
      <c r="E372" s="688">
        <v>2.9768035992035164E-2</v>
      </c>
      <c r="F372" s="310">
        <v>6.5656226275221203E-3</v>
      </c>
      <c r="G372" s="311">
        <v>3.470798526105727E-2</v>
      </c>
      <c r="H372" s="311">
        <v>1.0360104823956744E-3</v>
      </c>
      <c r="I372" s="394">
        <v>1.1249374543423824E-3</v>
      </c>
      <c r="J372" s="689">
        <v>4.2911019001698465E-5</v>
      </c>
      <c r="K372" s="690">
        <v>4.4851268234084915E-5</v>
      </c>
    </row>
    <row r="373" spans="2:11" ht="15.75" x14ac:dyDescent="0.25">
      <c r="B373" s="407" t="s">
        <v>4886</v>
      </c>
      <c r="C373" s="412">
        <v>2031</v>
      </c>
      <c r="D373" s="409" t="s">
        <v>4905</v>
      </c>
      <c r="E373" s="688">
        <v>2.9139586374300235E-2</v>
      </c>
      <c r="F373" s="310">
        <v>5.9184670713315441E-3</v>
      </c>
      <c r="G373" s="311">
        <v>3.2143546637757037E-2</v>
      </c>
      <c r="H373" s="311">
        <v>9.701136588369855E-4</v>
      </c>
      <c r="I373" s="394">
        <v>1.0534129167462283E-3</v>
      </c>
      <c r="J373" s="689">
        <v>3.951303057746144E-5</v>
      </c>
      <c r="K373" s="690">
        <v>4.1299636730102385E-5</v>
      </c>
    </row>
    <row r="374" spans="2:11" ht="15.75" x14ac:dyDescent="0.25">
      <c r="B374" s="407" t="s">
        <v>4886</v>
      </c>
      <c r="C374" s="412">
        <v>2032</v>
      </c>
      <c r="D374" s="409" t="s">
        <v>4906</v>
      </c>
      <c r="E374" s="688">
        <v>2.8583254507738735E-2</v>
      </c>
      <c r="F374" s="310">
        <v>5.365556498852478E-3</v>
      </c>
      <c r="G374" s="311">
        <v>3.0032601585353785E-2</v>
      </c>
      <c r="H374" s="311">
        <v>9.0914377908326725E-4</v>
      </c>
      <c r="I374" s="394">
        <v>9.872442991534741E-4</v>
      </c>
      <c r="J374" s="689">
        <v>3.6158420844087127E-5</v>
      </c>
      <c r="K374" s="690">
        <v>3.7793340470802731E-5</v>
      </c>
    </row>
    <row r="375" spans="2:11" ht="15.75" x14ac:dyDescent="0.25">
      <c r="B375" s="407" t="s">
        <v>4886</v>
      </c>
      <c r="C375" s="412">
        <v>2033</v>
      </c>
      <c r="D375" s="409" t="s">
        <v>4907</v>
      </c>
      <c r="E375" s="688">
        <v>2.8093027995701798E-2</v>
      </c>
      <c r="F375" s="310">
        <v>4.8840079230288158E-3</v>
      </c>
      <c r="G375" s="311">
        <v>2.8252180708226118E-2</v>
      </c>
      <c r="H375" s="311">
        <v>8.5371204234122456E-4</v>
      </c>
      <c r="I375" s="394">
        <v>9.2706333436591494E-4</v>
      </c>
      <c r="J375" s="689">
        <v>3.3657318872757443E-5</v>
      </c>
      <c r="K375" s="690">
        <v>3.5179150956181139E-5</v>
      </c>
    </row>
    <row r="376" spans="2:11" ht="15.75" x14ac:dyDescent="0.25">
      <c r="B376" s="407" t="s">
        <v>4886</v>
      </c>
      <c r="C376" s="412">
        <v>2034</v>
      </c>
      <c r="D376" s="409" t="s">
        <v>4908</v>
      </c>
      <c r="E376" s="688">
        <v>2.7663799740040181E-2</v>
      </c>
      <c r="F376" s="310">
        <v>4.4546765546310142E-3</v>
      </c>
      <c r="G376" s="311">
        <v>2.6728973098749456E-2</v>
      </c>
      <c r="H376" s="311">
        <v>8.0246035573632317E-4</v>
      </c>
      <c r="I376" s="394">
        <v>8.7143418565526582E-4</v>
      </c>
      <c r="J376" s="689">
        <v>3.101870039810401E-5</v>
      </c>
      <c r="K376" s="690">
        <v>3.2421223715990984E-5</v>
      </c>
    </row>
    <row r="377" spans="2:11" ht="15.75" x14ac:dyDescent="0.25">
      <c r="B377" s="407" t="s">
        <v>4886</v>
      </c>
      <c r="C377" s="412">
        <v>2035</v>
      </c>
      <c r="D377" s="409" t="s">
        <v>4909</v>
      </c>
      <c r="E377" s="688">
        <v>2.7288537808421689E-2</v>
      </c>
      <c r="F377" s="310">
        <v>4.0697967523640353E-3</v>
      </c>
      <c r="G377" s="311">
        <v>2.5405299939844233E-2</v>
      </c>
      <c r="H377" s="311">
        <v>7.5594308473614174E-4</v>
      </c>
      <c r="I377" s="394">
        <v>8.2092665321176607E-4</v>
      </c>
      <c r="J377" s="689">
        <v>2.9040649572240635E-5</v>
      </c>
      <c r="K377" s="690">
        <v>3.0353733982482478E-5</v>
      </c>
    </row>
    <row r="378" spans="2:11" ht="15.75" x14ac:dyDescent="0.25">
      <c r="B378" s="407" t="s">
        <v>4886</v>
      </c>
      <c r="C378" s="412">
        <v>2036</v>
      </c>
      <c r="D378" s="409" t="s">
        <v>4910</v>
      </c>
      <c r="E378" s="688">
        <v>2.6965055267387607E-2</v>
      </c>
      <c r="F378" s="310">
        <v>3.7452114929242531E-3</v>
      </c>
      <c r="G378" s="311">
        <v>2.4329675214655198E-2</v>
      </c>
      <c r="H378" s="311">
        <v>7.160091001232338E-4</v>
      </c>
      <c r="I378" s="394">
        <v>7.7757812557533964E-4</v>
      </c>
      <c r="J378" s="689">
        <v>2.706272238211985E-5</v>
      </c>
      <c r="K378" s="690">
        <v>2.8286370279505747E-5</v>
      </c>
    </row>
    <row r="379" spans="2:11" ht="15.75" x14ac:dyDescent="0.25">
      <c r="B379" s="407" t="s">
        <v>4886</v>
      </c>
      <c r="C379" s="412">
        <v>2037</v>
      </c>
      <c r="D379" s="409" t="s">
        <v>4911</v>
      </c>
      <c r="E379" s="688">
        <v>2.6687025905840357E-2</v>
      </c>
      <c r="F379" s="310">
        <v>3.4635926407798668E-3</v>
      </c>
      <c r="G379" s="311">
        <v>2.342229011069959E-2</v>
      </c>
      <c r="H379" s="311">
        <v>6.8088003559221486E-4</v>
      </c>
      <c r="I379" s="394">
        <v>7.3942829131305092E-4</v>
      </c>
      <c r="J379" s="689">
        <v>2.5744997150518209E-5</v>
      </c>
      <c r="K379" s="690">
        <v>2.6909070543199259E-5</v>
      </c>
    </row>
    <row r="380" spans="2:11" ht="15.75" x14ac:dyDescent="0.25">
      <c r="B380" s="407" t="s">
        <v>4886</v>
      </c>
      <c r="C380" s="412">
        <v>2038</v>
      </c>
      <c r="D380" s="409" t="s">
        <v>4912</v>
      </c>
      <c r="E380" s="688">
        <v>2.6450140531544389E-2</v>
      </c>
      <c r="F380" s="310">
        <v>3.2114941270405001E-3</v>
      </c>
      <c r="G380" s="311">
        <v>2.2613424728579936E-2</v>
      </c>
      <c r="H380" s="311">
        <v>6.497523903642306E-4</v>
      </c>
      <c r="I380" s="394">
        <v>7.0562015245696612E-4</v>
      </c>
      <c r="J380" s="689">
        <v>2.4638168628453734E-5</v>
      </c>
      <c r="K380" s="690">
        <v>2.5752200312221603E-5</v>
      </c>
    </row>
    <row r="381" spans="2:11" ht="15.75" x14ac:dyDescent="0.25">
      <c r="B381" s="407" t="s">
        <v>4886</v>
      </c>
      <c r="C381" s="412">
        <v>2039</v>
      </c>
      <c r="D381" s="409" t="s">
        <v>4913</v>
      </c>
      <c r="E381" s="688">
        <v>2.6247451385983681E-2</v>
      </c>
      <c r="F381" s="310">
        <v>2.9766585067585159E-3</v>
      </c>
      <c r="G381" s="311">
        <v>2.1859655107096213E-2</v>
      </c>
      <c r="H381" s="311">
        <v>6.2225836882467034E-4</v>
      </c>
      <c r="I381" s="394">
        <v>6.7575849941264963E-4</v>
      </c>
      <c r="J381" s="689">
        <v>2.3709361222466218E-5</v>
      </c>
      <c r="K381" s="690">
        <v>2.4781397206992472E-5</v>
      </c>
    </row>
    <row r="382" spans="2:11" ht="15.75" x14ac:dyDescent="0.25">
      <c r="B382" s="407" t="s">
        <v>4886</v>
      </c>
      <c r="C382" s="412">
        <v>2040</v>
      </c>
      <c r="D382" s="409" t="s">
        <v>4914</v>
      </c>
      <c r="E382" s="688">
        <v>2.607461712477474E-2</v>
      </c>
      <c r="F382" s="310">
        <v>2.7639898713205076E-3</v>
      </c>
      <c r="G382" s="311">
        <v>2.1208346395528602E-2</v>
      </c>
      <c r="H382" s="311">
        <v>5.9803314966638225E-4</v>
      </c>
      <c r="I382" s="394">
        <v>6.4944620838268505E-4</v>
      </c>
      <c r="J382" s="689">
        <v>2.2868428548958295E-5</v>
      </c>
      <c r="K382" s="690">
        <v>2.3902442609567313E-5</v>
      </c>
    </row>
    <row r="383" spans="2:11" ht="15.75" x14ac:dyDescent="0.25">
      <c r="B383" s="407" t="s">
        <v>4886</v>
      </c>
      <c r="C383" s="412">
        <v>2041</v>
      </c>
      <c r="D383" s="409" t="s">
        <v>4915</v>
      </c>
      <c r="E383" s="688">
        <v>2.5929028028574098E-2</v>
      </c>
      <c r="F383" s="310">
        <v>2.5972290859344643E-3</v>
      </c>
      <c r="G383" s="311">
        <v>2.0683186512108712E-2</v>
      </c>
      <c r="H383" s="311">
        <v>5.790628962837797E-4</v>
      </c>
      <c r="I383" s="394">
        <v>6.2884403995014263E-4</v>
      </c>
      <c r="J383" s="689">
        <v>2.2174000006265819E-5</v>
      </c>
      <c r="K383" s="690">
        <v>2.3176611794788739E-5</v>
      </c>
    </row>
    <row r="384" spans="2:11" ht="15.75" x14ac:dyDescent="0.25">
      <c r="B384" s="407" t="s">
        <v>4886</v>
      </c>
      <c r="C384" s="412">
        <v>2042</v>
      </c>
      <c r="D384" s="409" t="s">
        <v>4916</v>
      </c>
      <c r="E384" s="688">
        <v>2.5804711951645715E-2</v>
      </c>
      <c r="F384" s="310">
        <v>2.4519788873690719E-3</v>
      </c>
      <c r="G384" s="311">
        <v>2.0203883982348472E-2</v>
      </c>
      <c r="H384" s="311">
        <v>5.6277948541880879E-4</v>
      </c>
      <c r="I384" s="394">
        <v>6.1116032432693274E-4</v>
      </c>
      <c r="J384" s="689">
        <v>2.1564471497328314E-5</v>
      </c>
      <c r="K384" s="690">
        <v>2.2539513605206812E-5</v>
      </c>
    </row>
    <row r="385" spans="2:11" ht="15.75" x14ac:dyDescent="0.25">
      <c r="B385" s="407" t="s">
        <v>4886</v>
      </c>
      <c r="C385" s="412">
        <v>2043</v>
      </c>
      <c r="D385" s="409" t="s">
        <v>4917</v>
      </c>
      <c r="E385" s="688">
        <v>2.5700009092183944E-2</v>
      </c>
      <c r="F385" s="310">
        <v>2.3411905750159302E-3</v>
      </c>
      <c r="G385" s="311">
        <v>1.9842158881619231E-2</v>
      </c>
      <c r="H385" s="311">
        <v>5.4896117284276651E-4</v>
      </c>
      <c r="I385" s="394">
        <v>5.9615237140402978E-4</v>
      </c>
      <c r="J385" s="689">
        <v>2.1067483853276293E-5</v>
      </c>
      <c r="K385" s="690">
        <v>2.2020064054436217E-5</v>
      </c>
    </row>
    <row r="386" spans="2:11" ht="15.75" x14ac:dyDescent="0.25">
      <c r="B386" s="407" t="s">
        <v>4886</v>
      </c>
      <c r="C386" s="412">
        <v>2044</v>
      </c>
      <c r="D386" s="409" t="s">
        <v>4918</v>
      </c>
      <c r="E386" s="688">
        <v>2.5610561018027275E-2</v>
      </c>
      <c r="F386" s="310">
        <v>2.2568318805166461E-3</v>
      </c>
      <c r="G386" s="311">
        <v>1.9550186629341885E-2</v>
      </c>
      <c r="H386" s="311">
        <v>5.3720266983058919E-4</v>
      </c>
      <c r="I386" s="394">
        <v>5.8338080328901635E-4</v>
      </c>
      <c r="J386" s="689">
        <v>2.06732410140068E-5</v>
      </c>
      <c r="K386" s="690">
        <v>2.1607989478161487E-5</v>
      </c>
    </row>
    <row r="387" spans="2:11" ht="15.75" x14ac:dyDescent="0.25">
      <c r="B387" s="407" t="s">
        <v>4886</v>
      </c>
      <c r="C387" s="412">
        <v>2045</v>
      </c>
      <c r="D387" s="409" t="s">
        <v>4919</v>
      </c>
      <c r="E387" s="688">
        <v>2.5532506537554275E-2</v>
      </c>
      <c r="F387" s="310">
        <v>2.1994826603745138E-3</v>
      </c>
      <c r="G387" s="311">
        <v>1.9351469173513311E-2</v>
      </c>
      <c r="H387" s="311">
        <v>5.2725190525625566E-4</v>
      </c>
      <c r="I387" s="394">
        <v>5.725711999021207E-4</v>
      </c>
      <c r="J387" s="689">
        <v>2.0370198322393409E-5</v>
      </c>
      <c r="K387" s="690">
        <v>2.1291247884377572E-5</v>
      </c>
    </row>
    <row r="388" spans="2:11" ht="15.75" x14ac:dyDescent="0.25">
      <c r="B388" s="407" t="s">
        <v>4886</v>
      </c>
      <c r="C388" s="412">
        <v>2046</v>
      </c>
      <c r="D388" s="409" t="s">
        <v>4920</v>
      </c>
      <c r="E388" s="688">
        <v>2.5465429977606077E-2</v>
      </c>
      <c r="F388" s="310">
        <v>2.1498247376320833E-3</v>
      </c>
      <c r="G388" s="311">
        <v>1.9186314197614011E-2</v>
      </c>
      <c r="H388" s="311">
        <v>5.1880820486280017E-4</v>
      </c>
      <c r="I388" s="394">
        <v>5.6340002542645145E-4</v>
      </c>
      <c r="J388" s="689">
        <v>2.0088096208395195E-5</v>
      </c>
      <c r="K388" s="690">
        <v>2.0996392130025493E-5</v>
      </c>
    </row>
    <row r="389" spans="2:11" ht="15.75" x14ac:dyDescent="0.25">
      <c r="B389" s="407" t="s">
        <v>4886</v>
      </c>
      <c r="C389" s="412">
        <v>2047</v>
      </c>
      <c r="D389" s="409" t="s">
        <v>4921</v>
      </c>
      <c r="E389" s="688">
        <v>2.5408598274012956E-2</v>
      </c>
      <c r="F389" s="310">
        <v>2.106163120197224E-3</v>
      </c>
      <c r="G389" s="311">
        <v>1.9038818232543435E-2</v>
      </c>
      <c r="H389" s="311">
        <v>5.1178139469739402E-4</v>
      </c>
      <c r="I389" s="394">
        <v>5.5576631016234824E-4</v>
      </c>
      <c r="J389" s="689">
        <v>1.9893895347609381E-5</v>
      </c>
      <c r="K389" s="690">
        <v>2.0793411728501711E-5</v>
      </c>
    </row>
    <row r="390" spans="2:11" ht="15.75" x14ac:dyDescent="0.25">
      <c r="B390" s="407" t="s">
        <v>4886</v>
      </c>
      <c r="C390" s="412">
        <v>2048</v>
      </c>
      <c r="D390" s="409" t="s">
        <v>4922</v>
      </c>
      <c r="E390" s="688">
        <v>2.536099371343423E-2</v>
      </c>
      <c r="F390" s="310">
        <v>2.0714859728840234E-3</v>
      </c>
      <c r="G390" s="311">
        <v>1.8921547339520145E-2</v>
      </c>
      <c r="H390" s="311">
        <v>5.0587006020270898E-4</v>
      </c>
      <c r="I390" s="394">
        <v>5.4934653358824209E-4</v>
      </c>
      <c r="J390" s="689">
        <v>1.9669547694249665E-5</v>
      </c>
      <c r="K390" s="690">
        <v>2.0558914801893195E-5</v>
      </c>
    </row>
    <row r="391" spans="2:11" ht="15.75" x14ac:dyDescent="0.25">
      <c r="B391" s="407" t="s">
        <v>4886</v>
      </c>
      <c r="C391" s="412">
        <v>2049</v>
      </c>
      <c r="D391" s="409" t="s">
        <v>4923</v>
      </c>
      <c r="E391" s="688">
        <v>2.5319518902006816E-2</v>
      </c>
      <c r="F391" s="310">
        <v>2.0576021487871154E-3</v>
      </c>
      <c r="G391" s="311">
        <v>1.8924676016995191E-2</v>
      </c>
      <c r="H391" s="311">
        <v>5.0203580841656173E-4</v>
      </c>
      <c r="I391" s="394">
        <v>5.451819076677302E-4</v>
      </c>
      <c r="J391" s="689">
        <v>1.9536357931103672E-5</v>
      </c>
      <c r="K391" s="690">
        <v>2.0419706942333265E-5</v>
      </c>
    </row>
    <row r="392" spans="2:11" ht="15.75" x14ac:dyDescent="0.25">
      <c r="B392" s="407" t="s">
        <v>4886</v>
      </c>
      <c r="C392" s="412">
        <v>2050</v>
      </c>
      <c r="D392" s="409" t="s">
        <v>4924</v>
      </c>
      <c r="E392" s="688">
        <v>2.5284307156365895E-2</v>
      </c>
      <c r="F392" s="310">
        <v>2.0460851126685151E-3</v>
      </c>
      <c r="G392" s="311">
        <v>1.8928917858009854E-2</v>
      </c>
      <c r="H392" s="311">
        <v>4.9887859346261967E-4</v>
      </c>
      <c r="I392" s="394">
        <v>5.4175404747630997E-4</v>
      </c>
      <c r="J392" s="689">
        <v>1.939571966160949E-5</v>
      </c>
      <c r="K392" s="690">
        <v>2.0272713530736397E-5</v>
      </c>
    </row>
    <row r="393" spans="2:11" ht="15.75" x14ac:dyDescent="0.25">
      <c r="B393" s="667" t="s">
        <v>67</v>
      </c>
      <c r="C393" s="110">
        <v>2015</v>
      </c>
      <c r="D393" s="687" t="s">
        <v>210</v>
      </c>
      <c r="E393" s="688">
        <v>4.4639375347106373E-2</v>
      </c>
      <c r="F393" s="310">
        <v>5.0094299962831997E-2</v>
      </c>
      <c r="G393" s="311">
        <v>0.20808473376949091</v>
      </c>
      <c r="H393" s="311">
        <v>1.6811954813682195E-3</v>
      </c>
      <c r="I393" s="394">
        <v>1.8198504621693688E-3</v>
      </c>
      <c r="J393" s="689">
        <v>1.144818693343737E-4</v>
      </c>
      <c r="K393" s="690">
        <v>1.1965823088404451E-4</v>
      </c>
    </row>
    <row r="394" spans="2:11" ht="15.75" x14ac:dyDescent="0.25">
      <c r="B394" s="667" t="s">
        <v>67</v>
      </c>
      <c r="C394" s="110">
        <v>2016</v>
      </c>
      <c r="D394" s="687" t="s">
        <v>211</v>
      </c>
      <c r="E394" s="688">
        <v>4.3707580989049269E-2</v>
      </c>
      <c r="F394" s="310">
        <v>4.1302419862347187E-2</v>
      </c>
      <c r="G394" s="311">
        <v>0.17583945478629798</v>
      </c>
      <c r="H394" s="311">
        <v>1.5653141886691668E-3</v>
      </c>
      <c r="I394" s="394">
        <v>1.6957865879420921E-3</v>
      </c>
      <c r="J394" s="689">
        <v>9.385306536610936E-5</v>
      </c>
      <c r="K394" s="690">
        <v>9.8096687612644182E-5</v>
      </c>
    </row>
    <row r="395" spans="2:11" ht="15.75" x14ac:dyDescent="0.25">
      <c r="B395" s="667" t="s">
        <v>67</v>
      </c>
      <c r="C395" s="110">
        <v>2017</v>
      </c>
      <c r="D395" s="687" t="s">
        <v>792</v>
      </c>
      <c r="E395" s="688">
        <v>4.2649690598795621E-2</v>
      </c>
      <c r="F395" s="310">
        <v>3.3871139085017876E-2</v>
      </c>
      <c r="G395" s="311">
        <v>0.14869514751442348</v>
      </c>
      <c r="H395" s="311">
        <v>1.5037910167479017E-3</v>
      </c>
      <c r="I395" s="394">
        <v>1.6301725089178422E-3</v>
      </c>
      <c r="J395" s="689">
        <v>8.5131907850017352E-5</v>
      </c>
      <c r="K395" s="690">
        <v>8.898119546473574E-5</v>
      </c>
    </row>
    <row r="396" spans="2:11" ht="15.75" x14ac:dyDescent="0.25">
      <c r="B396" s="667" t="s">
        <v>67</v>
      </c>
      <c r="C396" s="110">
        <v>2018</v>
      </c>
      <c r="D396" s="687" t="s">
        <v>793</v>
      </c>
      <c r="E396" s="688">
        <v>4.1576299496473144E-2</v>
      </c>
      <c r="F396" s="310">
        <v>2.7788385842934631E-2</v>
      </c>
      <c r="G396" s="311">
        <v>0.12560953207275266</v>
      </c>
      <c r="H396" s="311">
        <v>1.4849232518297764E-3</v>
      </c>
      <c r="I396" s="394">
        <v>1.6106581261161176E-3</v>
      </c>
      <c r="J396" s="689">
        <v>7.8618261329110029E-5</v>
      </c>
      <c r="K396" s="690">
        <v>8.217302752888118E-5</v>
      </c>
    </row>
    <row r="397" spans="2:11" ht="15.75" x14ac:dyDescent="0.25">
      <c r="B397" s="667" t="s">
        <v>67</v>
      </c>
      <c r="C397" s="110">
        <v>2019</v>
      </c>
      <c r="D397" s="687" t="s">
        <v>794</v>
      </c>
      <c r="E397" s="688">
        <v>4.0402402498287568E-2</v>
      </c>
      <c r="F397" s="310">
        <v>2.2575504079101621E-2</v>
      </c>
      <c r="G397" s="311">
        <v>0.10604987371876627</v>
      </c>
      <c r="H397" s="311">
        <v>1.4687532849702188E-3</v>
      </c>
      <c r="I397" s="394">
        <v>1.5938644854393475E-3</v>
      </c>
      <c r="J397" s="689">
        <v>7.269354680846399E-5</v>
      </c>
      <c r="K397" s="690">
        <v>7.5980426761240795E-5</v>
      </c>
    </row>
    <row r="398" spans="2:11" ht="15.75" x14ac:dyDescent="0.25">
      <c r="B398" s="667" t="s">
        <v>67</v>
      </c>
      <c r="C398" s="110">
        <v>2020</v>
      </c>
      <c r="D398" s="687" t="s">
        <v>795</v>
      </c>
      <c r="E398" s="688">
        <v>3.9208574131292119E-2</v>
      </c>
      <c r="F398" s="310">
        <v>1.8776283294914223E-2</v>
      </c>
      <c r="G398" s="311">
        <v>9.003432925690473E-2</v>
      </c>
      <c r="H398" s="311">
        <v>1.4351200829468922E-3</v>
      </c>
      <c r="I398" s="394">
        <v>1.5576458166402215E-3</v>
      </c>
      <c r="J398" s="689">
        <v>6.8595255755419301E-5</v>
      </c>
      <c r="K398" s="690">
        <v>7.1696824777289623E-5</v>
      </c>
    </row>
    <row r="399" spans="2:11" ht="15.75" x14ac:dyDescent="0.25">
      <c r="B399" s="667" t="s">
        <v>67</v>
      </c>
      <c r="C399" s="110">
        <v>2021</v>
      </c>
      <c r="D399" s="687" t="s">
        <v>796</v>
      </c>
      <c r="E399" s="688">
        <v>3.8006590838565064E-2</v>
      </c>
      <c r="F399" s="310">
        <v>1.590925457036443E-2</v>
      </c>
      <c r="G399" s="311">
        <v>7.6884836821080701E-2</v>
      </c>
      <c r="H399" s="311">
        <v>1.3726404032545693E-3</v>
      </c>
      <c r="I399" s="394">
        <v>1.4899803419457904E-3</v>
      </c>
      <c r="J399" s="689">
        <v>6.3721567954561618E-5</v>
      </c>
      <c r="K399" s="690">
        <v>6.6602772263995859E-5</v>
      </c>
    </row>
    <row r="400" spans="2:11" ht="15.75" x14ac:dyDescent="0.25">
      <c r="B400" s="667" t="s">
        <v>67</v>
      </c>
      <c r="C400" s="110">
        <v>2022</v>
      </c>
      <c r="D400" s="687" t="s">
        <v>797</v>
      </c>
      <c r="E400" s="688">
        <v>3.6822122106248016E-2</v>
      </c>
      <c r="F400" s="310">
        <v>1.3259455516354409E-2</v>
      </c>
      <c r="G400" s="311">
        <v>6.5656338978513626E-2</v>
      </c>
      <c r="H400" s="311">
        <v>1.3084813738806599E-3</v>
      </c>
      <c r="I400" s="394">
        <v>1.4205460958038167E-3</v>
      </c>
      <c r="J400" s="689">
        <v>5.8909001708310395E-5</v>
      </c>
      <c r="K400" s="690">
        <v>6.1572610225506084E-5</v>
      </c>
    </row>
    <row r="401" spans="2:11" ht="15.75" x14ac:dyDescent="0.25">
      <c r="B401" s="667" t="s">
        <v>67</v>
      </c>
      <c r="C401" s="110">
        <v>2023</v>
      </c>
      <c r="D401" s="687" t="s">
        <v>798</v>
      </c>
      <c r="E401" s="688">
        <v>3.5651386147175543E-2</v>
      </c>
      <c r="F401" s="310">
        <v>1.1368395085989424E-2</v>
      </c>
      <c r="G401" s="311">
        <v>5.6752271899027332E-2</v>
      </c>
      <c r="H401" s="311">
        <v>1.2498993628828848E-3</v>
      </c>
      <c r="I401" s="394">
        <v>1.3570604309760845E-3</v>
      </c>
      <c r="J401" s="689">
        <v>5.4060662749358568E-5</v>
      </c>
      <c r="K401" s="690">
        <v>5.6505050991004932E-5</v>
      </c>
    </row>
    <row r="402" spans="2:11" ht="15.75" x14ac:dyDescent="0.25">
      <c r="B402" s="667" t="s">
        <v>67</v>
      </c>
      <c r="C402" s="110">
        <v>2024</v>
      </c>
      <c r="D402" s="687" t="s">
        <v>799</v>
      </c>
      <c r="E402" s="688">
        <v>3.4493633878448691E-2</v>
      </c>
      <c r="F402" s="310">
        <v>9.7728563103427722E-3</v>
      </c>
      <c r="G402" s="311">
        <v>4.9402972816250439E-2</v>
      </c>
      <c r="H402" s="311">
        <v>1.1942727084256241E-3</v>
      </c>
      <c r="I402" s="394">
        <v>1.2968329934083089E-3</v>
      </c>
      <c r="J402" s="689">
        <v>4.8111132757786115E-5</v>
      </c>
      <c r="K402" s="690">
        <v>5.0286503699930364E-5</v>
      </c>
    </row>
    <row r="403" spans="2:11" ht="15.75" x14ac:dyDescent="0.25">
      <c r="B403" s="667" t="s">
        <v>67</v>
      </c>
      <c r="C403" s="110">
        <v>2025</v>
      </c>
      <c r="D403" s="687" t="s">
        <v>800</v>
      </c>
      <c r="E403" s="688">
        <v>3.3362267858325294E-2</v>
      </c>
      <c r="F403" s="310">
        <v>8.493002050764642E-3</v>
      </c>
      <c r="G403" s="311">
        <v>4.352641359986599E-2</v>
      </c>
      <c r="H403" s="311">
        <v>1.1493128511109278E-3</v>
      </c>
      <c r="I403" s="394">
        <v>1.2480907132378194E-3</v>
      </c>
      <c r="J403" s="689">
        <v>4.4629506306079746E-5</v>
      </c>
      <c r="K403" s="690">
        <v>4.6647451732009162E-5</v>
      </c>
    </row>
    <row r="404" spans="2:11" ht="15.75" x14ac:dyDescent="0.25">
      <c r="B404" s="667" t="s">
        <v>67</v>
      </c>
      <c r="C404" s="110">
        <v>2026</v>
      </c>
      <c r="D404" s="687" t="s">
        <v>801</v>
      </c>
      <c r="E404" s="688">
        <v>3.240222165794112E-2</v>
      </c>
      <c r="F404" s="310">
        <v>7.5682350118937173E-3</v>
      </c>
      <c r="G404" s="311">
        <v>3.8966203953305918E-2</v>
      </c>
      <c r="H404" s="311">
        <v>1.118221419327686E-3</v>
      </c>
      <c r="I404" s="394">
        <v>1.2144295129809524E-3</v>
      </c>
      <c r="J404" s="689">
        <v>4.1008919787805461E-5</v>
      </c>
      <c r="K404" s="690">
        <v>4.2863166601543209E-5</v>
      </c>
    </row>
    <row r="405" spans="2:11" ht="15.75" x14ac:dyDescent="0.25">
      <c r="B405" s="667" t="s">
        <v>67</v>
      </c>
      <c r="C405" s="110">
        <v>2027</v>
      </c>
      <c r="D405" s="687" t="s">
        <v>802</v>
      </c>
      <c r="E405" s="688">
        <v>3.1448816733203357E-2</v>
      </c>
      <c r="F405" s="310">
        <v>6.6890141886000593E-3</v>
      </c>
      <c r="G405" s="311">
        <v>3.5109454759856842E-2</v>
      </c>
      <c r="H405" s="311">
        <v>1.062196105262416E-3</v>
      </c>
      <c r="I405" s="394">
        <v>1.1537256521892082E-3</v>
      </c>
      <c r="J405" s="689">
        <v>3.5620889879114327E-5</v>
      </c>
      <c r="K405" s="690">
        <v>3.7231509965858458E-5</v>
      </c>
    </row>
    <row r="406" spans="2:11" ht="15.75" x14ac:dyDescent="0.25">
      <c r="B406" s="667" t="s">
        <v>67</v>
      </c>
      <c r="C406" s="110">
        <v>2028</v>
      </c>
      <c r="D406" s="687" t="s">
        <v>803</v>
      </c>
      <c r="E406" s="688">
        <v>3.0588947591480672E-2</v>
      </c>
      <c r="F406" s="310">
        <v>5.9605201393691468E-3</v>
      </c>
      <c r="G406" s="311">
        <v>3.1972605136686455E-2</v>
      </c>
      <c r="H406" s="311">
        <v>1.0006187682548241E-3</v>
      </c>
      <c r="I406" s="394">
        <v>1.0869376142507721E-3</v>
      </c>
      <c r="J406" s="689">
        <v>3.129680553905574E-5</v>
      </c>
      <c r="K406" s="690">
        <v>3.2711909730723464E-5</v>
      </c>
    </row>
    <row r="407" spans="2:11" ht="15.75" x14ac:dyDescent="0.25">
      <c r="B407" s="667" t="s">
        <v>67</v>
      </c>
      <c r="C407" s="110">
        <v>2029</v>
      </c>
      <c r="D407" s="687" t="s">
        <v>804</v>
      </c>
      <c r="E407" s="688">
        <v>2.9816583577260736E-2</v>
      </c>
      <c r="F407" s="310">
        <v>5.3370374437703471E-3</v>
      </c>
      <c r="G407" s="311">
        <v>2.9369712516512575E-2</v>
      </c>
      <c r="H407" s="311">
        <v>9.411238956883839E-4</v>
      </c>
      <c r="I407" s="394">
        <v>1.022349477004776E-3</v>
      </c>
      <c r="J407" s="689">
        <v>2.8511102059489165E-5</v>
      </c>
      <c r="K407" s="690">
        <v>2.9800249582502037E-5</v>
      </c>
    </row>
    <row r="408" spans="2:11" ht="15.75" x14ac:dyDescent="0.25">
      <c r="B408" s="667" t="s">
        <v>67</v>
      </c>
      <c r="C408" s="110">
        <v>2030</v>
      </c>
      <c r="D408" s="687" t="s">
        <v>805</v>
      </c>
      <c r="E408" s="688">
        <v>2.912661758211427E-2</v>
      </c>
      <c r="F408" s="310">
        <v>4.8183097697713307E-3</v>
      </c>
      <c r="G408" s="311">
        <v>2.725247851041392E-2</v>
      </c>
      <c r="H408" s="311">
        <v>8.8435710732053647E-4</v>
      </c>
      <c r="I408" s="394">
        <v>9.6070735512243058E-4</v>
      </c>
      <c r="J408" s="689">
        <v>2.6237178323256853E-5</v>
      </c>
      <c r="K408" s="690">
        <v>2.7423502395149894E-5</v>
      </c>
    </row>
    <row r="409" spans="2:11" ht="15.75" x14ac:dyDescent="0.25">
      <c r="B409" s="667" t="s">
        <v>67</v>
      </c>
      <c r="C409" s="110">
        <v>2031</v>
      </c>
      <c r="D409" s="687" t="s">
        <v>806</v>
      </c>
      <c r="E409" s="688">
        <v>2.8513999447003609E-2</v>
      </c>
      <c r="F409" s="310">
        <v>4.3726549453002098E-3</v>
      </c>
      <c r="G409" s="311">
        <v>2.5490153967955835E-2</v>
      </c>
      <c r="H409" s="311">
        <v>8.3091985803835928E-4</v>
      </c>
      <c r="I409" s="394">
        <v>9.026516649306357E-4</v>
      </c>
      <c r="J409" s="689">
        <v>2.4757597404803273E-5</v>
      </c>
      <c r="K409" s="690">
        <v>2.5877028190395601E-5</v>
      </c>
    </row>
    <row r="410" spans="2:11" ht="15.75" x14ac:dyDescent="0.25">
      <c r="B410" s="667" t="s">
        <v>67</v>
      </c>
      <c r="C410" s="110">
        <v>2032</v>
      </c>
      <c r="D410" s="687" t="s">
        <v>807</v>
      </c>
      <c r="E410" s="688">
        <v>2.7972751636861595E-2</v>
      </c>
      <c r="F410" s="310">
        <v>3.990711349595606E-3</v>
      </c>
      <c r="G410" s="311">
        <v>2.4052633704705829E-2</v>
      </c>
      <c r="H410" s="311">
        <v>7.8072451001656219E-4</v>
      </c>
      <c r="I410" s="394">
        <v>8.4812077462881948E-4</v>
      </c>
      <c r="J410" s="689">
        <v>2.3331995850364632E-5</v>
      </c>
      <c r="K410" s="690">
        <v>2.4386963551514446E-5</v>
      </c>
    </row>
    <row r="411" spans="2:11" ht="15.75" x14ac:dyDescent="0.25">
      <c r="B411" s="667" t="s">
        <v>67</v>
      </c>
      <c r="C411" s="110">
        <v>2033</v>
      </c>
      <c r="D411" s="687" t="s">
        <v>808</v>
      </c>
      <c r="E411" s="688">
        <v>2.7496456354052342E-2</v>
      </c>
      <c r="F411" s="310">
        <v>3.6585589085986114E-3</v>
      </c>
      <c r="G411" s="311">
        <v>2.285821250394857E-2</v>
      </c>
      <c r="H411" s="311">
        <v>7.3413499800220963E-4</v>
      </c>
      <c r="I411" s="394">
        <v>7.9749461896379205E-4</v>
      </c>
      <c r="J411" s="689">
        <v>2.2280832539349984E-5</v>
      </c>
      <c r="K411" s="690">
        <v>2.3288277853913148E-5</v>
      </c>
    </row>
    <row r="412" spans="2:11" ht="15.75" x14ac:dyDescent="0.25">
      <c r="B412" s="667" t="s">
        <v>67</v>
      </c>
      <c r="C412" s="110">
        <v>2034</v>
      </c>
      <c r="D412" s="687" t="s">
        <v>809</v>
      </c>
      <c r="E412" s="688">
        <v>2.7080389754257087E-2</v>
      </c>
      <c r="F412" s="310">
        <v>3.3682938211757646E-3</v>
      </c>
      <c r="G412" s="311">
        <v>2.1876973873253162E-2</v>
      </c>
      <c r="H412" s="311">
        <v>6.9103817841829082E-4</v>
      </c>
      <c r="I412" s="394">
        <v>7.5066429502997046E-4</v>
      </c>
      <c r="J412" s="689">
        <v>2.129337080342042E-5</v>
      </c>
      <c r="K412" s="690">
        <v>2.2256161478402097E-5</v>
      </c>
    </row>
    <row r="413" spans="2:11" ht="15.75" x14ac:dyDescent="0.25">
      <c r="B413" s="667" t="s">
        <v>67</v>
      </c>
      <c r="C413" s="110">
        <v>2035</v>
      </c>
      <c r="D413" s="687" t="s">
        <v>810</v>
      </c>
      <c r="E413" s="688">
        <v>2.6719248012442652E-2</v>
      </c>
      <c r="F413" s="310">
        <v>3.113001402593552E-3</v>
      </c>
      <c r="G413" s="311">
        <v>2.1066162065609684E-2</v>
      </c>
      <c r="H413" s="311">
        <v>6.5154897991268155E-4</v>
      </c>
      <c r="I413" s="394">
        <v>7.0775616964214715E-4</v>
      </c>
      <c r="J413" s="689">
        <v>2.036270197642115E-5</v>
      </c>
      <c r="K413" s="690">
        <v>2.1283410233947668E-5</v>
      </c>
    </row>
    <row r="414" spans="2:11" ht="15.75" x14ac:dyDescent="0.25">
      <c r="B414" s="667" t="s">
        <v>67</v>
      </c>
      <c r="C414" s="110">
        <v>2036</v>
      </c>
      <c r="D414" s="687" t="s">
        <v>811</v>
      </c>
      <c r="E414" s="688">
        <v>2.640736653918287E-2</v>
      </c>
      <c r="F414" s="310">
        <v>2.8884599369226605E-3</v>
      </c>
      <c r="G414" s="311">
        <v>2.0384500707117462E-2</v>
      </c>
      <c r="H414" s="311">
        <v>6.1672116963797715E-4</v>
      </c>
      <c r="I414" s="394">
        <v>6.6991407487225767E-4</v>
      </c>
      <c r="J414" s="689">
        <v>1.950549411084602E-5</v>
      </c>
      <c r="K414" s="690">
        <v>2.038744440127364E-5</v>
      </c>
    </row>
    <row r="415" spans="2:11" ht="15.75" x14ac:dyDescent="0.25">
      <c r="B415" s="667" t="s">
        <v>67</v>
      </c>
      <c r="C415" s="110">
        <v>2037</v>
      </c>
      <c r="D415" s="687" t="s">
        <v>812</v>
      </c>
      <c r="E415" s="688">
        <v>2.6141193284013656E-2</v>
      </c>
      <c r="F415" s="310">
        <v>2.6986367607936186E-3</v>
      </c>
      <c r="G415" s="311">
        <v>1.9844579001469926E-2</v>
      </c>
      <c r="H415" s="311">
        <v>5.8576051264462407E-4</v>
      </c>
      <c r="I415" s="394">
        <v>6.362730255677631E-4</v>
      </c>
      <c r="J415" s="689">
        <v>1.875713191022364E-5</v>
      </c>
      <c r="K415" s="690">
        <v>1.9605244215377788E-5</v>
      </c>
    </row>
    <row r="416" spans="2:11" ht="15.75" x14ac:dyDescent="0.25">
      <c r="B416" s="667" t="s">
        <v>67</v>
      </c>
      <c r="C416" s="110">
        <v>2038</v>
      </c>
      <c r="D416" s="687" t="s">
        <v>813</v>
      </c>
      <c r="E416" s="688">
        <v>2.5915989400185739E-2</v>
      </c>
      <c r="F416" s="310">
        <v>2.5298310071675944E-3</v>
      </c>
      <c r="G416" s="311">
        <v>1.9372954334652057E-2</v>
      </c>
      <c r="H416" s="311">
        <v>5.5830859195271578E-4</v>
      </c>
      <c r="I416" s="394">
        <v>6.0644476881289977E-4</v>
      </c>
      <c r="J416" s="689">
        <v>1.8104301967347426E-5</v>
      </c>
      <c r="K416" s="690">
        <v>1.8922900465311086E-5</v>
      </c>
    </row>
    <row r="417" spans="2:11" ht="15.75" x14ac:dyDescent="0.25">
      <c r="B417" s="667" t="s">
        <v>67</v>
      </c>
      <c r="C417" s="110">
        <v>2039</v>
      </c>
      <c r="D417" s="687" t="s">
        <v>814</v>
      </c>
      <c r="E417" s="688">
        <v>2.5726579736285123E-2</v>
      </c>
      <c r="F417" s="310">
        <v>2.3747314097964795E-3</v>
      </c>
      <c r="G417" s="311">
        <v>1.8945921195199642E-2</v>
      </c>
      <c r="H417" s="311">
        <v>5.3417566534981443E-4</v>
      </c>
      <c r="I417" s="394">
        <v>5.80221442011357E-4</v>
      </c>
      <c r="J417" s="689">
        <v>1.7547238223087541E-5</v>
      </c>
      <c r="K417" s="690">
        <v>1.8340642942492774E-5</v>
      </c>
    </row>
    <row r="418" spans="2:11" ht="15.75" x14ac:dyDescent="0.25">
      <c r="B418" s="667" t="s">
        <v>67</v>
      </c>
      <c r="C418" s="110">
        <v>2040</v>
      </c>
      <c r="D418" s="687" t="s">
        <v>815</v>
      </c>
      <c r="E418" s="688">
        <v>2.5568601933367012E-2</v>
      </c>
      <c r="F418" s="310">
        <v>2.2395002291782599E-3</v>
      </c>
      <c r="G418" s="311">
        <v>1.8600557380746067E-2</v>
      </c>
      <c r="H418" s="311">
        <v>5.1330832259007474E-4</v>
      </c>
      <c r="I418" s="394">
        <v>5.5754616177632835E-4</v>
      </c>
      <c r="J418" s="689">
        <v>1.7073228648566729E-5</v>
      </c>
      <c r="K418" s="690">
        <v>1.7845203544038381E-5</v>
      </c>
    </row>
    <row r="419" spans="2:11" ht="15.75" x14ac:dyDescent="0.25">
      <c r="B419" s="667" t="s">
        <v>67</v>
      </c>
      <c r="C419" s="110">
        <v>2041</v>
      </c>
      <c r="D419" s="687" t="s">
        <v>816</v>
      </c>
      <c r="E419" s="688">
        <v>2.5439193114970456E-2</v>
      </c>
      <c r="F419" s="310">
        <v>2.1341731015909098E-3</v>
      </c>
      <c r="G419" s="311">
        <v>1.8333125652766739E-2</v>
      </c>
      <c r="H419" s="311">
        <v>4.9661573173620781E-4</v>
      </c>
      <c r="I419" s="394">
        <v>5.3940773260641227E-4</v>
      </c>
      <c r="J419" s="689">
        <v>1.6686894459386453E-5</v>
      </c>
      <c r="K419" s="690">
        <v>1.7441401585440071E-5</v>
      </c>
    </row>
    <row r="420" spans="2:11" ht="15.75" x14ac:dyDescent="0.25">
      <c r="B420" s="667" t="s">
        <v>67</v>
      </c>
      <c r="C420" s="110">
        <v>2042</v>
      </c>
      <c r="D420" s="687" t="s">
        <v>817</v>
      </c>
      <c r="E420" s="688">
        <v>2.5332318585292179E-2</v>
      </c>
      <c r="F420" s="310">
        <v>2.0443862158843599E-3</v>
      </c>
      <c r="G420" s="311">
        <v>1.8089545527966468E-2</v>
      </c>
      <c r="H420" s="311">
        <v>4.8252907850446447E-4</v>
      </c>
      <c r="I420" s="394">
        <v>5.2410058029513009E-4</v>
      </c>
      <c r="J420" s="689">
        <v>1.6372504432374057E-5</v>
      </c>
      <c r="K420" s="690">
        <v>1.711279209185036E-5</v>
      </c>
    </row>
    <row r="421" spans="2:11" ht="15.75" x14ac:dyDescent="0.25">
      <c r="B421" s="667" t="s">
        <v>67</v>
      </c>
      <c r="C421" s="110">
        <v>2043</v>
      </c>
      <c r="D421" s="687" t="s">
        <v>818</v>
      </c>
      <c r="E421" s="688">
        <v>2.5245314457857115E-2</v>
      </c>
      <c r="F421" s="310">
        <v>1.9768366851232464E-3</v>
      </c>
      <c r="G421" s="311">
        <v>1.7913929742320905E-2</v>
      </c>
      <c r="H421" s="311">
        <v>4.7080415932828046E-4</v>
      </c>
      <c r="I421" s="394">
        <v>5.113593859741311E-4</v>
      </c>
      <c r="J421" s="689">
        <v>1.6124044793973035E-5</v>
      </c>
      <c r="K421" s="690">
        <v>1.6853098538697475E-5</v>
      </c>
    </row>
    <row r="422" spans="2:11" ht="15.75" x14ac:dyDescent="0.25">
      <c r="B422" s="667" t="s">
        <v>67</v>
      </c>
      <c r="C422" s="110">
        <v>2044</v>
      </c>
      <c r="D422" s="687" t="s">
        <v>819</v>
      </c>
      <c r="E422" s="688">
        <v>2.5173917436127392E-2</v>
      </c>
      <c r="F422" s="310">
        <v>1.9263375727271018E-3</v>
      </c>
      <c r="G422" s="311">
        <v>1.7777500356252265E-2</v>
      </c>
      <c r="H422" s="311">
        <v>4.6107908663285674E-4</v>
      </c>
      <c r="I422" s="394">
        <v>5.0079062684266651E-4</v>
      </c>
      <c r="J422" s="689">
        <v>1.5928220603367067E-5</v>
      </c>
      <c r="K422" s="690">
        <v>1.6648425369194672E-5</v>
      </c>
    </row>
    <row r="423" spans="2:11" ht="15.75" x14ac:dyDescent="0.25">
      <c r="B423" s="667" t="s">
        <v>67</v>
      </c>
      <c r="C423" s="110">
        <v>2045</v>
      </c>
      <c r="D423" s="687" t="s">
        <v>820</v>
      </c>
      <c r="E423" s="688">
        <v>2.5114639020031689E-2</v>
      </c>
      <c r="F423" s="310">
        <v>1.8910754770640156E-3</v>
      </c>
      <c r="G423" s="311">
        <v>1.7685670425113473E-2</v>
      </c>
      <c r="H423" s="311">
        <v>4.5302697931185826E-4</v>
      </c>
      <c r="I423" s="394">
        <v>4.9203946834809977E-4</v>
      </c>
      <c r="J423" s="689">
        <v>1.5780131090204709E-5</v>
      </c>
      <c r="K423" s="690">
        <v>1.6493637066399216E-5</v>
      </c>
    </row>
    <row r="424" spans="2:11" ht="15.75" x14ac:dyDescent="0.25">
      <c r="B424" s="667" t="s">
        <v>67</v>
      </c>
      <c r="C424" s="110">
        <v>2046</v>
      </c>
      <c r="D424" s="687" t="s">
        <v>821</v>
      </c>
      <c r="E424" s="688">
        <v>2.5066251364476377E-2</v>
      </c>
      <c r="F424" s="310">
        <v>1.8615365059145099E-3</v>
      </c>
      <c r="G424" s="311">
        <v>1.7614217615783568E-2</v>
      </c>
      <c r="H424" s="311">
        <v>4.4645174440562216E-4</v>
      </c>
      <c r="I424" s="394">
        <v>4.8489315495589238E-4</v>
      </c>
      <c r="J424" s="689">
        <v>1.5667292050413571E-5</v>
      </c>
      <c r="K424" s="690">
        <v>1.6375695037459195E-5</v>
      </c>
    </row>
    <row r="425" spans="2:11" ht="15.75" x14ac:dyDescent="0.25">
      <c r="B425" s="667" t="s">
        <v>67</v>
      </c>
      <c r="C425" s="110">
        <v>2047</v>
      </c>
      <c r="D425" s="687" t="s">
        <v>822</v>
      </c>
      <c r="E425" s="688">
        <v>2.5026733563389258E-2</v>
      </c>
      <c r="F425" s="310">
        <v>1.8358748434751341E-3</v>
      </c>
      <c r="G425" s="311">
        <v>1.7547074458360731E-2</v>
      </c>
      <c r="H425" s="311">
        <v>4.4111038072160169E-4</v>
      </c>
      <c r="I425" s="394">
        <v>4.7908747696515352E-4</v>
      </c>
      <c r="J425" s="689">
        <v>1.5580040061330975E-5</v>
      </c>
      <c r="K425" s="690">
        <v>1.6284500840829474E-5</v>
      </c>
    </row>
    <row r="426" spans="2:11" ht="15.75" x14ac:dyDescent="0.25">
      <c r="B426" s="667" t="s">
        <v>67</v>
      </c>
      <c r="C426" s="110">
        <v>2048</v>
      </c>
      <c r="D426" s="687" t="s">
        <v>823</v>
      </c>
      <c r="E426" s="688">
        <v>2.499441624520771E-2</v>
      </c>
      <c r="F426" s="310">
        <v>1.8151784859921139E-3</v>
      </c>
      <c r="G426" s="311">
        <v>1.7490818846701693E-2</v>
      </c>
      <c r="H426" s="311">
        <v>4.3678088646871072E-4</v>
      </c>
      <c r="I426" s="394">
        <v>4.7438182207699194E-4</v>
      </c>
      <c r="J426" s="689">
        <v>1.5511009028991253E-5</v>
      </c>
      <c r="K426" s="690">
        <v>1.6212346808663025E-5</v>
      </c>
    </row>
    <row r="427" spans="2:11" ht="15.75" x14ac:dyDescent="0.25">
      <c r="B427" s="667" t="s">
        <v>67</v>
      </c>
      <c r="C427" s="110">
        <v>2049</v>
      </c>
      <c r="D427" s="687" t="s">
        <v>824</v>
      </c>
      <c r="E427" s="688">
        <v>2.4967927726575329E-2</v>
      </c>
      <c r="F427" s="310">
        <v>1.8066128723199261E-3</v>
      </c>
      <c r="G427" s="311">
        <v>1.75003255792575E-2</v>
      </c>
      <c r="H427" s="311">
        <v>4.3386310375922445E-4</v>
      </c>
      <c r="I427" s="394">
        <v>4.7121065189917669E-4</v>
      </c>
      <c r="J427" s="689">
        <v>1.5460825250724085E-5</v>
      </c>
      <c r="K427" s="690">
        <v>1.6159898417792214E-5</v>
      </c>
    </row>
    <row r="428" spans="2:11" ht="15.75" x14ac:dyDescent="0.25">
      <c r="B428" s="667" t="s">
        <v>67</v>
      </c>
      <c r="C428" s="110">
        <v>2050</v>
      </c>
      <c r="D428" s="687" t="s">
        <v>825</v>
      </c>
      <c r="E428" s="688">
        <v>2.4946557347403982E-2</v>
      </c>
      <c r="F428" s="310">
        <v>1.7998656247408878E-3</v>
      </c>
      <c r="G428" s="311">
        <v>1.7509933355351961E-2</v>
      </c>
      <c r="H428" s="311">
        <v>4.3156026223834095E-4</v>
      </c>
      <c r="I428" s="394">
        <v>4.6870773996838172E-4</v>
      </c>
      <c r="J428" s="689">
        <v>1.5412039914242417E-5</v>
      </c>
      <c r="K428" s="690">
        <v>1.6108900891811538E-5</v>
      </c>
    </row>
    <row r="429" spans="2:11" ht="15.75" x14ac:dyDescent="0.25">
      <c r="B429" s="667" t="s">
        <v>68</v>
      </c>
      <c r="C429" s="110">
        <v>2015</v>
      </c>
      <c r="D429" s="687" t="s">
        <v>212</v>
      </c>
      <c r="E429" s="688">
        <v>4.5783229141895997E-2</v>
      </c>
      <c r="F429" s="310">
        <v>6.0741772857357587E-2</v>
      </c>
      <c r="G429" s="311">
        <v>0.22986141807015531</v>
      </c>
      <c r="H429" s="311">
        <v>2.1098487391456493E-3</v>
      </c>
      <c r="I429" s="394">
        <v>2.2833093806420325E-3</v>
      </c>
      <c r="J429" s="689">
        <v>1.7786253080600843E-4</v>
      </c>
      <c r="K429" s="690">
        <v>1.8590468860611356E-4</v>
      </c>
    </row>
    <row r="430" spans="2:11" ht="15.75" x14ac:dyDescent="0.25">
      <c r="B430" s="667" t="s">
        <v>68</v>
      </c>
      <c r="C430" s="110">
        <v>2016</v>
      </c>
      <c r="D430" s="687" t="s">
        <v>213</v>
      </c>
      <c r="E430" s="688">
        <v>4.4886987166095772E-2</v>
      </c>
      <c r="F430" s="310">
        <v>5.0754152931517811E-2</v>
      </c>
      <c r="G430" s="311">
        <v>0.19645575364671294</v>
      </c>
      <c r="H430" s="311">
        <v>1.9583901588435594E-3</v>
      </c>
      <c r="I430" s="394">
        <v>2.1210868886160999E-3</v>
      </c>
      <c r="J430" s="689">
        <v>1.4730986703944595E-4</v>
      </c>
      <c r="K430" s="690">
        <v>1.539705632208514E-4</v>
      </c>
    </row>
    <row r="431" spans="2:11" ht="15.75" x14ac:dyDescent="0.25">
      <c r="B431" s="667" t="s">
        <v>68</v>
      </c>
      <c r="C431" s="110">
        <v>2017</v>
      </c>
      <c r="D431" s="687" t="s">
        <v>826</v>
      </c>
      <c r="E431" s="688">
        <v>4.3730654144060646E-2</v>
      </c>
      <c r="F431" s="310">
        <v>4.2424376329702446E-2</v>
      </c>
      <c r="G431" s="311">
        <v>0.16707248527554383</v>
      </c>
      <c r="H431" s="311">
        <v>1.8739403656185816E-3</v>
      </c>
      <c r="I431" s="394">
        <v>2.0306108582403165E-3</v>
      </c>
      <c r="J431" s="689">
        <v>1.3382020336688731E-4</v>
      </c>
      <c r="K431" s="690">
        <v>1.3987095635605145E-4</v>
      </c>
    </row>
    <row r="432" spans="2:11" ht="15.75" x14ac:dyDescent="0.25">
      <c r="B432" s="667" t="s">
        <v>68</v>
      </c>
      <c r="C432" s="110">
        <v>2018</v>
      </c>
      <c r="D432" s="687" t="s">
        <v>827</v>
      </c>
      <c r="E432" s="688">
        <v>4.2516838391857555E-2</v>
      </c>
      <c r="F432" s="310">
        <v>3.5041192152807391E-2</v>
      </c>
      <c r="G432" s="311">
        <v>0.14123627469820535</v>
      </c>
      <c r="H432" s="311">
        <v>1.8255322185516778E-3</v>
      </c>
      <c r="I432" s="394">
        <v>1.9791092838310309E-3</v>
      </c>
      <c r="J432" s="689">
        <v>1.2298286654563185E-4</v>
      </c>
      <c r="K432" s="690">
        <v>1.2854360176742366E-4</v>
      </c>
    </row>
    <row r="433" spans="2:11" ht="15.75" x14ac:dyDescent="0.25">
      <c r="B433" s="667" t="s">
        <v>68</v>
      </c>
      <c r="C433" s="110">
        <v>2019</v>
      </c>
      <c r="D433" s="687" t="s">
        <v>828</v>
      </c>
      <c r="E433" s="688">
        <v>4.1262469576388204E-2</v>
      </c>
      <c r="F433" s="310">
        <v>2.8827974458510427E-2</v>
      </c>
      <c r="G433" s="311">
        <v>0.11927285016582687</v>
      </c>
      <c r="H433" s="311">
        <v>1.7931219650967846E-3</v>
      </c>
      <c r="I433" s="394">
        <v>1.9447526846032321E-3</v>
      </c>
      <c r="J433" s="689">
        <v>1.1406110335051043E-4</v>
      </c>
      <c r="K433" s="690">
        <v>1.1921843786172636E-4</v>
      </c>
    </row>
    <row r="434" spans="2:11" ht="15.75" x14ac:dyDescent="0.25">
      <c r="B434" s="667" t="s">
        <v>68</v>
      </c>
      <c r="C434" s="110">
        <v>2020</v>
      </c>
      <c r="D434" s="687" t="s">
        <v>829</v>
      </c>
      <c r="E434" s="688">
        <v>3.9991673412479507E-2</v>
      </c>
      <c r="F434" s="310">
        <v>2.4058865543117487E-2</v>
      </c>
      <c r="G434" s="311">
        <v>0.10105620079297363</v>
      </c>
      <c r="H434" s="311">
        <v>1.737113688549846E-3</v>
      </c>
      <c r="I434" s="394">
        <v>1.8843554217574084E-3</v>
      </c>
      <c r="J434" s="689">
        <v>1.0671931116435354E-4</v>
      </c>
      <c r="K434" s="690">
        <v>1.115446861950716E-4</v>
      </c>
    </row>
    <row r="435" spans="2:11" ht="15.75" x14ac:dyDescent="0.25">
      <c r="B435" s="667" t="s">
        <v>68</v>
      </c>
      <c r="C435" s="110">
        <v>2021</v>
      </c>
      <c r="D435" s="687" t="s">
        <v>830</v>
      </c>
      <c r="E435" s="688">
        <v>3.8713392477168103E-2</v>
      </c>
      <c r="F435" s="310">
        <v>2.0161927869270763E-2</v>
      </c>
      <c r="G435" s="311">
        <v>8.5696539780657874E-2</v>
      </c>
      <c r="H435" s="311">
        <v>1.6457106612909206E-3</v>
      </c>
      <c r="I435" s="394">
        <v>1.7854790972244015E-3</v>
      </c>
      <c r="J435" s="689">
        <v>9.7451699402805662E-5</v>
      </c>
      <c r="K435" s="690">
        <v>1.018580313374191E-4</v>
      </c>
    </row>
    <row r="436" spans="2:11" ht="15.75" x14ac:dyDescent="0.25">
      <c r="B436" s="667" t="s">
        <v>68</v>
      </c>
      <c r="C436" s="110">
        <v>2022</v>
      </c>
      <c r="D436" s="687" t="s">
        <v>831</v>
      </c>
      <c r="E436" s="688">
        <v>3.7462191468192345E-2</v>
      </c>
      <c r="F436" s="310">
        <v>1.6691874362756539E-2</v>
      </c>
      <c r="G436" s="311">
        <v>7.2754710547742144E-2</v>
      </c>
      <c r="H436" s="311">
        <v>1.5595307828094793E-3</v>
      </c>
      <c r="I436" s="394">
        <v>1.6922485614880613E-3</v>
      </c>
      <c r="J436" s="689">
        <v>9.0013392841035154E-5</v>
      </c>
      <c r="K436" s="690">
        <v>9.4083400405660397E-5</v>
      </c>
    </row>
    <row r="437" spans="2:11" ht="15.75" x14ac:dyDescent="0.25">
      <c r="B437" s="667" t="s">
        <v>68</v>
      </c>
      <c r="C437" s="110">
        <v>2023</v>
      </c>
      <c r="D437" s="687" t="s">
        <v>832</v>
      </c>
      <c r="E437" s="688">
        <v>3.6232679408727056E-2</v>
      </c>
      <c r="F437" s="310">
        <v>1.4202043392741569E-2</v>
      </c>
      <c r="G437" s="311">
        <v>6.2465143643895486E-2</v>
      </c>
      <c r="H437" s="311">
        <v>1.483638079994526E-3</v>
      </c>
      <c r="I437" s="394">
        <v>1.6100268766849897E-3</v>
      </c>
      <c r="J437" s="689">
        <v>8.3229686993466738E-5</v>
      </c>
      <c r="K437" s="690">
        <v>8.699296314756055E-5</v>
      </c>
    </row>
    <row r="438" spans="2:11" ht="15.75" x14ac:dyDescent="0.25">
      <c r="B438" s="667" t="s">
        <v>68</v>
      </c>
      <c r="C438" s="110">
        <v>2024</v>
      </c>
      <c r="D438" s="687" t="s">
        <v>833</v>
      </c>
      <c r="E438" s="688">
        <v>3.5030377868133136E-2</v>
      </c>
      <c r="F438" s="310">
        <v>1.2143187927789388E-2</v>
      </c>
      <c r="G438" s="311">
        <v>5.4058097970707833E-2</v>
      </c>
      <c r="H438" s="311">
        <v>1.4138635720269206E-3</v>
      </c>
      <c r="I438" s="394">
        <v>1.5345765168518135E-3</v>
      </c>
      <c r="J438" s="689">
        <v>7.3602142008529628E-5</v>
      </c>
      <c r="K438" s="690">
        <v>7.6930104555340972E-5</v>
      </c>
    </row>
    <row r="439" spans="2:11" ht="15.75" x14ac:dyDescent="0.25">
      <c r="B439" s="667" t="s">
        <v>68</v>
      </c>
      <c r="C439" s="110">
        <v>2025</v>
      </c>
      <c r="D439" s="687" t="s">
        <v>834</v>
      </c>
      <c r="E439" s="688">
        <v>3.3855533492833115E-2</v>
      </c>
      <c r="F439" s="310">
        <v>1.0498354359633042E-2</v>
      </c>
      <c r="G439" s="311">
        <v>4.7398004654293523E-2</v>
      </c>
      <c r="H439" s="311">
        <v>1.3546018396583537E-3</v>
      </c>
      <c r="I439" s="394">
        <v>1.4704787565590137E-3</v>
      </c>
      <c r="J439" s="689">
        <v>6.5429944509896875E-5</v>
      </c>
      <c r="K439" s="690">
        <v>6.8388400154816329E-5</v>
      </c>
    </row>
    <row r="440" spans="2:11" ht="15.75" x14ac:dyDescent="0.25">
      <c r="B440" s="667" t="s">
        <v>68</v>
      </c>
      <c r="C440" s="110">
        <v>2026</v>
      </c>
      <c r="D440" s="687" t="s">
        <v>835</v>
      </c>
      <c r="E440" s="688">
        <v>3.2788778020358671E-2</v>
      </c>
      <c r="F440" s="310">
        <v>9.1667468304083149E-3</v>
      </c>
      <c r="G440" s="311">
        <v>4.2110230176396236E-2</v>
      </c>
      <c r="H440" s="311">
        <v>1.2952687080556987E-3</v>
      </c>
      <c r="I440" s="394">
        <v>1.4062214666629852E-3</v>
      </c>
      <c r="J440" s="689">
        <v>5.9011974855975805E-5</v>
      </c>
      <c r="K440" s="690">
        <v>6.1680236770271933E-5</v>
      </c>
    </row>
    <row r="441" spans="2:11" ht="15.75" x14ac:dyDescent="0.25">
      <c r="B441" s="667" t="s">
        <v>68</v>
      </c>
      <c r="C441" s="110">
        <v>2027</v>
      </c>
      <c r="D441" s="687" t="s">
        <v>836</v>
      </c>
      <c r="E441" s="688">
        <v>3.1818043158868527E-2</v>
      </c>
      <c r="F441" s="310">
        <v>8.0640756984938101E-3</v>
      </c>
      <c r="G441" s="311">
        <v>3.7778837974834258E-2</v>
      </c>
      <c r="H441" s="311">
        <v>1.226802736439889E-3</v>
      </c>
      <c r="I441" s="394">
        <v>1.3321063479017575E-3</v>
      </c>
      <c r="J441" s="689">
        <v>5.0816195298672385E-5</v>
      </c>
      <c r="K441" s="690">
        <v>5.3113884492369467E-5</v>
      </c>
    </row>
    <row r="442" spans="2:11" ht="15.75" x14ac:dyDescent="0.25">
      <c r="B442" s="667" t="s">
        <v>68</v>
      </c>
      <c r="C442" s="110">
        <v>2028</v>
      </c>
      <c r="D442" s="687" t="s">
        <v>837</v>
      </c>
      <c r="E442" s="688">
        <v>3.094790128200825E-2</v>
      </c>
      <c r="F442" s="310">
        <v>7.1568424643318872E-3</v>
      </c>
      <c r="G442" s="311">
        <v>3.4263044436974838E-2</v>
      </c>
      <c r="H442" s="311">
        <v>1.1514426341014872E-3</v>
      </c>
      <c r="I442" s="394">
        <v>1.2505012163185893E-3</v>
      </c>
      <c r="J442" s="689">
        <v>4.2422236027915787E-5</v>
      </c>
      <c r="K442" s="690">
        <v>4.4340387702380046E-5</v>
      </c>
    </row>
    <row r="443" spans="2:11" ht="15.75" x14ac:dyDescent="0.25">
      <c r="B443" s="667" t="s">
        <v>68</v>
      </c>
      <c r="C443" s="110">
        <v>2029</v>
      </c>
      <c r="D443" s="687" t="s">
        <v>838</v>
      </c>
      <c r="E443" s="688">
        <v>3.0169569873031377E-2</v>
      </c>
      <c r="F443" s="310">
        <v>6.3817464333204696E-3</v>
      </c>
      <c r="G443" s="311">
        <v>3.1349991584691726E-2</v>
      </c>
      <c r="H443" s="311">
        <v>1.0808456251499407E-3</v>
      </c>
      <c r="I443" s="394">
        <v>1.1739481750309981E-3</v>
      </c>
      <c r="J443" s="689">
        <v>3.7064459631796439E-5</v>
      </c>
      <c r="K443" s="690">
        <v>3.8740344500027326E-5</v>
      </c>
    </row>
    <row r="444" spans="2:11" ht="15.75" x14ac:dyDescent="0.25">
      <c r="B444" s="667" t="s">
        <v>68</v>
      </c>
      <c r="C444" s="110">
        <v>2030</v>
      </c>
      <c r="D444" s="687" t="s">
        <v>839</v>
      </c>
      <c r="E444" s="688">
        <v>2.9478309933457635E-2</v>
      </c>
      <c r="F444" s="310">
        <v>5.7478002837252238E-3</v>
      </c>
      <c r="G444" s="311">
        <v>2.9011550704975644E-2</v>
      </c>
      <c r="H444" s="311">
        <v>1.0147636240925993E-3</v>
      </c>
      <c r="I444" s="394">
        <v>1.1022592284048211E-3</v>
      </c>
      <c r="J444" s="689">
        <v>3.2769849153163669E-5</v>
      </c>
      <c r="K444" s="690">
        <v>3.4251551754860355E-5</v>
      </c>
    </row>
    <row r="445" spans="2:11" ht="15.75" x14ac:dyDescent="0.25">
      <c r="B445" s="667" t="s">
        <v>68</v>
      </c>
      <c r="C445" s="110">
        <v>2031</v>
      </c>
      <c r="D445" s="687" t="s">
        <v>840</v>
      </c>
      <c r="E445" s="688">
        <v>2.8866829505587815E-2</v>
      </c>
      <c r="F445" s="310">
        <v>5.2028327285963561E-3</v>
      </c>
      <c r="G445" s="311">
        <v>2.7049480437593521E-2</v>
      </c>
      <c r="H445" s="311">
        <v>9.5384542959258724E-4</v>
      </c>
      <c r="I445" s="394">
        <v>1.0361085365233997E-3</v>
      </c>
      <c r="J445" s="689">
        <v>3.0327402916479755E-5</v>
      </c>
      <c r="K445" s="690">
        <v>3.1698672829349107E-5</v>
      </c>
    </row>
    <row r="446" spans="2:11" ht="15.75" x14ac:dyDescent="0.25">
      <c r="B446" s="667" t="s">
        <v>68</v>
      </c>
      <c r="C446" s="110">
        <v>2032</v>
      </c>
      <c r="D446" s="687" t="s">
        <v>841</v>
      </c>
      <c r="E446" s="688">
        <v>2.8327718907354773E-2</v>
      </c>
      <c r="F446" s="310">
        <v>4.7389919680349687E-3</v>
      </c>
      <c r="G446" s="311">
        <v>2.5462538335631005E-2</v>
      </c>
      <c r="H446" s="311">
        <v>8.9683910519240781E-4</v>
      </c>
      <c r="I446" s="394">
        <v>9.7420713688443385E-4</v>
      </c>
      <c r="J446" s="689">
        <v>2.8026297081021095E-5</v>
      </c>
      <c r="K446" s="690">
        <v>2.9293520645081307E-5</v>
      </c>
    </row>
    <row r="447" spans="2:11" ht="15.75" x14ac:dyDescent="0.25">
      <c r="B447" s="667" t="s">
        <v>68</v>
      </c>
      <c r="C447" s="110">
        <v>2033</v>
      </c>
      <c r="D447" s="687" t="s">
        <v>842</v>
      </c>
      <c r="E447" s="688">
        <v>2.7855761094360696E-2</v>
      </c>
      <c r="F447" s="310">
        <v>4.3382534432883429E-3</v>
      </c>
      <c r="G447" s="311">
        <v>2.4154839367260879E-2</v>
      </c>
      <c r="H447" s="311">
        <v>8.4421290057560031E-4</v>
      </c>
      <c r="I447" s="394">
        <v>9.1704240695272734E-4</v>
      </c>
      <c r="J447" s="689">
        <v>2.6340621055459459E-5</v>
      </c>
      <c r="K447" s="690">
        <v>2.7531624998403059E-5</v>
      </c>
    </row>
    <row r="448" spans="2:11" ht="15.75" x14ac:dyDescent="0.25">
      <c r="B448" s="667" t="s">
        <v>68</v>
      </c>
      <c r="C448" s="110">
        <v>2034</v>
      </c>
      <c r="D448" s="687" t="s">
        <v>843</v>
      </c>
      <c r="E448" s="688">
        <v>2.7443083463377049E-2</v>
      </c>
      <c r="F448" s="310">
        <v>3.9780141755175295E-3</v>
      </c>
      <c r="G448" s="311">
        <v>2.3034347562164735E-2</v>
      </c>
      <c r="H448" s="311">
        <v>7.9505407327343811E-4</v>
      </c>
      <c r="I448" s="394">
        <v>8.6364290216006613E-4</v>
      </c>
      <c r="J448" s="689">
        <v>2.4806146070786752E-5</v>
      </c>
      <c r="K448" s="690">
        <v>2.5927770632806599E-5</v>
      </c>
    </row>
    <row r="449" spans="2:11" ht="15.75" x14ac:dyDescent="0.25">
      <c r="B449" s="667" t="s">
        <v>68</v>
      </c>
      <c r="C449" s="110">
        <v>2035</v>
      </c>
      <c r="D449" s="687" t="s">
        <v>844</v>
      </c>
      <c r="E449" s="688">
        <v>2.7085616769883285E-2</v>
      </c>
      <c r="F449" s="310">
        <v>3.6649214574395652E-3</v>
      </c>
      <c r="G449" s="311">
        <v>2.2122503031978675E-2</v>
      </c>
      <c r="H449" s="311">
        <v>7.4993893973101936E-4</v>
      </c>
      <c r="I449" s="394">
        <v>8.1463420048936996E-4</v>
      </c>
      <c r="J449" s="689">
        <v>2.3418975650803049E-5</v>
      </c>
      <c r="K449" s="690">
        <v>2.4477878593656016E-5</v>
      </c>
    </row>
    <row r="450" spans="2:11" ht="15.75" x14ac:dyDescent="0.25">
      <c r="B450" s="667" t="s">
        <v>68</v>
      </c>
      <c r="C450" s="110">
        <v>2036</v>
      </c>
      <c r="D450" s="687" t="s">
        <v>845</v>
      </c>
      <c r="E450" s="688">
        <v>2.6776625894035858E-2</v>
      </c>
      <c r="F450" s="310">
        <v>3.3896010364739861E-3</v>
      </c>
      <c r="G450" s="311">
        <v>2.1357801041412803E-2</v>
      </c>
      <c r="H450" s="311">
        <v>7.1025487587392808E-4</v>
      </c>
      <c r="I450" s="394">
        <v>7.7152716169114771E-4</v>
      </c>
      <c r="J450" s="689">
        <v>2.2187164508410522E-5</v>
      </c>
      <c r="K450" s="690">
        <v>2.3190372998411817E-5</v>
      </c>
    </row>
    <row r="451" spans="2:11" ht="15.75" x14ac:dyDescent="0.25">
      <c r="B451" s="667" t="s">
        <v>68</v>
      </c>
      <c r="C451" s="110">
        <v>2037</v>
      </c>
      <c r="D451" s="687" t="s">
        <v>846</v>
      </c>
      <c r="E451" s="688">
        <v>2.6512350823129312E-2</v>
      </c>
      <c r="F451" s="310">
        <v>3.1572332595220516E-3</v>
      </c>
      <c r="G451" s="311">
        <v>2.0749087183426992E-2</v>
      </c>
      <c r="H451" s="311">
        <v>6.7466521209333093E-4</v>
      </c>
      <c r="I451" s="394">
        <v>7.3287008630114185E-4</v>
      </c>
      <c r="J451" s="689">
        <v>2.0988034245879644E-5</v>
      </c>
      <c r="K451" s="690">
        <v>2.1937022587974179E-5</v>
      </c>
    </row>
    <row r="452" spans="2:11" ht="15.75" x14ac:dyDescent="0.25">
      <c r="B452" s="667" t="s">
        <v>68</v>
      </c>
      <c r="C452" s="110">
        <v>2038</v>
      </c>
      <c r="D452" s="687" t="s">
        <v>847</v>
      </c>
      <c r="E452" s="688">
        <v>2.6288679679537835E-2</v>
      </c>
      <c r="F452" s="310">
        <v>2.9495653046141971E-3</v>
      </c>
      <c r="G452" s="311">
        <v>2.0214473267963929E-2</v>
      </c>
      <c r="H452" s="311">
        <v>6.4301243189541037E-4</v>
      </c>
      <c r="I452" s="394">
        <v>6.984852610294899E-4</v>
      </c>
      <c r="J452" s="689">
        <v>2.0050571188984724E-5</v>
      </c>
      <c r="K452" s="690">
        <v>2.0957165966214804E-5</v>
      </c>
    </row>
    <row r="453" spans="2:11" ht="15.75" x14ac:dyDescent="0.25">
      <c r="B453" s="667" t="s">
        <v>68</v>
      </c>
      <c r="C453" s="110">
        <v>2039</v>
      </c>
      <c r="D453" s="687" t="s">
        <v>848</v>
      </c>
      <c r="E453" s="688">
        <v>2.6099186829740714E-2</v>
      </c>
      <c r="F453" s="310">
        <v>2.7539515278838396E-3</v>
      </c>
      <c r="G453" s="311">
        <v>1.9712441075133411E-2</v>
      </c>
      <c r="H453" s="311">
        <v>6.1486775230376362E-4</v>
      </c>
      <c r="I453" s="394">
        <v>6.6790869197584125E-4</v>
      </c>
      <c r="J453" s="689">
        <v>1.9259035375056501E-5</v>
      </c>
      <c r="K453" s="690">
        <v>2.0129843852865561E-5</v>
      </c>
    </row>
    <row r="454" spans="2:11" ht="15.75" x14ac:dyDescent="0.25">
      <c r="B454" s="667" t="s">
        <v>68</v>
      </c>
      <c r="C454" s="110">
        <v>2040</v>
      </c>
      <c r="D454" s="687" t="s">
        <v>849</v>
      </c>
      <c r="E454" s="688">
        <v>2.5940977460168806E-2</v>
      </c>
      <c r="F454" s="310">
        <v>2.5892756726911032E-3</v>
      </c>
      <c r="G454" s="311">
        <v>1.9327609332549889E-2</v>
      </c>
      <c r="H454" s="311">
        <v>5.9043290082887862E-4</v>
      </c>
      <c r="I454" s="394">
        <v>6.413627921381999E-4</v>
      </c>
      <c r="J454" s="689">
        <v>1.8571793295091949E-5</v>
      </c>
      <c r="K454" s="690">
        <v>1.9411527907979634E-5</v>
      </c>
    </row>
    <row r="455" spans="2:11" ht="15.75" x14ac:dyDescent="0.25">
      <c r="B455" s="667" t="s">
        <v>68</v>
      </c>
      <c r="C455" s="110">
        <v>2041</v>
      </c>
      <c r="D455" s="687" t="s">
        <v>850</v>
      </c>
      <c r="E455" s="688">
        <v>2.581047350698739E-2</v>
      </c>
      <c r="F455" s="310">
        <v>2.4604652898220719E-3</v>
      </c>
      <c r="G455" s="311">
        <v>1.9022876228421831E-2</v>
      </c>
      <c r="H455" s="311">
        <v>5.7081833793972878E-4</v>
      </c>
      <c r="I455" s="394">
        <v>6.2005451844358763E-4</v>
      </c>
      <c r="J455" s="689">
        <v>1.8001774107166307E-5</v>
      </c>
      <c r="K455" s="690">
        <v>1.8815731839147126E-5</v>
      </c>
    </row>
    <row r="456" spans="2:11" ht="15.75" x14ac:dyDescent="0.25">
      <c r="B456" s="667" t="s">
        <v>68</v>
      </c>
      <c r="C456" s="110">
        <v>2042</v>
      </c>
      <c r="D456" s="687" t="s">
        <v>851</v>
      </c>
      <c r="E456" s="688">
        <v>2.5702179727697907E-2</v>
      </c>
      <c r="F456" s="310">
        <v>2.3501533494079941E-3</v>
      </c>
      <c r="G456" s="311">
        <v>1.8747009561838262E-2</v>
      </c>
      <c r="H456" s="311">
        <v>5.5408875034210572E-4</v>
      </c>
      <c r="I456" s="394">
        <v>6.0187807144152189E-4</v>
      </c>
      <c r="J456" s="689">
        <v>1.7568242941630712E-5</v>
      </c>
      <c r="K456" s="690">
        <v>1.8362597887351273E-5</v>
      </c>
    </row>
    <row r="457" spans="2:11" ht="15.75" x14ac:dyDescent="0.25">
      <c r="B457" s="667" t="s">
        <v>68</v>
      </c>
      <c r="C457" s="110">
        <v>2043</v>
      </c>
      <c r="D457" s="687" t="s">
        <v>852</v>
      </c>
      <c r="E457" s="688">
        <v>2.5613507986537169E-2</v>
      </c>
      <c r="F457" s="310">
        <v>2.26603087287337E-3</v>
      </c>
      <c r="G457" s="311">
        <v>1.8544769615300868E-2</v>
      </c>
      <c r="H457" s="311">
        <v>5.4002106329455678E-4</v>
      </c>
      <c r="I457" s="394">
        <v>5.8659234028243302E-4</v>
      </c>
      <c r="J457" s="689">
        <v>1.7224790361457396E-5</v>
      </c>
      <c r="K457" s="690">
        <v>1.8003622673313471E-5</v>
      </c>
    </row>
    <row r="458" spans="2:11" ht="15.75" x14ac:dyDescent="0.25">
      <c r="B458" s="667" t="s">
        <v>68</v>
      </c>
      <c r="C458" s="110">
        <v>2044</v>
      </c>
      <c r="D458" s="687" t="s">
        <v>853</v>
      </c>
      <c r="E458" s="688">
        <v>2.5540845481673805E-2</v>
      </c>
      <c r="F458" s="310">
        <v>2.2037825623264884E-3</v>
      </c>
      <c r="G458" s="311">
        <v>1.8389963609349178E-2</v>
      </c>
      <c r="H458" s="311">
        <v>5.2822576559475481E-4</v>
      </c>
      <c r="I458" s="394">
        <v>5.7377519417854152E-4</v>
      </c>
      <c r="J458" s="689">
        <v>1.6944326994050197E-5</v>
      </c>
      <c r="K458" s="690">
        <v>1.7710474433273675E-5</v>
      </c>
    </row>
    <row r="459" spans="2:11" ht="15.75" x14ac:dyDescent="0.25">
      <c r="B459" s="667" t="s">
        <v>68</v>
      </c>
      <c r="C459" s="110">
        <v>2045</v>
      </c>
      <c r="D459" s="687" t="s">
        <v>854</v>
      </c>
      <c r="E459" s="688">
        <v>2.5480326217456203E-2</v>
      </c>
      <c r="F459" s="310">
        <v>2.1614360869463066E-3</v>
      </c>
      <c r="G459" s="311">
        <v>1.8290152823364377E-2</v>
      </c>
      <c r="H459" s="311">
        <v>5.1841874149568244E-4</v>
      </c>
      <c r="I459" s="394">
        <v>5.631183658699224E-4</v>
      </c>
      <c r="J459" s="689">
        <v>1.6724509932204651E-5</v>
      </c>
      <c r="K459" s="690">
        <v>1.7480719140688001E-5</v>
      </c>
    </row>
    <row r="460" spans="2:11" ht="15.75" x14ac:dyDescent="0.25">
      <c r="B460" s="667" t="s">
        <v>68</v>
      </c>
      <c r="C460" s="110">
        <v>2046</v>
      </c>
      <c r="D460" s="687" t="s">
        <v>855</v>
      </c>
      <c r="E460" s="688">
        <v>2.5430675350703851E-2</v>
      </c>
      <c r="F460" s="310">
        <v>2.1253464782516195E-3</v>
      </c>
      <c r="G460" s="311">
        <v>1.8209492377470032E-2</v>
      </c>
      <c r="H460" s="311">
        <v>5.1039419588630691E-4</v>
      </c>
      <c r="I460" s="394">
        <v>5.5439851644801163E-4</v>
      </c>
      <c r="J460" s="689">
        <v>1.6552478138676865E-5</v>
      </c>
      <c r="K460" s="690">
        <v>1.7300909228570242E-5</v>
      </c>
    </row>
    <row r="461" spans="2:11" ht="15.75" x14ac:dyDescent="0.25">
      <c r="B461" s="667" t="s">
        <v>68</v>
      </c>
      <c r="C461" s="110">
        <v>2047</v>
      </c>
      <c r="D461" s="687" t="s">
        <v>856</v>
      </c>
      <c r="E461" s="688">
        <v>2.5389880626879097E-2</v>
      </c>
      <c r="F461" s="310">
        <v>2.0938788803508868E-3</v>
      </c>
      <c r="G461" s="311">
        <v>1.8134081592515491E-2</v>
      </c>
      <c r="H461" s="311">
        <v>5.0387696970150692E-4</v>
      </c>
      <c r="I461" s="394">
        <v>5.473165190744676E-4</v>
      </c>
      <c r="J461" s="689">
        <v>1.6431998279228567E-5</v>
      </c>
      <c r="K461" s="690">
        <v>1.7174981093928092E-5</v>
      </c>
    </row>
    <row r="462" spans="2:11" ht="15.75" x14ac:dyDescent="0.25">
      <c r="B462" s="667" t="s">
        <v>68</v>
      </c>
      <c r="C462" s="110">
        <v>2048</v>
      </c>
      <c r="D462" s="687" t="s">
        <v>857</v>
      </c>
      <c r="E462" s="688">
        <v>2.5356652741239882E-2</v>
      </c>
      <c r="F462" s="310">
        <v>2.0686753041161236E-3</v>
      </c>
      <c r="G462" s="311">
        <v>1.8071582322328555E-2</v>
      </c>
      <c r="H462" s="311">
        <v>4.9859454727511812E-4</v>
      </c>
      <c r="I462" s="394">
        <v>5.4157571034955812E-4</v>
      </c>
      <c r="J462" s="689">
        <v>1.6315434915207549E-5</v>
      </c>
      <c r="K462" s="690">
        <v>1.7053145273048766E-5</v>
      </c>
    </row>
    <row r="463" spans="2:11" ht="15.75" x14ac:dyDescent="0.25">
      <c r="B463" s="667" t="s">
        <v>68</v>
      </c>
      <c r="C463" s="110">
        <v>2049</v>
      </c>
      <c r="D463" s="687" t="s">
        <v>858</v>
      </c>
      <c r="E463" s="688">
        <v>2.5329255773447634E-2</v>
      </c>
      <c r="F463" s="310">
        <v>2.0584683717294197E-3</v>
      </c>
      <c r="G463" s="311">
        <v>1.8082535753315535E-2</v>
      </c>
      <c r="H463" s="311">
        <v>4.9506321003928611E-4</v>
      </c>
      <c r="I463" s="394">
        <v>5.3773749178826597E-4</v>
      </c>
      <c r="J463" s="689">
        <v>1.6247279901894508E-5</v>
      </c>
      <c r="K463" s="690">
        <v>1.6981906521205438E-5</v>
      </c>
    </row>
    <row r="464" spans="2:11" ht="15.75" x14ac:dyDescent="0.25">
      <c r="B464" s="667" t="s">
        <v>68</v>
      </c>
      <c r="C464" s="110">
        <v>2050</v>
      </c>
      <c r="D464" s="687" t="s">
        <v>859</v>
      </c>
      <c r="E464" s="688">
        <v>2.5307699737173787E-2</v>
      </c>
      <c r="F464" s="310">
        <v>2.0506127233554062E-3</v>
      </c>
      <c r="G464" s="311">
        <v>1.8093413631111419E-2</v>
      </c>
      <c r="H464" s="311">
        <v>4.9226741789669165E-4</v>
      </c>
      <c r="I464" s="394">
        <v>5.3470082531841857E-4</v>
      </c>
      <c r="J464" s="689">
        <v>1.6167225602189504E-5</v>
      </c>
      <c r="K464" s="690">
        <v>1.6898240021447009E-5</v>
      </c>
    </row>
    <row r="465" spans="2:11" ht="15.75" x14ac:dyDescent="0.25">
      <c r="B465" s="667" t="s">
        <v>69</v>
      </c>
      <c r="C465" s="110">
        <v>2015</v>
      </c>
      <c r="D465" s="687" t="s">
        <v>215</v>
      </c>
      <c r="E465" s="688">
        <v>4.577688262772496E-2</v>
      </c>
      <c r="F465" s="310">
        <v>7.8280205357965801E-2</v>
      </c>
      <c r="G465" s="311">
        <v>0.32403810381190817</v>
      </c>
      <c r="H465" s="311">
        <v>2.8276739404882122E-3</v>
      </c>
      <c r="I465" s="394">
        <v>3.0498057963671333E-3</v>
      </c>
      <c r="J465" s="689">
        <v>4.7440042089466156E-4</v>
      </c>
      <c r="K465" s="690">
        <v>4.958507097107492E-4</v>
      </c>
    </row>
    <row r="466" spans="2:11" ht="15.75" x14ac:dyDescent="0.25">
      <c r="B466" s="667" t="s">
        <v>69</v>
      </c>
      <c r="C466" s="110">
        <v>2016</v>
      </c>
      <c r="D466" s="687" t="s">
        <v>216</v>
      </c>
      <c r="E466" s="688">
        <v>4.4850231803885143E-2</v>
      </c>
      <c r="F466" s="310">
        <v>6.5467436214072777E-2</v>
      </c>
      <c r="G466" s="311">
        <v>0.27988973091602859</v>
      </c>
      <c r="H466" s="311">
        <v>2.5690194795928061E-3</v>
      </c>
      <c r="I466" s="394">
        <v>2.7716784393648328E-3</v>
      </c>
      <c r="J466" s="689">
        <v>4.3820549159491961E-4</v>
      </c>
      <c r="K466" s="690">
        <v>4.5801919466704279E-4</v>
      </c>
    </row>
    <row r="467" spans="2:11" ht="15.75" x14ac:dyDescent="0.25">
      <c r="B467" s="667" t="s">
        <v>69</v>
      </c>
      <c r="C467" s="110">
        <v>2017</v>
      </c>
      <c r="D467" s="687" t="s">
        <v>896</v>
      </c>
      <c r="E467" s="688">
        <v>4.375267178704665E-2</v>
      </c>
      <c r="F467" s="310">
        <v>5.5353911278889494E-2</v>
      </c>
      <c r="G467" s="311">
        <v>0.24363958940054126</v>
      </c>
      <c r="H467" s="311">
        <v>2.3878723153897001E-3</v>
      </c>
      <c r="I467" s="394">
        <v>2.5777243623947925E-3</v>
      </c>
      <c r="J467" s="689">
        <v>3.9476995783055706E-4</v>
      </c>
      <c r="K467" s="690">
        <v>4.1261969873605131E-4</v>
      </c>
    </row>
    <row r="468" spans="2:11" ht="15.75" x14ac:dyDescent="0.25">
      <c r="B468" s="667" t="s">
        <v>69</v>
      </c>
      <c r="C468" s="110">
        <v>2018</v>
      </c>
      <c r="D468" s="687" t="s">
        <v>897</v>
      </c>
      <c r="E468" s="688">
        <v>4.2621822710346396E-2</v>
      </c>
      <c r="F468" s="310">
        <v>4.6373413764050506E-2</v>
      </c>
      <c r="G468" s="311">
        <v>0.2109686208063401</v>
      </c>
      <c r="H468" s="311">
        <v>2.2468476341060114E-3</v>
      </c>
      <c r="I468" s="394">
        <v>2.427081879817447E-3</v>
      </c>
      <c r="J468" s="689">
        <v>3.5422786301550182E-4</v>
      </c>
      <c r="K468" s="690">
        <v>3.7024447378463261E-4</v>
      </c>
    </row>
    <row r="469" spans="2:11" ht="15.75" x14ac:dyDescent="0.25">
      <c r="B469" s="667" t="s">
        <v>69</v>
      </c>
      <c r="C469" s="110">
        <v>2019</v>
      </c>
      <c r="D469" s="687" t="s">
        <v>898</v>
      </c>
      <c r="E469" s="688">
        <v>4.1452231226848969E-2</v>
      </c>
      <c r="F469" s="310">
        <v>3.8707431739956624E-2</v>
      </c>
      <c r="G469" s="311">
        <v>0.18238433732480938</v>
      </c>
      <c r="H469" s="311">
        <v>2.134177543437752E-3</v>
      </c>
      <c r="I469" s="394">
        <v>2.3068367646375651E-3</v>
      </c>
      <c r="J469" s="689">
        <v>3.1809795791064912E-4</v>
      </c>
      <c r="K469" s="690">
        <v>3.3248094456403952E-4</v>
      </c>
    </row>
    <row r="470" spans="2:11" ht="15.75" x14ac:dyDescent="0.25">
      <c r="B470" s="667" t="s">
        <v>69</v>
      </c>
      <c r="C470" s="110">
        <v>2020</v>
      </c>
      <c r="D470" s="687" t="s">
        <v>899</v>
      </c>
      <c r="E470" s="688">
        <v>4.0262061083891881E-2</v>
      </c>
      <c r="F470" s="310">
        <v>3.2839767130804699E-2</v>
      </c>
      <c r="G470" s="311">
        <v>0.15780711244399076</v>
      </c>
      <c r="H470" s="311">
        <v>2.0206855561784218E-3</v>
      </c>
      <c r="I470" s="394">
        <v>2.1850988633027547E-3</v>
      </c>
      <c r="J470" s="689">
        <v>2.8469767864820988E-4</v>
      </c>
      <c r="K470" s="690">
        <v>2.9757044198479955E-4</v>
      </c>
    </row>
    <row r="471" spans="2:11" ht="15.75" x14ac:dyDescent="0.25">
      <c r="B471" s="667" t="s">
        <v>69</v>
      </c>
      <c r="C471" s="110">
        <v>2021</v>
      </c>
      <c r="D471" s="687" t="s">
        <v>900</v>
      </c>
      <c r="E471" s="688">
        <v>3.9055304324391318E-2</v>
      </c>
      <c r="F471" s="310">
        <v>2.8123352053565854E-2</v>
      </c>
      <c r="G471" s="311">
        <v>0.13643651359827694</v>
      </c>
      <c r="H471" s="311">
        <v>1.8889932465102485E-3</v>
      </c>
      <c r="I471" s="394">
        <v>2.0434555671588008E-3</v>
      </c>
      <c r="J471" s="689">
        <v>2.5112518361199339E-4</v>
      </c>
      <c r="K471" s="690">
        <v>2.6247995504876585E-4</v>
      </c>
    </row>
    <row r="472" spans="2:11" ht="15.75" x14ac:dyDescent="0.25">
      <c r="B472" s="667" t="s">
        <v>69</v>
      </c>
      <c r="C472" s="110">
        <v>2022</v>
      </c>
      <c r="D472" s="687" t="s">
        <v>901</v>
      </c>
      <c r="E472" s="688">
        <v>3.7863308928105341E-2</v>
      </c>
      <c r="F472" s="310">
        <v>2.3771684062434181E-2</v>
      </c>
      <c r="G472" s="311">
        <v>0.11791781819069809</v>
      </c>
      <c r="H472" s="311">
        <v>1.7688283857360898E-3</v>
      </c>
      <c r="I472" s="394">
        <v>1.9142089201362126E-3</v>
      </c>
      <c r="J472" s="689">
        <v>2.2242211159229644E-4</v>
      </c>
      <c r="K472" s="690">
        <v>2.3247904705742681E-4</v>
      </c>
    </row>
    <row r="473" spans="2:11" ht="15.75" x14ac:dyDescent="0.25">
      <c r="B473" s="667" t="s">
        <v>69</v>
      </c>
      <c r="C473" s="110">
        <v>2023</v>
      </c>
      <c r="D473" s="687" t="s">
        <v>902</v>
      </c>
      <c r="E473" s="688">
        <v>3.668652422699302E-2</v>
      </c>
      <c r="F473" s="310">
        <v>2.0523367065308575E-2</v>
      </c>
      <c r="G473" s="311">
        <v>0.10254149715985905</v>
      </c>
      <c r="H473" s="311">
        <v>1.65669258276563E-3</v>
      </c>
      <c r="I473" s="394">
        <v>1.7936131411579663E-3</v>
      </c>
      <c r="J473" s="689">
        <v>1.9156654650565109E-4</v>
      </c>
      <c r="K473" s="690">
        <v>2.0022833607351436E-4</v>
      </c>
    </row>
    <row r="474" spans="2:11" ht="15.75" x14ac:dyDescent="0.25">
      <c r="B474" s="667" t="s">
        <v>69</v>
      </c>
      <c r="C474" s="110">
        <v>2024</v>
      </c>
      <c r="D474" s="687" t="s">
        <v>903</v>
      </c>
      <c r="E474" s="688">
        <v>3.5525825096388172E-2</v>
      </c>
      <c r="F474" s="310">
        <v>1.7725648338537837E-2</v>
      </c>
      <c r="G474" s="311">
        <v>8.9401285679388154E-2</v>
      </c>
      <c r="H474" s="311">
        <v>1.5570346024747854E-3</v>
      </c>
      <c r="I474" s="394">
        <v>1.6863839054861605E-3</v>
      </c>
      <c r="J474" s="689">
        <v>1.6556163478963963E-4</v>
      </c>
      <c r="K474" s="690">
        <v>1.7304760096018969E-4</v>
      </c>
    </row>
    <row r="475" spans="2:11" ht="15.75" x14ac:dyDescent="0.25">
      <c r="B475" s="667" t="s">
        <v>69</v>
      </c>
      <c r="C475" s="110">
        <v>2025</v>
      </c>
      <c r="D475" s="687" t="s">
        <v>904</v>
      </c>
      <c r="E475" s="688">
        <v>3.4385830308371522E-2</v>
      </c>
      <c r="F475" s="310">
        <v>1.550146281422886E-2</v>
      </c>
      <c r="G475" s="311">
        <v>7.8822640365175042E-2</v>
      </c>
      <c r="H475" s="311">
        <v>1.4787049533259153E-3</v>
      </c>
      <c r="I475" s="394">
        <v>1.6020353268858519E-3</v>
      </c>
      <c r="J475" s="689">
        <v>1.4606878073847751E-4</v>
      </c>
      <c r="K475" s="690">
        <v>1.5267337140038113E-4</v>
      </c>
    </row>
    <row r="476" spans="2:11" ht="15.75" x14ac:dyDescent="0.25">
      <c r="B476" s="667" t="s">
        <v>69</v>
      </c>
      <c r="C476" s="110">
        <v>2026</v>
      </c>
      <c r="D476" s="687" t="s">
        <v>905</v>
      </c>
      <c r="E476" s="688">
        <v>3.3353620433582011E-2</v>
      </c>
      <c r="F476" s="310">
        <v>1.3639151547947873E-2</v>
      </c>
      <c r="G476" s="311">
        <v>7.0069900814051581E-2</v>
      </c>
      <c r="H476" s="311">
        <v>1.4022296775821654E-3</v>
      </c>
      <c r="I476" s="394">
        <v>1.5197983183971944E-3</v>
      </c>
      <c r="J476" s="689">
        <v>1.2397913770259851E-4</v>
      </c>
      <c r="K476" s="690">
        <v>1.2958492446036216E-4</v>
      </c>
    </row>
    <row r="477" spans="2:11" ht="15.75" x14ac:dyDescent="0.25">
      <c r="B477" s="667" t="s">
        <v>69</v>
      </c>
      <c r="C477" s="110">
        <v>2027</v>
      </c>
      <c r="D477" s="687" t="s">
        <v>906</v>
      </c>
      <c r="E477" s="688">
        <v>3.2412374404066323E-2</v>
      </c>
      <c r="F477" s="310">
        <v>1.2046113794070654E-2</v>
      </c>
      <c r="G477" s="311">
        <v>6.258404869218076E-2</v>
      </c>
      <c r="H477" s="311">
        <v>1.3192324153888421E-3</v>
      </c>
      <c r="I477" s="394">
        <v>1.4305848981484659E-3</v>
      </c>
      <c r="J477" s="689">
        <v>9.9129144999921201E-5</v>
      </c>
      <c r="K477" s="690">
        <v>1.0361132186356966E-4</v>
      </c>
    </row>
    <row r="478" spans="2:11" ht="15.75" x14ac:dyDescent="0.25">
      <c r="B478" s="667" t="s">
        <v>69</v>
      </c>
      <c r="C478" s="110">
        <v>2028</v>
      </c>
      <c r="D478" s="687" t="s">
        <v>907</v>
      </c>
      <c r="E478" s="688">
        <v>3.1565174771669077E-2</v>
      </c>
      <c r="F478" s="310">
        <v>1.0691533033271198E-2</v>
      </c>
      <c r="G478" s="311">
        <v>5.622114507545372E-2</v>
      </c>
      <c r="H478" s="311">
        <v>1.2397873548373485E-3</v>
      </c>
      <c r="I478" s="394">
        <v>1.344864547650942E-3</v>
      </c>
      <c r="J478" s="689">
        <v>8.2994482492849871E-5</v>
      </c>
      <c r="K478" s="690">
        <v>8.6747124628732168E-5</v>
      </c>
    </row>
    <row r="479" spans="2:11" ht="15.75" x14ac:dyDescent="0.25">
      <c r="B479" s="667" t="s">
        <v>69</v>
      </c>
      <c r="C479" s="110">
        <v>2029</v>
      </c>
      <c r="D479" s="687" t="s">
        <v>908</v>
      </c>
      <c r="E479" s="688">
        <v>3.0802307850790613E-2</v>
      </c>
      <c r="F479" s="310">
        <v>9.5051509153819529E-3</v>
      </c>
      <c r="G479" s="311">
        <v>5.0744146235325673E-2</v>
      </c>
      <c r="H479" s="311">
        <v>1.1652090173596603E-3</v>
      </c>
      <c r="I479" s="394">
        <v>1.2642499725534857E-3</v>
      </c>
      <c r="J479" s="689">
        <v>7.1302743382442276E-5</v>
      </c>
      <c r="K479" s="690">
        <v>7.452673490840091E-5</v>
      </c>
    </row>
    <row r="480" spans="2:11" ht="15.75" x14ac:dyDescent="0.25">
      <c r="B480" s="667" t="s">
        <v>69</v>
      </c>
      <c r="C480" s="110">
        <v>2030</v>
      </c>
      <c r="D480" s="687" t="s">
        <v>909</v>
      </c>
      <c r="E480" s="688">
        <v>3.012118047231695E-2</v>
      </c>
      <c r="F480" s="310">
        <v>8.4850873090744506E-3</v>
      </c>
      <c r="G480" s="311">
        <v>4.6012932320628468E-2</v>
      </c>
      <c r="H480" s="311">
        <v>1.0928889378070692E-3</v>
      </c>
      <c r="I480" s="394">
        <v>1.1860347097604348E-3</v>
      </c>
      <c r="J480" s="689">
        <v>6.0922518569514055E-5</v>
      </c>
      <c r="K480" s="690">
        <v>6.3677164531805532E-5</v>
      </c>
    </row>
    <row r="481" spans="2:11" ht="15.75" x14ac:dyDescent="0.25">
      <c r="B481" s="667" t="s">
        <v>69</v>
      </c>
      <c r="C481" s="110">
        <v>2031</v>
      </c>
      <c r="D481" s="687" t="s">
        <v>910</v>
      </c>
      <c r="E481" s="688">
        <v>2.9514119933439581E-2</v>
      </c>
      <c r="F481" s="310">
        <v>7.5788216498510553E-3</v>
      </c>
      <c r="G481" s="311">
        <v>4.1832285396316032E-2</v>
      </c>
      <c r="H481" s="311">
        <v>1.0258794075268059E-3</v>
      </c>
      <c r="I481" s="394">
        <v>1.1134345641261975E-3</v>
      </c>
      <c r="J481" s="689">
        <v>5.4331302455314637E-5</v>
      </c>
      <c r="K481" s="690">
        <v>5.6787920493696914E-5</v>
      </c>
    </row>
    <row r="482" spans="2:11" ht="15.75" x14ac:dyDescent="0.25">
      <c r="B482" s="667" t="s">
        <v>69</v>
      </c>
      <c r="C482" s="110">
        <v>2032</v>
      </c>
      <c r="D482" s="687" t="s">
        <v>911</v>
      </c>
      <c r="E482" s="688">
        <v>2.897562697625293E-2</v>
      </c>
      <c r="F482" s="310">
        <v>6.7887864541567658E-3</v>
      </c>
      <c r="G482" s="311">
        <v>3.8301485602047519E-2</v>
      </c>
      <c r="H482" s="311">
        <v>9.6250055635880639E-4</v>
      </c>
      <c r="I482" s="394">
        <v>1.04475245734223E-3</v>
      </c>
      <c r="J482" s="689">
        <v>4.8481140228138243E-5</v>
      </c>
      <c r="K482" s="690">
        <v>5.0673241044666168E-5</v>
      </c>
    </row>
    <row r="483" spans="2:11" ht="15.75" x14ac:dyDescent="0.25">
      <c r="B483" s="667" t="s">
        <v>69</v>
      </c>
      <c r="C483" s="110">
        <v>2033</v>
      </c>
      <c r="D483" s="687" t="s">
        <v>912</v>
      </c>
      <c r="E483" s="688">
        <v>2.8500557759314097E-2</v>
      </c>
      <c r="F483" s="310">
        <v>6.1118477374017977E-3</v>
      </c>
      <c r="G483" s="311">
        <v>3.5385712606218152E-2</v>
      </c>
      <c r="H483" s="311">
        <v>9.0399481887950216E-4</v>
      </c>
      <c r="I483" s="394">
        <v>9.8130392603889118E-4</v>
      </c>
      <c r="J483" s="689">
        <v>4.4184628277631834E-5</v>
      </c>
      <c r="K483" s="690">
        <v>4.6182467086133747E-5</v>
      </c>
    </row>
    <row r="484" spans="2:11" ht="15.75" x14ac:dyDescent="0.25">
      <c r="B484" s="667" t="s">
        <v>69</v>
      </c>
      <c r="C484" s="110">
        <v>2034</v>
      </c>
      <c r="D484" s="687" t="s">
        <v>913</v>
      </c>
      <c r="E484" s="688">
        <v>2.8083260219686382E-2</v>
      </c>
      <c r="F484" s="310">
        <v>5.4950679945161502E-3</v>
      </c>
      <c r="G484" s="311">
        <v>3.2833765906628523E-2</v>
      </c>
      <c r="H484" s="311">
        <v>8.4829771767578287E-4</v>
      </c>
      <c r="I484" s="394">
        <v>9.2088326399273235E-4</v>
      </c>
      <c r="J484" s="689">
        <v>4.0535386173467177E-5</v>
      </c>
      <c r="K484" s="690">
        <v>4.236821284154035E-5</v>
      </c>
    </row>
    <row r="485" spans="2:11" ht="15.75" x14ac:dyDescent="0.25">
      <c r="B485" s="667" t="s">
        <v>69</v>
      </c>
      <c r="C485" s="110">
        <v>2035</v>
      </c>
      <c r="D485" s="687" t="s">
        <v>914</v>
      </c>
      <c r="E485" s="688">
        <v>2.772013725999967E-2</v>
      </c>
      <c r="F485" s="310">
        <v>4.9578524205052925E-3</v>
      </c>
      <c r="G485" s="311">
        <v>3.0723391851484726E-2</v>
      </c>
      <c r="H485" s="311">
        <v>7.9655654786176054E-4</v>
      </c>
      <c r="I485" s="394">
        <v>8.6474832735081489E-4</v>
      </c>
      <c r="J485" s="689">
        <v>3.728664035489298E-5</v>
      </c>
      <c r="K485" s="690">
        <v>3.8972576114475461E-5</v>
      </c>
    </row>
    <row r="486" spans="2:11" ht="15.75" x14ac:dyDescent="0.25">
      <c r="B486" s="667" t="s">
        <v>69</v>
      </c>
      <c r="C486" s="110">
        <v>2036</v>
      </c>
      <c r="D486" s="687" t="s">
        <v>915</v>
      </c>
      <c r="E486" s="688">
        <v>2.7405631148524949E-2</v>
      </c>
      <c r="F486" s="310">
        <v>4.4722525235617447E-3</v>
      </c>
      <c r="G486" s="311">
        <v>2.8859300033626287E-2</v>
      </c>
      <c r="H486" s="311">
        <v>7.5094253141097696E-4</v>
      </c>
      <c r="I486" s="394">
        <v>8.1527312797316086E-4</v>
      </c>
      <c r="J486" s="689">
        <v>3.41091303507798E-5</v>
      </c>
      <c r="K486" s="690">
        <v>3.565139955800852E-5</v>
      </c>
    </row>
    <row r="487" spans="2:11" ht="15.75" x14ac:dyDescent="0.25">
      <c r="B487" s="667" t="s">
        <v>69</v>
      </c>
      <c r="C487" s="110">
        <v>2037</v>
      </c>
      <c r="D487" s="687" t="s">
        <v>916</v>
      </c>
      <c r="E487" s="688">
        <v>2.713551716407471E-2</v>
      </c>
      <c r="F487" s="310">
        <v>4.0760219915536178E-3</v>
      </c>
      <c r="G487" s="311">
        <v>2.7401052629223373E-2</v>
      </c>
      <c r="H487" s="311">
        <v>7.1009906197464867E-4</v>
      </c>
      <c r="I487" s="394">
        <v>7.7096517037938061E-4</v>
      </c>
      <c r="J487" s="689">
        <v>3.1442330068594894E-5</v>
      </c>
      <c r="K487" s="690">
        <v>3.2864014763012077E-5</v>
      </c>
    </row>
    <row r="488" spans="2:11" ht="15.75" x14ac:dyDescent="0.25">
      <c r="B488" s="667" t="s">
        <v>69</v>
      </c>
      <c r="C488" s="110">
        <v>2038</v>
      </c>
      <c r="D488" s="687" t="s">
        <v>917</v>
      </c>
      <c r="E488" s="688">
        <v>2.6905618530117414E-2</v>
      </c>
      <c r="F488" s="310">
        <v>3.6890165360754972E-3</v>
      </c>
      <c r="G488" s="311">
        <v>2.59281258879786E-2</v>
      </c>
      <c r="H488" s="311">
        <v>6.7223168595173836E-4</v>
      </c>
      <c r="I488" s="394">
        <v>7.2986999183883758E-4</v>
      </c>
      <c r="J488" s="689">
        <v>2.9341178352289642E-5</v>
      </c>
      <c r="K488" s="690">
        <v>3.0667852382166473E-5</v>
      </c>
    </row>
    <row r="489" spans="2:11" ht="15.75" x14ac:dyDescent="0.25">
      <c r="B489" s="667" t="s">
        <v>69</v>
      </c>
      <c r="C489" s="110">
        <v>2039</v>
      </c>
      <c r="D489" s="687" t="s">
        <v>918</v>
      </c>
      <c r="E489" s="688">
        <v>2.6710402043686972E-2</v>
      </c>
      <c r="F489" s="310">
        <v>3.3264748496777711E-3</v>
      </c>
      <c r="G489" s="311">
        <v>2.4570012590675833E-2</v>
      </c>
      <c r="H489" s="311">
        <v>6.3764907795666045E-4</v>
      </c>
      <c r="I489" s="394">
        <v>6.9233594582072142E-4</v>
      </c>
      <c r="J489" s="689">
        <v>2.750174596854964E-5</v>
      </c>
      <c r="K489" s="690">
        <v>2.874525294982811E-5</v>
      </c>
    </row>
    <row r="490" spans="2:11" ht="15.75" x14ac:dyDescent="0.25">
      <c r="B490" s="667" t="s">
        <v>69</v>
      </c>
      <c r="C490" s="110">
        <v>2040</v>
      </c>
      <c r="D490" s="687" t="s">
        <v>919</v>
      </c>
      <c r="E490" s="688">
        <v>2.6545702484237186E-2</v>
      </c>
      <c r="F490" s="310">
        <v>3.0034708369254329E-3</v>
      </c>
      <c r="G490" s="311">
        <v>2.3462192724808012E-2</v>
      </c>
      <c r="H490" s="311">
        <v>6.0675219310070796E-4</v>
      </c>
      <c r="I490" s="394">
        <v>6.5879726004028295E-4</v>
      </c>
      <c r="J490" s="689">
        <v>2.5985053088998014E-5</v>
      </c>
      <c r="K490" s="690">
        <v>2.7159981356506168E-5</v>
      </c>
    </row>
    <row r="491" spans="2:11" ht="15.75" x14ac:dyDescent="0.25">
      <c r="B491" s="667" t="s">
        <v>69</v>
      </c>
      <c r="C491" s="110">
        <v>2041</v>
      </c>
      <c r="D491" s="687" t="s">
        <v>920</v>
      </c>
      <c r="E491" s="688">
        <v>2.6408118562736869E-2</v>
      </c>
      <c r="F491" s="310">
        <v>2.7409543957938971E-3</v>
      </c>
      <c r="G491" s="311">
        <v>2.2532304863529848E-2</v>
      </c>
      <c r="H491" s="311">
        <v>5.8293252198090206E-4</v>
      </c>
      <c r="I491" s="394">
        <v>6.3294894346185436E-4</v>
      </c>
      <c r="J491" s="689">
        <v>2.4625629608686251E-5</v>
      </c>
      <c r="K491" s="690">
        <v>2.5739089598206694E-5</v>
      </c>
    </row>
    <row r="492" spans="2:11" ht="15.75" x14ac:dyDescent="0.25">
      <c r="B492" s="667" t="s">
        <v>69</v>
      </c>
      <c r="C492" s="110">
        <v>2042</v>
      </c>
      <c r="D492" s="687" t="s">
        <v>921</v>
      </c>
      <c r="E492" s="688">
        <v>2.6292280259768049E-2</v>
      </c>
      <c r="F492" s="310">
        <v>2.5089571322474088E-3</v>
      </c>
      <c r="G492" s="311">
        <v>2.1673698598122102E-2</v>
      </c>
      <c r="H492" s="311">
        <v>5.6209083953014626E-4</v>
      </c>
      <c r="I492" s="394">
        <v>6.1032653704872299E-4</v>
      </c>
      <c r="J492" s="689">
        <v>2.3559440851831023E-5</v>
      </c>
      <c r="K492" s="690">
        <v>2.4624698725911196E-5</v>
      </c>
    </row>
    <row r="493" spans="2:11" ht="15.75" x14ac:dyDescent="0.25">
      <c r="B493" s="667" t="s">
        <v>69</v>
      </c>
      <c r="C493" s="110">
        <v>2043</v>
      </c>
      <c r="D493" s="687" t="s">
        <v>922</v>
      </c>
      <c r="E493" s="688">
        <v>2.6196185164960518E-2</v>
      </c>
      <c r="F493" s="310">
        <v>2.3402959568493385E-3</v>
      </c>
      <c r="G493" s="311">
        <v>2.1055649063464948E-2</v>
      </c>
      <c r="H493" s="311">
        <v>5.4404179603369186E-4</v>
      </c>
      <c r="I493" s="394">
        <v>5.9073775396775632E-4</v>
      </c>
      <c r="J493" s="689">
        <v>2.2586084722215029E-5</v>
      </c>
      <c r="K493" s="690">
        <v>2.3607323512963366E-5</v>
      </c>
    </row>
    <row r="494" spans="2:11" ht="15.75" x14ac:dyDescent="0.25">
      <c r="B494" s="667" t="s">
        <v>69</v>
      </c>
      <c r="C494" s="110">
        <v>2044</v>
      </c>
      <c r="D494" s="687" t="s">
        <v>923</v>
      </c>
      <c r="E494" s="688">
        <v>2.6115214164379213E-2</v>
      </c>
      <c r="F494" s="310">
        <v>2.2233205802962407E-3</v>
      </c>
      <c r="G494" s="311">
        <v>2.0608083278205392E-2</v>
      </c>
      <c r="H494" s="311">
        <v>5.2858970749183865E-4</v>
      </c>
      <c r="I494" s="394">
        <v>5.7396460492138408E-4</v>
      </c>
      <c r="J494" s="689">
        <v>2.1815035046122383E-5</v>
      </c>
      <c r="K494" s="690">
        <v>2.2801413400208594E-5</v>
      </c>
    </row>
    <row r="495" spans="2:11" ht="15.75" x14ac:dyDescent="0.25">
      <c r="B495" s="667" t="s">
        <v>69</v>
      </c>
      <c r="C495" s="110">
        <v>2045</v>
      </c>
      <c r="D495" s="687" t="s">
        <v>924</v>
      </c>
      <c r="E495" s="688">
        <v>2.6046526235875261E-2</v>
      </c>
      <c r="F495" s="310">
        <v>2.1481234386095155E-3</v>
      </c>
      <c r="G495" s="311">
        <v>2.0311576927276864E-2</v>
      </c>
      <c r="H495" s="311">
        <v>5.1533714796138689E-4</v>
      </c>
      <c r="I495" s="394">
        <v>5.5957790408907944E-4</v>
      </c>
      <c r="J495" s="689">
        <v>2.120079247197468E-5</v>
      </c>
      <c r="K495" s="690">
        <v>2.2159401458179541E-5</v>
      </c>
    </row>
    <row r="496" spans="2:11" ht="15.75" x14ac:dyDescent="0.25">
      <c r="B496" s="667" t="s">
        <v>69</v>
      </c>
      <c r="C496" s="110">
        <v>2046</v>
      </c>
      <c r="D496" s="687" t="s">
        <v>925</v>
      </c>
      <c r="E496" s="688">
        <v>2.5988932866253211E-2</v>
      </c>
      <c r="F496" s="310">
        <v>2.084257231818887E-3</v>
      </c>
      <c r="G496" s="311">
        <v>2.0069873934680623E-2</v>
      </c>
      <c r="H496" s="311">
        <v>5.0402554659628675E-4</v>
      </c>
      <c r="I496" s="394">
        <v>5.4730088918806662E-4</v>
      </c>
      <c r="J496" s="689">
        <v>2.0601128692324519E-5</v>
      </c>
      <c r="K496" s="690">
        <v>2.153261811111304E-5</v>
      </c>
    </row>
    <row r="497" spans="2:11" ht="15.75" x14ac:dyDescent="0.25">
      <c r="B497" s="667" t="s">
        <v>69</v>
      </c>
      <c r="C497" s="110">
        <v>2047</v>
      </c>
      <c r="D497" s="687" t="s">
        <v>926</v>
      </c>
      <c r="E497" s="688">
        <v>2.5940957141126774E-2</v>
      </c>
      <c r="F497" s="310">
        <v>2.0268101822753918E-3</v>
      </c>
      <c r="G497" s="311">
        <v>1.9840973285725594E-2</v>
      </c>
      <c r="H497" s="311">
        <v>4.9438535466337643E-4</v>
      </c>
      <c r="I497" s="394">
        <v>5.3683746174200972E-4</v>
      </c>
      <c r="J497" s="689">
        <v>2.0091344001032007E-5</v>
      </c>
      <c r="K497" s="690">
        <v>2.099978780420854E-5</v>
      </c>
    </row>
    <row r="498" spans="2:11" ht="15.75" x14ac:dyDescent="0.25">
      <c r="B498" s="667" t="s">
        <v>69</v>
      </c>
      <c r="C498" s="110">
        <v>2048</v>
      </c>
      <c r="D498" s="687" t="s">
        <v>927</v>
      </c>
      <c r="E498" s="688">
        <v>2.5901366257952849E-2</v>
      </c>
      <c r="F498" s="310">
        <v>1.9786609410603357E-3</v>
      </c>
      <c r="G498" s="311">
        <v>1.9637781681135853E-2</v>
      </c>
      <c r="H498" s="311">
        <v>4.861703765384653E-4</v>
      </c>
      <c r="I498" s="394">
        <v>5.2792398901231304E-4</v>
      </c>
      <c r="J498" s="689">
        <v>1.9591223421263118E-5</v>
      </c>
      <c r="K498" s="690">
        <v>2.0477053360676901E-5</v>
      </c>
    </row>
    <row r="499" spans="2:11" ht="15.75" x14ac:dyDescent="0.25">
      <c r="B499" s="667" t="s">
        <v>69</v>
      </c>
      <c r="C499" s="110">
        <v>2049</v>
      </c>
      <c r="D499" s="687" t="s">
        <v>928</v>
      </c>
      <c r="E499" s="688">
        <v>2.5867143177464941E-2</v>
      </c>
      <c r="F499" s="310">
        <v>1.9604661167860952E-3</v>
      </c>
      <c r="G499" s="311">
        <v>1.9634448431352938E-2</v>
      </c>
      <c r="H499" s="311">
        <v>4.80964744811078E-4</v>
      </c>
      <c r="I499" s="394">
        <v>5.2227861254814138E-4</v>
      </c>
      <c r="J499" s="689">
        <v>1.9214857628866043E-5</v>
      </c>
      <c r="K499" s="690">
        <v>2.0083670624900532E-5</v>
      </c>
    </row>
    <row r="500" spans="2:11" ht="15.75" x14ac:dyDescent="0.25">
      <c r="B500" s="667" t="s">
        <v>69</v>
      </c>
      <c r="C500" s="110">
        <v>2050</v>
      </c>
      <c r="D500" s="687" t="s">
        <v>929</v>
      </c>
      <c r="E500" s="688">
        <v>2.5841203004543564E-2</v>
      </c>
      <c r="F500" s="310">
        <v>1.945462482489657E-3</v>
      </c>
      <c r="G500" s="311">
        <v>1.9632426815444678E-2</v>
      </c>
      <c r="H500" s="311">
        <v>4.7664529949581675E-4</v>
      </c>
      <c r="I500" s="394">
        <v>5.1759669685854889E-4</v>
      </c>
      <c r="J500" s="689">
        <v>1.8841889178475124E-5</v>
      </c>
      <c r="K500" s="690">
        <v>1.9693834180068783E-5</v>
      </c>
    </row>
    <row r="501" spans="2:11" ht="15.75" x14ac:dyDescent="0.25">
      <c r="B501" s="667" t="s">
        <v>70</v>
      </c>
      <c r="C501" s="110">
        <v>2015</v>
      </c>
      <c r="D501" s="687" t="s">
        <v>217</v>
      </c>
      <c r="E501" s="688">
        <v>4.4954161586069658E-2</v>
      </c>
      <c r="F501" s="310">
        <v>6.0730515353263154E-2</v>
      </c>
      <c r="G501" s="311">
        <v>0.23241274934016637</v>
      </c>
      <c r="H501" s="311">
        <v>1.8673017387496717E-3</v>
      </c>
      <c r="I501" s="394">
        <v>2.0183008116992887E-3</v>
      </c>
      <c r="J501" s="689">
        <v>1.5866984199197206E-4</v>
      </c>
      <c r="K501" s="690">
        <v>1.6584418668910353E-4</v>
      </c>
    </row>
    <row r="502" spans="2:11" ht="15.75" x14ac:dyDescent="0.25">
      <c r="B502" s="667" t="s">
        <v>70</v>
      </c>
      <c r="C502" s="110">
        <v>2016</v>
      </c>
      <c r="D502" s="687" t="s">
        <v>218</v>
      </c>
      <c r="E502" s="688">
        <v>4.4224118215636439E-2</v>
      </c>
      <c r="F502" s="310">
        <v>5.1020582762372403E-2</v>
      </c>
      <c r="G502" s="311">
        <v>0.2020832517745095</v>
      </c>
      <c r="H502" s="311">
        <v>1.7530469087029704E-3</v>
      </c>
      <c r="I502" s="394">
        <v>1.8966321332611437E-3</v>
      </c>
      <c r="J502" s="689">
        <v>1.3633640120770728E-4</v>
      </c>
      <c r="K502" s="690">
        <v>1.4250092945915116E-4</v>
      </c>
    </row>
    <row r="503" spans="2:11" ht="15.75" x14ac:dyDescent="0.25">
      <c r="B503" s="667" t="s">
        <v>70</v>
      </c>
      <c r="C503" s="110">
        <v>2017</v>
      </c>
      <c r="D503" s="687" t="s">
        <v>930</v>
      </c>
      <c r="E503" s="688">
        <v>4.3313937610580659E-2</v>
      </c>
      <c r="F503" s="310">
        <v>4.2370041181370131E-2</v>
      </c>
      <c r="G503" s="311">
        <v>0.17288591047209373</v>
      </c>
      <c r="H503" s="311">
        <v>1.6725670196235667E-3</v>
      </c>
      <c r="I503" s="394">
        <v>1.8109103550135112E-3</v>
      </c>
      <c r="J503" s="689">
        <v>1.2397564088278195E-4</v>
      </c>
      <c r="K503" s="690">
        <v>1.2958127002082333E-4</v>
      </c>
    </row>
    <row r="504" spans="2:11" ht="15.75" x14ac:dyDescent="0.25">
      <c r="B504" s="667" t="s">
        <v>70</v>
      </c>
      <c r="C504" s="110">
        <v>2018</v>
      </c>
      <c r="D504" s="687" t="s">
        <v>931</v>
      </c>
      <c r="E504" s="688">
        <v>4.2331739557551151E-2</v>
      </c>
      <c r="F504" s="310">
        <v>3.4745264573829142E-2</v>
      </c>
      <c r="G504" s="311">
        <v>0.14739393711852461</v>
      </c>
      <c r="H504" s="311">
        <v>1.6190380166358996E-3</v>
      </c>
      <c r="I504" s="394">
        <v>1.7542591464455185E-3</v>
      </c>
      <c r="J504" s="689">
        <v>1.1365219895861712E-4</v>
      </c>
      <c r="K504" s="690">
        <v>1.1879104998418909E-4</v>
      </c>
    </row>
    <row r="505" spans="2:11" ht="15.75" x14ac:dyDescent="0.25">
      <c r="B505" s="667" t="s">
        <v>70</v>
      </c>
      <c r="C505" s="110">
        <v>2019</v>
      </c>
      <c r="D505" s="687" t="s">
        <v>932</v>
      </c>
      <c r="E505" s="688">
        <v>4.1282876260973211E-2</v>
      </c>
      <c r="F505" s="310">
        <v>2.8872536181809971E-2</v>
      </c>
      <c r="G505" s="311">
        <v>0.12627183738068315</v>
      </c>
      <c r="H505" s="311">
        <v>1.5834872643611185E-3</v>
      </c>
      <c r="I505" s="394">
        <v>1.7167835506832442E-3</v>
      </c>
      <c r="J505" s="689">
        <v>1.0276889645826334E-4</v>
      </c>
      <c r="K505" s="690">
        <v>1.0741564857447397E-4</v>
      </c>
    </row>
    <row r="506" spans="2:11" ht="15.75" x14ac:dyDescent="0.25">
      <c r="B506" s="667" t="s">
        <v>70</v>
      </c>
      <c r="C506" s="110">
        <v>2020</v>
      </c>
      <c r="D506" s="687" t="s">
        <v>933</v>
      </c>
      <c r="E506" s="688">
        <v>4.0188329613321076E-2</v>
      </c>
      <c r="F506" s="310">
        <v>2.4540573517753128E-2</v>
      </c>
      <c r="G506" s="311">
        <v>0.1090408670791372</v>
      </c>
      <c r="H506" s="311">
        <v>1.5257831408159288E-3</v>
      </c>
      <c r="I506" s="394">
        <v>1.6545344946232686E-3</v>
      </c>
      <c r="J506" s="689">
        <v>9.667751482387412E-5</v>
      </c>
      <c r="K506" s="690">
        <v>1.0104884503749766E-4</v>
      </c>
    </row>
    <row r="507" spans="2:11" ht="15.75" x14ac:dyDescent="0.25">
      <c r="B507" s="667" t="s">
        <v>70</v>
      </c>
      <c r="C507" s="110">
        <v>2021</v>
      </c>
      <c r="D507" s="687" t="s">
        <v>934</v>
      </c>
      <c r="E507" s="688">
        <v>3.9057916460824182E-2</v>
      </c>
      <c r="F507" s="310">
        <v>2.0787390726750392E-2</v>
      </c>
      <c r="G507" s="311">
        <v>9.3592233602200731E-2</v>
      </c>
      <c r="H507" s="311">
        <v>1.4359487929405512E-3</v>
      </c>
      <c r="I507" s="394">
        <v>1.5574074822810239E-3</v>
      </c>
      <c r="J507" s="689">
        <v>8.9073995973520744E-5</v>
      </c>
      <c r="K507" s="690">
        <v>9.3101528581429808E-5</v>
      </c>
    </row>
    <row r="508" spans="2:11" ht="15.75" x14ac:dyDescent="0.25">
      <c r="B508" s="667" t="s">
        <v>70</v>
      </c>
      <c r="C508" s="110">
        <v>2022</v>
      </c>
      <c r="D508" s="687" t="s">
        <v>935</v>
      </c>
      <c r="E508" s="688">
        <v>3.7924742609594567E-2</v>
      </c>
      <c r="F508" s="310">
        <v>1.6953554496013611E-2</v>
      </c>
      <c r="G508" s="311">
        <v>7.9825721448155487E-2</v>
      </c>
      <c r="H508" s="311">
        <v>1.3453081634548802E-3</v>
      </c>
      <c r="I508" s="394">
        <v>1.4595020626597911E-3</v>
      </c>
      <c r="J508" s="689">
        <v>8.2282578095821331E-5</v>
      </c>
      <c r="K508" s="690">
        <v>8.600303197989815E-5</v>
      </c>
    </row>
    <row r="509" spans="2:11" ht="15.75" x14ac:dyDescent="0.25">
      <c r="B509" s="667" t="s">
        <v>70</v>
      </c>
      <c r="C509" s="110">
        <v>2023</v>
      </c>
      <c r="D509" s="687" t="s">
        <v>936</v>
      </c>
      <c r="E509" s="688">
        <v>3.6789516339283658E-2</v>
      </c>
      <c r="F509" s="310">
        <v>1.4526382958285559E-2</v>
      </c>
      <c r="G509" s="311">
        <v>6.9301090612424551E-2</v>
      </c>
      <c r="H509" s="311">
        <v>1.2657807391542228E-3</v>
      </c>
      <c r="I509" s="394">
        <v>1.373391134911482E-3</v>
      </c>
      <c r="J509" s="689">
        <v>7.4885695338868704E-5</v>
      </c>
      <c r="K509" s="690">
        <v>7.8271688852403162E-5</v>
      </c>
    </row>
    <row r="510" spans="2:11" ht="15.75" x14ac:dyDescent="0.25">
      <c r="B510" s="667" t="s">
        <v>70</v>
      </c>
      <c r="C510" s="110">
        <v>2024</v>
      </c>
      <c r="D510" s="687" t="s">
        <v>937</v>
      </c>
      <c r="E510" s="688">
        <v>3.5662029208617219E-2</v>
      </c>
      <c r="F510" s="310">
        <v>1.2698391132642387E-2</v>
      </c>
      <c r="G510" s="311">
        <v>6.0726953787383679E-2</v>
      </c>
      <c r="H510" s="311">
        <v>1.2146736112563096E-3</v>
      </c>
      <c r="I510" s="394">
        <v>1.3182721510399003E-3</v>
      </c>
      <c r="J510" s="689">
        <v>6.535818210912641E-5</v>
      </c>
      <c r="K510" s="690">
        <v>6.8313385377268882E-5</v>
      </c>
    </row>
    <row r="511" spans="2:11" ht="15.75" x14ac:dyDescent="0.25">
      <c r="B511" s="667" t="s">
        <v>70</v>
      </c>
      <c r="C511" s="110">
        <v>2025</v>
      </c>
      <c r="D511" s="687" t="s">
        <v>938</v>
      </c>
      <c r="E511" s="688">
        <v>3.455123448255186E-2</v>
      </c>
      <c r="F511" s="310">
        <v>1.1063854913714791E-2</v>
      </c>
      <c r="G511" s="311">
        <v>5.3777337094616948E-2</v>
      </c>
      <c r="H511" s="311">
        <v>1.1578152399669779E-3</v>
      </c>
      <c r="I511" s="394">
        <v>1.2567353011969885E-3</v>
      </c>
      <c r="J511" s="689">
        <v>5.8815734521093192E-5</v>
      </c>
      <c r="K511" s="690">
        <v>6.1475125126963116E-5</v>
      </c>
    </row>
    <row r="512" spans="2:11" ht="15.75" x14ac:dyDescent="0.25">
      <c r="B512" s="667" t="s">
        <v>70</v>
      </c>
      <c r="C512" s="110">
        <v>2026</v>
      </c>
      <c r="D512" s="687" t="s">
        <v>939</v>
      </c>
      <c r="E512" s="688">
        <v>3.3515555400238366E-2</v>
      </c>
      <c r="F512" s="310">
        <v>9.7506093290698915E-3</v>
      </c>
      <c r="G512" s="311">
        <v>4.8230345763073591E-2</v>
      </c>
      <c r="H512" s="311">
        <v>1.1029734758864255E-3</v>
      </c>
      <c r="I512" s="394">
        <v>1.1973875410712877E-3</v>
      </c>
      <c r="J512" s="689">
        <v>5.1816553397911019E-5</v>
      </c>
      <c r="K512" s="690">
        <v>5.4159466535341237E-5</v>
      </c>
    </row>
    <row r="513" spans="2:11" ht="15.75" x14ac:dyDescent="0.25">
      <c r="B513" s="667" t="s">
        <v>70</v>
      </c>
      <c r="C513" s="110">
        <v>2027</v>
      </c>
      <c r="D513" s="687" t="s">
        <v>940</v>
      </c>
      <c r="E513" s="688">
        <v>3.2547951125945482E-2</v>
      </c>
      <c r="F513" s="310">
        <v>8.642074914867643E-3</v>
      </c>
      <c r="G513" s="311">
        <v>4.3555491994845152E-2</v>
      </c>
      <c r="H513" s="311">
        <v>1.0400572299610472E-3</v>
      </c>
      <c r="I513" s="394">
        <v>1.1293428037596146E-3</v>
      </c>
      <c r="J513" s="689">
        <v>4.2817144976760469E-5</v>
      </c>
      <c r="K513" s="690">
        <v>4.4753145488544453E-5</v>
      </c>
    </row>
    <row r="514" spans="2:11" ht="15.75" x14ac:dyDescent="0.25">
      <c r="B514" s="667" t="s">
        <v>70</v>
      </c>
      <c r="C514" s="110">
        <v>2028</v>
      </c>
      <c r="D514" s="687" t="s">
        <v>941</v>
      </c>
      <c r="E514" s="688">
        <v>3.1655826287280607E-2</v>
      </c>
      <c r="F514" s="310">
        <v>7.7255236248117906E-3</v>
      </c>
      <c r="G514" s="311">
        <v>3.9662407283778282E-2</v>
      </c>
      <c r="H514" s="311">
        <v>9.7414490747623915E-4</v>
      </c>
      <c r="I514" s="394">
        <v>1.057936348627524E-3</v>
      </c>
      <c r="J514" s="689">
        <v>3.6236173503327547E-5</v>
      </c>
      <c r="K514" s="690">
        <v>3.7874616673258306E-5</v>
      </c>
    </row>
    <row r="515" spans="2:11" ht="15.75" x14ac:dyDescent="0.25">
      <c r="B515" s="667" t="s">
        <v>70</v>
      </c>
      <c r="C515" s="110">
        <v>2029</v>
      </c>
      <c r="D515" s="687" t="s">
        <v>942</v>
      </c>
      <c r="E515" s="688">
        <v>3.0840042519757215E-2</v>
      </c>
      <c r="F515" s="310">
        <v>6.8795996345358294E-3</v>
      </c>
      <c r="G515" s="311">
        <v>3.6134807733666757E-2</v>
      </c>
      <c r="H515" s="311">
        <v>9.1167693607360539E-4</v>
      </c>
      <c r="I515" s="394">
        <v>9.9017848372940937E-4</v>
      </c>
      <c r="J515" s="689">
        <v>3.1939069198486168E-5</v>
      </c>
      <c r="K515" s="690">
        <v>3.3383217087917015E-5</v>
      </c>
    </row>
    <row r="516" spans="2:11" ht="15.75" x14ac:dyDescent="0.25">
      <c r="B516" s="667" t="s">
        <v>70</v>
      </c>
      <c r="C516" s="110">
        <v>2030</v>
      </c>
      <c r="D516" s="687" t="s">
        <v>943</v>
      </c>
      <c r="E516" s="688">
        <v>3.0094175785352464E-2</v>
      </c>
      <c r="F516" s="310">
        <v>6.189025532190604E-3</v>
      </c>
      <c r="G516" s="311">
        <v>3.3216749343089415E-2</v>
      </c>
      <c r="H516" s="311">
        <v>8.5357857363484765E-4</v>
      </c>
      <c r="I516" s="394">
        <v>9.2714906847857258E-4</v>
      </c>
      <c r="J516" s="689">
        <v>2.819760145380427E-5</v>
      </c>
      <c r="K516" s="690">
        <v>2.9472567944079402E-5</v>
      </c>
    </row>
    <row r="517" spans="2:11" ht="15.75" x14ac:dyDescent="0.25">
      <c r="B517" s="667" t="s">
        <v>70</v>
      </c>
      <c r="C517" s="110">
        <v>2031</v>
      </c>
      <c r="D517" s="687" t="s">
        <v>944</v>
      </c>
      <c r="E517" s="688">
        <v>2.9417189310794789E-2</v>
      </c>
      <c r="F517" s="310">
        <v>5.6319146524710607E-3</v>
      </c>
      <c r="G517" s="311">
        <v>3.0721589922886761E-2</v>
      </c>
      <c r="H517" s="311">
        <v>8.0746314419159651E-4</v>
      </c>
      <c r="I517" s="394">
        <v>8.7705828767295924E-4</v>
      </c>
      <c r="J517" s="689">
        <v>2.669604002836077E-5</v>
      </c>
      <c r="K517" s="690">
        <v>2.7903113441703778E-5</v>
      </c>
    </row>
    <row r="518" spans="2:11" ht="15.75" x14ac:dyDescent="0.25">
      <c r="B518" s="667" t="s">
        <v>70</v>
      </c>
      <c r="C518" s="110">
        <v>2032</v>
      </c>
      <c r="D518" s="687" t="s">
        <v>945</v>
      </c>
      <c r="E518" s="688">
        <v>2.8804917494529791E-2</v>
      </c>
      <c r="F518" s="310">
        <v>5.1057400610576616E-3</v>
      </c>
      <c r="G518" s="311">
        <v>2.8611832041228705E-2</v>
      </c>
      <c r="H518" s="311">
        <v>7.5812142968403775E-4</v>
      </c>
      <c r="I518" s="394">
        <v>8.2348420677691577E-4</v>
      </c>
      <c r="J518" s="689">
        <v>2.4604282222409373E-5</v>
      </c>
      <c r="K518" s="690">
        <v>2.5716774722701985E-5</v>
      </c>
    </row>
    <row r="519" spans="2:11" ht="15.75" x14ac:dyDescent="0.25">
      <c r="B519" s="667" t="s">
        <v>70</v>
      </c>
      <c r="C519" s="110">
        <v>2033</v>
      </c>
      <c r="D519" s="687" t="s">
        <v>946</v>
      </c>
      <c r="E519" s="688">
        <v>2.8256539560945051E-2</v>
      </c>
      <c r="F519" s="310">
        <v>4.6493354707806585E-3</v>
      </c>
      <c r="G519" s="311">
        <v>2.6852226412583929E-2</v>
      </c>
      <c r="H519" s="311">
        <v>7.1323704969670099E-4</v>
      </c>
      <c r="I519" s="394">
        <v>7.747145354169506E-4</v>
      </c>
      <c r="J519" s="689">
        <v>2.3506803194228739E-5</v>
      </c>
      <c r="K519" s="690">
        <v>2.4569680890891014E-5</v>
      </c>
    </row>
    <row r="520" spans="2:11" ht="15.75" x14ac:dyDescent="0.25">
      <c r="B520" s="667" t="s">
        <v>70</v>
      </c>
      <c r="C520" s="110">
        <v>2034</v>
      </c>
      <c r="D520" s="687" t="s">
        <v>947</v>
      </c>
      <c r="E520" s="688">
        <v>2.7762896537750555E-2</v>
      </c>
      <c r="F520" s="310">
        <v>4.2299587373989681E-3</v>
      </c>
      <c r="G520" s="311">
        <v>2.5306050958599186E-2</v>
      </c>
      <c r="H520" s="311">
        <v>6.7094532425652988E-4</v>
      </c>
      <c r="I520" s="394">
        <v>7.2876954193836245E-4</v>
      </c>
      <c r="J520" s="689">
        <v>2.2298296369503197E-5</v>
      </c>
      <c r="K520" s="690">
        <v>2.3306525394001224E-5</v>
      </c>
    </row>
    <row r="521" spans="2:11" ht="15.75" x14ac:dyDescent="0.25">
      <c r="B521" s="667" t="s">
        <v>70</v>
      </c>
      <c r="C521" s="110">
        <v>2035</v>
      </c>
      <c r="D521" s="687" t="s">
        <v>948</v>
      </c>
      <c r="E521" s="688">
        <v>2.7325004472615773E-2</v>
      </c>
      <c r="F521" s="310">
        <v>3.8642181469048329E-3</v>
      </c>
      <c r="G521" s="311">
        <v>2.4046078164632213E-2</v>
      </c>
      <c r="H521" s="311">
        <v>6.3229002947408038E-4</v>
      </c>
      <c r="I521" s="394">
        <v>6.8677173339128279E-4</v>
      </c>
      <c r="J521" s="689">
        <v>2.1272038773851425E-5</v>
      </c>
      <c r="K521" s="690">
        <v>2.2233861903317782E-5</v>
      </c>
    </row>
    <row r="522" spans="2:11" ht="15.75" x14ac:dyDescent="0.25">
      <c r="B522" s="667" t="s">
        <v>70</v>
      </c>
      <c r="C522" s="110">
        <v>2036</v>
      </c>
      <c r="D522" s="687" t="s">
        <v>949</v>
      </c>
      <c r="E522" s="688">
        <v>2.6935863608386647E-2</v>
      </c>
      <c r="F522" s="310">
        <v>3.5380623609553206E-3</v>
      </c>
      <c r="G522" s="311">
        <v>2.2950281319537441E-2</v>
      </c>
      <c r="H522" s="311">
        <v>5.9887170144592094E-4</v>
      </c>
      <c r="I522" s="394">
        <v>6.5046853253973276E-4</v>
      </c>
      <c r="J522" s="689">
        <v>2.0267980354859742E-5</v>
      </c>
      <c r="K522" s="690">
        <v>2.1184405955341363E-5</v>
      </c>
    </row>
    <row r="523" spans="2:11" ht="15.75" x14ac:dyDescent="0.25">
      <c r="B523" s="667" t="s">
        <v>70</v>
      </c>
      <c r="C523" s="110">
        <v>2037</v>
      </c>
      <c r="D523" s="687" t="s">
        <v>950</v>
      </c>
      <c r="E523" s="688">
        <v>2.6596298277494053E-2</v>
      </c>
      <c r="F523" s="310">
        <v>3.2634117934081052E-3</v>
      </c>
      <c r="G523" s="311">
        <v>2.2065020830640898E-2</v>
      </c>
      <c r="H523" s="311">
        <v>5.6895232684276223E-4</v>
      </c>
      <c r="I523" s="394">
        <v>6.1796943735182176E-4</v>
      </c>
      <c r="J523" s="689">
        <v>1.9296239145141759E-5</v>
      </c>
      <c r="K523" s="690">
        <v>2.0168725570924812E-5</v>
      </c>
    </row>
    <row r="524" spans="2:11" ht="15.75" x14ac:dyDescent="0.25">
      <c r="B524" s="667" t="s">
        <v>70</v>
      </c>
      <c r="C524" s="110">
        <v>2038</v>
      </c>
      <c r="D524" s="687" t="s">
        <v>951</v>
      </c>
      <c r="E524" s="688">
        <v>2.6299066055913173E-2</v>
      </c>
      <c r="F524" s="310">
        <v>3.0105036672596524E-3</v>
      </c>
      <c r="G524" s="311">
        <v>2.1250938699664056E-2</v>
      </c>
      <c r="H524" s="311">
        <v>5.4220170656272583E-4</v>
      </c>
      <c r="I524" s="394">
        <v>5.889065234132106E-4</v>
      </c>
      <c r="J524" s="689">
        <v>1.858564540337815E-5</v>
      </c>
      <c r="K524" s="690">
        <v>1.9426002016545324E-5</v>
      </c>
    </row>
    <row r="525" spans="2:11" ht="15.75" x14ac:dyDescent="0.25">
      <c r="B525" s="667" t="s">
        <v>70</v>
      </c>
      <c r="C525" s="110">
        <v>2039</v>
      </c>
      <c r="D525" s="687" t="s">
        <v>952</v>
      </c>
      <c r="E525" s="688">
        <v>2.6040443542187184E-2</v>
      </c>
      <c r="F525" s="310">
        <v>2.7590344969387836E-3</v>
      </c>
      <c r="G525" s="311">
        <v>2.0430113716349105E-2</v>
      </c>
      <c r="H525" s="311">
        <v>5.1804823611896369E-4</v>
      </c>
      <c r="I525" s="394">
        <v>5.626629077290972E-4</v>
      </c>
      <c r="J525" s="689">
        <v>1.7980099912068409E-5</v>
      </c>
      <c r="K525" s="690">
        <v>1.8793078245883444E-5</v>
      </c>
    </row>
    <row r="526" spans="2:11" ht="15.75" x14ac:dyDescent="0.25">
      <c r="B526" s="667" t="s">
        <v>70</v>
      </c>
      <c r="C526" s="110">
        <v>2040</v>
      </c>
      <c r="D526" s="687" t="s">
        <v>953</v>
      </c>
      <c r="E526" s="688">
        <v>2.5817027994562831E-2</v>
      </c>
      <c r="F526" s="310">
        <v>2.5383983226620944E-3</v>
      </c>
      <c r="G526" s="311">
        <v>1.9767231328459253E-2</v>
      </c>
      <c r="H526" s="311">
        <v>4.9683672957585889E-4</v>
      </c>
      <c r="I526" s="394">
        <v>5.3961588416102262E-4</v>
      </c>
      <c r="J526" s="689">
        <v>1.7456117196216999E-5</v>
      </c>
      <c r="K526" s="690">
        <v>1.82453997208307E-5</v>
      </c>
    </row>
    <row r="527" spans="2:11" ht="15.75" x14ac:dyDescent="0.25">
      <c r="B527" s="667" t="s">
        <v>70</v>
      </c>
      <c r="C527" s="110">
        <v>2041</v>
      </c>
      <c r="D527" s="687" t="s">
        <v>954</v>
      </c>
      <c r="E527" s="688">
        <v>2.562572244899013E-2</v>
      </c>
      <c r="F527" s="310">
        <v>2.3662182445433385E-3</v>
      </c>
      <c r="G527" s="311">
        <v>1.9242343662540677E-2</v>
      </c>
      <c r="H527" s="311">
        <v>4.8065962181148379E-4</v>
      </c>
      <c r="I527" s="394">
        <v>5.2204013007196533E-4</v>
      </c>
      <c r="J527" s="689">
        <v>1.7015946721450731E-5</v>
      </c>
      <c r="K527" s="690">
        <v>1.7785334545918698E-5</v>
      </c>
    </row>
    <row r="528" spans="2:11" ht="15.75" x14ac:dyDescent="0.25">
      <c r="B528" s="667" t="s">
        <v>70</v>
      </c>
      <c r="C528" s="110">
        <v>2042</v>
      </c>
      <c r="D528" s="687" t="s">
        <v>955</v>
      </c>
      <c r="E528" s="688">
        <v>2.5458925804892851E-2</v>
      </c>
      <c r="F528" s="310">
        <v>2.2158439875610597E-3</v>
      </c>
      <c r="G528" s="311">
        <v>1.8752888140863282E-2</v>
      </c>
      <c r="H528" s="311">
        <v>4.6675344603157407E-4</v>
      </c>
      <c r="I528" s="394">
        <v>5.0693072776995774E-4</v>
      </c>
      <c r="J528" s="689">
        <v>1.6666102487963706E-5</v>
      </c>
      <c r="K528" s="690">
        <v>1.7419669390093032E-5</v>
      </c>
    </row>
    <row r="529" spans="2:11" ht="15.75" x14ac:dyDescent="0.25">
      <c r="B529" s="667" t="s">
        <v>70</v>
      </c>
      <c r="C529" s="110">
        <v>2043</v>
      </c>
      <c r="D529" s="687" t="s">
        <v>956</v>
      </c>
      <c r="E529" s="688">
        <v>2.5317944406784219E-2</v>
      </c>
      <c r="F529" s="310">
        <v>2.1020696116384402E-3</v>
      </c>
      <c r="G529" s="311">
        <v>1.8385112044512472E-2</v>
      </c>
      <c r="H529" s="311">
        <v>4.5492145664283271E-4</v>
      </c>
      <c r="I529" s="394">
        <v>4.9407477284284229E-4</v>
      </c>
      <c r="J529" s="689">
        <v>1.6372794551165271E-5</v>
      </c>
      <c r="K529" s="690">
        <v>1.7113099351582466E-5</v>
      </c>
    </row>
    <row r="530" spans="2:11" ht="15.75" x14ac:dyDescent="0.25">
      <c r="B530" s="667" t="s">
        <v>70</v>
      </c>
      <c r="C530" s="110">
        <v>2044</v>
      </c>
      <c r="D530" s="687" t="s">
        <v>957</v>
      </c>
      <c r="E530" s="688">
        <v>2.5197600164286949E-2</v>
      </c>
      <c r="F530" s="310">
        <v>2.0217773102304474E-3</v>
      </c>
      <c r="G530" s="311">
        <v>1.8109760048699904E-2</v>
      </c>
      <c r="H530" s="311">
        <v>4.4489152199915976E-4</v>
      </c>
      <c r="I530" s="394">
        <v>4.8317631803537807E-4</v>
      </c>
      <c r="J530" s="689">
        <v>1.6131392357876148E-5</v>
      </c>
      <c r="K530" s="690">
        <v>1.6860788179048999E-5</v>
      </c>
    </row>
    <row r="531" spans="2:11" ht="15.75" x14ac:dyDescent="0.25">
      <c r="B531" s="667" t="s">
        <v>70</v>
      </c>
      <c r="C531" s="110">
        <v>2045</v>
      </c>
      <c r="D531" s="687" t="s">
        <v>958</v>
      </c>
      <c r="E531" s="688">
        <v>2.5091056620139926E-2</v>
      </c>
      <c r="F531" s="310">
        <v>1.9697188091839807E-3</v>
      </c>
      <c r="G531" s="311">
        <v>1.7923377253517735E-2</v>
      </c>
      <c r="H531" s="311">
        <v>4.3637529810966653E-4</v>
      </c>
      <c r="I531" s="394">
        <v>4.7392198563426038E-4</v>
      </c>
      <c r="J531" s="689">
        <v>1.5948902936386674E-5</v>
      </c>
      <c r="K531" s="690">
        <v>1.6670035444996189E-5</v>
      </c>
    </row>
    <row r="532" spans="2:11" ht="15.75" x14ac:dyDescent="0.25">
      <c r="B532" s="667" t="s">
        <v>70</v>
      </c>
      <c r="C532" s="110">
        <v>2046</v>
      </c>
      <c r="D532" s="687" t="s">
        <v>959</v>
      </c>
      <c r="E532" s="688">
        <v>2.5001184906249183E-2</v>
      </c>
      <c r="F532" s="310">
        <v>1.9242271935541479E-3</v>
      </c>
      <c r="G532" s="311">
        <v>1.7767330135351669E-2</v>
      </c>
      <c r="H532" s="311">
        <v>4.292689220622015E-4</v>
      </c>
      <c r="I532" s="394">
        <v>4.661992841116463E-4</v>
      </c>
      <c r="J532" s="689">
        <v>1.5809778789914692E-5</v>
      </c>
      <c r="K532" s="690">
        <v>1.6524626115462221E-5</v>
      </c>
    </row>
    <row r="533" spans="2:11" ht="15.75" x14ac:dyDescent="0.25">
      <c r="B533" s="667" t="s">
        <v>70</v>
      </c>
      <c r="C533" s="110">
        <v>2047</v>
      </c>
      <c r="D533" s="687" t="s">
        <v>960</v>
      </c>
      <c r="E533" s="688">
        <v>2.4923349657527141E-2</v>
      </c>
      <c r="F533" s="310">
        <v>1.8847067595719573E-3</v>
      </c>
      <c r="G533" s="311">
        <v>1.7627129111409786E-2</v>
      </c>
      <c r="H533" s="311">
        <v>4.2339239774714276E-4</v>
      </c>
      <c r="I533" s="394">
        <v>4.5981331905201853E-4</v>
      </c>
      <c r="J533" s="689">
        <v>1.5684795399163672E-5</v>
      </c>
      <c r="K533" s="690">
        <v>1.6393994463086119E-5</v>
      </c>
    </row>
    <row r="534" spans="2:11" ht="15.75" x14ac:dyDescent="0.25">
      <c r="B534" s="667" t="s">
        <v>70</v>
      </c>
      <c r="C534" s="110">
        <v>2048</v>
      </c>
      <c r="D534" s="687" t="s">
        <v>961</v>
      </c>
      <c r="E534" s="688">
        <v>2.4856161268373245E-2</v>
      </c>
      <c r="F534" s="310">
        <v>1.8521512402040706E-3</v>
      </c>
      <c r="G534" s="311">
        <v>1.7508222691922651E-2</v>
      </c>
      <c r="H534" s="311">
        <v>4.1852048144064416E-4</v>
      </c>
      <c r="I534" s="394">
        <v>4.5451839467379994E-4</v>
      </c>
      <c r="J534" s="689">
        <v>1.5586633730550116E-5</v>
      </c>
      <c r="K534" s="690">
        <v>1.6291383575141383E-5</v>
      </c>
    </row>
    <row r="535" spans="2:11" ht="15.75" x14ac:dyDescent="0.25">
      <c r="B535" s="667" t="s">
        <v>70</v>
      </c>
      <c r="C535" s="110">
        <v>2049</v>
      </c>
      <c r="D535" s="687" t="s">
        <v>962</v>
      </c>
      <c r="E535" s="688">
        <v>2.4797779721737225E-2</v>
      </c>
      <c r="F535" s="310">
        <v>1.8407162710477765E-3</v>
      </c>
      <c r="G535" s="311">
        <v>1.7513277452317802E-2</v>
      </c>
      <c r="H535" s="311">
        <v>4.1554163313692029E-4</v>
      </c>
      <c r="I535" s="394">
        <v>4.5128157355908281E-4</v>
      </c>
      <c r="J535" s="689">
        <v>1.5515239578447623E-5</v>
      </c>
      <c r="K535" s="690">
        <v>1.6216770029473482E-5</v>
      </c>
    </row>
    <row r="536" spans="2:11" ht="15.75" x14ac:dyDescent="0.25">
      <c r="B536" s="667" t="s">
        <v>70</v>
      </c>
      <c r="C536" s="110">
        <v>2050</v>
      </c>
      <c r="D536" s="687" t="s">
        <v>963</v>
      </c>
      <c r="E536" s="688">
        <v>2.474915254022499E-2</v>
      </c>
      <c r="F536" s="310">
        <v>1.8315027037639721E-3</v>
      </c>
      <c r="G536" s="311">
        <v>1.7519445688468138E-2</v>
      </c>
      <c r="H536" s="311">
        <v>4.131325928353473E-4</v>
      </c>
      <c r="I536" s="394">
        <v>4.4866528850405057E-4</v>
      </c>
      <c r="J536" s="689">
        <v>1.5428444009992939E-5</v>
      </c>
      <c r="K536" s="690">
        <v>1.612604681080979E-5</v>
      </c>
    </row>
    <row r="537" spans="2:11" ht="15.75" x14ac:dyDescent="0.25">
      <c r="B537" s="667" t="s">
        <v>71</v>
      </c>
      <c r="C537" s="110">
        <v>2015</v>
      </c>
      <c r="D537" s="687" t="s">
        <v>219</v>
      </c>
      <c r="E537" s="688">
        <v>4.4910058915821428E-2</v>
      </c>
      <c r="F537" s="310">
        <v>6.6771265129325325E-2</v>
      </c>
      <c r="G537" s="311">
        <v>0.24134228051761683</v>
      </c>
      <c r="H537" s="311">
        <v>2.2357624854988252E-3</v>
      </c>
      <c r="I537" s="394">
        <v>2.4185036643411088E-3</v>
      </c>
      <c r="J537" s="689">
        <v>1.8011402784216801E-4</v>
      </c>
      <c r="K537" s="690">
        <v>1.8825798652035596E-4</v>
      </c>
    </row>
    <row r="538" spans="2:11" ht="15.75" x14ac:dyDescent="0.25">
      <c r="B538" s="667" t="s">
        <v>71</v>
      </c>
      <c r="C538" s="110">
        <v>2016</v>
      </c>
      <c r="D538" s="687" t="s">
        <v>220</v>
      </c>
      <c r="E538" s="688">
        <v>4.4009307383031201E-2</v>
      </c>
      <c r="F538" s="310">
        <v>5.5663391918373557E-2</v>
      </c>
      <c r="G538" s="311">
        <v>0.20696264186163513</v>
      </c>
      <c r="H538" s="311">
        <v>2.0837977245318044E-3</v>
      </c>
      <c r="I538" s="394">
        <v>2.2559582346478595E-3</v>
      </c>
      <c r="J538" s="689">
        <v>1.5204409606360772E-4</v>
      </c>
      <c r="K538" s="690">
        <v>1.589188538311952E-4</v>
      </c>
    </row>
    <row r="539" spans="2:11" ht="15.75" x14ac:dyDescent="0.25">
      <c r="B539" s="667" t="s">
        <v>71</v>
      </c>
      <c r="C539" s="110">
        <v>2017</v>
      </c>
      <c r="D539" s="687" t="s">
        <v>964</v>
      </c>
      <c r="E539" s="688">
        <v>4.2940667805164354E-2</v>
      </c>
      <c r="F539" s="310">
        <v>4.6640618197928106E-2</v>
      </c>
      <c r="G539" s="311">
        <v>0.17778049794713305</v>
      </c>
      <c r="H539" s="311">
        <v>1.9996641522086003E-3</v>
      </c>
      <c r="I539" s="394">
        <v>2.1661520911130726E-3</v>
      </c>
      <c r="J539" s="689">
        <v>1.3906706423879816E-4</v>
      </c>
      <c r="K539" s="690">
        <v>1.4535505707518847E-4</v>
      </c>
    </row>
    <row r="540" spans="2:11" ht="15.75" x14ac:dyDescent="0.25">
      <c r="B540" s="667" t="s">
        <v>71</v>
      </c>
      <c r="C540" s="110">
        <v>2018</v>
      </c>
      <c r="D540" s="687" t="s">
        <v>965</v>
      </c>
      <c r="E540" s="688">
        <v>4.1799389631859023E-2</v>
      </c>
      <c r="F540" s="310">
        <v>3.8803304484275367E-2</v>
      </c>
      <c r="G540" s="311">
        <v>0.15229477267592353</v>
      </c>
      <c r="H540" s="311">
        <v>1.9488920049438711E-3</v>
      </c>
      <c r="I540" s="394">
        <v>2.1123394125671545E-3</v>
      </c>
      <c r="J540" s="689">
        <v>1.2817863141932487E-4</v>
      </c>
      <c r="K540" s="690">
        <v>1.3397429688134712E-4</v>
      </c>
    </row>
    <row r="541" spans="2:11" ht="15.75" x14ac:dyDescent="0.25">
      <c r="B541" s="667" t="s">
        <v>71</v>
      </c>
      <c r="C541" s="110">
        <v>2019</v>
      </c>
      <c r="D541" s="687" t="s">
        <v>966</v>
      </c>
      <c r="E541" s="688">
        <v>4.0582927516268179E-2</v>
      </c>
      <c r="F541" s="310">
        <v>3.2092854540565617E-2</v>
      </c>
      <c r="G541" s="311">
        <v>0.13045801110970817</v>
      </c>
      <c r="H541" s="311">
        <v>1.9091336322524001E-3</v>
      </c>
      <c r="I541" s="394">
        <v>2.0702553759293597E-3</v>
      </c>
      <c r="J541" s="689">
        <v>1.1890475753755926E-4</v>
      </c>
      <c r="K541" s="690">
        <v>1.2428110650930714E-4</v>
      </c>
    </row>
    <row r="542" spans="2:11" ht="15.75" x14ac:dyDescent="0.25">
      <c r="B542" s="667" t="s">
        <v>71</v>
      </c>
      <c r="C542" s="110">
        <v>2020</v>
      </c>
      <c r="D542" s="687" t="s">
        <v>967</v>
      </c>
      <c r="E542" s="688">
        <v>3.940269829370615E-2</v>
      </c>
      <c r="F542" s="310">
        <v>2.7132635817818426E-2</v>
      </c>
      <c r="G542" s="311">
        <v>0.11230479615893117</v>
      </c>
      <c r="H542" s="311">
        <v>1.8407620550364775E-3</v>
      </c>
      <c r="I542" s="394">
        <v>1.9965373405475234E-3</v>
      </c>
      <c r="J542" s="689">
        <v>1.1098576114742156E-4</v>
      </c>
      <c r="K542" s="690">
        <v>1.160040465231324E-4</v>
      </c>
    </row>
    <row r="543" spans="2:11" ht="15.75" x14ac:dyDescent="0.25">
      <c r="B543" s="667" t="s">
        <v>71</v>
      </c>
      <c r="C543" s="110">
        <v>2021</v>
      </c>
      <c r="D543" s="687" t="s">
        <v>968</v>
      </c>
      <c r="E543" s="688">
        <v>3.8181444696907665E-2</v>
      </c>
      <c r="F543" s="310">
        <v>2.2938061370115115E-2</v>
      </c>
      <c r="G543" s="311">
        <v>9.6480699209709975E-2</v>
      </c>
      <c r="H543" s="311">
        <v>1.7319637123372914E-3</v>
      </c>
      <c r="I543" s="394">
        <v>1.8788207331107629E-3</v>
      </c>
      <c r="J543" s="689">
        <v>1.0230660194570176E-4</v>
      </c>
      <c r="K543" s="690">
        <v>1.0693245182515243E-4</v>
      </c>
    </row>
    <row r="544" spans="2:11" ht="15.75" x14ac:dyDescent="0.25">
      <c r="B544" s="667" t="s">
        <v>71</v>
      </c>
      <c r="C544" s="110">
        <v>2022</v>
      </c>
      <c r="D544" s="687" t="s">
        <v>969</v>
      </c>
      <c r="E544" s="688">
        <v>3.7003583569108614E-2</v>
      </c>
      <c r="F544" s="310">
        <v>1.8747227438821248E-2</v>
      </c>
      <c r="G544" s="311">
        <v>8.2433027575578313E-2</v>
      </c>
      <c r="H544" s="311">
        <v>1.6274767336056386E-3</v>
      </c>
      <c r="I544" s="394">
        <v>1.7659950260356726E-3</v>
      </c>
      <c r="J544" s="689">
        <v>9.2137429820891175E-5</v>
      </c>
      <c r="K544" s="690">
        <v>9.6303477619139188E-5</v>
      </c>
    </row>
    <row r="545" spans="2:11" ht="15.75" x14ac:dyDescent="0.25">
      <c r="B545" s="667" t="s">
        <v>71</v>
      </c>
      <c r="C545" s="110">
        <v>2023</v>
      </c>
      <c r="D545" s="687" t="s">
        <v>970</v>
      </c>
      <c r="E545" s="688">
        <v>3.5841969582415395E-2</v>
      </c>
      <c r="F545" s="310">
        <v>1.6146830033039638E-2</v>
      </c>
      <c r="G545" s="311">
        <v>7.1698047485987459E-2</v>
      </c>
      <c r="H545" s="311">
        <v>1.5373309258210452E-3</v>
      </c>
      <c r="I545" s="394">
        <v>1.6684352325654162E-3</v>
      </c>
      <c r="J545" s="689">
        <v>8.2087154139167645E-5</v>
      </c>
      <c r="K545" s="690">
        <v>8.5798765981921643E-5</v>
      </c>
    </row>
    <row r="546" spans="2:11" ht="15.75" x14ac:dyDescent="0.25">
      <c r="B546" s="667" t="s">
        <v>71</v>
      </c>
      <c r="C546" s="110">
        <v>2024</v>
      </c>
      <c r="D546" s="687" t="s">
        <v>971</v>
      </c>
      <c r="E546" s="688">
        <v>3.481866276510779E-2</v>
      </c>
      <c r="F546" s="310">
        <v>1.3910910678417912E-2</v>
      </c>
      <c r="G546" s="311">
        <v>6.2621012107439797E-2</v>
      </c>
      <c r="H546" s="311">
        <v>1.4553253164622641E-3</v>
      </c>
      <c r="I546" s="394">
        <v>1.5797765500801392E-3</v>
      </c>
      <c r="J546" s="689">
        <v>7.0893028517305352E-5</v>
      </c>
      <c r="K546" s="690">
        <v>7.409849968761562E-5</v>
      </c>
    </row>
    <row r="547" spans="2:11" ht="15.75" x14ac:dyDescent="0.25">
      <c r="B547" s="667" t="s">
        <v>71</v>
      </c>
      <c r="C547" s="110">
        <v>2025</v>
      </c>
      <c r="D547" s="687" t="s">
        <v>972</v>
      </c>
      <c r="E547" s="688">
        <v>3.3694036065851925E-2</v>
      </c>
      <c r="F547" s="310">
        <v>1.2160673387448064E-2</v>
      </c>
      <c r="G547" s="311">
        <v>5.548735651521073E-2</v>
      </c>
      <c r="H547" s="311">
        <v>1.3931602071564175E-3</v>
      </c>
      <c r="I547" s="394">
        <v>1.5123925206571235E-3</v>
      </c>
      <c r="J547" s="689">
        <v>6.5973935595471783E-5</v>
      </c>
      <c r="K547" s="690">
        <v>6.8956985143515953E-5</v>
      </c>
    </row>
    <row r="548" spans="2:11" ht="15.75" x14ac:dyDescent="0.25">
      <c r="B548" s="667" t="s">
        <v>71</v>
      </c>
      <c r="C548" s="110">
        <v>2026</v>
      </c>
      <c r="D548" s="687" t="s">
        <v>973</v>
      </c>
      <c r="E548" s="688">
        <v>3.267728448764444E-2</v>
      </c>
      <c r="F548" s="310">
        <v>1.0775110458195706E-2</v>
      </c>
      <c r="G548" s="311">
        <v>4.9820760816589413E-2</v>
      </c>
      <c r="H548" s="311">
        <v>1.3288493356728099E-3</v>
      </c>
      <c r="I548" s="394">
        <v>1.442759436934516E-3</v>
      </c>
      <c r="J548" s="689">
        <v>5.8633505088266038E-5</v>
      </c>
      <c r="K548" s="690">
        <v>6.1284649289241098E-5</v>
      </c>
    </row>
    <row r="549" spans="2:11" ht="15.75" x14ac:dyDescent="0.25">
      <c r="B549" s="667" t="s">
        <v>71</v>
      </c>
      <c r="C549" s="110">
        <v>2027</v>
      </c>
      <c r="D549" s="687" t="s">
        <v>974</v>
      </c>
      <c r="E549" s="688">
        <v>3.1755208958063864E-2</v>
      </c>
      <c r="F549" s="310">
        <v>9.5544117122263444E-3</v>
      </c>
      <c r="G549" s="311">
        <v>4.4932042857599067E-2</v>
      </c>
      <c r="H549" s="311">
        <v>1.2516582385686281E-3</v>
      </c>
      <c r="I549" s="394">
        <v>1.35930504463665E-3</v>
      </c>
      <c r="J549" s="689">
        <v>4.6890410844892781E-5</v>
      </c>
      <c r="K549" s="690">
        <v>4.9010590706442358E-5</v>
      </c>
    </row>
    <row r="550" spans="2:11" ht="15.75" x14ac:dyDescent="0.25">
      <c r="B550" s="667" t="s">
        <v>71</v>
      </c>
      <c r="C550" s="110">
        <v>2028</v>
      </c>
      <c r="D550" s="687" t="s">
        <v>975</v>
      </c>
      <c r="E550" s="688">
        <v>3.0929282014513608E-2</v>
      </c>
      <c r="F550" s="310">
        <v>8.5314080817178537E-3</v>
      </c>
      <c r="G550" s="311">
        <v>4.0864362782659425E-2</v>
      </c>
      <c r="H550" s="311">
        <v>1.173353847742395E-3</v>
      </c>
      <c r="I550" s="394">
        <v>1.2743940141434213E-3</v>
      </c>
      <c r="J550" s="689">
        <v>4.0939367469057667E-5</v>
      </c>
      <c r="K550" s="690">
        <v>4.2790465757385684E-5</v>
      </c>
    </row>
    <row r="551" spans="2:11" ht="15.75" x14ac:dyDescent="0.25">
      <c r="B551" s="667" t="s">
        <v>71</v>
      </c>
      <c r="C551" s="110">
        <v>2029</v>
      </c>
      <c r="D551" s="687" t="s">
        <v>976</v>
      </c>
      <c r="E551" s="688">
        <v>3.0187065693256344E-2</v>
      </c>
      <c r="F551" s="310">
        <v>7.6075169266982797E-3</v>
      </c>
      <c r="G551" s="311">
        <v>3.7280588161381266E-2</v>
      </c>
      <c r="H551" s="311">
        <v>1.1000073466392725E-3</v>
      </c>
      <c r="I551" s="394">
        <v>1.1947658524255899E-3</v>
      </c>
      <c r="J551" s="689">
        <v>3.75770058968166E-5</v>
      </c>
      <c r="K551" s="690">
        <v>3.927606985171337E-5</v>
      </c>
    </row>
    <row r="552" spans="2:11" ht="15.75" x14ac:dyDescent="0.25">
      <c r="B552" s="667" t="s">
        <v>71</v>
      </c>
      <c r="C552" s="110">
        <v>2030</v>
      </c>
      <c r="D552" s="687" t="s">
        <v>977</v>
      </c>
      <c r="E552" s="688">
        <v>2.9525438991993062E-2</v>
      </c>
      <c r="F552" s="310">
        <v>6.8589345524034647E-3</v>
      </c>
      <c r="G552" s="311">
        <v>3.4359686913972703E-2</v>
      </c>
      <c r="H552" s="311">
        <v>1.0295097526621469E-3</v>
      </c>
      <c r="I552" s="394">
        <v>1.1183254102937377E-3</v>
      </c>
      <c r="J552" s="689">
        <v>3.2103883129915321E-5</v>
      </c>
      <c r="K552" s="690">
        <v>3.3555479419268688E-5</v>
      </c>
    </row>
    <row r="553" spans="2:11" ht="15.75" x14ac:dyDescent="0.25">
      <c r="B553" s="667" t="s">
        <v>71</v>
      </c>
      <c r="C553" s="110">
        <v>2031</v>
      </c>
      <c r="D553" s="687" t="s">
        <v>978</v>
      </c>
      <c r="E553" s="688">
        <v>2.8942593644927111E-2</v>
      </c>
      <c r="F553" s="310">
        <v>6.1965386338242454E-3</v>
      </c>
      <c r="G553" s="311">
        <v>3.1810533256547334E-2</v>
      </c>
      <c r="H553" s="311">
        <v>9.6628635550047109E-4</v>
      </c>
      <c r="I553" s="394">
        <v>1.0496416717634249E-3</v>
      </c>
      <c r="J553" s="689">
        <v>3.0278642825261161E-5</v>
      </c>
      <c r="K553" s="690">
        <v>3.1647708189000407E-5</v>
      </c>
    </row>
    <row r="554" spans="2:11" ht="15.75" x14ac:dyDescent="0.25">
      <c r="B554" s="667" t="s">
        <v>71</v>
      </c>
      <c r="C554" s="110">
        <v>2032</v>
      </c>
      <c r="D554" s="687" t="s">
        <v>979</v>
      </c>
      <c r="E554" s="688">
        <v>2.842120803830574E-2</v>
      </c>
      <c r="F554" s="310">
        <v>5.6157656167935251E-3</v>
      </c>
      <c r="G554" s="311">
        <v>2.9661764920896554E-2</v>
      </c>
      <c r="H554" s="311">
        <v>9.0748147653523556E-4</v>
      </c>
      <c r="I554" s="394">
        <v>9.857576408673031E-4</v>
      </c>
      <c r="J554" s="689">
        <v>2.8573773870791984E-5</v>
      </c>
      <c r="K554" s="690">
        <v>2.9865750145175807E-5</v>
      </c>
    </row>
    <row r="555" spans="2:11" ht="15.75" x14ac:dyDescent="0.25">
      <c r="B555" s="667" t="s">
        <v>71</v>
      </c>
      <c r="C555" s="110">
        <v>2033</v>
      </c>
      <c r="D555" s="687" t="s">
        <v>980</v>
      </c>
      <c r="E555" s="688">
        <v>2.796071074773581E-2</v>
      </c>
      <c r="F555" s="310">
        <v>5.09762649775193E-3</v>
      </c>
      <c r="G555" s="311">
        <v>2.7792083719734306E-2</v>
      </c>
      <c r="H555" s="311">
        <v>8.5242396832704804E-4</v>
      </c>
      <c r="I555" s="394">
        <v>9.2595608216033466E-4</v>
      </c>
      <c r="J555" s="689">
        <v>2.6716727199903596E-5</v>
      </c>
      <c r="K555" s="690">
        <v>2.7924744750795172E-5</v>
      </c>
    </row>
    <row r="556" spans="2:11" ht="15.75" x14ac:dyDescent="0.25">
      <c r="B556" s="667" t="s">
        <v>71</v>
      </c>
      <c r="C556" s="110">
        <v>2034</v>
      </c>
      <c r="D556" s="687" t="s">
        <v>981</v>
      </c>
      <c r="E556" s="688">
        <v>2.7553758219677017E-2</v>
      </c>
      <c r="F556" s="310">
        <v>4.6354843861806487E-3</v>
      </c>
      <c r="G556" s="311">
        <v>2.6194583603023323E-2</v>
      </c>
      <c r="H556" s="311">
        <v>8.0185094631845145E-4</v>
      </c>
      <c r="I556" s="394">
        <v>8.7101349328448023E-4</v>
      </c>
      <c r="J556" s="689">
        <v>2.5316594216365274E-5</v>
      </c>
      <c r="K556" s="690">
        <v>2.6461296778374397E-5</v>
      </c>
    </row>
    <row r="557" spans="2:11" ht="15.75" x14ac:dyDescent="0.25">
      <c r="B557" s="667" t="s">
        <v>71</v>
      </c>
      <c r="C557" s="110">
        <v>2035</v>
      </c>
      <c r="D557" s="687" t="s">
        <v>982</v>
      </c>
      <c r="E557" s="688">
        <v>2.7198079155944653E-2</v>
      </c>
      <c r="F557" s="310">
        <v>4.236601488455601E-3</v>
      </c>
      <c r="G557" s="311">
        <v>2.4895918006108426E-2</v>
      </c>
      <c r="H557" s="311">
        <v>7.5588731547209583E-4</v>
      </c>
      <c r="I557" s="394">
        <v>8.2107822467143406E-4</v>
      </c>
      <c r="J557" s="689">
        <v>2.4037293063321085E-5</v>
      </c>
      <c r="K557" s="690">
        <v>2.512415129798439E-5</v>
      </c>
    </row>
    <row r="558" spans="2:11" ht="15.75" x14ac:dyDescent="0.25">
      <c r="B558" s="667" t="s">
        <v>71</v>
      </c>
      <c r="C558" s="110">
        <v>2036</v>
      </c>
      <c r="D558" s="687" t="s">
        <v>983</v>
      </c>
      <c r="E558" s="688">
        <v>2.6887956300590342E-2</v>
      </c>
      <c r="F558" s="310">
        <v>3.8869314992732579E-3</v>
      </c>
      <c r="G558" s="311">
        <v>2.3788944901489403E-2</v>
      </c>
      <c r="H558" s="311">
        <v>7.1594668419116875E-4</v>
      </c>
      <c r="I558" s="394">
        <v>7.7770212712697671E-4</v>
      </c>
      <c r="J558" s="689">
        <v>2.2544514886746862E-5</v>
      </c>
      <c r="K558" s="690">
        <v>2.3563878726794709E-5</v>
      </c>
    </row>
    <row r="559" spans="2:11" ht="15.75" x14ac:dyDescent="0.25">
      <c r="B559" s="667" t="s">
        <v>71</v>
      </c>
      <c r="C559" s="110">
        <v>2037</v>
      </c>
      <c r="D559" s="687" t="s">
        <v>984</v>
      </c>
      <c r="E559" s="688">
        <v>2.6620767785752068E-2</v>
      </c>
      <c r="F559" s="310">
        <v>3.588681483388399E-3</v>
      </c>
      <c r="G559" s="311">
        <v>2.2877435643377679E-2</v>
      </c>
      <c r="H559" s="311">
        <v>6.8062448150553142E-4</v>
      </c>
      <c r="I559" s="394">
        <v>7.3933327442797785E-4</v>
      </c>
      <c r="J559" s="689">
        <v>2.1429320182140483E-5</v>
      </c>
      <c r="K559" s="690">
        <v>2.2398258789543954E-5</v>
      </c>
    </row>
    <row r="560" spans="2:11" ht="15.75" x14ac:dyDescent="0.25">
      <c r="B560" s="667" t="s">
        <v>71</v>
      </c>
      <c r="C560" s="110">
        <v>2038</v>
      </c>
      <c r="D560" s="687" t="s">
        <v>985</v>
      </c>
      <c r="E560" s="688">
        <v>2.6391699557713352E-2</v>
      </c>
      <c r="F560" s="310">
        <v>3.3107050625839165E-3</v>
      </c>
      <c r="G560" s="311">
        <v>2.2022107853410078E-2</v>
      </c>
      <c r="H560" s="311">
        <v>6.4910547422758393E-4</v>
      </c>
      <c r="I560" s="394">
        <v>7.0508924676537061E-4</v>
      </c>
      <c r="J560" s="689">
        <v>2.0582464310917758E-5</v>
      </c>
      <c r="K560" s="690">
        <v>2.1513110583415843E-5</v>
      </c>
    </row>
    <row r="561" spans="2:11" ht="15.75" x14ac:dyDescent="0.25">
      <c r="B561" s="667" t="s">
        <v>71</v>
      </c>
      <c r="C561" s="110">
        <v>2039</v>
      </c>
      <c r="D561" s="687" t="s">
        <v>986</v>
      </c>
      <c r="E561" s="688">
        <v>2.6194448340740282E-2</v>
      </c>
      <c r="F561" s="310">
        <v>3.0523424006139352E-3</v>
      </c>
      <c r="G561" s="311">
        <v>2.1231699701464556E-2</v>
      </c>
      <c r="H561" s="311">
        <v>6.2101814648804834E-4</v>
      </c>
      <c r="I561" s="394">
        <v>6.7457634454317033E-4</v>
      </c>
      <c r="J561" s="689">
        <v>1.9772862487549021E-5</v>
      </c>
      <c r="K561" s="690">
        <v>2.0666904405853842E-5</v>
      </c>
    </row>
    <row r="562" spans="2:11" ht="15.75" x14ac:dyDescent="0.25">
      <c r="B562" s="667" t="s">
        <v>71</v>
      </c>
      <c r="C562" s="110">
        <v>2040</v>
      </c>
      <c r="D562" s="687" t="s">
        <v>987</v>
      </c>
      <c r="E562" s="688">
        <v>2.6027624511081367E-2</v>
      </c>
      <c r="F562" s="310">
        <v>2.8298044843590091E-3</v>
      </c>
      <c r="G562" s="311">
        <v>2.0604702246459428E-2</v>
      </c>
      <c r="H562" s="311">
        <v>5.9662919371825508E-4</v>
      </c>
      <c r="I562" s="394">
        <v>6.4807569719574235E-4</v>
      </c>
      <c r="J562" s="689">
        <v>1.9191355462023317E-5</v>
      </c>
      <c r="K562" s="690">
        <v>2.0059101590925206E-5</v>
      </c>
    </row>
    <row r="563" spans="2:11" ht="15.75" x14ac:dyDescent="0.25">
      <c r="B563" s="667" t="s">
        <v>71</v>
      </c>
      <c r="C563" s="110">
        <v>2041</v>
      </c>
      <c r="D563" s="687" t="s">
        <v>988</v>
      </c>
      <c r="E563" s="688">
        <v>2.5888497391480789E-2</v>
      </c>
      <c r="F563" s="310">
        <v>2.6534782051845841E-3</v>
      </c>
      <c r="G563" s="311">
        <v>2.0084770555800012E-2</v>
      </c>
      <c r="H563" s="311">
        <v>5.7764476241576755E-4</v>
      </c>
      <c r="I563" s="394">
        <v>6.2744849380142126E-4</v>
      </c>
      <c r="J563" s="689">
        <v>1.8703999660928157E-5</v>
      </c>
      <c r="K563" s="690">
        <v>1.954971432686531E-5</v>
      </c>
    </row>
    <row r="564" spans="2:11" ht="15.75" x14ac:dyDescent="0.25">
      <c r="B564" s="667" t="s">
        <v>71</v>
      </c>
      <c r="C564" s="110">
        <v>2042</v>
      </c>
      <c r="D564" s="687" t="s">
        <v>989</v>
      </c>
      <c r="E564" s="688">
        <v>2.576999186921889E-2</v>
      </c>
      <c r="F564" s="310">
        <v>2.5035184571928571E-3</v>
      </c>
      <c r="G564" s="311">
        <v>1.9617490673592954E-2</v>
      </c>
      <c r="H564" s="311">
        <v>5.6134496491543344E-4</v>
      </c>
      <c r="I564" s="394">
        <v>6.0973997737530665E-4</v>
      </c>
      <c r="J564" s="689">
        <v>1.826114837798078E-5</v>
      </c>
      <c r="K564" s="690">
        <v>1.9086842783300033E-5</v>
      </c>
    </row>
    <row r="565" spans="2:11" ht="15.75" x14ac:dyDescent="0.25">
      <c r="B565" s="667" t="s">
        <v>71</v>
      </c>
      <c r="C565" s="110">
        <v>2043</v>
      </c>
      <c r="D565" s="687" t="s">
        <v>990</v>
      </c>
      <c r="E565" s="688">
        <v>2.5671726079641237E-2</v>
      </c>
      <c r="F565" s="310">
        <v>2.3932866588813333E-3</v>
      </c>
      <c r="G565" s="311">
        <v>1.9281453423870255E-2</v>
      </c>
      <c r="H565" s="311">
        <v>5.4757556914063557E-4</v>
      </c>
      <c r="I565" s="394">
        <v>5.94778202588922E-4</v>
      </c>
      <c r="J565" s="689">
        <v>1.7934244796771105E-5</v>
      </c>
      <c r="K565" s="690">
        <v>1.874514951404712E-5</v>
      </c>
    </row>
    <row r="566" spans="2:11" ht="15.75" x14ac:dyDescent="0.25">
      <c r="B566" s="667" t="s">
        <v>71</v>
      </c>
      <c r="C566" s="110">
        <v>2044</v>
      </c>
      <c r="D566" s="687" t="s">
        <v>991</v>
      </c>
      <c r="E566" s="688">
        <v>2.5589105912158145E-2</v>
      </c>
      <c r="F566" s="310">
        <v>2.3082445648702089E-3</v>
      </c>
      <c r="G566" s="311">
        <v>1.8999930757744279E-2</v>
      </c>
      <c r="H566" s="311">
        <v>5.3582366757711907E-4</v>
      </c>
      <c r="I566" s="394">
        <v>5.8200929164186677E-4</v>
      </c>
      <c r="J566" s="689">
        <v>1.7645278456840175E-5</v>
      </c>
      <c r="K566" s="690">
        <v>1.8443117472422214E-5</v>
      </c>
    </row>
    <row r="567" spans="2:11" ht="15.75" x14ac:dyDescent="0.25">
      <c r="B567" s="667" t="s">
        <v>71</v>
      </c>
      <c r="C567" s="110">
        <v>2045</v>
      </c>
      <c r="D567" s="687" t="s">
        <v>992</v>
      </c>
      <c r="E567" s="688">
        <v>2.5516748834490861E-2</v>
      </c>
      <c r="F567" s="310">
        <v>2.2515671472086328E-3</v>
      </c>
      <c r="G567" s="311">
        <v>1.8813642351525276E-2</v>
      </c>
      <c r="H567" s="311">
        <v>5.2588581396720052E-4</v>
      </c>
      <c r="I567" s="394">
        <v>5.7121108267957311E-4</v>
      </c>
      <c r="J567" s="689">
        <v>1.7408656894527292E-5</v>
      </c>
      <c r="K567" s="690">
        <v>1.81957945280888E-5</v>
      </c>
    </row>
    <row r="568" spans="2:11" ht="15.75" x14ac:dyDescent="0.25">
      <c r="B568" s="667" t="s">
        <v>71</v>
      </c>
      <c r="C568" s="110">
        <v>2046</v>
      </c>
      <c r="D568" s="687" t="s">
        <v>993</v>
      </c>
      <c r="E568" s="688">
        <v>2.545496153780397E-2</v>
      </c>
      <c r="F568" s="310">
        <v>2.201973875604678E-3</v>
      </c>
      <c r="G568" s="311">
        <v>1.8660376447988163E-2</v>
      </c>
      <c r="H568" s="311">
        <v>5.1754792799183792E-4</v>
      </c>
      <c r="I568" s="394">
        <v>5.6215098045721149E-4</v>
      </c>
      <c r="J568" s="689">
        <v>1.7218169459325932E-5</v>
      </c>
      <c r="K568" s="690">
        <v>1.7996697834077102E-5</v>
      </c>
    </row>
    <row r="569" spans="2:11" ht="15.75" x14ac:dyDescent="0.25">
      <c r="B569" s="667" t="s">
        <v>71</v>
      </c>
      <c r="C569" s="110">
        <v>2047</v>
      </c>
      <c r="D569" s="687" t="s">
        <v>994</v>
      </c>
      <c r="E569" s="688">
        <v>2.5403612392744385E-2</v>
      </c>
      <c r="F569" s="310">
        <v>2.15845756198351E-3</v>
      </c>
      <c r="G569" s="311">
        <v>1.8520858857591867E-2</v>
      </c>
      <c r="H569" s="311">
        <v>5.1059681506401887E-4</v>
      </c>
      <c r="I569" s="394">
        <v>5.5459871586812032E-4</v>
      </c>
      <c r="J569" s="689">
        <v>1.7036635918517904E-5</v>
      </c>
      <c r="K569" s="690">
        <v>1.7806960292864926E-5</v>
      </c>
    </row>
    <row r="570" spans="2:11" ht="15.75" x14ac:dyDescent="0.25">
      <c r="B570" s="667" t="s">
        <v>71</v>
      </c>
      <c r="C570" s="110">
        <v>2048</v>
      </c>
      <c r="D570" s="687" t="s">
        <v>995</v>
      </c>
      <c r="E570" s="688">
        <v>2.5359750526905301E-2</v>
      </c>
      <c r="F570" s="310">
        <v>2.1232343913728589E-3</v>
      </c>
      <c r="G570" s="311">
        <v>1.8405126347056672E-2</v>
      </c>
      <c r="H570" s="311">
        <v>5.0483535890011734E-4</v>
      </c>
      <c r="I570" s="394">
        <v>5.4833785780492126E-4</v>
      </c>
      <c r="J570" s="689">
        <v>1.690399762716762E-5</v>
      </c>
      <c r="K570" s="690">
        <v>1.7668324362283836E-5</v>
      </c>
    </row>
    <row r="571" spans="2:11" ht="15.75" x14ac:dyDescent="0.25">
      <c r="B571" s="667" t="s">
        <v>71</v>
      </c>
      <c r="C571" s="110">
        <v>2049</v>
      </c>
      <c r="D571" s="687" t="s">
        <v>996</v>
      </c>
      <c r="E571" s="688">
        <v>2.5322430960726321E-2</v>
      </c>
      <c r="F571" s="310">
        <v>2.1100087547949774E-3</v>
      </c>
      <c r="G571" s="311">
        <v>1.8408073978831735E-2</v>
      </c>
      <c r="H571" s="311">
        <v>5.0117505924788359E-4</v>
      </c>
      <c r="I571" s="394">
        <v>5.4436219562874481E-4</v>
      </c>
      <c r="J571" s="689">
        <v>1.6786680204097788E-5</v>
      </c>
      <c r="K571" s="690">
        <v>1.7545704999497036E-5</v>
      </c>
    </row>
    <row r="572" spans="2:11" ht="15.75" x14ac:dyDescent="0.25">
      <c r="B572" s="667" t="s">
        <v>71</v>
      </c>
      <c r="C572" s="110">
        <v>2050</v>
      </c>
      <c r="D572" s="687" t="s">
        <v>997</v>
      </c>
      <c r="E572" s="688">
        <v>2.5290902411371646E-2</v>
      </c>
      <c r="F572" s="310">
        <v>2.099592177410515E-3</v>
      </c>
      <c r="G572" s="311">
        <v>1.8414347418950729E-2</v>
      </c>
      <c r="H572" s="311">
        <v>4.9821630935280357E-4</v>
      </c>
      <c r="I572" s="394">
        <v>5.4114878867824725E-4</v>
      </c>
      <c r="J572" s="689">
        <v>1.6681097487411947E-5</v>
      </c>
      <c r="K572" s="690">
        <v>1.7435344899084819E-5</v>
      </c>
    </row>
    <row r="573" spans="2:11" ht="15.75" x14ac:dyDescent="0.25">
      <c r="B573" s="667" t="s">
        <v>221</v>
      </c>
      <c r="C573" s="110">
        <v>2015</v>
      </c>
      <c r="D573" s="687" t="s">
        <v>222</v>
      </c>
      <c r="E573" s="688">
        <v>4.6173859106487719E-2</v>
      </c>
      <c r="F573" s="310">
        <v>5.7314373081462672E-2</v>
      </c>
      <c r="G573" s="311">
        <v>0.20782370826667551</v>
      </c>
      <c r="H573" s="311">
        <v>1.9298384369336942E-3</v>
      </c>
      <c r="I573" s="394">
        <v>2.087821201083132E-3</v>
      </c>
      <c r="J573" s="689">
        <v>1.4145805214500231E-4</v>
      </c>
      <c r="K573" s="690">
        <v>1.4785415755058287E-4</v>
      </c>
    </row>
    <row r="574" spans="2:11" ht="15.75" x14ac:dyDescent="0.25">
      <c r="B574" s="667" t="s">
        <v>221</v>
      </c>
      <c r="C574" s="110">
        <v>2016</v>
      </c>
      <c r="D574" s="687" t="s">
        <v>223</v>
      </c>
      <c r="E574" s="688">
        <v>4.5240167385160332E-2</v>
      </c>
      <c r="F574" s="310">
        <v>4.7573582821684959E-2</v>
      </c>
      <c r="G574" s="311">
        <v>0.17892626751064761</v>
      </c>
      <c r="H574" s="311">
        <v>1.8275120208023803E-3</v>
      </c>
      <c r="I574" s="394">
        <v>1.9790436336154294E-3</v>
      </c>
      <c r="J574" s="689">
        <v>1.1877029325096639E-4</v>
      </c>
      <c r="K574" s="690">
        <v>1.241405583592057E-4</v>
      </c>
    </row>
    <row r="575" spans="2:11" ht="15.75" x14ac:dyDescent="0.25">
      <c r="B575" s="667" t="s">
        <v>221</v>
      </c>
      <c r="C575" s="110">
        <v>2017</v>
      </c>
      <c r="D575" s="687" t="s">
        <v>998</v>
      </c>
      <c r="E575" s="688">
        <v>4.4143885951880811E-2</v>
      </c>
      <c r="F575" s="310">
        <v>3.9101600438366163E-2</v>
      </c>
      <c r="G575" s="311">
        <v>0.15216560642740057</v>
      </c>
      <c r="H575" s="311">
        <v>1.7690851264251265E-3</v>
      </c>
      <c r="I575" s="394">
        <v>1.9171077137492005E-3</v>
      </c>
      <c r="J575" s="689">
        <v>1.0902092171103285E-4</v>
      </c>
      <c r="K575" s="690">
        <v>1.1395036456040083E-4</v>
      </c>
    </row>
    <row r="576" spans="2:11" ht="15.75" x14ac:dyDescent="0.25">
      <c r="B576" s="667" t="s">
        <v>221</v>
      </c>
      <c r="C576" s="110">
        <v>2018</v>
      </c>
      <c r="D576" s="687" t="s">
        <v>999</v>
      </c>
      <c r="E576" s="688">
        <v>4.3014333764387742E-2</v>
      </c>
      <c r="F576" s="310">
        <v>3.1837358632479239E-2</v>
      </c>
      <c r="G576" s="311">
        <v>0.12908557615447014</v>
      </c>
      <c r="H576" s="311">
        <v>1.7392199730364615E-3</v>
      </c>
      <c r="I576" s="394">
        <v>1.8859465244071747E-3</v>
      </c>
      <c r="J576" s="689">
        <v>1.0088786152852011E-4</v>
      </c>
      <c r="K576" s="690">
        <v>1.054495618774909E-4</v>
      </c>
    </row>
    <row r="577" spans="2:11" ht="15.75" x14ac:dyDescent="0.25">
      <c r="B577" s="667" t="s">
        <v>221</v>
      </c>
      <c r="C577" s="110">
        <v>2019</v>
      </c>
      <c r="D577" s="687" t="s">
        <v>1000</v>
      </c>
      <c r="E577" s="688">
        <v>4.1845048228764579E-2</v>
      </c>
      <c r="F577" s="310">
        <v>2.6008765368824554E-2</v>
      </c>
      <c r="G577" s="311">
        <v>0.10991907564166037</v>
      </c>
      <c r="H577" s="311">
        <v>1.7241124324257474E-3</v>
      </c>
      <c r="I577" s="394">
        <v>1.8705330545242432E-3</v>
      </c>
      <c r="J577" s="689">
        <v>9.3206749703165747E-5</v>
      </c>
      <c r="K577" s="690">
        <v>9.7421145682573468E-5</v>
      </c>
    </row>
    <row r="578" spans="2:11" ht="15.75" x14ac:dyDescent="0.25">
      <c r="B578" s="667" t="s">
        <v>221</v>
      </c>
      <c r="C578" s="110">
        <v>2020</v>
      </c>
      <c r="D578" s="687" t="s">
        <v>1001</v>
      </c>
      <c r="E578" s="688">
        <v>4.0655325178511552E-2</v>
      </c>
      <c r="F578" s="310">
        <v>2.1854220626653965E-2</v>
      </c>
      <c r="G578" s="311">
        <v>9.4256350492536181E-2</v>
      </c>
      <c r="H578" s="311">
        <v>1.6822609299205992E-3</v>
      </c>
      <c r="I578" s="394">
        <v>1.825523444160959E-3</v>
      </c>
      <c r="J578" s="689">
        <v>8.6834179804424756E-5</v>
      </c>
      <c r="K578" s="690">
        <v>9.0760433765944379E-5</v>
      </c>
    </row>
    <row r="579" spans="2:11" ht="15.75" x14ac:dyDescent="0.25">
      <c r="B579" s="667" t="s">
        <v>221</v>
      </c>
      <c r="C579" s="110">
        <v>2021</v>
      </c>
      <c r="D579" s="687" t="s">
        <v>1002</v>
      </c>
      <c r="E579" s="688">
        <v>3.9447252237294998E-2</v>
      </c>
      <c r="F579" s="310">
        <v>1.8653773520109468E-2</v>
      </c>
      <c r="G579" s="311">
        <v>8.1151216123875172E-2</v>
      </c>
      <c r="H579" s="311">
        <v>1.6051523861234317E-3</v>
      </c>
      <c r="I579" s="394">
        <v>1.7420426817645997E-3</v>
      </c>
      <c r="J579" s="689">
        <v>8.0910282927658999E-5</v>
      </c>
      <c r="K579" s="690">
        <v>8.4568683601625482E-5</v>
      </c>
    </row>
    <row r="580" spans="2:11" ht="15.75" x14ac:dyDescent="0.25">
      <c r="B580" s="667" t="s">
        <v>221</v>
      </c>
      <c r="C580" s="110">
        <v>2022</v>
      </c>
      <c r="D580" s="687" t="s">
        <v>1003</v>
      </c>
      <c r="E580" s="688">
        <v>3.8252735186182253E-2</v>
      </c>
      <c r="F580" s="310">
        <v>1.5611351919558682E-2</v>
      </c>
      <c r="G580" s="311">
        <v>6.9816590251018815E-2</v>
      </c>
      <c r="H580" s="311">
        <v>1.5245760926764032E-3</v>
      </c>
      <c r="I580" s="394">
        <v>1.6548613875895289E-3</v>
      </c>
      <c r="J580" s="689">
        <v>7.4986291418647436E-5</v>
      </c>
      <c r="K580" s="690">
        <v>7.8376841475294687E-5</v>
      </c>
    </row>
    <row r="581" spans="2:11" ht="15.75" x14ac:dyDescent="0.25">
      <c r="B581" s="667" t="s">
        <v>221</v>
      </c>
      <c r="C581" s="110">
        <v>2023</v>
      </c>
      <c r="D581" s="687" t="s">
        <v>1004</v>
      </c>
      <c r="E581" s="688">
        <v>3.7073463965205243E-2</v>
      </c>
      <c r="F581" s="310">
        <v>1.3498354804591111E-2</v>
      </c>
      <c r="G581" s="311">
        <v>6.081520617528282E-2</v>
      </c>
      <c r="H581" s="311">
        <v>1.4509130694740587E-3</v>
      </c>
      <c r="I581" s="394">
        <v>1.5750561026350788E-3</v>
      </c>
      <c r="J581" s="689">
        <v>6.8414024027496856E-5</v>
      </c>
      <c r="K581" s="690">
        <v>7.1507404224002786E-5</v>
      </c>
    </row>
    <row r="582" spans="2:11" ht="15.75" x14ac:dyDescent="0.25">
      <c r="B582" s="667" t="s">
        <v>221</v>
      </c>
      <c r="C582" s="110">
        <v>2024</v>
      </c>
      <c r="D582" s="687" t="s">
        <v>1005</v>
      </c>
      <c r="E582" s="688">
        <v>3.5909377109826002E-2</v>
      </c>
      <c r="F582" s="310">
        <v>1.172958011205249E-2</v>
      </c>
      <c r="G582" s="311">
        <v>5.3298938459593714E-2</v>
      </c>
      <c r="H582" s="311">
        <v>1.3877232266475282E-3</v>
      </c>
      <c r="I582" s="394">
        <v>1.5066618829588491E-3</v>
      </c>
      <c r="J582" s="689">
        <v>6.1371942864735945E-5</v>
      </c>
      <c r="K582" s="690">
        <v>6.4146909151240909E-5</v>
      </c>
    </row>
    <row r="583" spans="2:11" ht="15.75" x14ac:dyDescent="0.25">
      <c r="B583" s="667" t="s">
        <v>221</v>
      </c>
      <c r="C583" s="110">
        <v>2025</v>
      </c>
      <c r="D583" s="687" t="s">
        <v>1006</v>
      </c>
      <c r="E583" s="688">
        <v>3.4764553677108068E-2</v>
      </c>
      <c r="F583" s="310">
        <v>1.0263117801625051E-2</v>
      </c>
      <c r="G583" s="311">
        <v>4.7233448589531872E-2</v>
      </c>
      <c r="H583" s="311">
        <v>1.3313122835848987E-3</v>
      </c>
      <c r="I583" s="394">
        <v>1.4455724379504914E-3</v>
      </c>
      <c r="J583" s="689">
        <v>5.5445935734285225E-5</v>
      </c>
      <c r="K583" s="690">
        <v>5.7952953643395883E-5</v>
      </c>
    </row>
    <row r="584" spans="2:11" ht="15.75" x14ac:dyDescent="0.25">
      <c r="B584" s="667" t="s">
        <v>221</v>
      </c>
      <c r="C584" s="110">
        <v>2026</v>
      </c>
      <c r="D584" s="687" t="s">
        <v>1007</v>
      </c>
      <c r="E584" s="688">
        <v>3.372870213703847E-2</v>
      </c>
      <c r="F584" s="310">
        <v>9.0091472939196667E-3</v>
      </c>
      <c r="G584" s="311">
        <v>4.2282570596375788E-2</v>
      </c>
      <c r="H584" s="311">
        <v>1.2662150239308128E-3</v>
      </c>
      <c r="I584" s="394">
        <v>1.3750062509725863E-3</v>
      </c>
      <c r="J584" s="689">
        <v>4.9965604427509108E-5</v>
      </c>
      <c r="K584" s="690">
        <v>5.2224824058223629E-5</v>
      </c>
    </row>
    <row r="585" spans="2:11" ht="15.75" x14ac:dyDescent="0.25">
      <c r="B585" s="667" t="s">
        <v>221</v>
      </c>
      <c r="C585" s="110">
        <v>2027</v>
      </c>
      <c r="D585" s="687" t="s">
        <v>1008</v>
      </c>
      <c r="E585" s="688">
        <v>3.2783187781119466E-2</v>
      </c>
      <c r="F585" s="310">
        <v>7.9954459282991584E-3</v>
      </c>
      <c r="G585" s="311">
        <v>3.8205671811749553E-2</v>
      </c>
      <c r="H585" s="311">
        <v>1.2000178722287994E-3</v>
      </c>
      <c r="I585" s="394">
        <v>1.3032961561420451E-3</v>
      </c>
      <c r="J585" s="689">
        <v>4.3259482960035761E-5</v>
      </c>
      <c r="K585" s="690">
        <v>4.521549086042895E-5</v>
      </c>
    </row>
    <row r="586" spans="2:11" ht="15.75" x14ac:dyDescent="0.25">
      <c r="B586" s="667" t="s">
        <v>221</v>
      </c>
      <c r="C586" s="110">
        <v>2028</v>
      </c>
      <c r="D586" s="687" t="s">
        <v>1009</v>
      </c>
      <c r="E586" s="688">
        <v>3.1932337574947595E-2</v>
      </c>
      <c r="F586" s="310">
        <v>7.1607603864243773E-3</v>
      </c>
      <c r="G586" s="311">
        <v>3.4870670577742298E-2</v>
      </c>
      <c r="H586" s="311">
        <v>1.1280679696019553E-3</v>
      </c>
      <c r="I586" s="394">
        <v>1.2252647469218874E-3</v>
      </c>
      <c r="J586" s="689">
        <v>3.8035512719283565E-5</v>
      </c>
      <c r="K586" s="690">
        <v>3.975530892093333E-5</v>
      </c>
    </row>
    <row r="587" spans="2:11" ht="15.75" x14ac:dyDescent="0.25">
      <c r="B587" s="667" t="s">
        <v>221</v>
      </c>
      <c r="C587" s="110">
        <v>2029</v>
      </c>
      <c r="D587" s="687" t="s">
        <v>1010</v>
      </c>
      <c r="E587" s="688">
        <v>3.116599239061478E-2</v>
      </c>
      <c r="F587" s="310">
        <v>6.4263648816727916E-3</v>
      </c>
      <c r="G587" s="311">
        <v>3.2023372250708337E-2</v>
      </c>
      <c r="H587" s="311">
        <v>1.0583934010939477E-3</v>
      </c>
      <c r="I587" s="394">
        <v>1.1496669313031257E-3</v>
      </c>
      <c r="J587" s="689">
        <v>3.380582256853458E-5</v>
      </c>
      <c r="K587" s="690">
        <v>3.5334367240107008E-5</v>
      </c>
    </row>
    <row r="588" spans="2:11" ht="15.75" x14ac:dyDescent="0.25">
      <c r="B588" s="667" t="s">
        <v>221</v>
      </c>
      <c r="C588" s="110">
        <v>2030</v>
      </c>
      <c r="D588" s="687" t="s">
        <v>1011</v>
      </c>
      <c r="E588" s="688">
        <v>3.0481888143877443E-2</v>
      </c>
      <c r="F588" s="310">
        <v>5.8197723500885068E-3</v>
      </c>
      <c r="G588" s="311">
        <v>2.970194388081291E-2</v>
      </c>
      <c r="H588" s="311">
        <v>9.9330291444537874E-4</v>
      </c>
      <c r="I588" s="394">
        <v>1.0790070303675922E-3</v>
      </c>
      <c r="J588" s="689">
        <v>3.0688170776755884E-5</v>
      </c>
      <c r="K588" s="690">
        <v>3.2075760865974331E-5</v>
      </c>
    </row>
    <row r="589" spans="2:11" ht="15.75" x14ac:dyDescent="0.25">
      <c r="B589" s="667" t="s">
        <v>221</v>
      </c>
      <c r="C589" s="110">
        <v>2031</v>
      </c>
      <c r="D589" s="687" t="s">
        <v>1012</v>
      </c>
      <c r="E589" s="688">
        <v>2.9872580674170389E-2</v>
      </c>
      <c r="F589" s="310">
        <v>5.2914678198975424E-3</v>
      </c>
      <c r="G589" s="311">
        <v>2.7725013593409124E-2</v>
      </c>
      <c r="H589" s="311">
        <v>9.3300422631867916E-4</v>
      </c>
      <c r="I589" s="394">
        <v>1.0135023234445649E-3</v>
      </c>
      <c r="J589" s="689">
        <v>2.8902377877039665E-5</v>
      </c>
      <c r="K589" s="690">
        <v>3.0209212040225437E-5</v>
      </c>
    </row>
    <row r="590" spans="2:11" ht="15.75" x14ac:dyDescent="0.25">
      <c r="B590" s="667" t="s">
        <v>221</v>
      </c>
      <c r="C590" s="110">
        <v>2032</v>
      </c>
      <c r="D590" s="687" t="s">
        <v>1013</v>
      </c>
      <c r="E590" s="688">
        <v>2.9331358150009052E-2</v>
      </c>
      <c r="F590" s="310">
        <v>4.8323998223533575E-3</v>
      </c>
      <c r="G590" s="311">
        <v>2.6082788787780684E-2</v>
      </c>
      <c r="H590" s="311">
        <v>8.7651312909620745E-4</v>
      </c>
      <c r="I590" s="394">
        <v>9.5214768663996773E-4</v>
      </c>
      <c r="J590" s="689">
        <v>2.6911271321789726E-5</v>
      </c>
      <c r="K590" s="690">
        <v>2.8128075040173418E-5</v>
      </c>
    </row>
    <row r="591" spans="2:11" ht="15.75" x14ac:dyDescent="0.25">
      <c r="B591" s="667" t="s">
        <v>221</v>
      </c>
      <c r="C591" s="110">
        <v>2033</v>
      </c>
      <c r="D591" s="687" t="s">
        <v>1014</v>
      </c>
      <c r="E591" s="688">
        <v>2.8853277807047842E-2</v>
      </c>
      <c r="F591" s="310">
        <v>4.43337777425519E-3</v>
      </c>
      <c r="G591" s="311">
        <v>2.4709700300378033E-2</v>
      </c>
      <c r="H591" s="311">
        <v>8.2473966741652429E-4</v>
      </c>
      <c r="I591" s="394">
        <v>8.9589996251705512E-4</v>
      </c>
      <c r="J591" s="689">
        <v>2.5485885894353292E-5</v>
      </c>
      <c r="K591" s="690">
        <v>2.6638246786078777E-5</v>
      </c>
    </row>
    <row r="592" spans="2:11" ht="15.75" x14ac:dyDescent="0.25">
      <c r="B592" s="667" t="s">
        <v>221</v>
      </c>
      <c r="C592" s="110">
        <v>2034</v>
      </c>
      <c r="D592" s="687" t="s">
        <v>1015</v>
      </c>
      <c r="E592" s="688">
        <v>2.8433362834839004E-2</v>
      </c>
      <c r="F592" s="310">
        <v>4.0772400967726179E-3</v>
      </c>
      <c r="G592" s="311">
        <v>2.3547738161344544E-2</v>
      </c>
      <c r="H592" s="311">
        <v>7.769638949950841E-4</v>
      </c>
      <c r="I592" s="394">
        <v>8.4399415114898226E-4</v>
      </c>
      <c r="J592" s="689">
        <v>2.4176150978301381E-5</v>
      </c>
      <c r="K592" s="690">
        <v>2.5269291486859452E-5</v>
      </c>
    </row>
    <row r="593" spans="2:11" ht="15.75" x14ac:dyDescent="0.25">
      <c r="B593" s="667" t="s">
        <v>221</v>
      </c>
      <c r="C593" s="110">
        <v>2035</v>
      </c>
      <c r="D593" s="687" t="s">
        <v>1016</v>
      </c>
      <c r="E593" s="688">
        <v>2.8068034955929435E-2</v>
      </c>
      <c r="F593" s="310">
        <v>3.7634908642483877E-3</v>
      </c>
      <c r="G593" s="311">
        <v>2.2581808852282163E-2</v>
      </c>
      <c r="H593" s="311">
        <v>7.3331020065770425E-4</v>
      </c>
      <c r="I593" s="394">
        <v>7.965690388939831E-4</v>
      </c>
      <c r="J593" s="689">
        <v>2.2950032548645954E-5</v>
      </c>
      <c r="K593" s="690">
        <v>2.3987729133957736E-5</v>
      </c>
    </row>
    <row r="594" spans="2:11" ht="15.75" x14ac:dyDescent="0.25">
      <c r="B594" s="667" t="s">
        <v>221</v>
      </c>
      <c r="C594" s="110">
        <v>2036</v>
      </c>
      <c r="D594" s="687" t="s">
        <v>1017</v>
      </c>
      <c r="E594" s="688">
        <v>2.7751530806022488E-2</v>
      </c>
      <c r="F594" s="310">
        <v>3.4816414304789703E-3</v>
      </c>
      <c r="G594" s="311">
        <v>2.1745599250031427E-2</v>
      </c>
      <c r="H594" s="311">
        <v>6.9515639493797636E-4</v>
      </c>
      <c r="I594" s="394">
        <v>7.5511592336835421E-4</v>
      </c>
      <c r="J594" s="689">
        <v>2.1938210372031826E-5</v>
      </c>
      <c r="K594" s="690">
        <v>2.2930151692717665E-5</v>
      </c>
    </row>
    <row r="595" spans="2:11" ht="15.75" x14ac:dyDescent="0.25">
      <c r="B595" s="667" t="s">
        <v>221</v>
      </c>
      <c r="C595" s="110">
        <v>2037</v>
      </c>
      <c r="D595" s="687" t="s">
        <v>1018</v>
      </c>
      <c r="E595" s="688">
        <v>2.7480194532913314E-2</v>
      </c>
      <c r="F595" s="310">
        <v>3.2431739607796254E-3</v>
      </c>
      <c r="G595" s="311">
        <v>2.1075799354266324E-2</v>
      </c>
      <c r="H595" s="311">
        <v>6.6126769729622358E-4</v>
      </c>
      <c r="I595" s="394">
        <v>7.1829705917548961E-4</v>
      </c>
      <c r="J595" s="689">
        <v>2.1044209536446053E-5</v>
      </c>
      <c r="K595" s="690">
        <v>2.1995733255944155E-5</v>
      </c>
    </row>
    <row r="596" spans="2:11" ht="15.75" x14ac:dyDescent="0.25">
      <c r="B596" s="667" t="s">
        <v>221</v>
      </c>
      <c r="C596" s="110">
        <v>2038</v>
      </c>
      <c r="D596" s="687" t="s">
        <v>1019</v>
      </c>
      <c r="E596" s="688">
        <v>2.7248336537949173E-2</v>
      </c>
      <c r="F596" s="310">
        <v>3.0311243346259954E-3</v>
      </c>
      <c r="G596" s="311">
        <v>2.0488225830820977E-2</v>
      </c>
      <c r="H596" s="311">
        <v>6.3122543882653058E-4</v>
      </c>
      <c r="I596" s="394">
        <v>6.8565654441558464E-4</v>
      </c>
      <c r="J596" s="689">
        <v>2.0255022802118926E-5</v>
      </c>
      <c r="K596" s="690">
        <v>2.117086308912588E-5</v>
      </c>
    </row>
    <row r="597" spans="2:11" ht="15.75" x14ac:dyDescent="0.25">
      <c r="B597" s="667" t="s">
        <v>221</v>
      </c>
      <c r="C597" s="110">
        <v>2039</v>
      </c>
      <c r="D597" s="687" t="s">
        <v>1020</v>
      </c>
      <c r="E597" s="688">
        <v>2.7051595797642557E-2</v>
      </c>
      <c r="F597" s="310">
        <v>2.8271261867051961E-3</v>
      </c>
      <c r="G597" s="311">
        <v>1.9924466098923732E-2</v>
      </c>
      <c r="H597" s="311">
        <v>6.0459450449103637E-4</v>
      </c>
      <c r="I597" s="394">
        <v>6.5672194290716346E-4</v>
      </c>
      <c r="J597" s="689">
        <v>1.9580098740765427E-5</v>
      </c>
      <c r="K597" s="690">
        <v>2.0465420023115099E-5</v>
      </c>
    </row>
    <row r="598" spans="2:11" ht="15.75" x14ac:dyDescent="0.25">
      <c r="B598" s="667" t="s">
        <v>221</v>
      </c>
      <c r="C598" s="110">
        <v>2040</v>
      </c>
      <c r="D598" s="687" t="s">
        <v>1021</v>
      </c>
      <c r="E598" s="688">
        <v>2.6885358402145017E-2</v>
      </c>
      <c r="F598" s="310">
        <v>2.6499229736296143E-3</v>
      </c>
      <c r="G598" s="311">
        <v>1.9469559836563038E-2</v>
      </c>
      <c r="H598" s="311">
        <v>5.8150159158490324E-4</v>
      </c>
      <c r="I598" s="394">
        <v>6.3163064287637886E-4</v>
      </c>
      <c r="J598" s="689">
        <v>1.8993679712020351E-5</v>
      </c>
      <c r="K598" s="690">
        <v>1.9852484915250284E-5</v>
      </c>
    </row>
    <row r="599" spans="2:11" ht="15.75" x14ac:dyDescent="0.25">
      <c r="B599" s="667" t="s">
        <v>221</v>
      </c>
      <c r="C599" s="110">
        <v>2041</v>
      </c>
      <c r="D599" s="687" t="s">
        <v>1022</v>
      </c>
      <c r="E599" s="688">
        <v>2.6746663643007981E-2</v>
      </c>
      <c r="F599" s="310">
        <v>2.5135309498997877E-3</v>
      </c>
      <c r="G599" s="311">
        <v>1.9114605792029556E-2</v>
      </c>
      <c r="H599" s="311">
        <v>5.6333762024259222E-4</v>
      </c>
      <c r="I599" s="394">
        <v>6.1189692389538425E-4</v>
      </c>
      <c r="J599" s="689">
        <v>1.8512370727318908E-5</v>
      </c>
      <c r="K599" s="690">
        <v>1.9349411266240549E-5</v>
      </c>
    </row>
    <row r="600" spans="2:11" ht="15.75" x14ac:dyDescent="0.25">
      <c r="B600" s="667" t="s">
        <v>221</v>
      </c>
      <c r="C600" s="110">
        <v>2042</v>
      </c>
      <c r="D600" s="687" t="s">
        <v>1023</v>
      </c>
      <c r="E600" s="688">
        <v>2.662987514462202E-2</v>
      </c>
      <c r="F600" s="310">
        <v>2.3968373661498138E-3</v>
      </c>
      <c r="G600" s="311">
        <v>1.8786931934772873E-2</v>
      </c>
      <c r="H600" s="311">
        <v>5.479145891978223E-4</v>
      </c>
      <c r="I600" s="394">
        <v>5.9513940177879259E-4</v>
      </c>
      <c r="J600" s="689">
        <v>1.8121827875265335E-5</v>
      </c>
      <c r="K600" s="690">
        <v>1.8941221443431792E-5</v>
      </c>
    </row>
    <row r="601" spans="2:11" ht="15.75" x14ac:dyDescent="0.25">
      <c r="B601" s="667" t="s">
        <v>221</v>
      </c>
      <c r="C601" s="110">
        <v>2043</v>
      </c>
      <c r="D601" s="687" t="s">
        <v>1024</v>
      </c>
      <c r="E601" s="688">
        <v>2.6533174423407649E-2</v>
      </c>
      <c r="F601" s="310">
        <v>2.3076899416553357E-3</v>
      </c>
      <c r="G601" s="311">
        <v>1.8543033304448786E-2</v>
      </c>
      <c r="H601" s="311">
        <v>5.3496765865454921E-4</v>
      </c>
      <c r="I601" s="394">
        <v>5.8107135309076253E-4</v>
      </c>
      <c r="J601" s="689">
        <v>1.7818951952467613E-5</v>
      </c>
      <c r="K601" s="690">
        <v>1.8624644401168426E-5</v>
      </c>
    </row>
    <row r="602" spans="2:11" ht="15.75" x14ac:dyDescent="0.25">
      <c r="B602" s="667" t="s">
        <v>221</v>
      </c>
      <c r="C602" s="110">
        <v>2044</v>
      </c>
      <c r="D602" s="687" t="s">
        <v>1025</v>
      </c>
      <c r="E602" s="688">
        <v>2.6451029941279479E-2</v>
      </c>
      <c r="F602" s="310">
        <v>2.2414345163810053E-3</v>
      </c>
      <c r="G602" s="311">
        <v>1.8354530204417404E-2</v>
      </c>
      <c r="H602" s="311">
        <v>5.2410776750209205E-4</v>
      </c>
      <c r="I602" s="394">
        <v>5.6927007837286958E-4</v>
      </c>
      <c r="J602" s="689">
        <v>1.7573248892035538E-5</v>
      </c>
      <c r="K602" s="690">
        <v>1.8367833296773884E-5</v>
      </c>
    </row>
    <row r="603" spans="2:11" ht="15.75" x14ac:dyDescent="0.25">
      <c r="B603" s="667" t="s">
        <v>221</v>
      </c>
      <c r="C603" s="110">
        <v>2045</v>
      </c>
      <c r="D603" s="687" t="s">
        <v>1026</v>
      </c>
      <c r="E603" s="688">
        <v>2.6381447143056656E-2</v>
      </c>
      <c r="F603" s="310">
        <v>2.1956010776711101E-3</v>
      </c>
      <c r="G603" s="311">
        <v>1.8226631018038297E-2</v>
      </c>
      <c r="H603" s="311">
        <v>5.1499017748875861E-4</v>
      </c>
      <c r="I603" s="394">
        <v>5.5936200646312202E-4</v>
      </c>
      <c r="J603" s="689">
        <v>1.7382882700400434E-5</v>
      </c>
      <c r="K603" s="690">
        <v>1.8168860459224932E-5</v>
      </c>
    </row>
    <row r="604" spans="2:11" ht="15.75" x14ac:dyDescent="0.25">
      <c r="B604" s="667" t="s">
        <v>221</v>
      </c>
      <c r="C604" s="110">
        <v>2046</v>
      </c>
      <c r="D604" s="687" t="s">
        <v>1027</v>
      </c>
      <c r="E604" s="688">
        <v>2.6322878138192861E-2</v>
      </c>
      <c r="F604" s="310">
        <v>2.1551705413774347E-3</v>
      </c>
      <c r="G604" s="311">
        <v>1.8119751952695589E-2</v>
      </c>
      <c r="H604" s="311">
        <v>5.0741001115071471E-4</v>
      </c>
      <c r="I604" s="394">
        <v>5.5112411414837202E-4</v>
      </c>
      <c r="J604" s="689">
        <v>1.7230558423585831E-5</v>
      </c>
      <c r="K604" s="690">
        <v>1.8009651960758556E-5</v>
      </c>
    </row>
    <row r="605" spans="2:11" ht="15.75" x14ac:dyDescent="0.25">
      <c r="B605" s="667" t="s">
        <v>221</v>
      </c>
      <c r="C605" s="110">
        <v>2047</v>
      </c>
      <c r="D605" s="687" t="s">
        <v>1028</v>
      </c>
      <c r="E605" s="688">
        <v>2.6274055725440632E-2</v>
      </c>
      <c r="F605" s="310">
        <v>2.119938856658306E-3</v>
      </c>
      <c r="G605" s="311">
        <v>1.8022114405090512E-2</v>
      </c>
      <c r="H605" s="311">
        <v>5.0119623751027791E-4</v>
      </c>
      <c r="I605" s="394">
        <v>5.4437147300575705E-4</v>
      </c>
      <c r="J605" s="689">
        <v>1.7109064144001866E-5</v>
      </c>
      <c r="K605" s="690">
        <v>1.7882661618949103E-5</v>
      </c>
    </row>
    <row r="606" spans="2:11" ht="15.75" x14ac:dyDescent="0.25">
      <c r="B606" s="667" t="s">
        <v>221</v>
      </c>
      <c r="C606" s="110">
        <v>2048</v>
      </c>
      <c r="D606" s="687" t="s">
        <v>1029</v>
      </c>
      <c r="E606" s="688">
        <v>2.6233112735966568E-2</v>
      </c>
      <c r="F606" s="310">
        <v>2.0911525051617095E-3</v>
      </c>
      <c r="G606" s="311">
        <v>1.7939956996032215E-2</v>
      </c>
      <c r="H606" s="311">
        <v>4.9609606798768635E-4</v>
      </c>
      <c r="I606" s="394">
        <v>5.3882913845632431E-4</v>
      </c>
      <c r="J606" s="689">
        <v>1.7008090650798859E-5</v>
      </c>
      <c r="K606" s="690">
        <v>1.7777127819513369E-5</v>
      </c>
    </row>
    <row r="607" spans="2:11" ht="15.75" x14ac:dyDescent="0.25">
      <c r="B607" s="667" t="s">
        <v>221</v>
      </c>
      <c r="C607" s="110">
        <v>2049</v>
      </c>
      <c r="D607" s="687" t="s">
        <v>1030</v>
      </c>
      <c r="E607" s="688">
        <v>2.6198571894860068E-2</v>
      </c>
      <c r="F607" s="310">
        <v>2.0800109751800289E-3</v>
      </c>
      <c r="G607" s="311">
        <v>1.7946829822531558E-2</v>
      </c>
      <c r="H607" s="311">
        <v>4.9279063809612412E-4</v>
      </c>
      <c r="I607" s="394">
        <v>5.3523756052091618E-4</v>
      </c>
      <c r="J607" s="689">
        <v>1.6936452632730018E-5</v>
      </c>
      <c r="K607" s="690">
        <v>1.7702235657837961E-5</v>
      </c>
    </row>
    <row r="608" spans="2:11" ht="15.75" x14ac:dyDescent="0.25">
      <c r="B608" s="667" t="s">
        <v>221</v>
      </c>
      <c r="C608" s="110">
        <v>2050</v>
      </c>
      <c r="D608" s="687" t="s">
        <v>1031</v>
      </c>
      <c r="E608" s="688">
        <v>2.617187567761441E-2</v>
      </c>
      <c r="F608" s="310">
        <v>2.0711145286535157E-3</v>
      </c>
      <c r="G608" s="311">
        <v>1.7954785891999971E-2</v>
      </c>
      <c r="H608" s="311">
        <v>4.9015515236389769E-4</v>
      </c>
      <c r="I608" s="394">
        <v>5.3237384491509475E-4</v>
      </c>
      <c r="J608" s="689">
        <v>1.6861805648397038E-5</v>
      </c>
      <c r="K608" s="690">
        <v>1.7624222198201119E-5</v>
      </c>
    </row>
    <row r="609" spans="2:11" ht="15.75" x14ac:dyDescent="0.25">
      <c r="B609" s="667" t="s">
        <v>72</v>
      </c>
      <c r="C609" s="110">
        <v>2015</v>
      </c>
      <c r="D609" s="687" t="s">
        <v>224</v>
      </c>
      <c r="E609" s="688">
        <v>4.6492624076667689E-2</v>
      </c>
      <c r="F609" s="310">
        <v>5.2176538330863116E-2</v>
      </c>
      <c r="G609" s="311">
        <v>0.20323454919065867</v>
      </c>
      <c r="H609" s="311">
        <v>1.7652243064413481E-3</v>
      </c>
      <c r="I609" s="394">
        <v>1.9104291726211289E-3</v>
      </c>
      <c r="J609" s="689">
        <v>1.2231492974284572E-4</v>
      </c>
      <c r="K609" s="690">
        <v>1.2784547055166504E-4</v>
      </c>
    </row>
    <row r="610" spans="2:11" ht="15.75" x14ac:dyDescent="0.25">
      <c r="B610" s="667" t="s">
        <v>72</v>
      </c>
      <c r="C610" s="110">
        <v>2016</v>
      </c>
      <c r="D610" s="687" t="s">
        <v>225</v>
      </c>
      <c r="E610" s="688">
        <v>4.5560585311375232E-2</v>
      </c>
      <c r="F610" s="310">
        <v>4.3031376520088163E-2</v>
      </c>
      <c r="G610" s="311">
        <v>0.17227229401040212</v>
      </c>
      <c r="H610" s="311">
        <v>1.662444915130581E-3</v>
      </c>
      <c r="I610" s="394">
        <v>1.8004707815555882E-3</v>
      </c>
      <c r="J610" s="689">
        <v>1.0872805197937819E-4</v>
      </c>
      <c r="K610" s="690">
        <v>1.1364425031986538E-4</v>
      </c>
    </row>
    <row r="611" spans="2:11" ht="15.75" x14ac:dyDescent="0.25">
      <c r="B611" s="667" t="s">
        <v>72</v>
      </c>
      <c r="C611" s="110">
        <v>2017</v>
      </c>
      <c r="D611" s="687" t="s">
        <v>1032</v>
      </c>
      <c r="E611" s="688">
        <v>4.4496010290990914E-2</v>
      </c>
      <c r="F611" s="310">
        <v>3.5204011202057184E-2</v>
      </c>
      <c r="G611" s="311">
        <v>0.14554318358523879</v>
      </c>
      <c r="H611" s="311">
        <v>1.600655769920281E-3</v>
      </c>
      <c r="I611" s="394">
        <v>1.73475107007044E-3</v>
      </c>
      <c r="J611" s="689">
        <v>9.8249920400772335E-5</v>
      </c>
      <c r="K611" s="690">
        <v>1.0269234749752531E-4</v>
      </c>
    </row>
    <row r="612" spans="2:11" ht="15.75" x14ac:dyDescent="0.25">
      <c r="B612" s="667" t="s">
        <v>72</v>
      </c>
      <c r="C612" s="110">
        <v>2018</v>
      </c>
      <c r="D612" s="687" t="s">
        <v>1033</v>
      </c>
      <c r="E612" s="688">
        <v>4.3301149697606185E-2</v>
      </c>
      <c r="F612" s="310">
        <v>2.8382927065754206E-2</v>
      </c>
      <c r="G612" s="311">
        <v>0.12202722717043625</v>
      </c>
      <c r="H612" s="311">
        <v>1.5612900524293921E-3</v>
      </c>
      <c r="I612" s="394">
        <v>1.693151807094483E-3</v>
      </c>
      <c r="J612" s="689">
        <v>8.9752985370977227E-5</v>
      </c>
      <c r="K612" s="690">
        <v>9.3811216405927805E-5</v>
      </c>
    </row>
    <row r="613" spans="2:11" ht="15.75" x14ac:dyDescent="0.25">
      <c r="B613" s="667" t="s">
        <v>72</v>
      </c>
      <c r="C613" s="110">
        <v>2019</v>
      </c>
      <c r="D613" s="687" t="s">
        <v>1034</v>
      </c>
      <c r="E613" s="688">
        <v>4.2119313543075521E-2</v>
      </c>
      <c r="F613" s="310">
        <v>2.3062372562177538E-2</v>
      </c>
      <c r="G613" s="311">
        <v>0.10318355841428278</v>
      </c>
      <c r="H613" s="311">
        <v>1.5424644779296526E-3</v>
      </c>
      <c r="I613" s="394">
        <v>1.6736670745012853E-3</v>
      </c>
      <c r="J613" s="689">
        <v>8.0100800930591959E-5</v>
      </c>
      <c r="K613" s="690">
        <v>8.372260261508241E-5</v>
      </c>
    </row>
    <row r="614" spans="2:11" ht="15.75" x14ac:dyDescent="0.25">
      <c r="B614" s="667" t="s">
        <v>72</v>
      </c>
      <c r="C614" s="110">
        <v>2020</v>
      </c>
      <c r="D614" s="687" t="s">
        <v>1035</v>
      </c>
      <c r="E614" s="688">
        <v>4.0914550191442106E-2</v>
      </c>
      <c r="F614" s="310">
        <v>1.9089883806946994E-2</v>
      </c>
      <c r="G614" s="311">
        <v>8.7772301803375349E-2</v>
      </c>
      <c r="H614" s="311">
        <v>1.5042775504696012E-3</v>
      </c>
      <c r="I614" s="394">
        <v>1.6325473898035326E-3</v>
      </c>
      <c r="J614" s="689">
        <v>7.5819552353473222E-5</v>
      </c>
      <c r="K614" s="690">
        <v>7.9247777566401453E-5</v>
      </c>
    </row>
    <row r="615" spans="2:11" ht="15.75" x14ac:dyDescent="0.25">
      <c r="B615" s="667" t="s">
        <v>72</v>
      </c>
      <c r="C615" s="110">
        <v>2021</v>
      </c>
      <c r="D615" s="687" t="s">
        <v>1036</v>
      </c>
      <c r="E615" s="688">
        <v>3.9680985066997833E-2</v>
      </c>
      <c r="F615" s="310">
        <v>1.6330472313131485E-2</v>
      </c>
      <c r="G615" s="311">
        <v>7.5282392979342333E-2</v>
      </c>
      <c r="H615" s="311">
        <v>1.4475872361892101E-3</v>
      </c>
      <c r="I615" s="394">
        <v>1.5711972683953026E-3</v>
      </c>
      <c r="J615" s="689">
        <v>7.0928175294873177E-5</v>
      </c>
      <c r="K615" s="690">
        <v>7.4135232643576923E-5</v>
      </c>
    </row>
    <row r="616" spans="2:11" ht="15.75" x14ac:dyDescent="0.25">
      <c r="B616" s="667" t="s">
        <v>72</v>
      </c>
      <c r="C616" s="110">
        <v>2022</v>
      </c>
      <c r="D616" s="687" t="s">
        <v>1037</v>
      </c>
      <c r="E616" s="688">
        <v>3.847261603400904E-2</v>
      </c>
      <c r="F616" s="310">
        <v>1.3786627436049439E-2</v>
      </c>
      <c r="G616" s="311">
        <v>6.4806823706403352E-2</v>
      </c>
      <c r="H616" s="311">
        <v>1.3778771005614051E-3</v>
      </c>
      <c r="I616" s="394">
        <v>1.4957018575635569E-3</v>
      </c>
      <c r="J616" s="689">
        <v>6.611072396454012E-5</v>
      </c>
      <c r="K616" s="690">
        <v>6.9099955889476741E-5</v>
      </c>
    </row>
    <row r="617" spans="2:11" ht="15.75" x14ac:dyDescent="0.25">
      <c r="B617" s="667" t="s">
        <v>72</v>
      </c>
      <c r="C617" s="110">
        <v>2023</v>
      </c>
      <c r="D617" s="687" t="s">
        <v>1038</v>
      </c>
      <c r="E617" s="688">
        <v>3.7271777458914718E-2</v>
      </c>
      <c r="F617" s="310">
        <v>1.1855290642769059E-2</v>
      </c>
      <c r="G617" s="311">
        <v>5.6263164253321077E-2</v>
      </c>
      <c r="H617" s="311">
        <v>1.3137858425311987E-3</v>
      </c>
      <c r="I617" s="394">
        <v>1.4262167644969507E-3</v>
      </c>
      <c r="J617" s="689">
        <v>6.1626283950705148E-5</v>
      </c>
      <c r="K617" s="690">
        <v>6.4412747856611334E-5</v>
      </c>
    </row>
    <row r="618" spans="2:11" ht="15.75" x14ac:dyDescent="0.25">
      <c r="B618" s="667" t="s">
        <v>72</v>
      </c>
      <c r="C618" s="110">
        <v>2024</v>
      </c>
      <c r="D618" s="687" t="s">
        <v>1039</v>
      </c>
      <c r="E618" s="688">
        <v>3.6092465010091432E-2</v>
      </c>
      <c r="F618" s="310">
        <v>1.030805123923473E-2</v>
      </c>
      <c r="G618" s="311">
        <v>4.9308892237376112E-2</v>
      </c>
      <c r="H618" s="311">
        <v>1.2607179177026339E-3</v>
      </c>
      <c r="I618" s="394">
        <v>1.3688164390403361E-3</v>
      </c>
      <c r="J618" s="689">
        <v>5.4731927122489649E-5</v>
      </c>
      <c r="K618" s="690">
        <v>5.7206660836815419E-5</v>
      </c>
    </row>
    <row r="619" spans="2:11" ht="15.75" x14ac:dyDescent="0.25">
      <c r="B619" s="667" t="s">
        <v>72</v>
      </c>
      <c r="C619" s="110">
        <v>2025</v>
      </c>
      <c r="D619" s="687" t="s">
        <v>1040</v>
      </c>
      <c r="E619" s="688">
        <v>3.4918445626815155E-2</v>
      </c>
      <c r="F619" s="310">
        <v>9.001318613551558E-3</v>
      </c>
      <c r="G619" s="311">
        <v>4.3699811454680521E-2</v>
      </c>
      <c r="H619" s="311">
        <v>1.2113968905627112E-3</v>
      </c>
      <c r="I619" s="394">
        <v>1.3153802733920717E-3</v>
      </c>
      <c r="J619" s="689">
        <v>5.0111479075487602E-5</v>
      </c>
      <c r="K619" s="690">
        <v>5.2377298516945806E-5</v>
      </c>
    </row>
    <row r="620" spans="2:11" ht="15.75" x14ac:dyDescent="0.25">
      <c r="B620" s="667" t="s">
        <v>72</v>
      </c>
      <c r="C620" s="110">
        <v>2026</v>
      </c>
      <c r="D620" s="687" t="s">
        <v>1041</v>
      </c>
      <c r="E620" s="688">
        <v>3.3771569974212372E-2</v>
      </c>
      <c r="F620" s="310">
        <v>8.1445092200642076E-3</v>
      </c>
      <c r="G620" s="311">
        <v>3.9351592341693165E-2</v>
      </c>
      <c r="H620" s="311">
        <v>1.1900677636140257E-3</v>
      </c>
      <c r="I620" s="394">
        <v>1.2923398318999753E-3</v>
      </c>
      <c r="J620" s="689">
        <v>4.6415756081558455E-5</v>
      </c>
      <c r="K620" s="690">
        <v>4.8514475421947819E-5</v>
      </c>
    </row>
    <row r="621" spans="2:11" ht="15.75" x14ac:dyDescent="0.25">
      <c r="B621" s="667" t="s">
        <v>72</v>
      </c>
      <c r="C621" s="110">
        <v>2027</v>
      </c>
      <c r="D621" s="687" t="s">
        <v>1042</v>
      </c>
      <c r="E621" s="688">
        <v>3.2789708198724503E-2</v>
      </c>
      <c r="F621" s="310">
        <v>7.2233047288741189E-3</v>
      </c>
      <c r="G621" s="311">
        <v>3.562266316009538E-2</v>
      </c>
      <c r="H621" s="311">
        <v>1.1278197481193598E-3</v>
      </c>
      <c r="I621" s="394">
        <v>1.2249224061431812E-3</v>
      </c>
      <c r="J621" s="689">
        <v>3.9741417664391372E-5</v>
      </c>
      <c r="K621" s="690">
        <v>4.1538352241731064E-5</v>
      </c>
    </row>
    <row r="622" spans="2:11" ht="15.75" x14ac:dyDescent="0.25">
      <c r="B622" s="667" t="s">
        <v>72</v>
      </c>
      <c r="C622" s="110">
        <v>2028</v>
      </c>
      <c r="D622" s="687" t="s">
        <v>1043</v>
      </c>
      <c r="E622" s="688">
        <v>3.1905036443451655E-2</v>
      </c>
      <c r="F622" s="310">
        <v>6.4695501952302141E-3</v>
      </c>
      <c r="G622" s="311">
        <v>3.2604515566965017E-2</v>
      </c>
      <c r="H622" s="311">
        <v>1.0593563209606129E-3</v>
      </c>
      <c r="I622" s="394">
        <v>1.1507162206454546E-3</v>
      </c>
      <c r="J622" s="689">
        <v>3.374915836189975E-5</v>
      </c>
      <c r="K622" s="690">
        <v>3.5275149459954324E-5</v>
      </c>
    </row>
    <row r="623" spans="2:11" ht="15.75" x14ac:dyDescent="0.25">
      <c r="B623" s="667" t="s">
        <v>72</v>
      </c>
      <c r="C623" s="110">
        <v>2029</v>
      </c>
      <c r="D623" s="687" t="s">
        <v>1044</v>
      </c>
      <c r="E623" s="688">
        <v>3.1110369205089868E-2</v>
      </c>
      <c r="F623" s="310">
        <v>5.8152330566375214E-3</v>
      </c>
      <c r="G623" s="311">
        <v>3.0065486191657539E-2</v>
      </c>
      <c r="H623" s="311">
        <v>9.9422052612844515E-4</v>
      </c>
      <c r="I623" s="394">
        <v>1.080024274845997E-3</v>
      </c>
      <c r="J623" s="689">
        <v>3.0234916615158967E-5</v>
      </c>
      <c r="K623" s="690">
        <v>3.1602005446196364E-5</v>
      </c>
    </row>
    <row r="624" spans="2:11" ht="15.75" x14ac:dyDescent="0.25">
      <c r="B624" s="667" t="s">
        <v>72</v>
      </c>
      <c r="C624" s="110">
        <v>2030</v>
      </c>
      <c r="D624" s="687" t="s">
        <v>1045</v>
      </c>
      <c r="E624" s="688">
        <v>3.0400866590488664E-2</v>
      </c>
      <c r="F624" s="310">
        <v>5.2693119100469792E-3</v>
      </c>
      <c r="G624" s="311">
        <v>2.79817446249385E-2</v>
      </c>
      <c r="H624" s="311">
        <v>9.3303019895946246E-4</v>
      </c>
      <c r="I624" s="394">
        <v>1.0135756972719581E-3</v>
      </c>
      <c r="J624" s="689">
        <v>2.7838595325301107E-5</v>
      </c>
      <c r="K624" s="690">
        <v>2.909733327869839E-5</v>
      </c>
    </row>
    <row r="625" spans="2:11" ht="15.75" x14ac:dyDescent="0.25">
      <c r="B625" s="667" t="s">
        <v>72</v>
      </c>
      <c r="C625" s="110">
        <v>2031</v>
      </c>
      <c r="D625" s="687" t="s">
        <v>1046</v>
      </c>
      <c r="E625" s="688">
        <v>2.9770584318237009E-2</v>
      </c>
      <c r="F625" s="310">
        <v>4.7878865709908925E-3</v>
      </c>
      <c r="G625" s="311">
        <v>2.6176224552658375E-2</v>
      </c>
      <c r="H625" s="311">
        <v>8.7533389005182429E-4</v>
      </c>
      <c r="I625" s="394">
        <v>9.5089828307287389E-4</v>
      </c>
      <c r="J625" s="689">
        <v>2.6128204779461215E-5</v>
      </c>
      <c r="K625" s="690">
        <v>2.7309603062928421E-5</v>
      </c>
    </row>
    <row r="626" spans="2:11" ht="15.75" x14ac:dyDescent="0.25">
      <c r="B626" s="667" t="s">
        <v>72</v>
      </c>
      <c r="C626" s="110">
        <v>2032</v>
      </c>
      <c r="D626" s="687" t="s">
        <v>1047</v>
      </c>
      <c r="E626" s="688">
        <v>2.921311011076045E-2</v>
      </c>
      <c r="F626" s="310">
        <v>4.3738089133093646E-3</v>
      </c>
      <c r="G626" s="311">
        <v>2.4691458130417593E-2</v>
      </c>
      <c r="H626" s="311">
        <v>8.2157818382369617E-4</v>
      </c>
      <c r="I626" s="394">
        <v>8.9250320753090978E-4</v>
      </c>
      <c r="J626" s="689">
        <v>2.4496776052231643E-5</v>
      </c>
      <c r="K626" s="690">
        <v>2.560441362086994E-5</v>
      </c>
    </row>
    <row r="627" spans="2:11" ht="15.75" x14ac:dyDescent="0.25">
      <c r="B627" s="667" t="s">
        <v>72</v>
      </c>
      <c r="C627" s="110">
        <v>2033</v>
      </c>
      <c r="D627" s="687" t="s">
        <v>1048</v>
      </c>
      <c r="E627" s="688">
        <v>2.8722799920238965E-2</v>
      </c>
      <c r="F627" s="310">
        <v>4.0074524706806306E-3</v>
      </c>
      <c r="G627" s="311">
        <v>2.3421948970495543E-2</v>
      </c>
      <c r="H627" s="311">
        <v>7.7185441193906433E-4</v>
      </c>
      <c r="I627" s="394">
        <v>8.3847464845235287E-4</v>
      </c>
      <c r="J627" s="689">
        <v>2.3303163445883435E-5</v>
      </c>
      <c r="K627" s="690">
        <v>2.4356831324405689E-5</v>
      </c>
    </row>
    <row r="628" spans="2:11" ht="15.75" x14ac:dyDescent="0.25">
      <c r="B628" s="667" t="s">
        <v>72</v>
      </c>
      <c r="C628" s="110">
        <v>2034</v>
      </c>
      <c r="D628" s="687" t="s">
        <v>1049</v>
      </c>
      <c r="E628" s="688">
        <v>2.8293215327476605E-2</v>
      </c>
      <c r="F628" s="310">
        <v>3.6839657413652986E-3</v>
      </c>
      <c r="G628" s="311">
        <v>2.236287624512541E-2</v>
      </c>
      <c r="H628" s="311">
        <v>7.2604746203180405E-4</v>
      </c>
      <c r="I628" s="394">
        <v>7.8870256501266628E-4</v>
      </c>
      <c r="J628" s="689">
        <v>2.21942674524665E-5</v>
      </c>
      <c r="K628" s="690">
        <v>2.3197792417268096E-5</v>
      </c>
    </row>
    <row r="629" spans="2:11" ht="15.75" x14ac:dyDescent="0.25">
      <c r="B629" s="667" t="s">
        <v>72</v>
      </c>
      <c r="C629" s="110">
        <v>2035</v>
      </c>
      <c r="D629" s="687" t="s">
        <v>1050</v>
      </c>
      <c r="E629" s="688">
        <v>2.79199055932693E-2</v>
      </c>
      <c r="F629" s="310">
        <v>3.3970110826223119E-3</v>
      </c>
      <c r="G629" s="311">
        <v>2.1472881965793725E-2</v>
      </c>
      <c r="H629" s="311">
        <v>6.8415870999066232E-4</v>
      </c>
      <c r="I629" s="394">
        <v>7.4318974443131889E-4</v>
      </c>
      <c r="J629" s="689">
        <v>2.1127769241288763E-5</v>
      </c>
      <c r="K629" s="690">
        <v>2.2083070943550993E-5</v>
      </c>
    </row>
    <row r="630" spans="2:11" ht="15.75" x14ac:dyDescent="0.25">
      <c r="B630" s="667" t="s">
        <v>72</v>
      </c>
      <c r="C630" s="110">
        <v>2036</v>
      </c>
      <c r="D630" s="687" t="s">
        <v>1051</v>
      </c>
      <c r="E630" s="688">
        <v>2.7596518019298293E-2</v>
      </c>
      <c r="F630" s="310">
        <v>3.1444833160897156E-3</v>
      </c>
      <c r="G630" s="311">
        <v>2.0725271476611126E-2</v>
      </c>
      <c r="H630" s="311">
        <v>6.4762041881732935E-4</v>
      </c>
      <c r="I630" s="394">
        <v>7.0348957407905335E-4</v>
      </c>
      <c r="J630" s="689">
        <v>2.0221565816179143E-5</v>
      </c>
      <c r="K630" s="690">
        <v>2.1135892962244543E-5</v>
      </c>
    </row>
    <row r="631" spans="2:11" ht="15.75" x14ac:dyDescent="0.25">
      <c r="B631" s="667" t="s">
        <v>72</v>
      </c>
      <c r="C631" s="110">
        <v>2037</v>
      </c>
      <c r="D631" s="687" t="s">
        <v>1052</v>
      </c>
      <c r="E631" s="688">
        <v>2.7319991279570625E-2</v>
      </c>
      <c r="F631" s="310">
        <v>2.930723198053228E-3</v>
      </c>
      <c r="G631" s="311">
        <v>2.0124258701878468E-2</v>
      </c>
      <c r="H631" s="311">
        <v>6.1528695555716621E-4</v>
      </c>
      <c r="I631" s="394">
        <v>6.6835771592577457E-4</v>
      </c>
      <c r="J631" s="689">
        <v>1.941957265943294E-5</v>
      </c>
      <c r="K631" s="690">
        <v>2.0297644243823883E-5</v>
      </c>
    </row>
    <row r="632" spans="2:11" ht="15.75" x14ac:dyDescent="0.25">
      <c r="B632" s="667" t="s">
        <v>72</v>
      </c>
      <c r="C632" s="110">
        <v>2038</v>
      </c>
      <c r="D632" s="687" t="s">
        <v>1053</v>
      </c>
      <c r="E632" s="688">
        <v>2.7085546668355453E-2</v>
      </c>
      <c r="F632" s="310">
        <v>2.7375901465301398E-3</v>
      </c>
      <c r="G632" s="311">
        <v>1.9581724237762919E-2</v>
      </c>
      <c r="H632" s="311">
        <v>5.8672322184584349E-4</v>
      </c>
      <c r="I632" s="394">
        <v>6.3732226399674846E-4</v>
      </c>
      <c r="J632" s="689">
        <v>1.8723247408977667E-5</v>
      </c>
      <c r="K632" s="690">
        <v>1.956982908981234E-5</v>
      </c>
    </row>
    <row r="633" spans="2:11" ht="15.75" x14ac:dyDescent="0.25">
      <c r="B633" s="667" t="s">
        <v>72</v>
      </c>
      <c r="C633" s="110">
        <v>2039</v>
      </c>
      <c r="D633" s="687" t="s">
        <v>1054</v>
      </c>
      <c r="E633" s="688">
        <v>2.6886970342228204E-2</v>
      </c>
      <c r="F633" s="310">
        <v>2.558269120830388E-3</v>
      </c>
      <c r="G633" s="311">
        <v>1.9079748025034097E-2</v>
      </c>
      <c r="H633" s="311">
        <v>5.6163098334036901E-4</v>
      </c>
      <c r="I633" s="394">
        <v>6.1005625127107045E-4</v>
      </c>
      <c r="J633" s="689">
        <v>1.8145340257760207E-5</v>
      </c>
      <c r="K633" s="690">
        <v>1.8965792288859681E-5</v>
      </c>
    </row>
    <row r="634" spans="2:11" ht="15.75" x14ac:dyDescent="0.25">
      <c r="B634" s="667" t="s">
        <v>72</v>
      </c>
      <c r="C634" s="110">
        <v>2040</v>
      </c>
      <c r="D634" s="687" t="s">
        <v>1055</v>
      </c>
      <c r="E634" s="688">
        <v>2.6720825879205427E-2</v>
      </c>
      <c r="F634" s="310">
        <v>2.4079445370120325E-3</v>
      </c>
      <c r="G634" s="311">
        <v>1.8702919232931978E-2</v>
      </c>
      <c r="H634" s="311">
        <v>5.4010477471623508E-4</v>
      </c>
      <c r="I634" s="394">
        <v>5.8666506460440158E-4</v>
      </c>
      <c r="J634" s="689">
        <v>1.7657666085927199E-5</v>
      </c>
      <c r="K634" s="690">
        <v>1.8456063280771439E-5</v>
      </c>
    </row>
    <row r="635" spans="2:11" ht="15.75" x14ac:dyDescent="0.25">
      <c r="B635" s="667" t="s">
        <v>72</v>
      </c>
      <c r="C635" s="110">
        <v>2041</v>
      </c>
      <c r="D635" s="687" t="s">
        <v>1056</v>
      </c>
      <c r="E635" s="688">
        <v>2.6583730888652179E-2</v>
      </c>
      <c r="F635" s="310">
        <v>2.2906818946535632E-3</v>
      </c>
      <c r="G635" s="311">
        <v>1.840574431318406E-2</v>
      </c>
      <c r="H635" s="311">
        <v>5.2302771725097586E-4</v>
      </c>
      <c r="I635" s="394">
        <v>5.6810903499186012E-4</v>
      </c>
      <c r="J635" s="689">
        <v>1.7254571078813329E-5</v>
      </c>
      <c r="K635" s="690">
        <v>1.8034749207022932E-5</v>
      </c>
    </row>
    <row r="636" spans="2:11" ht="15.75" x14ac:dyDescent="0.25">
      <c r="B636" s="667" t="s">
        <v>72</v>
      </c>
      <c r="C636" s="110">
        <v>2042</v>
      </c>
      <c r="D636" s="687" t="s">
        <v>1057</v>
      </c>
      <c r="E636" s="688">
        <v>2.6469455994576459E-2</v>
      </c>
      <c r="F636" s="310">
        <v>2.1894192595076755E-3</v>
      </c>
      <c r="G636" s="311">
        <v>1.8128589347792833E-2</v>
      </c>
      <c r="H636" s="311">
        <v>5.0862670171693866E-4</v>
      </c>
      <c r="I636" s="394">
        <v>5.5246079603053983E-4</v>
      </c>
      <c r="J636" s="689">
        <v>1.6928456226552005E-5</v>
      </c>
      <c r="K636" s="690">
        <v>1.7693880297609063E-5</v>
      </c>
    </row>
    <row r="637" spans="2:11" ht="15.75" x14ac:dyDescent="0.25">
      <c r="B637" s="667" t="s">
        <v>72</v>
      </c>
      <c r="C637" s="110">
        <v>2043</v>
      </c>
      <c r="D637" s="687" t="s">
        <v>1058</v>
      </c>
      <c r="E637" s="688">
        <v>2.6375614418662555E-2</v>
      </c>
      <c r="F637" s="310">
        <v>2.1140797252592941E-3</v>
      </c>
      <c r="G637" s="311">
        <v>1.7928723809247819E-2</v>
      </c>
      <c r="H637" s="311">
        <v>4.9665158107596466E-4</v>
      </c>
      <c r="I637" s="394">
        <v>5.3944771965592987E-4</v>
      </c>
      <c r="J637" s="689">
        <v>1.6668977554838798E-5</v>
      </c>
      <c r="K637" s="690">
        <v>1.7422671237591613E-5</v>
      </c>
    </row>
    <row r="638" spans="2:11" ht="15.75" x14ac:dyDescent="0.25">
      <c r="B638" s="667" t="s">
        <v>72</v>
      </c>
      <c r="C638" s="110">
        <v>2044</v>
      </c>
      <c r="D638" s="687" t="s">
        <v>1059</v>
      </c>
      <c r="E638" s="688">
        <v>2.6297779710830325E-2</v>
      </c>
      <c r="F638" s="310">
        <v>2.0602692798317476E-3</v>
      </c>
      <c r="G638" s="311">
        <v>1.7784722280076801E-2</v>
      </c>
      <c r="H638" s="311">
        <v>4.867411227813624E-4</v>
      </c>
      <c r="I638" s="394">
        <v>5.2867807198348513E-4</v>
      </c>
      <c r="J638" s="689">
        <v>1.6464180048857781E-5</v>
      </c>
      <c r="K638" s="690">
        <v>1.7208621541064407E-5</v>
      </c>
    </row>
    <row r="639" spans="2:11" ht="15.75" x14ac:dyDescent="0.25">
      <c r="B639" s="667" t="s">
        <v>72</v>
      </c>
      <c r="C639" s="110">
        <v>2045</v>
      </c>
      <c r="D639" s="687" t="s">
        <v>1060</v>
      </c>
      <c r="E639" s="688">
        <v>2.6231834384487698E-2</v>
      </c>
      <c r="F639" s="310">
        <v>2.0228431070081704E-3</v>
      </c>
      <c r="G639" s="311">
        <v>1.7685981292494411E-2</v>
      </c>
      <c r="H639" s="311">
        <v>4.7848434937049515E-4</v>
      </c>
      <c r="I639" s="394">
        <v>5.1970439164939863E-4</v>
      </c>
      <c r="J639" s="689">
        <v>1.6308871078825906E-5</v>
      </c>
      <c r="K639" s="690">
        <v>1.7046288272361218E-5</v>
      </c>
    </row>
    <row r="640" spans="2:11" ht="15.75" x14ac:dyDescent="0.25">
      <c r="B640" s="667" t="s">
        <v>72</v>
      </c>
      <c r="C640" s="110">
        <v>2046</v>
      </c>
      <c r="D640" s="687" t="s">
        <v>1061</v>
      </c>
      <c r="E640" s="688">
        <v>2.6176468306922419E-2</v>
      </c>
      <c r="F640" s="310">
        <v>1.9910866999066131E-3</v>
      </c>
      <c r="G640" s="311">
        <v>1.7606302981393859E-2</v>
      </c>
      <c r="H640" s="311">
        <v>4.7168870560182182E-4</v>
      </c>
      <c r="I640" s="394">
        <v>5.1231856392414306E-4</v>
      </c>
      <c r="J640" s="689">
        <v>1.6188065728034552E-5</v>
      </c>
      <c r="K640" s="690">
        <v>1.6920020107603754E-5</v>
      </c>
    </row>
    <row r="641" spans="2:11" ht="15.75" x14ac:dyDescent="0.25">
      <c r="B641" s="667" t="s">
        <v>72</v>
      </c>
      <c r="C641" s="110">
        <v>2047</v>
      </c>
      <c r="D641" s="687" t="s">
        <v>1062</v>
      </c>
      <c r="E641" s="688">
        <v>2.6130779481926117E-2</v>
      </c>
      <c r="F641" s="310">
        <v>1.9636126383454494E-3</v>
      </c>
      <c r="G641" s="311">
        <v>1.7532933256047312E-2</v>
      </c>
      <c r="H641" s="311">
        <v>4.6614162863934229E-4</v>
      </c>
      <c r="I641" s="394">
        <v>5.0628947057879061E-4</v>
      </c>
      <c r="J641" s="689">
        <v>1.609162470139831E-5</v>
      </c>
      <c r="K641" s="690">
        <v>1.6819209853065771E-5</v>
      </c>
    </row>
    <row r="642" spans="2:11" ht="15.75" x14ac:dyDescent="0.25">
      <c r="B642" s="667" t="s">
        <v>72</v>
      </c>
      <c r="C642" s="110">
        <v>2048</v>
      </c>
      <c r="D642" s="687" t="s">
        <v>1063</v>
      </c>
      <c r="E642" s="688">
        <v>2.6092659062215983E-2</v>
      </c>
      <c r="F642" s="310">
        <v>1.9410051266640453E-3</v>
      </c>
      <c r="G642" s="311">
        <v>1.7469667007060249E-2</v>
      </c>
      <c r="H642" s="311">
        <v>4.6162753441468535E-4</v>
      </c>
      <c r="I642" s="394">
        <v>5.0138356088971E-4</v>
      </c>
      <c r="J642" s="689">
        <v>1.601153719216594E-5</v>
      </c>
      <c r="K642" s="690">
        <v>1.6735502344182515E-5</v>
      </c>
    </row>
    <row r="643" spans="2:11" ht="15.75" x14ac:dyDescent="0.25">
      <c r="B643" s="667" t="s">
        <v>72</v>
      </c>
      <c r="C643" s="110">
        <v>2049</v>
      </c>
      <c r="D643" s="687" t="s">
        <v>1064</v>
      </c>
      <c r="E643" s="688">
        <v>2.6060533807241049E-2</v>
      </c>
      <c r="F643" s="310">
        <v>1.9319762610507589E-3</v>
      </c>
      <c r="G643" s="311">
        <v>1.7479825148862652E-2</v>
      </c>
      <c r="H643" s="311">
        <v>4.5862021521653179E-4</v>
      </c>
      <c r="I643" s="394">
        <v>4.981148834885728E-4</v>
      </c>
      <c r="J643" s="689">
        <v>1.5963815883310707E-5</v>
      </c>
      <c r="K643" s="690">
        <v>1.6685636246779749E-5</v>
      </c>
    </row>
    <row r="644" spans="2:11" ht="15.75" x14ac:dyDescent="0.25">
      <c r="B644" s="667" t="s">
        <v>72</v>
      </c>
      <c r="C644" s="110">
        <v>2050</v>
      </c>
      <c r="D644" s="687" t="s">
        <v>1065</v>
      </c>
      <c r="E644" s="688">
        <v>2.6034006549869239E-2</v>
      </c>
      <c r="F644" s="310">
        <v>1.9247691788204682E-3</v>
      </c>
      <c r="G644" s="311">
        <v>1.7490451340198828E-2</v>
      </c>
      <c r="H644" s="311">
        <v>4.5624690891477168E-4</v>
      </c>
      <c r="I644" s="394">
        <v>4.9553522477535693E-4</v>
      </c>
      <c r="J644" s="689">
        <v>1.5920969988645053E-5</v>
      </c>
      <c r="K644" s="690">
        <v>1.6640842070541778E-5</v>
      </c>
    </row>
    <row r="645" spans="2:11" ht="15.75" x14ac:dyDescent="0.25">
      <c r="B645" s="667" t="s">
        <v>73</v>
      </c>
      <c r="C645" s="110">
        <v>2015</v>
      </c>
      <c r="D645" s="687" t="s">
        <v>228</v>
      </c>
      <c r="E645" s="688">
        <v>4.4987240366483716E-2</v>
      </c>
      <c r="F645" s="310">
        <v>0.11034545692089665</v>
      </c>
      <c r="G645" s="311">
        <v>0.38564736023974716</v>
      </c>
      <c r="H645" s="311">
        <v>3.4129200540828518E-3</v>
      </c>
      <c r="I645" s="394">
        <v>3.6854779703821066E-3</v>
      </c>
      <c r="J645" s="689">
        <v>3.8668613684514211E-4</v>
      </c>
      <c r="K645" s="690">
        <v>4.0417036623893081E-4</v>
      </c>
    </row>
    <row r="646" spans="2:11" ht="15.75" x14ac:dyDescent="0.25">
      <c r="B646" s="667" t="s">
        <v>73</v>
      </c>
      <c r="C646" s="110">
        <v>2016</v>
      </c>
      <c r="D646" s="687" t="s">
        <v>229</v>
      </c>
      <c r="E646" s="688">
        <v>4.4013257144242812E-2</v>
      </c>
      <c r="F646" s="310">
        <v>9.2288804486030801E-2</v>
      </c>
      <c r="G646" s="311">
        <v>0.33705688978211684</v>
      </c>
      <c r="H646" s="311">
        <v>3.0770692415801144E-3</v>
      </c>
      <c r="I646" s="394">
        <v>3.324807471883713E-3</v>
      </c>
      <c r="J646" s="689">
        <v>3.5249188521333208E-4</v>
      </c>
      <c r="K646" s="690">
        <v>3.6843000520161024E-4</v>
      </c>
    </row>
    <row r="647" spans="2:11" ht="15.75" x14ac:dyDescent="0.25">
      <c r="B647" s="667" t="s">
        <v>73</v>
      </c>
      <c r="C647" s="110">
        <v>2017</v>
      </c>
      <c r="D647" s="687" t="s">
        <v>1138</v>
      </c>
      <c r="E647" s="688">
        <v>4.2922385110155815E-2</v>
      </c>
      <c r="F647" s="310">
        <v>7.7762139161947547E-2</v>
      </c>
      <c r="G647" s="311">
        <v>0.29419677150470941</v>
      </c>
      <c r="H647" s="311">
        <v>2.8348820905975147E-3</v>
      </c>
      <c r="I647" s="394">
        <v>3.0650859137531989E-3</v>
      </c>
      <c r="J647" s="689">
        <v>3.1845403388937489E-4</v>
      </c>
      <c r="K647" s="690">
        <v>3.3285311188790745E-4</v>
      </c>
    </row>
    <row r="648" spans="2:11" ht="15.75" x14ac:dyDescent="0.25">
      <c r="B648" s="667" t="s">
        <v>73</v>
      </c>
      <c r="C648" s="110">
        <v>2018</v>
      </c>
      <c r="D648" s="687" t="s">
        <v>1139</v>
      </c>
      <c r="E648" s="688">
        <v>4.1660679882424882E-2</v>
      </c>
      <c r="F648" s="310">
        <v>6.4758277185625018E-2</v>
      </c>
      <c r="G648" s="311">
        <v>0.25507259040595714</v>
      </c>
      <c r="H648" s="311">
        <v>2.6410684682171481E-3</v>
      </c>
      <c r="I648" s="394">
        <v>2.8573392465140166E-3</v>
      </c>
      <c r="J648" s="689">
        <v>2.9103782020166962E-4</v>
      </c>
      <c r="K648" s="690">
        <v>3.041972610038182E-4</v>
      </c>
    </row>
    <row r="649" spans="2:11" ht="15.75" x14ac:dyDescent="0.25">
      <c r="B649" s="667" t="s">
        <v>73</v>
      </c>
      <c r="C649" s="110">
        <v>2019</v>
      </c>
      <c r="D649" s="687" t="s">
        <v>1140</v>
      </c>
      <c r="E649" s="688">
        <v>4.0478321146678049E-2</v>
      </c>
      <c r="F649" s="310">
        <v>5.4182150525871581E-2</v>
      </c>
      <c r="G649" s="311">
        <v>0.22117956962015825</v>
      </c>
      <c r="H649" s="311">
        <v>2.4862070027206517E-3</v>
      </c>
      <c r="I649" s="394">
        <v>2.6911888496935145E-3</v>
      </c>
      <c r="J649" s="689">
        <v>2.6677125732222517E-4</v>
      </c>
      <c r="K649" s="690">
        <v>2.7883347161207804E-4</v>
      </c>
    </row>
    <row r="650" spans="2:11" ht="15.75" x14ac:dyDescent="0.25">
      <c r="B650" s="667" t="s">
        <v>73</v>
      </c>
      <c r="C650" s="110">
        <v>2020</v>
      </c>
      <c r="D650" s="687" t="s">
        <v>1141</v>
      </c>
      <c r="E650" s="688">
        <v>3.9281051582270209E-2</v>
      </c>
      <c r="F650" s="310">
        <v>4.653262600679231E-2</v>
      </c>
      <c r="G650" s="311">
        <v>0.19237744962056558</v>
      </c>
      <c r="H650" s="311">
        <v>2.3406763597311636E-3</v>
      </c>
      <c r="I650" s="394">
        <v>2.5343350112307867E-3</v>
      </c>
      <c r="J650" s="689">
        <v>2.4264435990940819E-4</v>
      </c>
      <c r="K650" s="690">
        <v>2.5361566122851856E-4</v>
      </c>
    </row>
    <row r="651" spans="2:11" ht="15.75" x14ac:dyDescent="0.25">
      <c r="B651" s="667" t="s">
        <v>73</v>
      </c>
      <c r="C651" s="110">
        <v>2021</v>
      </c>
      <c r="D651" s="687" t="s">
        <v>1142</v>
      </c>
      <c r="E651" s="688">
        <v>3.8158043494671542E-2</v>
      </c>
      <c r="F651" s="310">
        <v>3.9668755876973584E-2</v>
      </c>
      <c r="G651" s="311">
        <v>0.16603151751677511</v>
      </c>
      <c r="H651" s="311">
        <v>2.1710028347145648E-3</v>
      </c>
      <c r="I651" s="394">
        <v>2.3512734382510575E-3</v>
      </c>
      <c r="J651" s="689">
        <v>2.1657249764863649E-4</v>
      </c>
      <c r="K651" s="690">
        <v>2.2636494229923241E-4</v>
      </c>
    </row>
    <row r="652" spans="2:11" ht="15.75" x14ac:dyDescent="0.25">
      <c r="B652" s="667" t="s">
        <v>73</v>
      </c>
      <c r="C652" s="110">
        <v>2022</v>
      </c>
      <c r="D652" s="687" t="s">
        <v>1143</v>
      </c>
      <c r="E652" s="688">
        <v>3.6977442012967592E-2</v>
      </c>
      <c r="F652" s="310">
        <v>3.3254495311038093E-2</v>
      </c>
      <c r="G652" s="311">
        <v>0.14285685047129815</v>
      </c>
      <c r="H652" s="311">
        <v>2.0114973319942954E-3</v>
      </c>
      <c r="I652" s="394">
        <v>2.1792146739127308E-3</v>
      </c>
      <c r="J652" s="689">
        <v>1.9370020201151404E-4</v>
      </c>
      <c r="K652" s="690">
        <v>2.0245847138639116E-4</v>
      </c>
    </row>
    <row r="653" spans="2:11" ht="15.75" x14ac:dyDescent="0.25">
      <c r="B653" s="667" t="s">
        <v>73</v>
      </c>
      <c r="C653" s="110">
        <v>2023</v>
      </c>
      <c r="D653" s="687" t="s">
        <v>1144</v>
      </c>
      <c r="E653" s="688">
        <v>3.5809072518921632E-2</v>
      </c>
      <c r="F653" s="310">
        <v>2.8606638131973582E-2</v>
      </c>
      <c r="G653" s="311">
        <v>0.12377029630644588</v>
      </c>
      <c r="H653" s="311">
        <v>1.8687169349906035E-3</v>
      </c>
      <c r="I653" s="394">
        <v>2.0249271998858372E-3</v>
      </c>
      <c r="J653" s="689">
        <v>1.7256233077782328E-4</v>
      </c>
      <c r="K653" s="690">
        <v>1.8036483241762365E-4</v>
      </c>
    </row>
    <row r="654" spans="2:11" ht="15.75" x14ac:dyDescent="0.25">
      <c r="B654" s="667" t="s">
        <v>73</v>
      </c>
      <c r="C654" s="110">
        <v>2024</v>
      </c>
      <c r="D654" s="687" t="s">
        <v>1145</v>
      </c>
      <c r="E654" s="688">
        <v>3.469838019129378E-2</v>
      </c>
      <c r="F654" s="310">
        <v>2.4468051299471043E-2</v>
      </c>
      <c r="G654" s="311">
        <v>0.1070509663362426</v>
      </c>
      <c r="H654" s="311">
        <v>1.7321373748332945E-3</v>
      </c>
      <c r="I654" s="394">
        <v>1.8775433555149375E-3</v>
      </c>
      <c r="J654" s="689">
        <v>1.4817779059702731E-4</v>
      </c>
      <c r="K654" s="690">
        <v>1.5487773430242593E-4</v>
      </c>
    </row>
    <row r="655" spans="2:11" ht="15.75" x14ac:dyDescent="0.25">
      <c r="B655" s="667" t="s">
        <v>73</v>
      </c>
      <c r="C655" s="110">
        <v>2025</v>
      </c>
      <c r="D655" s="687" t="s">
        <v>1146</v>
      </c>
      <c r="E655" s="688">
        <v>3.3570136699187604E-2</v>
      </c>
      <c r="F655" s="310">
        <v>2.1263317322509363E-2</v>
      </c>
      <c r="G655" s="311">
        <v>9.3773456650606685E-2</v>
      </c>
      <c r="H655" s="311">
        <v>1.6308878294301371E-3</v>
      </c>
      <c r="I655" s="394">
        <v>1.7681482110863957E-3</v>
      </c>
      <c r="J655" s="689">
        <v>1.3187480762090316E-4</v>
      </c>
      <c r="K655" s="690">
        <v>1.3783760194613115E-4</v>
      </c>
    </row>
    <row r="656" spans="2:11" ht="15.75" x14ac:dyDescent="0.25">
      <c r="B656" s="667" t="s">
        <v>73</v>
      </c>
      <c r="C656" s="110">
        <v>2026</v>
      </c>
      <c r="D656" s="687" t="s">
        <v>1147</v>
      </c>
      <c r="E656" s="688">
        <v>3.2661576755987499E-2</v>
      </c>
      <c r="F656" s="310">
        <v>1.8649231715995904E-2</v>
      </c>
      <c r="G656" s="311">
        <v>8.2943361689030506E-2</v>
      </c>
      <c r="H656" s="311">
        <v>1.5432062428175134E-3</v>
      </c>
      <c r="I656" s="394">
        <v>1.6734591805369983E-3</v>
      </c>
      <c r="J656" s="689">
        <v>1.1603697993930776E-4</v>
      </c>
      <c r="K656" s="690">
        <v>1.2128365681812738E-4</v>
      </c>
    </row>
    <row r="657" spans="2:11" ht="15.75" x14ac:dyDescent="0.25">
      <c r="B657" s="667" t="s">
        <v>73</v>
      </c>
      <c r="C657" s="110">
        <v>2027</v>
      </c>
      <c r="D657" s="687" t="s">
        <v>1148</v>
      </c>
      <c r="E657" s="688">
        <v>3.1718491318388303E-2</v>
      </c>
      <c r="F657" s="310">
        <v>1.6388299465370272E-2</v>
      </c>
      <c r="G657" s="311">
        <v>7.3582199631963496E-2</v>
      </c>
      <c r="H657" s="311">
        <v>1.4456265716766927E-3</v>
      </c>
      <c r="I657" s="394">
        <v>1.5683685673349966E-3</v>
      </c>
      <c r="J657" s="689">
        <v>9.1615232025894953E-5</v>
      </c>
      <c r="K657" s="690">
        <v>9.5757667971382117E-5</v>
      </c>
    </row>
    <row r="658" spans="2:11" ht="15.75" x14ac:dyDescent="0.25">
      <c r="B658" s="667" t="s">
        <v>73</v>
      </c>
      <c r="C658" s="110">
        <v>2028</v>
      </c>
      <c r="D658" s="687" t="s">
        <v>1149</v>
      </c>
      <c r="E658" s="688">
        <v>3.0871202861946074E-2</v>
      </c>
      <c r="F658" s="310">
        <v>1.4495529689036521E-2</v>
      </c>
      <c r="G658" s="311">
        <v>6.5711432760283711E-2</v>
      </c>
      <c r="H658" s="311">
        <v>1.351936201460573E-3</v>
      </c>
      <c r="I658" s="394">
        <v>1.4672579870893998E-3</v>
      </c>
      <c r="J658" s="689">
        <v>7.3055018594973649E-5</v>
      </c>
      <c r="K658" s="690">
        <v>7.6358238549699908E-5</v>
      </c>
    </row>
    <row r="659" spans="2:11" ht="15.75" x14ac:dyDescent="0.25">
      <c r="B659" s="667" t="s">
        <v>73</v>
      </c>
      <c r="C659" s="110">
        <v>2029</v>
      </c>
      <c r="D659" s="687" t="s">
        <v>1150</v>
      </c>
      <c r="E659" s="688">
        <v>3.0111417864603664E-2</v>
      </c>
      <c r="F659" s="310">
        <v>1.2768020673656984E-2</v>
      </c>
      <c r="G659" s="311">
        <v>5.866405439036082E-2</v>
      </c>
      <c r="H659" s="311">
        <v>1.2669189086669686E-3</v>
      </c>
      <c r="I659" s="394">
        <v>1.375199404695275E-3</v>
      </c>
      <c r="J659" s="689">
        <v>6.350201302536913E-5</v>
      </c>
      <c r="K659" s="690">
        <v>6.637328690051193E-5</v>
      </c>
    </row>
    <row r="660" spans="2:11" ht="15.75" x14ac:dyDescent="0.25">
      <c r="B660" s="667" t="s">
        <v>73</v>
      </c>
      <c r="C660" s="110">
        <v>2030</v>
      </c>
      <c r="D660" s="687" t="s">
        <v>1151</v>
      </c>
      <c r="E660" s="688">
        <v>2.9433519853820804E-2</v>
      </c>
      <c r="F660" s="310">
        <v>1.1308152005358977E-2</v>
      </c>
      <c r="G660" s="311">
        <v>5.2678770566263355E-2</v>
      </c>
      <c r="H660" s="311">
        <v>1.1820406222192888E-3</v>
      </c>
      <c r="I660" s="394">
        <v>1.2834051604119553E-3</v>
      </c>
      <c r="J660" s="689">
        <v>5.1244475451146728E-5</v>
      </c>
      <c r="K660" s="690">
        <v>5.3561521262453792E-5</v>
      </c>
    </row>
    <row r="661" spans="2:11" ht="15.75" x14ac:dyDescent="0.25">
      <c r="B661" s="667" t="s">
        <v>73</v>
      </c>
      <c r="C661" s="110">
        <v>2031</v>
      </c>
      <c r="D661" s="687" t="s">
        <v>1152</v>
      </c>
      <c r="E661" s="688">
        <v>2.8831773228661831E-2</v>
      </c>
      <c r="F661" s="310">
        <v>1.0000676087731622E-2</v>
      </c>
      <c r="G661" s="311">
        <v>4.7395371527778368E-2</v>
      </c>
      <c r="H661" s="311">
        <v>1.1069789115038908E-3</v>
      </c>
      <c r="I661" s="394">
        <v>1.201958669647146E-3</v>
      </c>
      <c r="J661" s="689">
        <v>4.6764525528504545E-5</v>
      </c>
      <c r="K661" s="690">
        <v>4.8879001855725288E-5</v>
      </c>
    </row>
    <row r="662" spans="2:11" ht="15.75" x14ac:dyDescent="0.25">
      <c r="B662" s="667" t="s">
        <v>73</v>
      </c>
      <c r="C662" s="110">
        <v>2032</v>
      </c>
      <c r="D662" s="687" t="s">
        <v>1153</v>
      </c>
      <c r="E662" s="688">
        <v>2.8299617984139606E-2</v>
      </c>
      <c r="F662" s="310">
        <v>8.8762797374188507E-3</v>
      </c>
      <c r="G662" s="311">
        <v>4.2958351361818532E-2</v>
      </c>
      <c r="H662" s="311">
        <v>1.036698997072639E-3</v>
      </c>
      <c r="I662" s="394">
        <v>1.1257391427409195E-3</v>
      </c>
      <c r="J662" s="689">
        <v>4.1669078170192958E-5</v>
      </c>
      <c r="K662" s="690">
        <v>4.355317310300454E-5</v>
      </c>
    </row>
    <row r="663" spans="2:11" ht="15.75" x14ac:dyDescent="0.25">
      <c r="B663" s="667" t="s">
        <v>73</v>
      </c>
      <c r="C663" s="110">
        <v>2033</v>
      </c>
      <c r="D663" s="687" t="s">
        <v>1154</v>
      </c>
      <c r="E663" s="688">
        <v>2.7831043945843886E-2</v>
      </c>
      <c r="F663" s="310">
        <v>7.9138445997114538E-3</v>
      </c>
      <c r="G663" s="311">
        <v>3.9259406373635737E-2</v>
      </c>
      <c r="H663" s="311">
        <v>9.7335999932627378E-4</v>
      </c>
      <c r="I663" s="394">
        <v>1.0569662001772308E-3</v>
      </c>
      <c r="J663" s="689">
        <v>3.8975120988014351E-5</v>
      </c>
      <c r="K663" s="690">
        <v>4.0737400025575883E-5</v>
      </c>
    </row>
    <row r="664" spans="2:11" ht="15.75" x14ac:dyDescent="0.25">
      <c r="B664" s="667" t="s">
        <v>73</v>
      </c>
      <c r="C664" s="110">
        <v>2034</v>
      </c>
      <c r="D664" s="687" t="s">
        <v>1155</v>
      </c>
      <c r="E664" s="688">
        <v>2.7420601888785825E-2</v>
      </c>
      <c r="F664" s="310">
        <v>7.0546850322664592E-3</v>
      </c>
      <c r="G664" s="311">
        <v>3.6077869209636911E-2</v>
      </c>
      <c r="H664" s="311">
        <v>9.1325130284788177E-4</v>
      </c>
      <c r="I664" s="394">
        <v>9.9169679397022813E-4</v>
      </c>
      <c r="J664" s="689">
        <v>3.6507000823029742E-5</v>
      </c>
      <c r="K664" s="690">
        <v>3.8157679687157259E-5</v>
      </c>
    </row>
    <row r="665" spans="2:11" ht="15.75" x14ac:dyDescent="0.25">
      <c r="B665" s="667" t="s">
        <v>73</v>
      </c>
      <c r="C665" s="110">
        <v>2035</v>
      </c>
      <c r="D665" s="687" t="s">
        <v>1156</v>
      </c>
      <c r="E665" s="688">
        <v>2.7064190141331705E-2</v>
      </c>
      <c r="F665" s="310">
        <v>6.2885541828545813E-3</v>
      </c>
      <c r="G665" s="311">
        <v>3.3358248171946193E-2</v>
      </c>
      <c r="H665" s="311">
        <v>8.5610291016150646E-4</v>
      </c>
      <c r="I665" s="394">
        <v>9.2965035592925663E-4</v>
      </c>
      <c r="J665" s="689">
        <v>3.3979978534318056E-5</v>
      </c>
      <c r="K665" s="690">
        <v>3.551640135870837E-5</v>
      </c>
    </row>
    <row r="666" spans="2:11" ht="15.75" x14ac:dyDescent="0.25">
      <c r="B666" s="667" t="s">
        <v>73</v>
      </c>
      <c r="C666" s="110">
        <v>2036</v>
      </c>
      <c r="D666" s="687" t="s">
        <v>1157</v>
      </c>
      <c r="E666" s="688">
        <v>2.6756798555615365E-2</v>
      </c>
      <c r="F666" s="310">
        <v>5.6103288047372217E-3</v>
      </c>
      <c r="G666" s="311">
        <v>3.1016530390894255E-2</v>
      </c>
      <c r="H666" s="311">
        <v>8.0680209445627301E-4</v>
      </c>
      <c r="I666" s="394">
        <v>8.7615709259228813E-4</v>
      </c>
      <c r="J666" s="689">
        <v>3.1001372464974773E-5</v>
      </c>
      <c r="K666" s="690">
        <v>3.240312024695502E-5</v>
      </c>
    </row>
    <row r="667" spans="2:11" ht="15.75" x14ac:dyDescent="0.25">
      <c r="B667" s="667" t="s">
        <v>73</v>
      </c>
      <c r="C667" s="110">
        <v>2037</v>
      </c>
      <c r="D667" s="687" t="s">
        <v>1158</v>
      </c>
      <c r="E667" s="688">
        <v>2.6494888759578117E-2</v>
      </c>
      <c r="F667" s="310">
        <v>5.022532486114669E-3</v>
      </c>
      <c r="G667" s="311">
        <v>2.9032459091482794E-2</v>
      </c>
      <c r="H667" s="311">
        <v>7.6272416344175004E-4</v>
      </c>
      <c r="I667" s="394">
        <v>8.2829316754774588E-4</v>
      </c>
      <c r="J667" s="689">
        <v>2.9240346920809203E-5</v>
      </c>
      <c r="K667" s="690">
        <v>3.0562456020641567E-5</v>
      </c>
    </row>
    <row r="668" spans="2:11" ht="15.75" x14ac:dyDescent="0.25">
      <c r="B668" s="667" t="s">
        <v>73</v>
      </c>
      <c r="C668" s="110">
        <v>2038</v>
      </c>
      <c r="D668" s="687" t="s">
        <v>1159</v>
      </c>
      <c r="E668" s="688">
        <v>2.6273375762652366E-2</v>
      </c>
      <c r="F668" s="310">
        <v>4.492592769837875E-3</v>
      </c>
      <c r="G668" s="311">
        <v>2.7252028015112489E-2</v>
      </c>
      <c r="H668" s="311">
        <v>7.2213079898976581E-4</v>
      </c>
      <c r="I668" s="394">
        <v>7.8421350555180297E-4</v>
      </c>
      <c r="J668" s="689">
        <v>2.7603629393352702E-5</v>
      </c>
      <c r="K668" s="690">
        <v>2.8851743599443053E-5</v>
      </c>
    </row>
    <row r="669" spans="2:11" ht="15.75" x14ac:dyDescent="0.25">
      <c r="B669" s="667" t="s">
        <v>73</v>
      </c>
      <c r="C669" s="110">
        <v>2039</v>
      </c>
      <c r="D669" s="687" t="s">
        <v>1160</v>
      </c>
      <c r="E669" s="688">
        <v>2.6086744790410937E-2</v>
      </c>
      <c r="F669" s="310">
        <v>3.9911366084009218E-3</v>
      </c>
      <c r="G669" s="311">
        <v>2.5590101254147065E-2</v>
      </c>
      <c r="H669" s="311">
        <v>6.8459262215912677E-4</v>
      </c>
      <c r="I669" s="394">
        <v>7.4344591817892798E-4</v>
      </c>
      <c r="J669" s="689">
        <v>2.6212738385843197E-5</v>
      </c>
      <c r="K669" s="690">
        <v>2.7397959699614356E-5</v>
      </c>
    </row>
    <row r="670" spans="2:11" ht="15.75" x14ac:dyDescent="0.25">
      <c r="B670" s="667" t="s">
        <v>73</v>
      </c>
      <c r="C670" s="110">
        <v>2040</v>
      </c>
      <c r="D670" s="687" t="s">
        <v>1161</v>
      </c>
      <c r="E670" s="688">
        <v>2.5931375132545894E-2</v>
      </c>
      <c r="F670" s="310">
        <v>3.5278472586677133E-3</v>
      </c>
      <c r="G670" s="311">
        <v>2.4138967282400201E-2</v>
      </c>
      <c r="H670" s="311">
        <v>6.4983239368568597E-4</v>
      </c>
      <c r="I670" s="394">
        <v>7.0569499425376481E-4</v>
      </c>
      <c r="J670" s="689">
        <v>2.4949487817628483E-5</v>
      </c>
      <c r="K670" s="690">
        <v>2.607758696291539E-5</v>
      </c>
    </row>
    <row r="671" spans="2:11" ht="15.75" x14ac:dyDescent="0.25">
      <c r="B671" s="667" t="s">
        <v>73</v>
      </c>
      <c r="C671" s="110">
        <v>2041</v>
      </c>
      <c r="D671" s="687" t="s">
        <v>1162</v>
      </c>
      <c r="E671" s="688">
        <v>2.5803954379730328E-2</v>
      </c>
      <c r="F671" s="310">
        <v>3.1639819403020686E-3</v>
      </c>
      <c r="G671" s="311">
        <v>2.297643650495566E-2</v>
      </c>
      <c r="H671" s="311">
        <v>6.2408032661651167E-4</v>
      </c>
      <c r="I671" s="394">
        <v>6.7773436473312319E-4</v>
      </c>
      <c r="J671" s="689">
        <v>2.3839771061393743E-5</v>
      </c>
      <c r="K671" s="690">
        <v>2.4917704557795043E-5</v>
      </c>
    </row>
    <row r="672" spans="2:11" ht="15.75" x14ac:dyDescent="0.25">
      <c r="B672" s="667" t="s">
        <v>73</v>
      </c>
      <c r="C672" s="110">
        <v>2042</v>
      </c>
      <c r="D672" s="687" t="s">
        <v>1163</v>
      </c>
      <c r="E672" s="688">
        <v>2.5697837509102622E-2</v>
      </c>
      <c r="F672" s="310">
        <v>2.852834830918445E-3</v>
      </c>
      <c r="G672" s="311">
        <v>2.1945404006048906E-2</v>
      </c>
      <c r="H672" s="311">
        <v>6.0125164733086818E-4</v>
      </c>
      <c r="I672" s="394">
        <v>6.5294239658966399E-4</v>
      </c>
      <c r="J672" s="689">
        <v>2.2973222024707073E-5</v>
      </c>
      <c r="K672" s="690">
        <v>2.4011967926837498E-5</v>
      </c>
    </row>
    <row r="673" spans="2:11" ht="15.75" x14ac:dyDescent="0.25">
      <c r="B673" s="667" t="s">
        <v>73</v>
      </c>
      <c r="C673" s="110">
        <v>2043</v>
      </c>
      <c r="D673" s="687" t="s">
        <v>1164</v>
      </c>
      <c r="E673" s="688">
        <v>2.5611525704342348E-2</v>
      </c>
      <c r="F673" s="310">
        <v>2.6229025167512961E-3</v>
      </c>
      <c r="G673" s="311">
        <v>2.1179045241115513E-2</v>
      </c>
      <c r="H673" s="311">
        <v>5.8108919436356422E-4</v>
      </c>
      <c r="I673" s="394">
        <v>6.3104923115392549E-4</v>
      </c>
      <c r="J673" s="689">
        <v>2.2137097636084081E-5</v>
      </c>
      <c r="K673" s="690">
        <v>2.3138038980953967E-5</v>
      </c>
    </row>
    <row r="674" spans="2:11" ht="15.75" x14ac:dyDescent="0.25">
      <c r="B674" s="667" t="s">
        <v>73</v>
      </c>
      <c r="C674" s="110">
        <v>2044</v>
      </c>
      <c r="D674" s="687" t="s">
        <v>1165</v>
      </c>
      <c r="E674" s="688">
        <v>2.5540867232455033E-2</v>
      </c>
      <c r="F674" s="310">
        <v>2.4614546795078312E-3</v>
      </c>
      <c r="G674" s="311">
        <v>2.0614499647943606E-2</v>
      </c>
      <c r="H674" s="311">
        <v>5.6349125557525926E-4</v>
      </c>
      <c r="I674" s="394">
        <v>6.1193693518590679E-4</v>
      </c>
      <c r="J674" s="689">
        <v>2.1498289641547373E-5</v>
      </c>
      <c r="K674" s="690">
        <v>2.2470338878655992E-5</v>
      </c>
    </row>
    <row r="675" spans="2:11" ht="15.75" x14ac:dyDescent="0.25">
      <c r="B675" s="667" t="s">
        <v>73</v>
      </c>
      <c r="C675" s="110">
        <v>2045</v>
      </c>
      <c r="D675" s="687" t="s">
        <v>1166</v>
      </c>
      <c r="E675" s="688">
        <v>2.5481685060313796E-2</v>
      </c>
      <c r="F675" s="310">
        <v>2.3634936693237101E-3</v>
      </c>
      <c r="G675" s="311">
        <v>2.0263450696421846E-2</v>
      </c>
      <c r="H675" s="311">
        <v>5.4815553351913527E-4</v>
      </c>
      <c r="I675" s="394">
        <v>5.9528191537095386E-4</v>
      </c>
      <c r="J675" s="689">
        <v>2.0938724975750096E-5</v>
      </c>
      <c r="K675" s="690">
        <v>2.1885491258517391E-5</v>
      </c>
    </row>
    <row r="676" spans="2:11" ht="15.75" x14ac:dyDescent="0.25">
      <c r="B676" s="667" t="s">
        <v>73</v>
      </c>
      <c r="C676" s="110">
        <v>2046</v>
      </c>
      <c r="D676" s="687" t="s">
        <v>1167</v>
      </c>
      <c r="E676" s="688">
        <v>2.543212029089394E-2</v>
      </c>
      <c r="F676" s="310">
        <v>2.2800087072842264E-3</v>
      </c>
      <c r="G676" s="311">
        <v>1.9984760279902921E-2</v>
      </c>
      <c r="H676" s="311">
        <v>5.3485106558324883E-4</v>
      </c>
      <c r="I676" s="394">
        <v>5.8083295043070461E-4</v>
      </c>
      <c r="J676" s="689">
        <v>2.0434873401129843E-5</v>
      </c>
      <c r="K676" s="690">
        <v>2.1358848928260501E-5</v>
      </c>
    </row>
    <row r="677" spans="2:11" ht="15.75" x14ac:dyDescent="0.25">
      <c r="B677" s="667" t="s">
        <v>73</v>
      </c>
      <c r="C677" s="110">
        <v>2047</v>
      </c>
      <c r="D677" s="687" t="s">
        <v>1168</v>
      </c>
      <c r="E677" s="688">
        <v>2.5391628726022696E-2</v>
      </c>
      <c r="F677" s="310">
        <v>2.209408173940709E-3</v>
      </c>
      <c r="G677" s="311">
        <v>1.9746514912527477E-2</v>
      </c>
      <c r="H677" s="311">
        <v>5.2346966098801664E-4</v>
      </c>
      <c r="I677" s="394">
        <v>5.6847612232894835E-4</v>
      </c>
      <c r="J677" s="689">
        <v>1.9936431463212912E-5</v>
      </c>
      <c r="K677" s="690">
        <v>2.0837867675067446E-5</v>
      </c>
    </row>
    <row r="678" spans="2:11" ht="15.75" x14ac:dyDescent="0.25">
      <c r="B678" s="667" t="s">
        <v>73</v>
      </c>
      <c r="C678" s="110">
        <v>2048</v>
      </c>
      <c r="D678" s="687" t="s">
        <v>1169</v>
      </c>
      <c r="E678" s="688">
        <v>2.5357994144857718E-2</v>
      </c>
      <c r="F678" s="310">
        <v>2.1516480596406361E-3</v>
      </c>
      <c r="G678" s="311">
        <v>1.9548994815239959E-2</v>
      </c>
      <c r="H678" s="311">
        <v>5.1374459621891788E-4</v>
      </c>
      <c r="I678" s="394">
        <v>5.5791807300862488E-4</v>
      </c>
      <c r="J678" s="689">
        <v>1.9486667065863971E-5</v>
      </c>
      <c r="K678" s="690">
        <v>2.0367765835865569E-5</v>
      </c>
    </row>
    <row r="679" spans="2:11" ht="15.75" x14ac:dyDescent="0.25">
      <c r="B679" s="667" t="s">
        <v>73</v>
      </c>
      <c r="C679" s="110">
        <v>2049</v>
      </c>
      <c r="D679" s="687" t="s">
        <v>1170</v>
      </c>
      <c r="E679" s="688">
        <v>2.5330299051632501E-2</v>
      </c>
      <c r="F679" s="310">
        <v>2.1293419447348497E-3</v>
      </c>
      <c r="G679" s="311">
        <v>1.9546139245215893E-2</v>
      </c>
      <c r="H679" s="311">
        <v>5.075755647178863E-4</v>
      </c>
      <c r="I679" s="394">
        <v>5.5122483952646105E-4</v>
      </c>
      <c r="J679" s="689">
        <v>1.9108963312578693E-5</v>
      </c>
      <c r="K679" s="690">
        <v>1.9972985309665395E-5</v>
      </c>
    </row>
    <row r="680" spans="2:11" ht="15.75" x14ac:dyDescent="0.25">
      <c r="B680" s="667" t="s">
        <v>73</v>
      </c>
      <c r="C680" s="110">
        <v>2050</v>
      </c>
      <c r="D680" s="687" t="s">
        <v>1171</v>
      </c>
      <c r="E680" s="688">
        <v>2.5307573276428501E-2</v>
      </c>
      <c r="F680" s="310">
        <v>2.1111140626241861E-3</v>
      </c>
      <c r="G680" s="311">
        <v>1.955000065983974E-2</v>
      </c>
      <c r="H680" s="311">
        <v>5.0255070390466193E-4</v>
      </c>
      <c r="I680" s="394">
        <v>5.4577048665086154E-4</v>
      </c>
      <c r="J680" s="689">
        <v>1.8861974333918649E-5</v>
      </c>
      <c r="K680" s="690">
        <v>1.9714827876729879E-5</v>
      </c>
    </row>
    <row r="681" spans="2:11" ht="15.75" x14ac:dyDescent="0.25">
      <c r="B681" s="667" t="s">
        <v>74</v>
      </c>
      <c r="C681" s="110">
        <v>2015</v>
      </c>
      <c r="D681" s="687" t="s">
        <v>230</v>
      </c>
      <c r="E681" s="688">
        <v>4.668893344851871E-2</v>
      </c>
      <c r="F681" s="310">
        <v>8.8083385948952306E-2</v>
      </c>
      <c r="G681" s="311">
        <v>0.29533831108346431</v>
      </c>
      <c r="H681" s="311">
        <v>2.7382920546250218E-3</v>
      </c>
      <c r="I681" s="394">
        <v>2.9614005355307173E-3</v>
      </c>
      <c r="J681" s="689">
        <v>2.0861900760792834E-4</v>
      </c>
      <c r="K681" s="690">
        <v>2.1805183202593768E-4</v>
      </c>
    </row>
    <row r="682" spans="2:11" ht="15.75" x14ac:dyDescent="0.25">
      <c r="B682" s="667" t="s">
        <v>74</v>
      </c>
      <c r="C682" s="110">
        <v>2016</v>
      </c>
      <c r="D682" s="687" t="s">
        <v>231</v>
      </c>
      <c r="E682" s="688">
        <v>4.5966730444446414E-2</v>
      </c>
      <c r="F682" s="310">
        <v>7.4899276778258875E-2</v>
      </c>
      <c r="G682" s="311">
        <v>0.25767028176242218</v>
      </c>
      <c r="H682" s="311">
        <v>2.5714295796670224E-3</v>
      </c>
      <c r="I682" s="394">
        <v>2.7821837043930202E-3</v>
      </c>
      <c r="J682" s="689">
        <v>1.9838850999087134E-4</v>
      </c>
      <c r="K682" s="690">
        <v>2.0735875750748015E-4</v>
      </c>
    </row>
    <row r="683" spans="2:11" ht="15.75" x14ac:dyDescent="0.25">
      <c r="B683" s="667" t="s">
        <v>74</v>
      </c>
      <c r="C683" s="110">
        <v>2017</v>
      </c>
      <c r="D683" s="687" t="s">
        <v>1172</v>
      </c>
      <c r="E683" s="688">
        <v>4.4966527932950896E-2</v>
      </c>
      <c r="F683" s="310">
        <v>6.2671307503341198E-2</v>
      </c>
      <c r="G683" s="311">
        <v>0.22198335080780546</v>
      </c>
      <c r="H683" s="311">
        <v>2.4378494599137279E-3</v>
      </c>
      <c r="I683" s="394">
        <v>2.6392798987050544E-3</v>
      </c>
      <c r="J683" s="689">
        <v>1.8158519521811913E-4</v>
      </c>
      <c r="K683" s="690">
        <v>1.8979566990216725E-4</v>
      </c>
    </row>
    <row r="684" spans="2:11" ht="15.75" x14ac:dyDescent="0.25">
      <c r="B684" s="667" t="s">
        <v>74</v>
      </c>
      <c r="C684" s="110">
        <v>2018</v>
      </c>
      <c r="D684" s="687" t="s">
        <v>1173</v>
      </c>
      <c r="E684" s="688">
        <v>4.3913566369142891E-2</v>
      </c>
      <c r="F684" s="310">
        <v>5.1896486889788103E-2</v>
      </c>
      <c r="G684" s="311">
        <v>0.19038573132026268</v>
      </c>
      <c r="H684" s="311">
        <v>2.3464406086266885E-3</v>
      </c>
      <c r="I684" s="394">
        <v>2.5418947391090993E-3</v>
      </c>
      <c r="J684" s="689">
        <v>1.6674251015712834E-4</v>
      </c>
      <c r="K684" s="690">
        <v>1.7428186187466664E-4</v>
      </c>
    </row>
    <row r="685" spans="2:11" ht="15.75" x14ac:dyDescent="0.25">
      <c r="B685" s="667" t="s">
        <v>74</v>
      </c>
      <c r="C685" s="110">
        <v>2019</v>
      </c>
      <c r="D685" s="687" t="s">
        <v>1174</v>
      </c>
      <c r="E685" s="688">
        <v>4.2803768225796859E-2</v>
      </c>
      <c r="F685" s="310">
        <v>4.2138821495391998E-2</v>
      </c>
      <c r="G685" s="311">
        <v>0.16274389692743199</v>
      </c>
      <c r="H685" s="311">
        <v>2.2704111644922466E-3</v>
      </c>
      <c r="I685" s="394">
        <v>2.4610792673859902E-3</v>
      </c>
      <c r="J685" s="689">
        <v>1.5325355814512555E-4</v>
      </c>
      <c r="K685" s="690">
        <v>1.601830054149867E-4</v>
      </c>
    </row>
    <row r="686" spans="2:11" ht="15.75" x14ac:dyDescent="0.25">
      <c r="B686" s="667" t="s">
        <v>74</v>
      </c>
      <c r="C686" s="110">
        <v>2020</v>
      </c>
      <c r="D686" s="687" t="s">
        <v>1175</v>
      </c>
      <c r="E686" s="688">
        <v>4.1657173674127225E-2</v>
      </c>
      <c r="F686" s="310">
        <v>3.5609621884741073E-2</v>
      </c>
      <c r="G686" s="311">
        <v>0.14026986118170431</v>
      </c>
      <c r="H686" s="311">
        <v>2.178293570851233E-3</v>
      </c>
      <c r="I686" s="394">
        <v>2.361914801910908E-3</v>
      </c>
      <c r="J686" s="689">
        <v>1.3955277947546527E-4</v>
      </c>
      <c r="K686" s="690">
        <v>1.4586273275836919E-4</v>
      </c>
    </row>
    <row r="687" spans="2:11" ht="15.75" x14ac:dyDescent="0.25">
      <c r="B687" s="667" t="s">
        <v>74</v>
      </c>
      <c r="C687" s="110">
        <v>2021</v>
      </c>
      <c r="D687" s="687" t="s">
        <v>1176</v>
      </c>
      <c r="E687" s="688">
        <v>4.0468158472177884E-2</v>
      </c>
      <c r="F687" s="310">
        <v>2.9912477611673614E-2</v>
      </c>
      <c r="G687" s="311">
        <v>0.12046340471643469</v>
      </c>
      <c r="H687" s="311">
        <v>2.0502992971498943E-3</v>
      </c>
      <c r="I687" s="394">
        <v>2.2236313260549441E-3</v>
      </c>
      <c r="J687" s="689">
        <v>1.2734433569323462E-4</v>
      </c>
      <c r="K687" s="690">
        <v>1.33102282479908E-4</v>
      </c>
    </row>
    <row r="688" spans="2:11" ht="15.75" x14ac:dyDescent="0.25">
      <c r="B688" s="667" t="s">
        <v>74</v>
      </c>
      <c r="C688" s="110">
        <v>2022</v>
      </c>
      <c r="D688" s="687" t="s">
        <v>1177</v>
      </c>
      <c r="E688" s="688">
        <v>3.9276484107051396E-2</v>
      </c>
      <c r="F688" s="310">
        <v>2.377466979528112E-2</v>
      </c>
      <c r="G688" s="311">
        <v>0.10229536956010224</v>
      </c>
      <c r="H688" s="311">
        <v>1.9240300347504039E-3</v>
      </c>
      <c r="I688" s="394">
        <v>2.0874303668479304E-3</v>
      </c>
      <c r="J688" s="689">
        <v>1.1637938392073681E-4</v>
      </c>
      <c r="K688" s="690">
        <v>1.2164154414425871E-4</v>
      </c>
    </row>
    <row r="689" spans="2:11" ht="15.75" x14ac:dyDescent="0.25">
      <c r="B689" s="667" t="s">
        <v>74</v>
      </c>
      <c r="C689" s="110">
        <v>2023</v>
      </c>
      <c r="D689" s="687" t="s">
        <v>1178</v>
      </c>
      <c r="E689" s="688">
        <v>3.8085136472733663E-2</v>
      </c>
      <c r="F689" s="310">
        <v>2.0482160829515574E-2</v>
      </c>
      <c r="G689" s="311">
        <v>8.8932923454869348E-2</v>
      </c>
      <c r="H689" s="311">
        <v>1.8180772106784228E-3</v>
      </c>
      <c r="I689" s="394">
        <v>1.9726974139440434E-3</v>
      </c>
      <c r="J689" s="689">
        <v>1.064209712631605E-4</v>
      </c>
      <c r="K689" s="690">
        <v>1.112328538354581E-4</v>
      </c>
    </row>
    <row r="690" spans="2:11" ht="15.75" x14ac:dyDescent="0.25">
      <c r="B690" s="667" t="s">
        <v>74</v>
      </c>
      <c r="C690" s="110">
        <v>2024</v>
      </c>
      <c r="D690" s="687" t="s">
        <v>1179</v>
      </c>
      <c r="E690" s="688">
        <v>3.6898957474878959E-2</v>
      </c>
      <c r="F690" s="310">
        <v>1.7582333218139689E-2</v>
      </c>
      <c r="G690" s="311">
        <v>7.743426041608735E-2</v>
      </c>
      <c r="H690" s="311">
        <v>1.7216295486159933E-3</v>
      </c>
      <c r="I690" s="394">
        <v>1.8682683904230699E-3</v>
      </c>
      <c r="J690" s="689">
        <v>9.7470008121041139E-5</v>
      </c>
      <c r="K690" s="690">
        <v>1.0187717085159938E-4</v>
      </c>
    </row>
    <row r="691" spans="2:11" ht="15.75" x14ac:dyDescent="0.25">
      <c r="B691" s="667" t="s">
        <v>74</v>
      </c>
      <c r="C691" s="110">
        <v>2025</v>
      </c>
      <c r="D691" s="687" t="s">
        <v>1180</v>
      </c>
      <c r="E691" s="688">
        <v>3.5736206438020654E-2</v>
      </c>
      <c r="F691" s="310">
        <v>1.5384355580195234E-2</v>
      </c>
      <c r="G691" s="311">
        <v>6.8559203033745922E-2</v>
      </c>
      <c r="H691" s="311">
        <v>1.6452747856281955E-3</v>
      </c>
      <c r="I691" s="394">
        <v>1.7856255635360053E-3</v>
      </c>
      <c r="J691" s="689">
        <v>8.8660001868926354E-5</v>
      </c>
      <c r="K691" s="690">
        <v>9.266881657390592E-5</v>
      </c>
    </row>
    <row r="692" spans="2:11" ht="15.75" x14ac:dyDescent="0.25">
      <c r="B692" s="667" t="s">
        <v>74</v>
      </c>
      <c r="C692" s="110">
        <v>2026</v>
      </c>
      <c r="D692" s="687" t="s">
        <v>1181</v>
      </c>
      <c r="E692" s="688">
        <v>3.4653797013700277E-2</v>
      </c>
      <c r="F692" s="310">
        <v>1.3612611589199939E-2</v>
      </c>
      <c r="G692" s="311">
        <v>6.1447739675333596E-2</v>
      </c>
      <c r="H692" s="311">
        <v>1.5696748798459017E-3</v>
      </c>
      <c r="I692" s="394">
        <v>1.7038380026117232E-3</v>
      </c>
      <c r="J692" s="689">
        <v>7.8474784244818264E-5</v>
      </c>
      <c r="K692" s="690">
        <v>8.2023060943221671E-5</v>
      </c>
    </row>
    <row r="693" spans="2:11" ht="15.75" x14ac:dyDescent="0.25">
      <c r="B693" s="667" t="s">
        <v>74</v>
      </c>
      <c r="C693" s="110">
        <v>2027</v>
      </c>
      <c r="D693" s="687" t="s">
        <v>1182</v>
      </c>
      <c r="E693" s="688">
        <v>3.3639430621981235E-2</v>
      </c>
      <c r="F693" s="310">
        <v>1.2090865900194292E-2</v>
      </c>
      <c r="G693" s="311">
        <v>5.5385817610828149E-2</v>
      </c>
      <c r="H693" s="311">
        <v>1.4855204747751644E-3</v>
      </c>
      <c r="I693" s="394">
        <v>1.6127766025549682E-3</v>
      </c>
      <c r="J693" s="689">
        <v>6.755741181331437E-5</v>
      </c>
      <c r="K693" s="690">
        <v>7.0612051719508322E-5</v>
      </c>
    </row>
    <row r="694" spans="2:11" ht="15.75" x14ac:dyDescent="0.25">
      <c r="B694" s="667" t="s">
        <v>74</v>
      </c>
      <c r="C694" s="110">
        <v>2028</v>
      </c>
      <c r="D694" s="687" t="s">
        <v>1183</v>
      </c>
      <c r="E694" s="688">
        <v>3.2704440951291422E-2</v>
      </c>
      <c r="F694" s="310">
        <v>1.0792551620032925E-2</v>
      </c>
      <c r="G694" s="311">
        <v>5.0259083476255025E-2</v>
      </c>
      <c r="H694" s="311">
        <v>1.3947551696311296E-3</v>
      </c>
      <c r="I694" s="394">
        <v>1.5144847531055618E-3</v>
      </c>
      <c r="J694" s="689">
        <v>5.7553688013323664E-5</v>
      </c>
      <c r="K694" s="690">
        <v>6.0156014639544918E-5</v>
      </c>
    </row>
    <row r="695" spans="2:11" ht="15.75" x14ac:dyDescent="0.25">
      <c r="B695" s="667" t="s">
        <v>74</v>
      </c>
      <c r="C695" s="110">
        <v>2029</v>
      </c>
      <c r="D695" s="687" t="s">
        <v>1184</v>
      </c>
      <c r="E695" s="688">
        <v>3.1843411179529102E-2</v>
      </c>
      <c r="F695" s="310">
        <v>9.6145435564545332E-3</v>
      </c>
      <c r="G695" s="311">
        <v>4.57456440987127E-2</v>
      </c>
      <c r="H695" s="311">
        <v>1.3082620525172162E-3</v>
      </c>
      <c r="I695" s="394">
        <v>1.4207211077067777E-3</v>
      </c>
      <c r="J695" s="689">
        <v>5.0353139852404509E-5</v>
      </c>
      <c r="K695" s="690">
        <v>5.2629889064683595E-5</v>
      </c>
    </row>
    <row r="696" spans="2:11" ht="15.75" x14ac:dyDescent="0.25">
      <c r="B696" s="667" t="s">
        <v>74</v>
      </c>
      <c r="C696" s="110">
        <v>2030</v>
      </c>
      <c r="D696" s="687" t="s">
        <v>1185</v>
      </c>
      <c r="E696" s="688">
        <v>3.1056306985539232E-2</v>
      </c>
      <c r="F696" s="310">
        <v>8.6477813864720143E-3</v>
      </c>
      <c r="G696" s="311">
        <v>4.1925577072530619E-2</v>
      </c>
      <c r="H696" s="311">
        <v>1.2248539794348519E-3</v>
      </c>
      <c r="I696" s="394">
        <v>1.3303436054074266E-3</v>
      </c>
      <c r="J696" s="689">
        <v>4.2409567889114111E-5</v>
      </c>
      <c r="K696" s="690">
        <v>4.4327138191060982E-5</v>
      </c>
    </row>
    <row r="697" spans="2:11" ht="15.75" x14ac:dyDescent="0.25">
      <c r="B697" s="667" t="s">
        <v>74</v>
      </c>
      <c r="C697" s="110">
        <v>2031</v>
      </c>
      <c r="D697" s="687" t="s">
        <v>1186</v>
      </c>
      <c r="E697" s="688">
        <v>3.033997980748656E-2</v>
      </c>
      <c r="F697" s="310">
        <v>7.8036133430469121E-3</v>
      </c>
      <c r="G697" s="311">
        <v>3.8652384231890782E-2</v>
      </c>
      <c r="H697" s="311">
        <v>1.149793294626882E-3</v>
      </c>
      <c r="I697" s="394">
        <v>1.2488643235761406E-3</v>
      </c>
      <c r="J697" s="689">
        <v>3.8717157644088473E-5</v>
      </c>
      <c r="K697" s="690">
        <v>4.0467776302495801E-5</v>
      </c>
    </row>
    <row r="698" spans="2:11" ht="15.75" x14ac:dyDescent="0.25">
      <c r="B698" s="667" t="s">
        <v>74</v>
      </c>
      <c r="C698" s="110">
        <v>2032</v>
      </c>
      <c r="D698" s="687" t="s">
        <v>1187</v>
      </c>
      <c r="E698" s="688">
        <v>2.9693268791241043E-2</v>
      </c>
      <c r="F698" s="310">
        <v>7.0583946170027553E-3</v>
      </c>
      <c r="G698" s="311">
        <v>3.5840912561378828E-2</v>
      </c>
      <c r="H698" s="311">
        <v>1.0802937396697985E-3</v>
      </c>
      <c r="I698" s="394">
        <v>1.1733834007941202E-3</v>
      </c>
      <c r="J698" s="689">
        <v>3.6217729188092519E-5</v>
      </c>
      <c r="K698" s="690">
        <v>3.7855329874329725E-5</v>
      </c>
    </row>
    <row r="699" spans="2:11" ht="15.75" x14ac:dyDescent="0.25">
      <c r="B699" s="667" t="s">
        <v>74</v>
      </c>
      <c r="C699" s="110">
        <v>2033</v>
      </c>
      <c r="D699" s="687" t="s">
        <v>1188</v>
      </c>
      <c r="E699" s="688">
        <v>2.9111302636992877E-2</v>
      </c>
      <c r="F699" s="310">
        <v>6.3904069940803922E-3</v>
      </c>
      <c r="G699" s="311">
        <v>3.3411577171469614E-2</v>
      </c>
      <c r="H699" s="311">
        <v>1.0149223307705678E-3</v>
      </c>
      <c r="I699" s="394">
        <v>1.1023810463449241E-3</v>
      </c>
      <c r="J699" s="689">
        <v>3.3980545810383642E-5</v>
      </c>
      <c r="K699" s="690">
        <v>3.5516989918880107E-5</v>
      </c>
    </row>
    <row r="700" spans="2:11" ht="15.75" x14ac:dyDescent="0.25">
      <c r="B700" s="667" t="s">
        <v>74</v>
      </c>
      <c r="C700" s="110">
        <v>2034</v>
      </c>
      <c r="D700" s="687" t="s">
        <v>1189</v>
      </c>
      <c r="E700" s="688">
        <v>2.8587603582451982E-2</v>
      </c>
      <c r="F700" s="310">
        <v>5.7734986780039769E-3</v>
      </c>
      <c r="G700" s="311">
        <v>3.1248824738125045E-2</v>
      </c>
      <c r="H700" s="311">
        <v>9.5335619189545833E-4</v>
      </c>
      <c r="I700" s="394">
        <v>1.0355086699976295E-3</v>
      </c>
      <c r="J700" s="689">
        <v>3.1943900781779919E-5</v>
      </c>
      <c r="K700" s="690">
        <v>3.3388256580559892E-5</v>
      </c>
    </row>
    <row r="701" spans="2:11" ht="15.75" x14ac:dyDescent="0.25">
      <c r="B701" s="667" t="s">
        <v>74</v>
      </c>
      <c r="C701" s="110">
        <v>2035</v>
      </c>
      <c r="D701" s="687" t="s">
        <v>1190</v>
      </c>
      <c r="E701" s="688">
        <v>2.8118895349779904E-2</v>
      </c>
      <c r="F701" s="310">
        <v>5.2401227825073123E-3</v>
      </c>
      <c r="G701" s="311">
        <v>2.9469465100346034E-2</v>
      </c>
      <c r="H701" s="311">
        <v>8.9708995569384232E-4</v>
      </c>
      <c r="I701" s="394">
        <v>9.7439141260366056E-4</v>
      </c>
      <c r="J701" s="689">
        <v>3.0113227337846035E-5</v>
      </c>
      <c r="K701" s="690">
        <v>3.1474810971419132E-5</v>
      </c>
    </row>
    <row r="702" spans="2:11" ht="15.75" x14ac:dyDescent="0.25">
      <c r="B702" s="667" t="s">
        <v>74</v>
      </c>
      <c r="C702" s="110">
        <v>2036</v>
      </c>
      <c r="D702" s="687" t="s">
        <v>1191</v>
      </c>
      <c r="E702" s="688">
        <v>2.7702070867173478E-2</v>
      </c>
      <c r="F702" s="310">
        <v>4.7764808110646456E-3</v>
      </c>
      <c r="G702" s="311">
        <v>2.7972378537744733E-2</v>
      </c>
      <c r="H702" s="311">
        <v>8.4890922392852732E-4</v>
      </c>
      <c r="I702" s="394">
        <v>9.220589547379737E-4</v>
      </c>
      <c r="J702" s="689">
        <v>2.8492091657570718E-5</v>
      </c>
      <c r="K702" s="690">
        <v>2.9780374077378485E-5</v>
      </c>
    </row>
    <row r="703" spans="2:11" ht="15.75" x14ac:dyDescent="0.25">
      <c r="B703" s="667" t="s">
        <v>74</v>
      </c>
      <c r="C703" s="110">
        <v>2037</v>
      </c>
      <c r="D703" s="687" t="s">
        <v>1192</v>
      </c>
      <c r="E703" s="688">
        <v>2.7334378757929621E-2</v>
      </c>
      <c r="F703" s="310">
        <v>4.3629123570056135E-3</v>
      </c>
      <c r="G703" s="311">
        <v>2.6674294392532955E-2</v>
      </c>
      <c r="H703" s="311">
        <v>8.0538092543393626E-4</v>
      </c>
      <c r="I703" s="394">
        <v>8.7477820763254841E-4</v>
      </c>
      <c r="J703" s="689">
        <v>2.7072676017030966E-5</v>
      </c>
      <c r="K703" s="690">
        <v>2.8296779673229517E-5</v>
      </c>
    </row>
    <row r="704" spans="2:11" ht="15.75" x14ac:dyDescent="0.25">
      <c r="B704" s="667" t="s">
        <v>74</v>
      </c>
      <c r="C704" s="110">
        <v>2038</v>
      </c>
      <c r="D704" s="687" t="s">
        <v>1193</v>
      </c>
      <c r="E704" s="688">
        <v>2.701251637872891E-2</v>
      </c>
      <c r="F704" s="310">
        <v>3.9871520496096253E-3</v>
      </c>
      <c r="G704" s="311">
        <v>2.5497796841329315E-2</v>
      </c>
      <c r="H704" s="311">
        <v>7.6619704216019898E-4</v>
      </c>
      <c r="I704" s="394">
        <v>8.3221349513538912E-4</v>
      </c>
      <c r="J704" s="689">
        <v>2.5845419115761045E-5</v>
      </c>
      <c r="K704" s="690">
        <v>2.7014030482882033E-5</v>
      </c>
    </row>
    <row r="705" spans="2:11" ht="15.75" x14ac:dyDescent="0.25">
      <c r="B705" s="667" t="s">
        <v>74</v>
      </c>
      <c r="C705" s="110">
        <v>2039</v>
      </c>
      <c r="D705" s="687" t="s">
        <v>1194</v>
      </c>
      <c r="E705" s="688">
        <v>2.6728685558433808E-2</v>
      </c>
      <c r="F705" s="310">
        <v>3.6299283969279937E-3</v>
      </c>
      <c r="G705" s="311">
        <v>2.4369540754317475E-2</v>
      </c>
      <c r="H705" s="311">
        <v>7.3092660666763205E-4</v>
      </c>
      <c r="I705" s="394">
        <v>7.9389900364746789E-4</v>
      </c>
      <c r="J705" s="689">
        <v>2.4789011093841404E-5</v>
      </c>
      <c r="K705" s="690">
        <v>2.5909853940782248E-5</v>
      </c>
    </row>
    <row r="706" spans="2:11" ht="15.75" x14ac:dyDescent="0.25">
      <c r="B706" s="667" t="s">
        <v>74</v>
      </c>
      <c r="C706" s="110">
        <v>2040</v>
      </c>
      <c r="D706" s="687" t="s">
        <v>1195</v>
      </c>
      <c r="E706" s="688">
        <v>2.6479980898145097E-2</v>
      </c>
      <c r="F706" s="310">
        <v>3.319696184103914E-3</v>
      </c>
      <c r="G706" s="311">
        <v>2.3447802054417242E-2</v>
      </c>
      <c r="H706" s="311">
        <v>6.9962472831365313E-4</v>
      </c>
      <c r="I706" s="394">
        <v>7.5989694322218951E-4</v>
      </c>
      <c r="J706" s="689">
        <v>2.38152477401516E-5</v>
      </c>
      <c r="K706" s="690">
        <v>2.4892070454388361E-5</v>
      </c>
    </row>
    <row r="707" spans="2:11" ht="15.75" x14ac:dyDescent="0.25">
      <c r="B707" s="667" t="s">
        <v>74</v>
      </c>
      <c r="C707" s="110">
        <v>2041</v>
      </c>
      <c r="D707" s="687" t="s">
        <v>1196</v>
      </c>
      <c r="E707" s="688">
        <v>2.626656672048696E-2</v>
      </c>
      <c r="F707" s="310">
        <v>3.0967958484991354E-3</v>
      </c>
      <c r="G707" s="311">
        <v>2.2748819406236832E-2</v>
      </c>
      <c r="H707" s="311">
        <v>6.7567263610132384E-4</v>
      </c>
      <c r="I707" s="394">
        <v>7.3387904904304534E-4</v>
      </c>
      <c r="J707" s="689">
        <v>2.3038638933602741E-5</v>
      </c>
      <c r="K707" s="690">
        <v>2.4080343071246037E-5</v>
      </c>
    </row>
    <row r="708" spans="2:11" ht="15.75" x14ac:dyDescent="0.25">
      <c r="B708" s="667" t="s">
        <v>74</v>
      </c>
      <c r="C708" s="110">
        <v>2042</v>
      </c>
      <c r="D708" s="687" t="s">
        <v>1197</v>
      </c>
      <c r="E708" s="688">
        <v>2.6079614237120984E-2</v>
      </c>
      <c r="F708" s="310">
        <v>2.9056059763142828E-3</v>
      </c>
      <c r="G708" s="311">
        <v>2.2114319290661384E-2</v>
      </c>
      <c r="H708" s="311">
        <v>6.5495116337968887E-4</v>
      </c>
      <c r="I708" s="394">
        <v>7.1137294156087608E-4</v>
      </c>
      <c r="J708" s="689">
        <v>2.2332971347878632E-5</v>
      </c>
      <c r="K708" s="690">
        <v>2.3342768349183033E-5</v>
      </c>
    </row>
    <row r="709" spans="2:11" ht="15.75" x14ac:dyDescent="0.25">
      <c r="B709" s="667" t="s">
        <v>74</v>
      </c>
      <c r="C709" s="110">
        <v>2043</v>
      </c>
      <c r="D709" s="687" t="s">
        <v>1198</v>
      </c>
      <c r="E709" s="688">
        <v>2.5918862663688005E-2</v>
      </c>
      <c r="F709" s="310">
        <v>2.7578255989018485E-3</v>
      </c>
      <c r="G709" s="311">
        <v>2.1619273375171666E-2</v>
      </c>
      <c r="H709" s="311">
        <v>6.3720935711752546E-4</v>
      </c>
      <c r="I709" s="394">
        <v>6.9210254624437612E-4</v>
      </c>
      <c r="J709" s="689">
        <v>2.1730998552323036E-5</v>
      </c>
      <c r="K709" s="690">
        <v>2.2713567852084295E-5</v>
      </c>
    </row>
    <row r="710" spans="2:11" ht="15.75" x14ac:dyDescent="0.25">
      <c r="B710" s="667" t="s">
        <v>74</v>
      </c>
      <c r="C710" s="110">
        <v>2044</v>
      </c>
      <c r="D710" s="687" t="s">
        <v>1199</v>
      </c>
      <c r="E710" s="688">
        <v>2.5779071361545849E-2</v>
      </c>
      <c r="F710" s="310">
        <v>2.6458498419595876E-3</v>
      </c>
      <c r="G710" s="311">
        <v>2.1226119798162579E-2</v>
      </c>
      <c r="H710" s="311">
        <v>6.2201443408029119E-4</v>
      </c>
      <c r="I710" s="394">
        <v>6.7560155741522938E-4</v>
      </c>
      <c r="J710" s="689">
        <v>2.1137967949760063E-5</v>
      </c>
      <c r="K710" s="690">
        <v>2.2093737803633235E-5</v>
      </c>
    </row>
    <row r="711" spans="2:11" ht="15.75" x14ac:dyDescent="0.25">
      <c r="B711" s="667" t="s">
        <v>74</v>
      </c>
      <c r="C711" s="110">
        <v>2045</v>
      </c>
      <c r="D711" s="687" t="s">
        <v>1200</v>
      </c>
      <c r="E711" s="688">
        <v>2.565568948902296E-2</v>
      </c>
      <c r="F711" s="310">
        <v>2.5689359393491259E-3</v>
      </c>
      <c r="G711" s="311">
        <v>2.0962364101272907E-2</v>
      </c>
      <c r="H711" s="311">
        <v>6.0921884653226553E-4</v>
      </c>
      <c r="I711" s="394">
        <v>6.6170099524635699E-4</v>
      </c>
      <c r="J711" s="689">
        <v>2.0768216317531818E-5</v>
      </c>
      <c r="K711" s="690">
        <v>2.1707256581486673E-5</v>
      </c>
    </row>
    <row r="712" spans="2:11" ht="15.75" x14ac:dyDescent="0.25">
      <c r="B712" s="667" t="s">
        <v>74</v>
      </c>
      <c r="C712" s="110">
        <v>2046</v>
      </c>
      <c r="D712" s="687" t="s">
        <v>1201</v>
      </c>
      <c r="E712" s="688">
        <v>2.554903101184141E-2</v>
      </c>
      <c r="F712" s="310">
        <v>2.502019890607009E-3</v>
      </c>
      <c r="G712" s="311">
        <v>2.0745571999295706E-2</v>
      </c>
      <c r="H712" s="311">
        <v>5.9833454476380639E-4</v>
      </c>
      <c r="I712" s="394">
        <v>6.4987973674441918E-4</v>
      </c>
      <c r="J712" s="689">
        <v>2.0382746163602265E-5</v>
      </c>
      <c r="K712" s="690">
        <v>2.1304366681649567E-5</v>
      </c>
    </row>
    <row r="713" spans="2:11" ht="15.75" x14ac:dyDescent="0.25">
      <c r="B713" s="667" t="s">
        <v>74</v>
      </c>
      <c r="C713" s="110">
        <v>2047</v>
      </c>
      <c r="D713" s="687" t="s">
        <v>1202</v>
      </c>
      <c r="E713" s="688">
        <v>2.5458681892080053E-2</v>
      </c>
      <c r="F713" s="310">
        <v>2.4444466041031758E-3</v>
      </c>
      <c r="G713" s="311">
        <v>2.0555187052785077E-2</v>
      </c>
      <c r="H713" s="311">
        <v>5.8930774548742186E-4</v>
      </c>
      <c r="I713" s="394">
        <v>6.4007415978931917E-4</v>
      </c>
      <c r="J713" s="689">
        <v>2.0105150313324862E-5</v>
      </c>
      <c r="K713" s="690">
        <v>2.1014220165647082E-5</v>
      </c>
    </row>
    <row r="714" spans="2:11" ht="15.75" x14ac:dyDescent="0.25">
      <c r="B714" s="667" t="s">
        <v>74</v>
      </c>
      <c r="C714" s="110">
        <v>2048</v>
      </c>
      <c r="D714" s="687" t="s">
        <v>1203</v>
      </c>
      <c r="E714" s="688">
        <v>2.5380780862566781E-2</v>
      </c>
      <c r="F714" s="310">
        <v>2.3997830634502871E-3</v>
      </c>
      <c r="G714" s="311">
        <v>2.0406744425416356E-2</v>
      </c>
      <c r="H714" s="311">
        <v>5.8178428378055104E-4</v>
      </c>
      <c r="I714" s="394">
        <v>6.3190417504293216E-4</v>
      </c>
      <c r="J714" s="689">
        <v>1.9802942797676837E-5</v>
      </c>
      <c r="K714" s="690">
        <v>2.0698346859845419E-5</v>
      </c>
    </row>
    <row r="715" spans="2:11" ht="15.75" x14ac:dyDescent="0.25">
      <c r="B715" s="667" t="s">
        <v>74</v>
      </c>
      <c r="C715" s="110">
        <v>2049</v>
      </c>
      <c r="D715" s="687" t="s">
        <v>1204</v>
      </c>
      <c r="E715" s="688">
        <v>2.531402189553824E-2</v>
      </c>
      <c r="F715" s="310">
        <v>2.3819531923921626E-3</v>
      </c>
      <c r="G715" s="311">
        <v>2.0402741977285831E-2</v>
      </c>
      <c r="H715" s="311">
        <v>5.7701514234092806E-4</v>
      </c>
      <c r="I715" s="394">
        <v>6.2672366984608153E-4</v>
      </c>
      <c r="J715" s="689">
        <v>1.966400171385314E-5</v>
      </c>
      <c r="K715" s="690">
        <v>2.05531279445278E-5</v>
      </c>
    </row>
    <row r="716" spans="2:11" ht="15.75" x14ac:dyDescent="0.25">
      <c r="B716" s="667" t="s">
        <v>74</v>
      </c>
      <c r="C716" s="110">
        <v>2050</v>
      </c>
      <c r="D716" s="687" t="s">
        <v>1205</v>
      </c>
      <c r="E716" s="688">
        <v>2.5257708837322423E-2</v>
      </c>
      <c r="F716" s="310">
        <v>2.3669393445150131E-3</v>
      </c>
      <c r="G716" s="311">
        <v>2.0396774672979495E-2</v>
      </c>
      <c r="H716" s="311">
        <v>5.7302181453530406E-4</v>
      </c>
      <c r="I716" s="394">
        <v>6.2239189609636955E-4</v>
      </c>
      <c r="J716" s="689">
        <v>1.9394936656707285E-5</v>
      </c>
      <c r="K716" s="690">
        <v>2.0271892347949337E-5</v>
      </c>
    </row>
    <row r="717" spans="2:11" ht="15.75" x14ac:dyDescent="0.25">
      <c r="B717" s="667" t="s">
        <v>232</v>
      </c>
      <c r="C717" s="110">
        <v>2015</v>
      </c>
      <c r="D717" s="687" t="s">
        <v>233</v>
      </c>
      <c r="E717" s="688">
        <v>4.8503685599487506E-2</v>
      </c>
      <c r="F717" s="310">
        <v>6.1540645287721088E-2</v>
      </c>
      <c r="G717" s="311">
        <v>0.19202224117996819</v>
      </c>
      <c r="H717" s="311">
        <v>2.3295758058548949E-3</v>
      </c>
      <c r="I717" s="394">
        <v>2.5222570495975439E-3</v>
      </c>
      <c r="J717" s="689">
        <v>1.6106423480193412E-4</v>
      </c>
      <c r="K717" s="690">
        <v>1.6834684348036722E-4</v>
      </c>
    </row>
    <row r="718" spans="2:11" ht="15.75" x14ac:dyDescent="0.25">
      <c r="B718" s="667" t="s">
        <v>232</v>
      </c>
      <c r="C718" s="110">
        <v>2016</v>
      </c>
      <c r="D718" s="687" t="s">
        <v>234</v>
      </c>
      <c r="E718" s="688">
        <v>4.7653032478837627E-2</v>
      </c>
      <c r="F718" s="310">
        <v>5.1071128782804356E-2</v>
      </c>
      <c r="G718" s="311">
        <v>0.16397634007414302</v>
      </c>
      <c r="H718" s="311">
        <v>2.2210465999850534E-3</v>
      </c>
      <c r="I718" s="394">
        <v>2.4067278090836651E-3</v>
      </c>
      <c r="J718" s="689">
        <v>1.3444365512909725E-4</v>
      </c>
      <c r="K718" s="690">
        <v>1.4052260043100859E-4</v>
      </c>
    </row>
    <row r="719" spans="2:11" ht="15.75" x14ac:dyDescent="0.25">
      <c r="B719" s="667" t="s">
        <v>232</v>
      </c>
      <c r="C719" s="110">
        <v>2017</v>
      </c>
      <c r="D719" s="687" t="s">
        <v>1206</v>
      </c>
      <c r="E719" s="688">
        <v>4.6557978417725923E-2</v>
      </c>
      <c r="F719" s="310">
        <v>4.2596974126531129E-2</v>
      </c>
      <c r="G719" s="311">
        <v>0.14002551623024262</v>
      </c>
      <c r="H719" s="311">
        <v>2.1675777141593557E-3</v>
      </c>
      <c r="I719" s="394">
        <v>2.3500761874023497E-3</v>
      </c>
      <c r="J719" s="689">
        <v>1.2205562599960966E-4</v>
      </c>
      <c r="K719" s="690">
        <v>1.2757443905288962E-4</v>
      </c>
    </row>
    <row r="720" spans="2:11" ht="15.75" x14ac:dyDescent="0.25">
      <c r="B720" s="667" t="s">
        <v>232</v>
      </c>
      <c r="C720" s="110">
        <v>2018</v>
      </c>
      <c r="D720" s="687" t="s">
        <v>1207</v>
      </c>
      <c r="E720" s="688">
        <v>4.5314774350880972E-2</v>
      </c>
      <c r="F720" s="310">
        <v>3.5143765725636586E-2</v>
      </c>
      <c r="G720" s="311">
        <v>0.11931739167294467</v>
      </c>
      <c r="H720" s="311">
        <v>2.1437415919344665E-3</v>
      </c>
      <c r="I720" s="394">
        <v>2.3254329002491371E-3</v>
      </c>
      <c r="J720" s="689">
        <v>1.1235452530759364E-4</v>
      </c>
      <c r="K720" s="690">
        <v>1.1743469803110881E-4</v>
      </c>
    </row>
    <row r="721" spans="2:11" ht="15.75" x14ac:dyDescent="0.25">
      <c r="B721" s="667" t="s">
        <v>232</v>
      </c>
      <c r="C721" s="110">
        <v>2019</v>
      </c>
      <c r="D721" s="687" t="s">
        <v>1208</v>
      </c>
      <c r="E721" s="688">
        <v>4.4001451237050376E-2</v>
      </c>
      <c r="F721" s="310">
        <v>2.8933740527882529E-2</v>
      </c>
      <c r="G721" s="311">
        <v>0.10187607839626685</v>
      </c>
      <c r="H721" s="311">
        <v>2.1084784685889727E-3</v>
      </c>
      <c r="I721" s="394">
        <v>2.2881053951607794E-3</v>
      </c>
      <c r="J721" s="689">
        <v>1.0274561555266013E-4</v>
      </c>
      <c r="K721" s="690">
        <v>1.0739131728536671E-4</v>
      </c>
    </row>
    <row r="722" spans="2:11" ht="15.75" x14ac:dyDescent="0.25">
      <c r="B722" s="667" t="s">
        <v>232</v>
      </c>
      <c r="C722" s="110">
        <v>2020</v>
      </c>
      <c r="D722" s="687" t="s">
        <v>1209</v>
      </c>
      <c r="E722" s="688">
        <v>4.2641992352269807E-2</v>
      </c>
      <c r="F722" s="310">
        <v>2.4488700065968615E-2</v>
      </c>
      <c r="G722" s="311">
        <v>8.7759615946653727E-2</v>
      </c>
      <c r="H722" s="311">
        <v>2.0309647836573249E-3</v>
      </c>
      <c r="I722" s="394">
        <v>2.2043499610895582E-3</v>
      </c>
      <c r="J722" s="689">
        <v>9.5393951382770456E-5</v>
      </c>
      <c r="K722" s="690">
        <v>9.9707243616208545E-5</v>
      </c>
    </row>
    <row r="723" spans="2:11" ht="15.75" x14ac:dyDescent="0.25">
      <c r="B723" s="667" t="s">
        <v>232</v>
      </c>
      <c r="C723" s="110">
        <v>2021</v>
      </c>
      <c r="D723" s="687" t="s">
        <v>1210</v>
      </c>
      <c r="E723" s="688">
        <v>4.124410278640283E-2</v>
      </c>
      <c r="F723" s="310">
        <v>2.1013649590586967E-2</v>
      </c>
      <c r="G723" s="311">
        <v>7.5984175026373543E-2</v>
      </c>
      <c r="H723" s="311">
        <v>1.9065018097643963E-3</v>
      </c>
      <c r="I723" s="394">
        <v>2.0695020254142822E-3</v>
      </c>
      <c r="J723" s="689">
        <v>8.6636739445979994E-5</v>
      </c>
      <c r="K723" s="690">
        <v>9.0554072653295449E-5</v>
      </c>
    </row>
    <row r="724" spans="2:11" ht="15.75" x14ac:dyDescent="0.25">
      <c r="B724" s="667" t="s">
        <v>232</v>
      </c>
      <c r="C724" s="110">
        <v>2022</v>
      </c>
      <c r="D724" s="687" t="s">
        <v>1211</v>
      </c>
      <c r="E724" s="688">
        <v>3.98542200518303E-2</v>
      </c>
      <c r="F724" s="310">
        <v>1.7663231236600452E-2</v>
      </c>
      <c r="G724" s="311">
        <v>6.5782881389947714E-2</v>
      </c>
      <c r="H724" s="311">
        <v>1.7927257949923966E-3</v>
      </c>
      <c r="I724" s="394">
        <v>1.9462989393529502E-3</v>
      </c>
      <c r="J724" s="689">
        <v>7.9305111743771449E-5</v>
      </c>
      <c r="K724" s="690">
        <v>8.2890934483484139E-5</v>
      </c>
    </row>
    <row r="725" spans="2:11" ht="15.75" x14ac:dyDescent="0.25">
      <c r="B725" s="667" t="s">
        <v>232</v>
      </c>
      <c r="C725" s="110">
        <v>2023</v>
      </c>
      <c r="D725" s="687" t="s">
        <v>1212</v>
      </c>
      <c r="E725" s="688">
        <v>3.847172281025564E-2</v>
      </c>
      <c r="F725" s="310">
        <v>1.5335617092422281E-2</v>
      </c>
      <c r="G725" s="311">
        <v>5.7695412938572339E-2</v>
      </c>
      <c r="H725" s="311">
        <v>1.7000057945690871E-3</v>
      </c>
      <c r="I725" s="394">
        <v>1.8458104855334824E-3</v>
      </c>
      <c r="J725" s="689">
        <v>7.193448393921366E-5</v>
      </c>
      <c r="K725" s="690">
        <v>7.5187037040001691E-5</v>
      </c>
    </row>
    <row r="726" spans="2:11" ht="15.75" x14ac:dyDescent="0.25">
      <c r="B726" s="667" t="s">
        <v>232</v>
      </c>
      <c r="C726" s="110">
        <v>2024</v>
      </c>
      <c r="D726" s="687" t="s">
        <v>1213</v>
      </c>
      <c r="E726" s="688">
        <v>3.7105420128651222E-2</v>
      </c>
      <c r="F726" s="310">
        <v>1.3544669511246046E-2</v>
      </c>
      <c r="G726" s="311">
        <v>5.1143092819782042E-2</v>
      </c>
      <c r="H726" s="311">
        <v>1.6424799860439581E-3</v>
      </c>
      <c r="I726" s="394">
        <v>1.783628180524669E-3</v>
      </c>
      <c r="J726" s="689">
        <v>6.3807272662536207E-5</v>
      </c>
      <c r="K726" s="690">
        <v>6.6692354019101812E-5</v>
      </c>
    </row>
    <row r="727" spans="2:11" ht="15.75" x14ac:dyDescent="0.25">
      <c r="B727" s="667" t="s">
        <v>232</v>
      </c>
      <c r="C727" s="110">
        <v>2025</v>
      </c>
      <c r="D727" s="687" t="s">
        <v>1214</v>
      </c>
      <c r="E727" s="688">
        <v>3.5777010420362042E-2</v>
      </c>
      <c r="F727" s="310">
        <v>1.1935363667850427E-2</v>
      </c>
      <c r="G727" s="311">
        <v>4.5773806768790719E-2</v>
      </c>
      <c r="H727" s="311">
        <v>1.5780487368722228E-3</v>
      </c>
      <c r="I727" s="394">
        <v>1.7138174094529165E-3</v>
      </c>
      <c r="J727" s="689">
        <v>5.7864945825957492E-5</v>
      </c>
      <c r="K727" s="690">
        <v>6.0481338805958494E-5</v>
      </c>
    </row>
    <row r="728" spans="2:11" ht="15.75" x14ac:dyDescent="0.25">
      <c r="B728" s="667" t="s">
        <v>232</v>
      </c>
      <c r="C728" s="110">
        <v>2026</v>
      </c>
      <c r="D728" s="687" t="s">
        <v>1215</v>
      </c>
      <c r="E728" s="688">
        <v>3.4550703849918846E-2</v>
      </c>
      <c r="F728" s="310">
        <v>1.061370146614422E-2</v>
      </c>
      <c r="G728" s="311">
        <v>4.1448871145806546E-2</v>
      </c>
      <c r="H728" s="311">
        <v>1.5071877539146984E-3</v>
      </c>
      <c r="I728" s="394">
        <v>1.6370176686017286E-3</v>
      </c>
      <c r="J728" s="689">
        <v>5.157705031210739E-5</v>
      </c>
      <c r="K728" s="690">
        <v>5.3909135545399383E-5</v>
      </c>
    </row>
    <row r="729" spans="2:11" ht="15.75" x14ac:dyDescent="0.25">
      <c r="B729" s="667" t="s">
        <v>232</v>
      </c>
      <c r="C729" s="110">
        <v>2027</v>
      </c>
      <c r="D729" s="687" t="s">
        <v>1216</v>
      </c>
      <c r="E729" s="688">
        <v>3.3414540761834748E-2</v>
      </c>
      <c r="F729" s="310">
        <v>9.4899754443498203E-3</v>
      </c>
      <c r="G729" s="311">
        <v>3.7809180410727235E-2</v>
      </c>
      <c r="H729" s="311">
        <v>1.4226831722241274E-3</v>
      </c>
      <c r="I729" s="394">
        <v>1.5454265415096558E-3</v>
      </c>
      <c r="J729" s="689">
        <v>4.4161678163037668E-5</v>
      </c>
      <c r="K729" s="690">
        <v>4.6158478622555869E-5</v>
      </c>
    </row>
    <row r="730" spans="2:11" ht="15.75" x14ac:dyDescent="0.25">
      <c r="B730" s="667" t="s">
        <v>232</v>
      </c>
      <c r="C730" s="110">
        <v>2028</v>
      </c>
      <c r="D730" s="687" t="s">
        <v>1217</v>
      </c>
      <c r="E730" s="688">
        <v>3.2377784089371683E-2</v>
      </c>
      <c r="F730" s="310">
        <v>8.5531707127153057E-3</v>
      </c>
      <c r="G730" s="311">
        <v>3.4789134360230962E-2</v>
      </c>
      <c r="H730" s="311">
        <v>1.3308143524967916E-3</v>
      </c>
      <c r="I730" s="394">
        <v>1.4457422231435074E-3</v>
      </c>
      <c r="J730" s="689">
        <v>3.8689216991953081E-5</v>
      </c>
      <c r="K730" s="690">
        <v>4.0438573318126793E-5</v>
      </c>
    </row>
    <row r="731" spans="2:11" ht="15.75" x14ac:dyDescent="0.25">
      <c r="B731" s="667" t="s">
        <v>232</v>
      </c>
      <c r="C731" s="110">
        <v>2029</v>
      </c>
      <c r="D731" s="687" t="s">
        <v>1218</v>
      </c>
      <c r="E731" s="688">
        <v>3.1435963417330758E-2</v>
      </c>
      <c r="F731" s="310">
        <v>7.7233729355957468E-3</v>
      </c>
      <c r="G731" s="311">
        <v>3.2171861991065837E-2</v>
      </c>
      <c r="H731" s="311">
        <v>1.2466216751123567E-3</v>
      </c>
      <c r="I731" s="394">
        <v>1.354341303487913E-3</v>
      </c>
      <c r="J731" s="689">
        <v>3.4765944952803651E-5</v>
      </c>
      <c r="K731" s="690">
        <v>3.6337910615566887E-5</v>
      </c>
    </row>
    <row r="732" spans="2:11" ht="15.75" x14ac:dyDescent="0.25">
      <c r="B732" s="667" t="s">
        <v>232</v>
      </c>
      <c r="C732" s="110">
        <v>2030</v>
      </c>
      <c r="D732" s="687" t="s">
        <v>1219</v>
      </c>
      <c r="E732" s="688">
        <v>3.0585910351927103E-2</v>
      </c>
      <c r="F732" s="310">
        <v>7.0216066534921715E-3</v>
      </c>
      <c r="G732" s="311">
        <v>2.9970533980638592E-2</v>
      </c>
      <c r="H732" s="311">
        <v>1.1699877476570066E-3</v>
      </c>
      <c r="I732" s="394">
        <v>1.2711270734426492E-3</v>
      </c>
      <c r="J732" s="689">
        <v>3.165023028652576E-5</v>
      </c>
      <c r="K732" s="690">
        <v>3.3081317214202101E-5</v>
      </c>
    </row>
    <row r="733" spans="2:11" ht="15.75" x14ac:dyDescent="0.25">
      <c r="B733" s="667" t="s">
        <v>232</v>
      </c>
      <c r="C733" s="110">
        <v>2031</v>
      </c>
      <c r="D733" s="687" t="s">
        <v>1220</v>
      </c>
      <c r="E733" s="688">
        <v>2.982382645626656E-2</v>
      </c>
      <c r="F733" s="310">
        <v>6.4320237026969859E-3</v>
      </c>
      <c r="G733" s="311">
        <v>2.8074049436448437E-2</v>
      </c>
      <c r="H733" s="311">
        <v>1.1057493258671773E-3</v>
      </c>
      <c r="I733" s="394">
        <v>1.2013319216274507E-3</v>
      </c>
      <c r="J733" s="689">
        <v>2.9997172964508236E-5</v>
      </c>
      <c r="K733" s="690">
        <v>3.1353513459518822E-5</v>
      </c>
    </row>
    <row r="734" spans="2:11" ht="15.75" x14ac:dyDescent="0.25">
      <c r="B734" s="667" t="s">
        <v>232</v>
      </c>
      <c r="C734" s="110">
        <v>2032</v>
      </c>
      <c r="D734" s="687" t="s">
        <v>1221</v>
      </c>
      <c r="E734" s="688">
        <v>2.9144267934031069E-2</v>
      </c>
      <c r="F734" s="310">
        <v>5.8888039551370395E-3</v>
      </c>
      <c r="G734" s="311">
        <v>2.6463152324097676E-2</v>
      </c>
      <c r="H734" s="311">
        <v>1.0407062664510142E-3</v>
      </c>
      <c r="I734" s="394">
        <v>1.1306692643126108E-3</v>
      </c>
      <c r="J734" s="689">
        <v>2.8169823462241342E-5</v>
      </c>
      <c r="K734" s="690">
        <v>2.9443534597242172E-5</v>
      </c>
    </row>
    <row r="735" spans="2:11" ht="15.75" x14ac:dyDescent="0.25">
      <c r="B735" s="667" t="s">
        <v>232</v>
      </c>
      <c r="C735" s="110">
        <v>2033</v>
      </c>
      <c r="D735" s="687" t="s">
        <v>1222</v>
      </c>
      <c r="E735" s="688">
        <v>2.8541412789950572E-2</v>
      </c>
      <c r="F735" s="310">
        <v>5.4109644122715813E-3</v>
      </c>
      <c r="G735" s="311">
        <v>2.5098949500426605E-2</v>
      </c>
      <c r="H735" s="311">
        <v>9.8106433095453615E-4</v>
      </c>
      <c r="I735" s="394">
        <v>1.0658500626485896E-3</v>
      </c>
      <c r="J735" s="689">
        <v>2.7064924800060635E-5</v>
      </c>
      <c r="K735" s="690">
        <v>2.8288675330683039E-5</v>
      </c>
    </row>
    <row r="736" spans="2:11" ht="15.75" x14ac:dyDescent="0.25">
      <c r="B736" s="667" t="s">
        <v>232</v>
      </c>
      <c r="C736" s="110">
        <v>2034</v>
      </c>
      <c r="D736" s="687" t="s">
        <v>1223</v>
      </c>
      <c r="E736" s="688">
        <v>2.8011364251962094E-2</v>
      </c>
      <c r="F736" s="310">
        <v>4.9749372068979359E-3</v>
      </c>
      <c r="G736" s="311">
        <v>2.3919193098156502E-2</v>
      </c>
      <c r="H736" s="311">
        <v>9.2544831845232792E-4</v>
      </c>
      <c r="I736" s="394">
        <v>1.0054054632278784E-3</v>
      </c>
      <c r="J736" s="689">
        <v>2.6045243249606424E-5</v>
      </c>
      <c r="K736" s="690">
        <v>2.7222888480417566E-5</v>
      </c>
    </row>
    <row r="737" spans="2:11" ht="15.75" x14ac:dyDescent="0.25">
      <c r="B737" s="667" t="s">
        <v>232</v>
      </c>
      <c r="C737" s="110">
        <v>2035</v>
      </c>
      <c r="D737" s="687" t="s">
        <v>1224</v>
      </c>
      <c r="E737" s="688">
        <v>2.7543511164560476E-2</v>
      </c>
      <c r="F737" s="310">
        <v>4.5942051172102307E-3</v>
      </c>
      <c r="G737" s="311">
        <v>2.2954186026549243E-2</v>
      </c>
      <c r="H737" s="311">
        <v>8.7457255565502362E-4</v>
      </c>
      <c r="I737" s="394">
        <v>9.5011426952469407E-4</v>
      </c>
      <c r="J737" s="689">
        <v>2.5089411102943205E-5</v>
      </c>
      <c r="K737" s="690">
        <v>2.6223842187599237E-5</v>
      </c>
    </row>
    <row r="738" spans="2:11" ht="15.75" x14ac:dyDescent="0.25">
      <c r="B738" s="667" t="s">
        <v>232</v>
      </c>
      <c r="C738" s="110">
        <v>2036</v>
      </c>
      <c r="D738" s="687" t="s">
        <v>1225</v>
      </c>
      <c r="E738" s="688">
        <v>2.7137306505712562E-2</v>
      </c>
      <c r="F738" s="310">
        <v>4.2503688835183072E-3</v>
      </c>
      <c r="G738" s="311">
        <v>2.2095631004341757E-2</v>
      </c>
      <c r="H738" s="311">
        <v>8.3021353246528519E-4</v>
      </c>
      <c r="I738" s="394">
        <v>9.019067576846126E-4</v>
      </c>
      <c r="J738" s="689">
        <v>2.4210972811582737E-5</v>
      </c>
      <c r="K738" s="690">
        <v>2.5305684708111325E-5</v>
      </c>
    </row>
    <row r="739" spans="2:11" ht="15.75" x14ac:dyDescent="0.25">
      <c r="B739" s="667" t="s">
        <v>232</v>
      </c>
      <c r="C739" s="110">
        <v>2037</v>
      </c>
      <c r="D739" s="687" t="s">
        <v>1226</v>
      </c>
      <c r="E739" s="688">
        <v>2.6785267990273507E-2</v>
      </c>
      <c r="F739" s="310">
        <v>3.9588672977101044E-3</v>
      </c>
      <c r="G739" s="311">
        <v>2.1398750446927614E-2</v>
      </c>
      <c r="H739" s="311">
        <v>7.9075558186522752E-4</v>
      </c>
      <c r="I739" s="394">
        <v>8.5902576216605295E-4</v>
      </c>
      <c r="J739" s="689">
        <v>2.3448298180733278E-5</v>
      </c>
      <c r="K739" s="690">
        <v>2.4508526493612772E-5</v>
      </c>
    </row>
    <row r="740" spans="2:11" ht="15.75" x14ac:dyDescent="0.25">
      <c r="B740" s="667" t="s">
        <v>232</v>
      </c>
      <c r="C740" s="110">
        <v>2038</v>
      </c>
      <c r="D740" s="687" t="s">
        <v>1227</v>
      </c>
      <c r="E740" s="688">
        <v>2.6483620440708035E-2</v>
      </c>
      <c r="F740" s="310">
        <v>3.6889017292203708E-3</v>
      </c>
      <c r="G740" s="311">
        <v>2.0750132943643737E-2</v>
      </c>
      <c r="H740" s="311">
        <v>7.556429780588989E-4</v>
      </c>
      <c r="I740" s="394">
        <v>8.2086458849247852E-4</v>
      </c>
      <c r="J740" s="689">
        <v>2.2805061459139125E-5</v>
      </c>
      <c r="K740" s="690">
        <v>2.3836202592492939E-5</v>
      </c>
    </row>
    <row r="741" spans="2:11" ht="15.75" x14ac:dyDescent="0.25">
      <c r="B741" s="667" t="s">
        <v>232</v>
      </c>
      <c r="C741" s="110">
        <v>2039</v>
      </c>
      <c r="D741" s="687" t="s">
        <v>1228</v>
      </c>
      <c r="E741" s="688">
        <v>2.6224615376855234E-2</v>
      </c>
      <c r="F741" s="310">
        <v>3.4334731471744569E-3</v>
      </c>
      <c r="G741" s="311">
        <v>2.0137635747925157E-2</v>
      </c>
      <c r="H741" s="311">
        <v>7.2459800910999457E-4</v>
      </c>
      <c r="I741" s="394">
        <v>7.8712343683751118E-4</v>
      </c>
      <c r="J741" s="689">
        <v>2.2249863021269679E-5</v>
      </c>
      <c r="K741" s="690">
        <v>2.3255898312022509E-5</v>
      </c>
    </row>
    <row r="742" spans="2:11" ht="15.75" x14ac:dyDescent="0.25">
      <c r="B742" s="667" t="s">
        <v>232</v>
      </c>
      <c r="C742" s="110">
        <v>2040</v>
      </c>
      <c r="D742" s="687" t="s">
        <v>1229</v>
      </c>
      <c r="E742" s="688">
        <v>2.6001346129407289E-2</v>
      </c>
      <c r="F742" s="310">
        <v>3.2008860203370944E-3</v>
      </c>
      <c r="G742" s="311">
        <v>1.9615194300473794E-2</v>
      </c>
      <c r="H742" s="311">
        <v>6.9740458195965407E-4</v>
      </c>
      <c r="I742" s="394">
        <v>7.5756938915286015E-4</v>
      </c>
      <c r="J742" s="689">
        <v>2.1762303469482615E-5</v>
      </c>
      <c r="K742" s="690">
        <v>2.2746303181285963E-5</v>
      </c>
    </row>
    <row r="743" spans="2:11" ht="15.75" x14ac:dyDescent="0.25">
      <c r="B743" s="667" t="s">
        <v>232</v>
      </c>
      <c r="C743" s="110">
        <v>2041</v>
      </c>
      <c r="D743" s="687" t="s">
        <v>1230</v>
      </c>
      <c r="E743" s="688">
        <v>2.5811031690103264E-2</v>
      </c>
      <c r="F743" s="310">
        <v>3.0220768324466839E-3</v>
      </c>
      <c r="G743" s="311">
        <v>1.9208135117695205E-2</v>
      </c>
      <c r="H743" s="311">
        <v>6.7650620435937947E-4</v>
      </c>
      <c r="I743" s="394">
        <v>7.3485679986518709E-4</v>
      </c>
      <c r="J743" s="689">
        <v>2.1357805675029668E-5</v>
      </c>
      <c r="K743" s="690">
        <v>2.2323513973653019E-5</v>
      </c>
    </row>
    <row r="744" spans="2:11" ht="15.75" x14ac:dyDescent="0.25">
      <c r="B744" s="667" t="s">
        <v>232</v>
      </c>
      <c r="C744" s="110">
        <v>2042</v>
      </c>
      <c r="D744" s="687" t="s">
        <v>1231</v>
      </c>
      <c r="E744" s="688">
        <v>2.5647271117649553E-2</v>
      </c>
      <c r="F744" s="310">
        <v>2.867533968304956E-3</v>
      </c>
      <c r="G744" s="311">
        <v>1.8826770821356469E-2</v>
      </c>
      <c r="H744" s="311">
        <v>6.5863309127787441E-4</v>
      </c>
      <c r="I744" s="394">
        <v>7.1543291855033215E-4</v>
      </c>
      <c r="J744" s="689">
        <v>2.1024343878298077E-5</v>
      </c>
      <c r="K744" s="690">
        <v>2.1974970665360545E-5</v>
      </c>
    </row>
    <row r="745" spans="2:11" ht="15.75" x14ac:dyDescent="0.25">
      <c r="B745" s="667" t="s">
        <v>232</v>
      </c>
      <c r="C745" s="110">
        <v>2043</v>
      </c>
      <c r="D745" s="687" t="s">
        <v>1232</v>
      </c>
      <c r="E745" s="688">
        <v>2.5508314093381106E-2</v>
      </c>
      <c r="F745" s="310">
        <v>2.7510454167641221E-3</v>
      </c>
      <c r="G745" s="311">
        <v>1.8540818345562048E-2</v>
      </c>
      <c r="H745" s="311">
        <v>6.4352661540902393E-4</v>
      </c>
      <c r="I745" s="394">
        <v>6.9901431377141074E-4</v>
      </c>
      <c r="J745" s="689">
        <v>2.0755229375910654E-5</v>
      </c>
      <c r="K745" s="690">
        <v>2.1693692415306587E-5</v>
      </c>
    </row>
    <row r="746" spans="2:11" ht="15.75" x14ac:dyDescent="0.25">
      <c r="B746" s="667" t="s">
        <v>232</v>
      </c>
      <c r="C746" s="110">
        <v>2044</v>
      </c>
      <c r="D746" s="687" t="s">
        <v>1233</v>
      </c>
      <c r="E746" s="688">
        <v>2.5388818349108687E-2</v>
      </c>
      <c r="F746" s="310">
        <v>2.6638899232415809E-3</v>
      </c>
      <c r="G746" s="311">
        <v>1.8308344775112371E-2</v>
      </c>
      <c r="H746" s="311">
        <v>6.3074839326760553E-4</v>
      </c>
      <c r="I746" s="394">
        <v>6.8512588610288039E-4</v>
      </c>
      <c r="J746" s="689">
        <v>2.05420546785983E-5</v>
      </c>
      <c r="K746" s="690">
        <v>2.1470880611121563E-5</v>
      </c>
    </row>
    <row r="747" spans="2:11" ht="15.75" x14ac:dyDescent="0.25">
      <c r="B747" s="667" t="s">
        <v>232</v>
      </c>
      <c r="C747" s="110">
        <v>2045</v>
      </c>
      <c r="D747" s="687" t="s">
        <v>1234</v>
      </c>
      <c r="E747" s="688">
        <v>2.5284175789512395E-2</v>
      </c>
      <c r="F747" s="310">
        <v>2.6060720216762737E-3</v>
      </c>
      <c r="G747" s="311">
        <v>1.8149421413973112E-2</v>
      </c>
      <c r="H747" s="311">
        <v>6.1996578513695533E-4</v>
      </c>
      <c r="I747" s="394">
        <v>6.7340582877226031E-4</v>
      </c>
      <c r="J747" s="689">
        <v>2.0376601805628195E-5</v>
      </c>
      <c r="K747" s="690">
        <v>2.1297932663605912E-5</v>
      </c>
    </row>
    <row r="748" spans="2:11" ht="15.75" x14ac:dyDescent="0.25">
      <c r="B748" s="667" t="s">
        <v>232</v>
      </c>
      <c r="C748" s="110">
        <v>2046</v>
      </c>
      <c r="D748" s="687" t="s">
        <v>1235</v>
      </c>
      <c r="E748" s="688">
        <v>2.5195597437427841E-2</v>
      </c>
      <c r="F748" s="310">
        <v>2.5566519354919938E-3</v>
      </c>
      <c r="G748" s="311">
        <v>1.8021782647104044E-2</v>
      </c>
      <c r="H748" s="311">
        <v>6.1103733260690462E-4</v>
      </c>
      <c r="I748" s="394">
        <v>6.6370133347387606E-4</v>
      </c>
      <c r="J748" s="689">
        <v>2.0247833042033891E-5</v>
      </c>
      <c r="K748" s="690">
        <v>2.1163344025382198E-5</v>
      </c>
    </row>
    <row r="749" spans="2:11" ht="15.75" x14ac:dyDescent="0.25">
      <c r="B749" s="667" t="s">
        <v>232</v>
      </c>
      <c r="C749" s="110">
        <v>2047</v>
      </c>
      <c r="D749" s="687" t="s">
        <v>1236</v>
      </c>
      <c r="E749" s="688">
        <v>2.5118979241161202E-2</v>
      </c>
      <c r="F749" s="310">
        <v>2.5108903008174716E-3</v>
      </c>
      <c r="G749" s="311">
        <v>1.7895495705093134E-2</v>
      </c>
      <c r="H749" s="311">
        <v>6.0362285973542982E-4</v>
      </c>
      <c r="I749" s="394">
        <v>6.5564188215490294E-4</v>
      </c>
      <c r="J749" s="689">
        <v>2.0145210469179493E-5</v>
      </c>
      <c r="K749" s="690">
        <v>2.105609023878742E-5</v>
      </c>
    </row>
    <row r="750" spans="2:11" ht="15.75" x14ac:dyDescent="0.25">
      <c r="B750" s="667" t="s">
        <v>232</v>
      </c>
      <c r="C750" s="110">
        <v>2048</v>
      </c>
      <c r="D750" s="687" t="s">
        <v>1237</v>
      </c>
      <c r="E750" s="688">
        <v>2.5054185331657285E-2</v>
      </c>
      <c r="F750" s="310">
        <v>2.4727575897574281E-3</v>
      </c>
      <c r="G750" s="311">
        <v>1.7785553001203724E-2</v>
      </c>
      <c r="H750" s="311">
        <v>5.9747178617952027E-4</v>
      </c>
      <c r="I750" s="394">
        <v>6.4895536690723495E-4</v>
      </c>
      <c r="J750" s="689">
        <v>2.0063073038322E-5</v>
      </c>
      <c r="K750" s="690">
        <v>2.0970231921997267E-5</v>
      </c>
    </row>
    <row r="751" spans="2:11" ht="15.75" x14ac:dyDescent="0.25">
      <c r="B751" s="667" t="s">
        <v>232</v>
      </c>
      <c r="C751" s="110">
        <v>2049</v>
      </c>
      <c r="D751" s="687" t="s">
        <v>1238</v>
      </c>
      <c r="E751" s="688">
        <v>2.4999074568809357E-2</v>
      </c>
      <c r="F751" s="310">
        <v>2.4596883123066313E-3</v>
      </c>
      <c r="G751" s="311">
        <v>1.7791883812928334E-2</v>
      </c>
      <c r="H751" s="311">
        <v>5.9365766398486951E-4</v>
      </c>
      <c r="I751" s="394">
        <v>6.4480951379877131E-4</v>
      </c>
      <c r="J751" s="689">
        <v>2.0001603803576948E-5</v>
      </c>
      <c r="K751" s="690">
        <v>2.090598986873267E-5</v>
      </c>
    </row>
    <row r="752" spans="2:11" ht="15.75" x14ac:dyDescent="0.25">
      <c r="B752" s="667" t="s">
        <v>232</v>
      </c>
      <c r="C752" s="110">
        <v>2050</v>
      </c>
      <c r="D752" s="687" t="s">
        <v>1239</v>
      </c>
      <c r="E752" s="688">
        <v>2.4951741051480861E-2</v>
      </c>
      <c r="F752" s="310">
        <v>2.4496298903093918E-3</v>
      </c>
      <c r="G752" s="311">
        <v>1.7801572448545383E-2</v>
      </c>
      <c r="H752" s="311">
        <v>5.9057800795926391E-4</v>
      </c>
      <c r="I752" s="394">
        <v>6.4146189388436688E-4</v>
      </c>
      <c r="J752" s="689">
        <v>1.994269243881112E-5</v>
      </c>
      <c r="K752" s="690">
        <v>2.0844416965264554E-5</v>
      </c>
    </row>
    <row r="753" spans="2:11" ht="15.75" x14ac:dyDescent="0.25">
      <c r="B753" s="667" t="s">
        <v>75</v>
      </c>
      <c r="C753" s="110">
        <v>2015</v>
      </c>
      <c r="D753" s="687" t="s">
        <v>235</v>
      </c>
      <c r="E753" s="688">
        <v>4.668893345012573E-2</v>
      </c>
      <c r="F753" s="310">
        <v>6.4810306968449319E-2</v>
      </c>
      <c r="G753" s="311">
        <v>0.23842694388214791</v>
      </c>
      <c r="H753" s="311">
        <v>2.1753557573097587E-3</v>
      </c>
      <c r="I753" s="394">
        <v>2.3555657154855857E-3</v>
      </c>
      <c r="J753" s="689">
        <v>1.5036956756574033E-4</v>
      </c>
      <c r="K753" s="690">
        <v>1.5716861466604672E-4</v>
      </c>
    </row>
    <row r="754" spans="2:11" ht="15.75" x14ac:dyDescent="0.25">
      <c r="B754" s="667" t="s">
        <v>75</v>
      </c>
      <c r="C754" s="110">
        <v>2016</v>
      </c>
      <c r="D754" s="687" t="s">
        <v>236</v>
      </c>
      <c r="E754" s="688">
        <v>4.5966730445185747E-2</v>
      </c>
      <c r="F754" s="310">
        <v>5.4125547779780896E-2</v>
      </c>
      <c r="G754" s="311">
        <v>0.20400606626168052</v>
      </c>
      <c r="H754" s="311">
        <v>2.0252259108205885E-3</v>
      </c>
      <c r="I754" s="394">
        <v>2.1943669553102733E-3</v>
      </c>
      <c r="J754" s="689">
        <v>1.3008553963457666E-4</v>
      </c>
      <c r="K754" s="690">
        <v>1.3596743089588369E-4</v>
      </c>
    </row>
    <row r="755" spans="2:11" ht="15.75" x14ac:dyDescent="0.25">
      <c r="B755" s="667" t="s">
        <v>75</v>
      </c>
      <c r="C755" s="110">
        <v>2017</v>
      </c>
      <c r="D755" s="687" t="s">
        <v>1240</v>
      </c>
      <c r="E755" s="688">
        <v>4.4966527934774528E-2</v>
      </c>
      <c r="F755" s="310">
        <v>4.4988576331307782E-2</v>
      </c>
      <c r="G755" s="311">
        <v>0.17350412462434986</v>
      </c>
      <c r="H755" s="311">
        <v>1.9301079794787057E-3</v>
      </c>
      <c r="I755" s="394">
        <v>2.0923747564376332E-3</v>
      </c>
      <c r="J755" s="689">
        <v>1.1776751434270123E-4</v>
      </c>
      <c r="K755" s="690">
        <v>1.2309243835958582E-4</v>
      </c>
    </row>
    <row r="756" spans="2:11" ht="15.75" x14ac:dyDescent="0.25">
      <c r="B756" s="667" t="s">
        <v>75</v>
      </c>
      <c r="C756" s="110">
        <v>2018</v>
      </c>
      <c r="D756" s="687" t="s">
        <v>1241</v>
      </c>
      <c r="E756" s="688">
        <v>4.3913566365152805E-2</v>
      </c>
      <c r="F756" s="310">
        <v>3.8786201657147967E-2</v>
      </c>
      <c r="G756" s="311">
        <v>0.1486353850227691</v>
      </c>
      <c r="H756" s="311">
        <v>1.9536462358412231E-3</v>
      </c>
      <c r="I756" s="394">
        <v>2.1189079014766964E-3</v>
      </c>
      <c r="J756" s="689">
        <v>1.1102976508157272E-4</v>
      </c>
      <c r="K756" s="690">
        <v>1.1605003452202439E-4</v>
      </c>
    </row>
    <row r="757" spans="2:11" ht="15.75" x14ac:dyDescent="0.25">
      <c r="B757" s="667" t="s">
        <v>75</v>
      </c>
      <c r="C757" s="110">
        <v>2019</v>
      </c>
      <c r="D757" s="687" t="s">
        <v>1242</v>
      </c>
      <c r="E757" s="688">
        <v>4.2803768231724444E-2</v>
      </c>
      <c r="F757" s="310">
        <v>3.2067719956144561E-2</v>
      </c>
      <c r="G757" s="311">
        <v>0.12589115443676488</v>
      </c>
      <c r="H757" s="311">
        <v>1.9177422059877874E-3</v>
      </c>
      <c r="I757" s="394">
        <v>2.0807519423045331E-3</v>
      </c>
      <c r="J757" s="689">
        <v>1.0214885242642831E-4</v>
      </c>
      <c r="K757" s="690">
        <v>1.0676756761035663E-4</v>
      </c>
    </row>
    <row r="758" spans="2:11" ht="15.75" x14ac:dyDescent="0.25">
      <c r="B758" s="667" t="s">
        <v>75</v>
      </c>
      <c r="C758" s="110">
        <v>2020</v>
      </c>
      <c r="D758" s="687" t="s">
        <v>1243</v>
      </c>
      <c r="E758" s="688">
        <v>4.1657173674756687E-2</v>
      </c>
      <c r="F758" s="310">
        <v>2.6702949944025684E-2</v>
      </c>
      <c r="G758" s="311">
        <v>0.10680382864071142</v>
      </c>
      <c r="H758" s="311">
        <v>1.8614919494510482E-3</v>
      </c>
      <c r="I758" s="394">
        <v>2.0201159168964054E-3</v>
      </c>
      <c r="J758" s="689">
        <v>9.5459036320786651E-5</v>
      </c>
      <c r="K758" s="690">
        <v>9.9775272661511559E-5</v>
      </c>
    </row>
    <row r="759" spans="2:11" ht="15.75" x14ac:dyDescent="0.25">
      <c r="B759" s="667" t="s">
        <v>75</v>
      </c>
      <c r="C759" s="110">
        <v>2021</v>
      </c>
      <c r="D759" s="687" t="s">
        <v>1244</v>
      </c>
      <c r="E759" s="688">
        <v>4.0468158473333189E-2</v>
      </c>
      <c r="F759" s="310">
        <v>2.2012447343897304E-2</v>
      </c>
      <c r="G759" s="311">
        <v>9.012913343715763E-2</v>
      </c>
      <c r="H759" s="311">
        <v>1.7380305499192959E-3</v>
      </c>
      <c r="I759" s="394">
        <v>1.886332776001241E-3</v>
      </c>
      <c r="J759" s="689">
        <v>8.7216480487054698E-5</v>
      </c>
      <c r="K759" s="690">
        <v>9.1160024805267989E-5</v>
      </c>
    </row>
    <row r="760" spans="2:11" ht="15.75" x14ac:dyDescent="0.25">
      <c r="B760" s="667" t="s">
        <v>75</v>
      </c>
      <c r="C760" s="110">
        <v>2022</v>
      </c>
      <c r="D760" s="687" t="s">
        <v>1245</v>
      </c>
      <c r="E760" s="688">
        <v>3.9276484103068006E-2</v>
      </c>
      <c r="F760" s="310">
        <v>1.8310537216844381E-2</v>
      </c>
      <c r="G760" s="311">
        <v>7.6685948555490879E-2</v>
      </c>
      <c r="H760" s="311">
        <v>1.6528253971895893E-3</v>
      </c>
      <c r="I760" s="394">
        <v>1.7941095234606567E-3</v>
      </c>
      <c r="J760" s="689">
        <v>8.0937727163535455E-5</v>
      </c>
      <c r="K760" s="690">
        <v>8.4597369333837144E-5</v>
      </c>
    </row>
    <row r="761" spans="2:11" ht="15.75" x14ac:dyDescent="0.25">
      <c r="B761" s="667" t="s">
        <v>75</v>
      </c>
      <c r="C761" s="110">
        <v>2023</v>
      </c>
      <c r="D761" s="687" t="s">
        <v>1246</v>
      </c>
      <c r="E761" s="688">
        <v>3.808513647581982E-2</v>
      </c>
      <c r="F761" s="310">
        <v>1.5621695269824253E-2</v>
      </c>
      <c r="G761" s="311">
        <v>6.5910727427660062E-2</v>
      </c>
      <c r="H761" s="311">
        <v>1.5744938585513419E-3</v>
      </c>
      <c r="I761" s="394">
        <v>1.7092349652327347E-3</v>
      </c>
      <c r="J761" s="689">
        <v>7.4067951407590454E-5</v>
      </c>
      <c r="K761" s="690">
        <v>7.7416973583023302E-5</v>
      </c>
    </row>
    <row r="762" spans="2:11" ht="15.75" x14ac:dyDescent="0.25">
      <c r="B762" s="667" t="s">
        <v>75</v>
      </c>
      <c r="C762" s="110">
        <v>2024</v>
      </c>
      <c r="D762" s="687" t="s">
        <v>1247</v>
      </c>
      <c r="E762" s="688">
        <v>3.6898957468890242E-2</v>
      </c>
      <c r="F762" s="310">
        <v>1.3975128170880728E-2</v>
      </c>
      <c r="G762" s="311">
        <v>5.767852665611832E-2</v>
      </c>
      <c r="H762" s="311">
        <v>1.5684515011673904E-3</v>
      </c>
      <c r="I762" s="394">
        <v>1.7029228278353161E-3</v>
      </c>
      <c r="J762" s="689">
        <v>6.8503326075519252E-5</v>
      </c>
      <c r="K762" s="690">
        <v>7.1600742033949523E-5</v>
      </c>
    </row>
    <row r="763" spans="2:11" ht="15.75" x14ac:dyDescent="0.25">
      <c r="B763" s="667" t="s">
        <v>75</v>
      </c>
      <c r="C763" s="110">
        <v>2025</v>
      </c>
      <c r="D763" s="687" t="s">
        <v>1248</v>
      </c>
      <c r="E763" s="688">
        <v>3.5736206437051429E-2</v>
      </c>
      <c r="F763" s="310">
        <v>1.2087836736984306E-2</v>
      </c>
      <c r="G763" s="311">
        <v>5.0504298515798351E-2</v>
      </c>
      <c r="H763" s="311">
        <v>1.506524800139936E-3</v>
      </c>
      <c r="I763" s="394">
        <v>1.6358053825310378E-3</v>
      </c>
      <c r="J763" s="689">
        <v>6.3152643553680162E-5</v>
      </c>
      <c r="K763" s="690">
        <v>6.6008122831489834E-5</v>
      </c>
    </row>
    <row r="764" spans="2:11" ht="15.75" x14ac:dyDescent="0.25">
      <c r="B764" s="667" t="s">
        <v>75</v>
      </c>
      <c r="C764" s="110">
        <v>2026</v>
      </c>
      <c r="D764" s="687" t="s">
        <v>1249</v>
      </c>
      <c r="E764" s="688">
        <v>3.4653797006237712E-2</v>
      </c>
      <c r="F764" s="310">
        <v>1.1101167292161179E-2</v>
      </c>
      <c r="G764" s="311">
        <v>4.5392092541600114E-2</v>
      </c>
      <c r="H764" s="311">
        <v>1.5177517617180883E-3</v>
      </c>
      <c r="I764" s="394">
        <v>1.64815193660207E-3</v>
      </c>
      <c r="J764" s="689">
        <v>5.9972282673941086E-5</v>
      </c>
      <c r="K764" s="690">
        <v>6.268396053094582E-5</v>
      </c>
    </row>
    <row r="765" spans="2:11" ht="15.75" x14ac:dyDescent="0.25">
      <c r="B765" s="667" t="s">
        <v>75</v>
      </c>
      <c r="C765" s="110">
        <v>2027</v>
      </c>
      <c r="D765" s="687" t="s">
        <v>1250</v>
      </c>
      <c r="E765" s="688">
        <v>3.3639430617360827E-2</v>
      </c>
      <c r="F765" s="310">
        <v>9.7463668157431564E-3</v>
      </c>
      <c r="G765" s="311">
        <v>4.0589803286121259E-2</v>
      </c>
      <c r="H765" s="311">
        <v>1.4408375259554833E-3</v>
      </c>
      <c r="I765" s="394">
        <v>1.5648380146914683E-3</v>
      </c>
      <c r="J765" s="689">
        <v>5.2016466212284E-5</v>
      </c>
      <c r="K765" s="690">
        <v>5.4368426015874303E-5</v>
      </c>
    </row>
    <row r="766" spans="2:11" ht="15.75" x14ac:dyDescent="0.25">
      <c r="B766" s="667" t="s">
        <v>75</v>
      </c>
      <c r="C766" s="110">
        <v>2028</v>
      </c>
      <c r="D766" s="687" t="s">
        <v>1251</v>
      </c>
      <c r="E766" s="688">
        <v>3.2704440956245348E-2</v>
      </c>
      <c r="F766" s="310">
        <v>8.6257282578081993E-3</v>
      </c>
      <c r="G766" s="311">
        <v>3.6690407552410841E-2</v>
      </c>
      <c r="H766" s="311">
        <v>1.3579341046811454E-3</v>
      </c>
      <c r="I766" s="394">
        <v>1.4749285111259076E-3</v>
      </c>
      <c r="J766" s="689">
        <v>4.5984157449607875E-5</v>
      </c>
      <c r="K766" s="690">
        <v>4.8063359170185859E-5</v>
      </c>
    </row>
    <row r="767" spans="2:11" ht="15.75" x14ac:dyDescent="0.25">
      <c r="B767" s="667" t="s">
        <v>75</v>
      </c>
      <c r="C767" s="110">
        <v>2029</v>
      </c>
      <c r="D767" s="687" t="s">
        <v>1252</v>
      </c>
      <c r="E767" s="688">
        <v>3.1843411180882325E-2</v>
      </c>
      <c r="F767" s="310">
        <v>7.6714858453330185E-3</v>
      </c>
      <c r="G767" s="311">
        <v>3.3465060348052973E-2</v>
      </c>
      <c r="H767" s="311">
        <v>1.2766180711302829E-3</v>
      </c>
      <c r="I767" s="394">
        <v>1.386723230022577E-3</v>
      </c>
      <c r="J767" s="689">
        <v>4.0482134078203838E-5</v>
      </c>
      <c r="K767" s="690">
        <v>4.2312559292832144E-5</v>
      </c>
    </row>
    <row r="768" spans="2:11" ht="15.75" x14ac:dyDescent="0.25">
      <c r="B768" s="667" t="s">
        <v>75</v>
      </c>
      <c r="C768" s="110">
        <v>2030</v>
      </c>
      <c r="D768" s="687" t="s">
        <v>1253</v>
      </c>
      <c r="E768" s="688">
        <v>3.1056306979371003E-2</v>
      </c>
      <c r="F768" s="310">
        <v>6.8885055391002077E-3</v>
      </c>
      <c r="G768" s="311">
        <v>3.0869260183668774E-2</v>
      </c>
      <c r="H768" s="311">
        <v>1.2001532165602834E-3</v>
      </c>
      <c r="I768" s="394">
        <v>1.3037185404267122E-3</v>
      </c>
      <c r="J768" s="689">
        <v>3.6755253854958257E-5</v>
      </c>
      <c r="K768" s="690">
        <v>3.8417158387266154E-5</v>
      </c>
    </row>
    <row r="769" spans="2:11" ht="15.75" x14ac:dyDescent="0.25">
      <c r="B769" s="667" t="s">
        <v>75</v>
      </c>
      <c r="C769" s="110">
        <v>2031</v>
      </c>
      <c r="D769" s="687" t="s">
        <v>1254</v>
      </c>
      <c r="E769" s="688">
        <v>3.0339979812408182E-2</v>
      </c>
      <c r="F769" s="310">
        <v>6.2107861215825429E-3</v>
      </c>
      <c r="G769" s="311">
        <v>2.8685066039795201E-2</v>
      </c>
      <c r="H769" s="311">
        <v>1.1276643247678183E-3</v>
      </c>
      <c r="I769" s="394">
        <v>1.2249871566098352E-3</v>
      </c>
      <c r="J769" s="689">
        <v>3.4223823633832856E-5</v>
      </c>
      <c r="K769" s="690">
        <v>3.5771272739450233E-5</v>
      </c>
    </row>
    <row r="770" spans="2:11" ht="15.75" x14ac:dyDescent="0.25">
      <c r="B770" s="667" t="s">
        <v>75</v>
      </c>
      <c r="C770" s="110">
        <v>2032</v>
      </c>
      <c r="D770" s="687" t="s">
        <v>1255</v>
      </c>
      <c r="E770" s="688">
        <v>2.9693268795930709E-2</v>
      </c>
      <c r="F770" s="310">
        <v>5.6370973145184666E-3</v>
      </c>
      <c r="G770" s="311">
        <v>2.6920879442433272E-2</v>
      </c>
      <c r="H770" s="311">
        <v>1.0596743209262986E-3</v>
      </c>
      <c r="I770" s="394">
        <v>1.1511367845582429E-3</v>
      </c>
      <c r="J770" s="689">
        <v>3.199770207840391E-5</v>
      </c>
      <c r="K770" s="690">
        <v>3.3444496350232813E-5</v>
      </c>
    </row>
    <row r="771" spans="2:11" ht="15.75" x14ac:dyDescent="0.25">
      <c r="B771" s="667" t="s">
        <v>75</v>
      </c>
      <c r="C771" s="110">
        <v>2033</v>
      </c>
      <c r="D771" s="687" t="s">
        <v>1256</v>
      </c>
      <c r="E771" s="688">
        <v>2.911130263206016E-2</v>
      </c>
      <c r="F771" s="310">
        <v>5.137595562324045E-3</v>
      </c>
      <c r="G771" s="311">
        <v>2.5449219268115032E-2</v>
      </c>
      <c r="H771" s="311">
        <v>9.9591763692475081E-4</v>
      </c>
      <c r="I771" s="394">
        <v>1.0818748995095459E-3</v>
      </c>
      <c r="J771" s="689">
        <v>3.0122427284500619E-5</v>
      </c>
      <c r="K771" s="690">
        <v>3.1484432807987345E-5</v>
      </c>
    </row>
    <row r="772" spans="2:11" ht="15.75" x14ac:dyDescent="0.25">
      <c r="B772" s="667" t="s">
        <v>75</v>
      </c>
      <c r="C772" s="110">
        <v>2034</v>
      </c>
      <c r="D772" s="687" t="s">
        <v>1257</v>
      </c>
      <c r="E772" s="688">
        <v>2.8587603587528505E-2</v>
      </c>
      <c r="F772" s="310">
        <v>4.7039669823280682E-3</v>
      </c>
      <c r="G772" s="311">
        <v>2.4245664458836576E-2</v>
      </c>
      <c r="H772" s="311">
        <v>9.3685887725397491E-4</v>
      </c>
      <c r="I772" s="394">
        <v>1.0177166776141066E-3</v>
      </c>
      <c r="J772" s="689">
        <v>2.8377990212944745E-5</v>
      </c>
      <c r="K772" s="690">
        <v>2.9661115793414021E-5</v>
      </c>
    </row>
    <row r="773" spans="2:11" ht="15.75" x14ac:dyDescent="0.25">
      <c r="B773" s="667" t="s">
        <v>75</v>
      </c>
      <c r="C773" s="110">
        <v>2035</v>
      </c>
      <c r="D773" s="687" t="s">
        <v>1258</v>
      </c>
      <c r="E773" s="688">
        <v>2.8118895346663102E-2</v>
      </c>
      <c r="F773" s="310">
        <v>4.3281158848252907E-3</v>
      </c>
      <c r="G773" s="311">
        <v>2.3264649576787859E-2</v>
      </c>
      <c r="H773" s="311">
        <v>8.8269441253617357E-4</v>
      </c>
      <c r="I773" s="394">
        <v>9.5887895782763798E-4</v>
      </c>
      <c r="J773" s="689">
        <v>2.6715889214899502E-5</v>
      </c>
      <c r="K773" s="690">
        <v>2.7923862367295991E-5</v>
      </c>
    </row>
    <row r="774" spans="2:11" ht="15.75" x14ac:dyDescent="0.25">
      <c r="B774" s="667" t="s">
        <v>75</v>
      </c>
      <c r="C774" s="110">
        <v>2036</v>
      </c>
      <c r="D774" s="687" t="s">
        <v>1259</v>
      </c>
      <c r="E774" s="688">
        <v>2.7702070869871708E-2</v>
      </c>
      <c r="F774" s="310">
        <v>4.0008722161409454E-3</v>
      </c>
      <c r="G774" s="311">
        <v>2.2450001581957507E-2</v>
      </c>
      <c r="H774" s="311">
        <v>8.3493735054674398E-4</v>
      </c>
      <c r="I774" s="394">
        <v>9.070002797823321E-4</v>
      </c>
      <c r="J774" s="689">
        <v>2.5260013135738528E-5</v>
      </c>
      <c r="K774" s="690">
        <v>2.6402161682423128E-5</v>
      </c>
    </row>
    <row r="775" spans="2:11" ht="15.75" x14ac:dyDescent="0.25">
      <c r="B775" s="667" t="s">
        <v>75</v>
      </c>
      <c r="C775" s="110">
        <v>2037</v>
      </c>
      <c r="D775" s="687" t="s">
        <v>1260</v>
      </c>
      <c r="E775" s="688">
        <v>2.7334378761807821E-2</v>
      </c>
      <c r="F775" s="310">
        <v>3.722682621218928E-3</v>
      </c>
      <c r="G775" s="311">
        <v>2.1798111988080248E-2</v>
      </c>
      <c r="H775" s="311">
        <v>7.9236407427074975E-4</v>
      </c>
      <c r="I775" s="394">
        <v>8.6075084852079169E-4</v>
      </c>
      <c r="J775" s="689">
        <v>2.4007244667087492E-5</v>
      </c>
      <c r="K775" s="690">
        <v>2.5092750167205986E-5</v>
      </c>
    </row>
    <row r="776" spans="2:11" ht="15.75" x14ac:dyDescent="0.25">
      <c r="B776" s="667" t="s">
        <v>75</v>
      </c>
      <c r="C776" s="110">
        <v>2038</v>
      </c>
      <c r="D776" s="687" t="s">
        <v>1261</v>
      </c>
      <c r="E776" s="688">
        <v>2.7012516374353372E-2</v>
      </c>
      <c r="F776" s="310">
        <v>3.4751369647538282E-3</v>
      </c>
      <c r="G776" s="311">
        <v>2.1229376642525017E-2</v>
      </c>
      <c r="H776" s="311">
        <v>7.5445157806299239E-4</v>
      </c>
      <c r="I776" s="394">
        <v>8.1956400938020435E-4</v>
      </c>
      <c r="J776" s="689">
        <v>2.290640966206192E-5</v>
      </c>
      <c r="K776" s="690">
        <v>2.3942138254643362E-5</v>
      </c>
    </row>
    <row r="777" spans="2:11" ht="15.75" x14ac:dyDescent="0.25">
      <c r="B777" s="667" t="s">
        <v>75</v>
      </c>
      <c r="C777" s="110">
        <v>2039</v>
      </c>
      <c r="D777" s="687" t="s">
        <v>1262</v>
      </c>
      <c r="E777" s="688">
        <v>2.67286855581312E-2</v>
      </c>
      <c r="F777" s="310">
        <v>3.2486193072155159E-3</v>
      </c>
      <c r="G777" s="311">
        <v>2.0713662089962011E-2</v>
      </c>
      <c r="H777" s="311">
        <v>7.2093613548527625E-4</v>
      </c>
      <c r="I777" s="394">
        <v>7.8315277632404797E-4</v>
      </c>
      <c r="J777" s="689">
        <v>2.1982470483962421E-5</v>
      </c>
      <c r="K777" s="690">
        <v>2.2976424610753664E-5</v>
      </c>
    </row>
    <row r="778" spans="2:11" ht="15.75" x14ac:dyDescent="0.25">
      <c r="B778" s="667" t="s">
        <v>75</v>
      </c>
      <c r="C778" s="110">
        <v>2040</v>
      </c>
      <c r="D778" s="687" t="s">
        <v>1263</v>
      </c>
      <c r="E778" s="688">
        <v>2.6479980898148306E-2</v>
      </c>
      <c r="F778" s="310">
        <v>3.0548700459009982E-3</v>
      </c>
      <c r="G778" s="311">
        <v>2.030519512953757E-2</v>
      </c>
      <c r="H778" s="311">
        <v>6.9182526924929004E-4</v>
      </c>
      <c r="I778" s="394">
        <v>7.5152508262820458E-4</v>
      </c>
      <c r="J778" s="689">
        <v>2.1201269574946556E-5</v>
      </c>
      <c r="K778" s="690">
        <v>2.2159892136261275E-5</v>
      </c>
    </row>
    <row r="779" spans="2:11" ht="15.75" x14ac:dyDescent="0.25">
      <c r="B779" s="667" t="s">
        <v>75</v>
      </c>
      <c r="C779" s="110">
        <v>2041</v>
      </c>
      <c r="D779" s="687" t="s">
        <v>1264</v>
      </c>
      <c r="E779" s="688">
        <v>2.6266566714942222E-2</v>
      </c>
      <c r="F779" s="310">
        <v>2.9105653139074742E-3</v>
      </c>
      <c r="G779" s="311">
        <v>2.000394744428137E-2</v>
      </c>
      <c r="H779" s="311">
        <v>6.6844806298653741E-4</v>
      </c>
      <c r="I779" s="394">
        <v>7.2612704935705492E-4</v>
      </c>
      <c r="J779" s="689">
        <v>2.055260776892875E-5</v>
      </c>
      <c r="K779" s="690">
        <v>2.1481906242642164E-5</v>
      </c>
    </row>
    <row r="780" spans="2:11" ht="15.75" x14ac:dyDescent="0.25">
      <c r="B780" s="667" t="s">
        <v>75</v>
      </c>
      <c r="C780" s="110">
        <v>2042</v>
      </c>
      <c r="D780" s="687" t="s">
        <v>1265</v>
      </c>
      <c r="E780" s="688">
        <v>2.6079614234030241E-2</v>
      </c>
      <c r="F780" s="310">
        <v>2.786912511687559E-3</v>
      </c>
      <c r="G780" s="311">
        <v>1.9727662322396092E-2</v>
      </c>
      <c r="H780" s="311">
        <v>6.4876729146075762E-4</v>
      </c>
      <c r="I780" s="394">
        <v>7.0474467804438473E-4</v>
      </c>
      <c r="J780" s="689">
        <v>2.0033635915043069E-5</v>
      </c>
      <c r="K780" s="690">
        <v>2.093946729957465E-5</v>
      </c>
    </row>
    <row r="781" spans="2:11" ht="15.75" x14ac:dyDescent="0.25">
      <c r="B781" s="667" t="s">
        <v>75</v>
      </c>
      <c r="C781" s="110">
        <v>2043</v>
      </c>
      <c r="D781" s="687" t="s">
        <v>1266</v>
      </c>
      <c r="E781" s="688">
        <v>2.5918862667900222E-2</v>
      </c>
      <c r="F781" s="310">
        <v>2.6945584562417303E-3</v>
      </c>
      <c r="G781" s="311">
        <v>1.9532707649114404E-2</v>
      </c>
      <c r="H781" s="311">
        <v>6.3240806370244793E-4</v>
      </c>
      <c r="I781" s="394">
        <v>6.8696935545333121E-4</v>
      </c>
      <c r="J781" s="689">
        <v>1.9628116691860814E-5</v>
      </c>
      <c r="K781" s="690">
        <v>2.0515613176281027E-5</v>
      </c>
    </row>
    <row r="782" spans="2:11" ht="15.75" x14ac:dyDescent="0.25">
      <c r="B782" s="667" t="s">
        <v>75</v>
      </c>
      <c r="C782" s="110">
        <v>2044</v>
      </c>
      <c r="D782" s="687" t="s">
        <v>1267</v>
      </c>
      <c r="E782" s="688">
        <v>2.5779071359820063E-2</v>
      </c>
      <c r="F782" s="310">
        <v>2.6234983845029401E-3</v>
      </c>
      <c r="G782" s="311">
        <v>1.9373534568924614E-2</v>
      </c>
      <c r="H782" s="311">
        <v>6.1882019725919147E-4</v>
      </c>
      <c r="I782" s="394">
        <v>6.7220506910278918E-4</v>
      </c>
      <c r="J782" s="689">
        <v>1.9306953369024338E-5</v>
      </c>
      <c r="K782" s="690">
        <v>2.0179925992688802E-5</v>
      </c>
    </row>
    <row r="783" spans="2:11" ht="15.75" x14ac:dyDescent="0.25">
      <c r="B783" s="667" t="s">
        <v>75</v>
      </c>
      <c r="C783" s="110">
        <v>2045</v>
      </c>
      <c r="D783" s="687" t="s">
        <v>1268</v>
      </c>
      <c r="E783" s="688">
        <v>2.5655689486685021E-2</v>
      </c>
      <c r="F783" s="310">
        <v>2.5738846425956839E-3</v>
      </c>
      <c r="G783" s="311">
        <v>1.9269332396033418E-2</v>
      </c>
      <c r="H783" s="311">
        <v>6.0764698767291621E-4</v>
      </c>
      <c r="I783" s="394">
        <v>6.600638874685713E-4</v>
      </c>
      <c r="J783" s="689">
        <v>1.9061585998423677E-5</v>
      </c>
      <c r="K783" s="690">
        <v>1.9923462880515498E-5</v>
      </c>
    </row>
    <row r="784" spans="2:11" ht="15.75" x14ac:dyDescent="0.25">
      <c r="B784" s="667" t="s">
        <v>75</v>
      </c>
      <c r="C784" s="110">
        <v>2046</v>
      </c>
      <c r="D784" s="687" t="s">
        <v>1269</v>
      </c>
      <c r="E784" s="688">
        <v>2.5549031008295833E-2</v>
      </c>
      <c r="F784" s="310">
        <v>2.5316588257543308E-3</v>
      </c>
      <c r="G784" s="311">
        <v>1.9184226510180334E-2</v>
      </c>
      <c r="H784" s="311">
        <v>5.9852855227350349E-4</v>
      </c>
      <c r="I784" s="394">
        <v>6.5015481918691026E-4</v>
      </c>
      <c r="J784" s="689">
        <v>1.887493270814965E-5</v>
      </c>
      <c r="K784" s="690">
        <v>1.9728378701358387E-5</v>
      </c>
    </row>
    <row r="785" spans="2:11" ht="15.75" x14ac:dyDescent="0.25">
      <c r="B785" s="667" t="s">
        <v>75</v>
      </c>
      <c r="C785" s="110">
        <v>2047</v>
      </c>
      <c r="D785" s="687" t="s">
        <v>1270</v>
      </c>
      <c r="E785" s="688">
        <v>2.5458681888545304E-2</v>
      </c>
      <c r="F785" s="310">
        <v>2.4960456980557648E-3</v>
      </c>
      <c r="G785" s="311">
        <v>1.9109079733722389E-2</v>
      </c>
      <c r="H785" s="311">
        <v>5.9117408539903472E-4</v>
      </c>
      <c r="I785" s="394">
        <v>6.4216180030069088E-4</v>
      </c>
      <c r="J785" s="689">
        <v>1.873154445374839E-5</v>
      </c>
      <c r="K785" s="690">
        <v>1.9578501280512431E-5</v>
      </c>
    </row>
    <row r="786" spans="2:11" ht="15.75" x14ac:dyDescent="0.25">
      <c r="B786" s="667" t="s">
        <v>75</v>
      </c>
      <c r="C786" s="110">
        <v>2048</v>
      </c>
      <c r="D786" s="687" t="s">
        <v>1271</v>
      </c>
      <c r="E786" s="688">
        <v>2.5380780863868437E-2</v>
      </c>
      <c r="F786" s="310">
        <v>2.4680846323371459E-3</v>
      </c>
      <c r="G786" s="311">
        <v>1.905011873265948E-2</v>
      </c>
      <c r="H786" s="311">
        <v>5.8524622365055629E-4</v>
      </c>
      <c r="I786" s="394">
        <v>6.3571987940017646E-4</v>
      </c>
      <c r="J786" s="689">
        <v>1.8614670371353868E-5</v>
      </c>
      <c r="K786" s="690">
        <v>1.9456347792348409E-5</v>
      </c>
    </row>
    <row r="787" spans="2:11" ht="15.75" x14ac:dyDescent="0.25">
      <c r="B787" s="667" t="s">
        <v>75</v>
      </c>
      <c r="C787" s="110">
        <v>2049</v>
      </c>
      <c r="D787" s="687" t="s">
        <v>1272</v>
      </c>
      <c r="E787" s="688">
        <v>2.5314021894502183E-2</v>
      </c>
      <c r="F787" s="310">
        <v>2.4564129903317279E-3</v>
      </c>
      <c r="G787" s="311">
        <v>1.906010955649769E-2</v>
      </c>
      <c r="H787" s="311">
        <v>5.8123111666233613E-4</v>
      </c>
      <c r="I787" s="394">
        <v>6.3135684096407986E-4</v>
      </c>
      <c r="J787" s="689">
        <v>1.8523615564440338E-5</v>
      </c>
      <c r="K787" s="690">
        <v>1.9361177419284484E-5</v>
      </c>
    </row>
    <row r="788" spans="2:11" ht="15.75" x14ac:dyDescent="0.25">
      <c r="B788" s="667" t="s">
        <v>75</v>
      </c>
      <c r="C788" s="110">
        <v>2050</v>
      </c>
      <c r="D788" s="687" t="s">
        <v>1273</v>
      </c>
      <c r="E788" s="688">
        <v>2.5257708833533819E-2</v>
      </c>
      <c r="F788" s="310">
        <v>2.4473697156053228E-3</v>
      </c>
      <c r="G788" s="311">
        <v>1.9070506367632779E-2</v>
      </c>
      <c r="H788" s="311">
        <v>5.7808957438940491E-4</v>
      </c>
      <c r="I788" s="394">
        <v>6.2794363718419869E-4</v>
      </c>
      <c r="J788" s="689">
        <v>1.8435697221862105E-5</v>
      </c>
      <c r="K788" s="690">
        <v>1.9269273945442639E-5</v>
      </c>
    </row>
    <row r="789" spans="2:11" ht="15.75" x14ac:dyDescent="0.25">
      <c r="B789" s="667" t="s">
        <v>76</v>
      </c>
      <c r="C789" s="110">
        <v>2015</v>
      </c>
      <c r="D789" s="687" t="s">
        <v>237</v>
      </c>
      <c r="E789" s="688">
        <v>4.7451955311692849E-2</v>
      </c>
      <c r="F789" s="310">
        <v>4.7714334188515603E-2</v>
      </c>
      <c r="G789" s="311">
        <v>0.18458951869043419</v>
      </c>
      <c r="H789" s="311">
        <v>1.9457266634474654E-3</v>
      </c>
      <c r="I789" s="394">
        <v>2.1006374158377937E-3</v>
      </c>
      <c r="J789" s="689">
        <v>2.8261385388869269E-4</v>
      </c>
      <c r="K789" s="690">
        <v>2.953923934134289E-4</v>
      </c>
    </row>
    <row r="790" spans="2:11" ht="15.75" x14ac:dyDescent="0.25">
      <c r="B790" s="667" t="s">
        <v>76</v>
      </c>
      <c r="C790" s="110">
        <v>2016</v>
      </c>
      <c r="D790" s="687" t="s">
        <v>238</v>
      </c>
      <c r="E790" s="688">
        <v>4.6531927323052606E-2</v>
      </c>
      <c r="F790" s="310">
        <v>3.8648278629794697E-2</v>
      </c>
      <c r="G790" s="311">
        <v>0.15696557700581215</v>
      </c>
      <c r="H790" s="311">
        <v>1.8274388964837406E-3</v>
      </c>
      <c r="I790" s="394">
        <v>1.9750450783943196E-3</v>
      </c>
      <c r="J790" s="689">
        <v>2.4400924698788783E-4</v>
      </c>
      <c r="K790" s="690">
        <v>2.5504226631028359E-4</v>
      </c>
    </row>
    <row r="791" spans="2:11" ht="15.75" x14ac:dyDescent="0.25">
      <c r="B791" s="667" t="s">
        <v>76</v>
      </c>
      <c r="C791" s="110">
        <v>2017</v>
      </c>
      <c r="D791" s="687" t="s">
        <v>1274</v>
      </c>
      <c r="E791" s="688">
        <v>4.5407774681680536E-2</v>
      </c>
      <c r="F791" s="310">
        <v>3.1988331840181627E-2</v>
      </c>
      <c r="G791" s="311">
        <v>0.13311670014118882</v>
      </c>
      <c r="H791" s="311">
        <v>1.7697634216863056E-3</v>
      </c>
      <c r="I791" s="394">
        <v>1.9140453654100367E-3</v>
      </c>
      <c r="J791" s="689">
        <v>2.2030092044183014E-4</v>
      </c>
      <c r="K791" s="690">
        <v>2.3026194130203683E-4</v>
      </c>
    </row>
    <row r="792" spans="2:11" ht="15.75" x14ac:dyDescent="0.25">
      <c r="B792" s="667" t="s">
        <v>76</v>
      </c>
      <c r="C792" s="110">
        <v>2018</v>
      </c>
      <c r="D792" s="687" t="s">
        <v>1275</v>
      </c>
      <c r="E792" s="688">
        <v>4.4244426852285225E-2</v>
      </c>
      <c r="F792" s="310">
        <v>2.6279678648076996E-2</v>
      </c>
      <c r="G792" s="311">
        <v>0.11268212668284248</v>
      </c>
      <c r="H792" s="311">
        <v>1.7435605714822009E-3</v>
      </c>
      <c r="I792" s="394">
        <v>1.8870143413514348E-3</v>
      </c>
      <c r="J792" s="689">
        <v>1.9974697730375509E-4</v>
      </c>
      <c r="K792" s="690">
        <v>2.0877864793452405E-4</v>
      </c>
    </row>
    <row r="793" spans="2:11" ht="15.75" x14ac:dyDescent="0.25">
      <c r="B793" s="667" t="s">
        <v>76</v>
      </c>
      <c r="C793" s="110">
        <v>2019</v>
      </c>
      <c r="D793" s="687" t="s">
        <v>1276</v>
      </c>
      <c r="E793" s="688">
        <v>4.3029144809358745E-2</v>
      </c>
      <c r="F793" s="310">
        <v>2.1618942573021598E-2</v>
      </c>
      <c r="G793" s="311">
        <v>9.5684323337691446E-2</v>
      </c>
      <c r="H793" s="311">
        <v>1.7258503174338463E-3</v>
      </c>
      <c r="I793" s="394">
        <v>1.8689890534473088E-3</v>
      </c>
      <c r="J793" s="689">
        <v>1.8058073082869941E-4</v>
      </c>
      <c r="K793" s="690">
        <v>1.8874578941278748E-4</v>
      </c>
    </row>
    <row r="794" spans="2:11" ht="15.75" x14ac:dyDescent="0.25">
      <c r="B794" s="667" t="s">
        <v>76</v>
      </c>
      <c r="C794" s="110">
        <v>2020</v>
      </c>
      <c r="D794" s="687" t="s">
        <v>1277</v>
      </c>
      <c r="E794" s="688">
        <v>4.1798375459887779E-2</v>
      </c>
      <c r="F794" s="310">
        <v>1.8223783270038048E-2</v>
      </c>
      <c r="G794" s="311">
        <v>8.1747752435512758E-2</v>
      </c>
      <c r="H794" s="311">
        <v>1.676341944105428E-3</v>
      </c>
      <c r="I794" s="394">
        <v>1.8159793264075218E-3</v>
      </c>
      <c r="J794" s="689">
        <v>1.6402626103891328E-4</v>
      </c>
      <c r="K794" s="690">
        <v>1.7144280697698502E-4</v>
      </c>
    </row>
    <row r="795" spans="2:11" ht="15.75" x14ac:dyDescent="0.25">
      <c r="B795" s="667" t="s">
        <v>76</v>
      </c>
      <c r="C795" s="110">
        <v>2021</v>
      </c>
      <c r="D795" s="687" t="s">
        <v>1278</v>
      </c>
      <c r="E795" s="688">
        <v>4.0549333660828954E-2</v>
      </c>
      <c r="F795" s="310">
        <v>1.5480512271375159E-2</v>
      </c>
      <c r="G795" s="311">
        <v>7.0174541327108722E-2</v>
      </c>
      <c r="H795" s="311">
        <v>1.5890485377715764E-3</v>
      </c>
      <c r="I795" s="394">
        <v>1.7217425554629216E-3</v>
      </c>
      <c r="J795" s="689">
        <v>1.4960628521954619E-4</v>
      </c>
      <c r="K795" s="690">
        <v>1.5637081800273572E-4</v>
      </c>
    </row>
    <row r="796" spans="2:11" ht="15.75" x14ac:dyDescent="0.25">
      <c r="B796" s="667" t="s">
        <v>76</v>
      </c>
      <c r="C796" s="110">
        <v>2022</v>
      </c>
      <c r="D796" s="687" t="s">
        <v>1279</v>
      </c>
      <c r="E796" s="688">
        <v>3.9307810596292556E-2</v>
      </c>
      <c r="F796" s="310">
        <v>1.3103203591843521E-2</v>
      </c>
      <c r="G796" s="311">
        <v>6.0620378056410087E-2</v>
      </c>
      <c r="H796" s="311">
        <v>1.5069353702273991E-3</v>
      </c>
      <c r="I796" s="394">
        <v>1.6331694689433664E-3</v>
      </c>
      <c r="J796" s="689">
        <v>1.3491287568812217E-4</v>
      </c>
      <c r="K796" s="690">
        <v>1.4101304281101547E-4</v>
      </c>
    </row>
    <row r="797" spans="2:11" ht="15.75" x14ac:dyDescent="0.25">
      <c r="B797" s="667" t="s">
        <v>76</v>
      </c>
      <c r="C797" s="110">
        <v>2023</v>
      </c>
      <c r="D797" s="687" t="s">
        <v>1280</v>
      </c>
      <c r="E797" s="688">
        <v>3.8089742555115054E-2</v>
      </c>
      <c r="F797" s="310">
        <v>1.1363186911112206E-2</v>
      </c>
      <c r="G797" s="311">
        <v>5.2985910264528389E-2</v>
      </c>
      <c r="H797" s="311">
        <v>1.4359333216621198E-3</v>
      </c>
      <c r="I797" s="394">
        <v>1.5565131238835766E-3</v>
      </c>
      <c r="J797" s="689">
        <v>1.2202794130755426E-4</v>
      </c>
      <c r="K797" s="690">
        <v>1.2754550994740964E-4</v>
      </c>
    </row>
    <row r="798" spans="2:11" ht="15.75" x14ac:dyDescent="0.25">
      <c r="B798" s="667" t="s">
        <v>76</v>
      </c>
      <c r="C798" s="110">
        <v>2024</v>
      </c>
      <c r="D798" s="687" t="s">
        <v>1281</v>
      </c>
      <c r="E798" s="688">
        <v>3.6886092506655456E-2</v>
      </c>
      <c r="F798" s="310">
        <v>9.8923846493498228E-3</v>
      </c>
      <c r="G798" s="311">
        <v>4.6676371457623156E-2</v>
      </c>
      <c r="H798" s="311">
        <v>1.3700975392900432E-3</v>
      </c>
      <c r="I798" s="394">
        <v>1.4855540845878238E-3</v>
      </c>
      <c r="J798" s="689">
        <v>1.0728746828961428E-4</v>
      </c>
      <c r="K798" s="690">
        <v>1.1213853907119139E-4</v>
      </c>
    </row>
    <row r="799" spans="2:11" ht="15.75" x14ac:dyDescent="0.25">
      <c r="B799" s="667" t="s">
        <v>76</v>
      </c>
      <c r="C799" s="110">
        <v>2025</v>
      </c>
      <c r="D799" s="687" t="s">
        <v>1282</v>
      </c>
      <c r="E799" s="688">
        <v>3.5709604707079859E-2</v>
      </c>
      <c r="F799" s="310">
        <v>8.6923251826231795E-3</v>
      </c>
      <c r="G799" s="311">
        <v>4.1604337654867471E-2</v>
      </c>
      <c r="H799" s="311">
        <v>1.3135754917415778E-3</v>
      </c>
      <c r="I799" s="394">
        <v>1.4246125532602365E-3</v>
      </c>
      <c r="J799" s="689">
        <v>9.4860393713123813E-5</v>
      </c>
      <c r="K799" s="690">
        <v>9.9149559223020019E-5</v>
      </c>
    </row>
    <row r="800" spans="2:11" ht="15.75" x14ac:dyDescent="0.25">
      <c r="B800" s="667" t="s">
        <v>76</v>
      </c>
      <c r="C800" s="110">
        <v>2026</v>
      </c>
      <c r="D800" s="687" t="s">
        <v>1283</v>
      </c>
      <c r="E800" s="688">
        <v>3.4635290046457087E-2</v>
      </c>
      <c r="F800" s="310">
        <v>7.7064697627571071E-3</v>
      </c>
      <c r="G800" s="311">
        <v>3.7535808786607103E-2</v>
      </c>
      <c r="H800" s="311">
        <v>1.2531065534087237E-3</v>
      </c>
      <c r="I800" s="394">
        <v>1.3593685707852527E-3</v>
      </c>
      <c r="J800" s="689">
        <v>8.2567621977763006E-5</v>
      </c>
      <c r="K800" s="690">
        <v>8.6300962781053853E-5</v>
      </c>
    </row>
    <row r="801" spans="2:11" ht="15.75" x14ac:dyDescent="0.25">
      <c r="B801" s="667" t="s">
        <v>76</v>
      </c>
      <c r="C801" s="110">
        <v>2027</v>
      </c>
      <c r="D801" s="687" t="s">
        <v>1284</v>
      </c>
      <c r="E801" s="688">
        <v>3.3648144353157099E-2</v>
      </c>
      <c r="F801" s="310">
        <v>6.8663494921064258E-3</v>
      </c>
      <c r="G801" s="311">
        <v>3.4141593783235495E-2</v>
      </c>
      <c r="H801" s="311">
        <v>1.1828802511979857E-3</v>
      </c>
      <c r="I801" s="394">
        <v>1.2835331873901421E-3</v>
      </c>
      <c r="J801" s="689">
        <v>6.9783102874566578E-5</v>
      </c>
      <c r="K801" s="690">
        <v>7.2938390517783257E-5</v>
      </c>
    </row>
    <row r="802" spans="2:11" ht="15.75" x14ac:dyDescent="0.25">
      <c r="B802" s="667" t="s">
        <v>76</v>
      </c>
      <c r="C802" s="110">
        <v>2028</v>
      </c>
      <c r="D802" s="687" t="s">
        <v>1285</v>
      </c>
      <c r="E802" s="688">
        <v>3.2752158668948927E-2</v>
      </c>
      <c r="F802" s="310">
        <v>6.165215415854095E-3</v>
      </c>
      <c r="G802" s="311">
        <v>3.1354723709401677E-2</v>
      </c>
      <c r="H802" s="311">
        <v>1.1056127777354346E-3</v>
      </c>
      <c r="I802" s="394">
        <v>1.1999990164362983E-3</v>
      </c>
      <c r="J802" s="689">
        <v>5.7957986362154871E-5</v>
      </c>
      <c r="K802" s="690">
        <v>6.0578591768227717E-5</v>
      </c>
    </row>
    <row r="803" spans="2:11" ht="15.75" x14ac:dyDescent="0.25">
      <c r="B803" s="667" t="s">
        <v>76</v>
      </c>
      <c r="C803" s="110">
        <v>2029</v>
      </c>
      <c r="D803" s="687" t="s">
        <v>1286</v>
      </c>
      <c r="E803" s="688">
        <v>3.1939442622845322E-2</v>
      </c>
      <c r="F803" s="310">
        <v>5.550563245646397E-3</v>
      </c>
      <c r="G803" s="311">
        <v>2.8990057585510671E-2</v>
      </c>
      <c r="H803" s="311">
        <v>1.0339430120740881E-3</v>
      </c>
      <c r="I803" s="394">
        <v>1.1223834833657114E-3</v>
      </c>
      <c r="J803" s="689">
        <v>5.0128835034205815E-5</v>
      </c>
      <c r="K803" s="690">
        <v>5.2395437106753356E-5</v>
      </c>
    </row>
    <row r="804" spans="2:11" ht="15.75" x14ac:dyDescent="0.25">
      <c r="B804" s="667" t="s">
        <v>76</v>
      </c>
      <c r="C804" s="110">
        <v>2030</v>
      </c>
      <c r="D804" s="687" t="s">
        <v>1287</v>
      </c>
      <c r="E804" s="688">
        <v>3.1205962569244561E-2</v>
      </c>
      <c r="F804" s="310">
        <v>5.0371185639490204E-3</v>
      </c>
      <c r="G804" s="311">
        <v>2.7061709577304114E-2</v>
      </c>
      <c r="H804" s="311">
        <v>9.6714363428609322E-4</v>
      </c>
      <c r="I804" s="394">
        <v>1.0500177098661811E-3</v>
      </c>
      <c r="J804" s="689">
        <v>4.3404578111003384E-5</v>
      </c>
      <c r="K804" s="690">
        <v>4.536713831937182E-5</v>
      </c>
    </row>
    <row r="805" spans="2:11" ht="15.75" x14ac:dyDescent="0.25">
      <c r="B805" s="667" t="s">
        <v>76</v>
      </c>
      <c r="C805" s="110">
        <v>2031</v>
      </c>
      <c r="D805" s="687" t="s">
        <v>1288</v>
      </c>
      <c r="E805" s="688">
        <v>3.0549417318750147E-2</v>
      </c>
      <c r="F805" s="310">
        <v>4.5811718125993691E-3</v>
      </c>
      <c r="G805" s="311">
        <v>2.5397437598036029E-2</v>
      </c>
      <c r="H805" s="311">
        <v>9.0597971023292868E-4</v>
      </c>
      <c r="I805" s="394">
        <v>9.8368105722490898E-4</v>
      </c>
      <c r="J805" s="689">
        <v>3.9050180063675268E-5</v>
      </c>
      <c r="K805" s="690">
        <v>4.0815853779777869E-5</v>
      </c>
    </row>
    <row r="806" spans="2:11" ht="15.75" x14ac:dyDescent="0.25">
      <c r="B806" s="667" t="s">
        <v>76</v>
      </c>
      <c r="C806" s="110">
        <v>2032</v>
      </c>
      <c r="D806" s="687" t="s">
        <v>1289</v>
      </c>
      <c r="E806" s="688">
        <v>2.9962512580299458E-2</v>
      </c>
      <c r="F806" s="310">
        <v>4.1886388879830896E-3</v>
      </c>
      <c r="G806" s="311">
        <v>2.4039332449041537E-2</v>
      </c>
      <c r="H806" s="311">
        <v>8.4866214229565619E-4</v>
      </c>
      <c r="I806" s="394">
        <v>9.2153734941514802E-4</v>
      </c>
      <c r="J806" s="689">
        <v>3.4445016865686487E-5</v>
      </c>
      <c r="K806" s="690">
        <v>3.6002466031573627E-5</v>
      </c>
    </row>
    <row r="807" spans="2:11" ht="15.75" x14ac:dyDescent="0.25">
      <c r="B807" s="667" t="s">
        <v>76</v>
      </c>
      <c r="C807" s="110">
        <v>2033</v>
      </c>
      <c r="D807" s="687" t="s">
        <v>1290</v>
      </c>
      <c r="E807" s="688">
        <v>2.9440144208439923E-2</v>
      </c>
      <c r="F807" s="310">
        <v>3.8496275724456928E-3</v>
      </c>
      <c r="G807" s="311">
        <v>2.2922689643659941E-2</v>
      </c>
      <c r="H807" s="311">
        <v>7.9716988179112007E-4</v>
      </c>
      <c r="I807" s="394">
        <v>8.6565200706632817E-4</v>
      </c>
      <c r="J807" s="689">
        <v>3.1689084042321822E-5</v>
      </c>
      <c r="K807" s="690">
        <v>3.3121923256606932E-5</v>
      </c>
    </row>
    <row r="808" spans="2:11" ht="15.75" x14ac:dyDescent="0.25">
      <c r="B808" s="667" t="s">
        <v>76</v>
      </c>
      <c r="C808" s="110">
        <v>2034</v>
      </c>
      <c r="D808" s="687" t="s">
        <v>1291</v>
      </c>
      <c r="E808" s="688">
        <v>2.897637207518439E-2</v>
      </c>
      <c r="F808" s="310">
        <v>3.551008513350429E-3</v>
      </c>
      <c r="G808" s="311">
        <v>2.1990386487825326E-2</v>
      </c>
      <c r="H808" s="311">
        <v>7.4984372618370706E-4</v>
      </c>
      <c r="I808" s="394">
        <v>8.142861272703027E-4</v>
      </c>
      <c r="J808" s="689">
        <v>2.9192202961794616E-5</v>
      </c>
      <c r="K808" s="690">
        <v>3.0512146039503626E-5</v>
      </c>
    </row>
    <row r="809" spans="2:11" ht="15.75" x14ac:dyDescent="0.25">
      <c r="B809" s="667" t="s">
        <v>76</v>
      </c>
      <c r="C809" s="110">
        <v>2035</v>
      </c>
      <c r="D809" s="687" t="s">
        <v>1292</v>
      </c>
      <c r="E809" s="688">
        <v>2.8569532938655291E-2</v>
      </c>
      <c r="F809" s="310">
        <v>3.2849412093768292E-3</v>
      </c>
      <c r="G809" s="311">
        <v>2.1205860198034474E-2</v>
      </c>
      <c r="H809" s="311">
        <v>7.0655461293779034E-4</v>
      </c>
      <c r="I809" s="394">
        <v>7.6729966338463654E-4</v>
      </c>
      <c r="J809" s="689">
        <v>2.6973706700415127E-5</v>
      </c>
      <c r="K809" s="690">
        <v>2.8193340874165133E-5</v>
      </c>
    </row>
    <row r="810" spans="2:11" ht="15.75" x14ac:dyDescent="0.25">
      <c r="B810" s="667" t="s">
        <v>76</v>
      </c>
      <c r="C810" s="110">
        <v>2036</v>
      </c>
      <c r="D810" s="687" t="s">
        <v>1293</v>
      </c>
      <c r="E810" s="688">
        <v>2.8214408575472086E-2</v>
      </c>
      <c r="F810" s="310">
        <v>3.0487804049461787E-3</v>
      </c>
      <c r="G810" s="311">
        <v>2.0538867860887482E-2</v>
      </c>
      <c r="H810" s="311">
        <v>6.6895108782912341E-4</v>
      </c>
      <c r="I810" s="394">
        <v>7.2648167235735508E-4</v>
      </c>
      <c r="J810" s="689">
        <v>2.5099152517810408E-5</v>
      </c>
      <c r="K810" s="690">
        <v>2.6234018851060781E-5</v>
      </c>
    </row>
    <row r="811" spans="2:11" ht="15.75" x14ac:dyDescent="0.25">
      <c r="B811" s="667" t="s">
        <v>76</v>
      </c>
      <c r="C811" s="110">
        <v>2037</v>
      </c>
      <c r="D811" s="687" t="s">
        <v>1294</v>
      </c>
      <c r="E811" s="688">
        <v>2.7905980284821472E-2</v>
      </c>
      <c r="F811" s="310">
        <v>2.8551377548480614E-3</v>
      </c>
      <c r="G811" s="311">
        <v>2.0026121477628101E-2</v>
      </c>
      <c r="H811" s="311">
        <v>6.3593725673513678E-4</v>
      </c>
      <c r="I811" s="394">
        <v>6.9064278219080257E-4</v>
      </c>
      <c r="J811" s="689">
        <v>2.3521294303250794E-5</v>
      </c>
      <c r="K811" s="690">
        <v>2.4584823888289579E-5</v>
      </c>
    </row>
    <row r="812" spans="2:11" ht="15.75" x14ac:dyDescent="0.25">
      <c r="B812" s="667" t="s">
        <v>76</v>
      </c>
      <c r="C812" s="110">
        <v>2038</v>
      </c>
      <c r="D812" s="687" t="s">
        <v>1295</v>
      </c>
      <c r="E812" s="688">
        <v>2.7641394816060316E-2</v>
      </c>
      <c r="F812" s="310">
        <v>2.6808909728511339E-3</v>
      </c>
      <c r="G812" s="311">
        <v>1.956857911575044E-2</v>
      </c>
      <c r="H812" s="311">
        <v>6.0695417083476077E-4</v>
      </c>
      <c r="I812" s="394">
        <v>6.5917578642435881E-4</v>
      </c>
      <c r="J812" s="689">
        <v>2.2232620098662444E-5</v>
      </c>
      <c r="K812" s="690">
        <v>2.3237879143032436E-5</v>
      </c>
    </row>
    <row r="813" spans="2:11" ht="15.75" x14ac:dyDescent="0.25">
      <c r="B813" s="667" t="s">
        <v>76</v>
      </c>
      <c r="C813" s="110">
        <v>2039</v>
      </c>
      <c r="D813" s="687" t="s">
        <v>1296</v>
      </c>
      <c r="E813" s="688">
        <v>2.7413836148095179E-2</v>
      </c>
      <c r="F813" s="310">
        <v>2.5200486811988465E-3</v>
      </c>
      <c r="G813" s="311">
        <v>1.9151912797406672E-2</v>
      </c>
      <c r="H813" s="311">
        <v>5.8166733653580791E-4</v>
      </c>
      <c r="I813" s="394">
        <v>6.3171899531530747E-4</v>
      </c>
      <c r="J813" s="689">
        <v>2.1182692670283993E-5</v>
      </c>
      <c r="K813" s="690">
        <v>2.2140484118846321E-5</v>
      </c>
    </row>
    <row r="814" spans="2:11" ht="15.75" x14ac:dyDescent="0.25">
      <c r="B814" s="667" t="s">
        <v>76</v>
      </c>
      <c r="C814" s="110">
        <v>2040</v>
      </c>
      <c r="D814" s="687" t="s">
        <v>1297</v>
      </c>
      <c r="E814" s="688">
        <v>2.7219801540967686E-2</v>
      </c>
      <c r="F814" s="310">
        <v>2.3707405216220976E-3</v>
      </c>
      <c r="G814" s="311">
        <v>1.8780386054207742E-2</v>
      </c>
      <c r="H814" s="311">
        <v>5.5964779761305105E-4</v>
      </c>
      <c r="I814" s="394">
        <v>6.0780894009597691E-4</v>
      </c>
      <c r="J814" s="689">
        <v>2.0276200381719197E-5</v>
      </c>
      <c r="K814" s="690">
        <v>2.1192992972053831E-5</v>
      </c>
    </row>
    <row r="815" spans="2:11" ht="15.75" x14ac:dyDescent="0.25">
      <c r="B815" s="667" t="s">
        <v>76</v>
      </c>
      <c r="C815" s="110">
        <v>2041</v>
      </c>
      <c r="D815" s="687" t="s">
        <v>1298</v>
      </c>
      <c r="E815" s="688">
        <v>2.7057686325652162E-2</v>
      </c>
      <c r="F815" s="310">
        <v>2.2522178095917473E-3</v>
      </c>
      <c r="G815" s="311">
        <v>1.8487028183084953E-2</v>
      </c>
      <c r="H815" s="311">
        <v>5.4238633996069421E-4</v>
      </c>
      <c r="I815" s="394">
        <v>5.890658564973528E-4</v>
      </c>
      <c r="J815" s="689">
        <v>1.9556772666454202E-5</v>
      </c>
      <c r="K815" s="690">
        <v>2.044103767797043E-5</v>
      </c>
    </row>
    <row r="816" spans="2:11" ht="15.75" x14ac:dyDescent="0.25">
      <c r="B816" s="667" t="s">
        <v>76</v>
      </c>
      <c r="C816" s="110">
        <v>2042</v>
      </c>
      <c r="D816" s="687" t="s">
        <v>1299</v>
      </c>
      <c r="E816" s="688">
        <v>2.6919921373698658E-2</v>
      </c>
      <c r="F816" s="310">
        <v>2.1507622020613278E-3</v>
      </c>
      <c r="G816" s="311">
        <v>1.8221016975754376E-2</v>
      </c>
      <c r="H816" s="311">
        <v>5.2781796000113141E-4</v>
      </c>
      <c r="I816" s="394">
        <v>5.7324584722658349E-4</v>
      </c>
      <c r="J816" s="689">
        <v>1.8976804068759944E-5</v>
      </c>
      <c r="K816" s="690">
        <v>1.9834854892750618E-5</v>
      </c>
    </row>
    <row r="817" spans="2:11" ht="15.75" x14ac:dyDescent="0.25">
      <c r="B817" s="667" t="s">
        <v>76</v>
      </c>
      <c r="C817" s="110">
        <v>2043</v>
      </c>
      <c r="D817" s="687" t="s">
        <v>1300</v>
      </c>
      <c r="E817" s="688">
        <v>2.6804017170014099E-2</v>
      </c>
      <c r="F817" s="310">
        <v>2.0754588376426463E-3</v>
      </c>
      <c r="G817" s="311">
        <v>1.803199312684153E-2</v>
      </c>
      <c r="H817" s="311">
        <v>5.1565937164310043E-4</v>
      </c>
      <c r="I817" s="394">
        <v>5.600432944360596E-4</v>
      </c>
      <c r="J817" s="689">
        <v>1.8494528397983547E-5</v>
      </c>
      <c r="K817" s="690">
        <v>1.9330773833074258E-5</v>
      </c>
    </row>
    <row r="818" spans="2:11" ht="15.75" x14ac:dyDescent="0.25">
      <c r="B818" s="667" t="s">
        <v>76</v>
      </c>
      <c r="C818" s="110">
        <v>2044</v>
      </c>
      <c r="D818" s="687" t="s">
        <v>1301</v>
      </c>
      <c r="E818" s="688">
        <v>2.6705579137599151E-2</v>
      </c>
      <c r="F818" s="310">
        <v>2.0214274243206065E-3</v>
      </c>
      <c r="G818" s="311">
        <v>1.7892065244574977E-2</v>
      </c>
      <c r="H818" s="311">
        <v>5.0554413977333789E-4</v>
      </c>
      <c r="I818" s="394">
        <v>5.4905818489100696E-4</v>
      </c>
      <c r="J818" s="689">
        <v>1.8107219138162512E-5</v>
      </c>
      <c r="K818" s="690">
        <v>1.8925948883958707E-5</v>
      </c>
    </row>
    <row r="819" spans="2:11" ht="15.75" x14ac:dyDescent="0.25">
      <c r="B819" s="667" t="s">
        <v>76</v>
      </c>
      <c r="C819" s="110">
        <v>2045</v>
      </c>
      <c r="D819" s="687" t="s">
        <v>1302</v>
      </c>
      <c r="E819" s="688">
        <v>2.6620871005001212E-2</v>
      </c>
      <c r="F819" s="310">
        <v>1.9863402162677464E-3</v>
      </c>
      <c r="G819" s="311">
        <v>1.78045136451352E-2</v>
      </c>
      <c r="H819" s="311">
        <v>4.971305411232503E-4</v>
      </c>
      <c r="I819" s="394">
        <v>5.3992040548738916E-4</v>
      </c>
      <c r="J819" s="689">
        <v>1.7808979020370669E-5</v>
      </c>
      <c r="K819" s="690">
        <v>1.8614224687775508E-5</v>
      </c>
    </row>
    <row r="820" spans="2:11" ht="15.75" x14ac:dyDescent="0.25">
      <c r="B820" s="667" t="s">
        <v>76</v>
      </c>
      <c r="C820" s="110">
        <v>2046</v>
      </c>
      <c r="D820" s="687" t="s">
        <v>1303</v>
      </c>
      <c r="E820" s="688">
        <v>2.6548577122694636E-2</v>
      </c>
      <c r="F820" s="310">
        <v>1.9569349653469344E-3</v>
      </c>
      <c r="G820" s="311">
        <v>1.7735892905707526E-2</v>
      </c>
      <c r="H820" s="311">
        <v>4.9021135328813816E-4</v>
      </c>
      <c r="I820" s="394">
        <v>5.3240594863091591E-4</v>
      </c>
      <c r="J820" s="689">
        <v>1.7562679973267866E-5</v>
      </c>
      <c r="K820" s="690">
        <v>1.8356786052074944E-5</v>
      </c>
    </row>
    <row r="821" spans="2:11" ht="15.75" x14ac:dyDescent="0.25">
      <c r="B821" s="667" t="s">
        <v>76</v>
      </c>
      <c r="C821" s="110">
        <v>2047</v>
      </c>
      <c r="D821" s="687" t="s">
        <v>1304</v>
      </c>
      <c r="E821" s="688">
        <v>2.6488438214874236E-2</v>
      </c>
      <c r="F821" s="310">
        <v>1.9311274343248312E-3</v>
      </c>
      <c r="G821" s="311">
        <v>1.7670575430704532E-2</v>
      </c>
      <c r="H821" s="311">
        <v>4.8452855696642222E-4</v>
      </c>
      <c r="I821" s="394">
        <v>5.2623403475704012E-4</v>
      </c>
      <c r="J821" s="689">
        <v>1.7347326096047387E-5</v>
      </c>
      <c r="K821" s="690">
        <v>1.8131698080114574E-5</v>
      </c>
    </row>
    <row r="822" spans="2:11" ht="15.75" x14ac:dyDescent="0.25">
      <c r="B822" s="667" t="s">
        <v>76</v>
      </c>
      <c r="C822" s="110">
        <v>2048</v>
      </c>
      <c r="D822" s="687" t="s">
        <v>1305</v>
      </c>
      <c r="E822" s="688">
        <v>2.6438911162368406E-2</v>
      </c>
      <c r="F822" s="310">
        <v>1.9105319463583569E-3</v>
      </c>
      <c r="G822" s="311">
        <v>1.7617908424869926E-2</v>
      </c>
      <c r="H822" s="311">
        <v>4.7986709876112675E-4</v>
      </c>
      <c r="I822" s="394">
        <v>5.2117264953888901E-4</v>
      </c>
      <c r="J822" s="689">
        <v>1.7149765999411133E-5</v>
      </c>
      <c r="K822" s="690">
        <v>1.7925204117608878E-5</v>
      </c>
    </row>
    <row r="823" spans="2:11" ht="15.75" x14ac:dyDescent="0.25">
      <c r="B823" s="667" t="s">
        <v>76</v>
      </c>
      <c r="C823" s="110">
        <v>2049</v>
      </c>
      <c r="D823" s="687" t="s">
        <v>1306</v>
      </c>
      <c r="E823" s="688">
        <v>2.6395388432582028E-2</v>
      </c>
      <c r="F823" s="310">
        <v>1.9017182865165632E-3</v>
      </c>
      <c r="G823" s="311">
        <v>1.7628915834994832E-2</v>
      </c>
      <c r="H823" s="311">
        <v>4.767306975620863E-4</v>
      </c>
      <c r="I823" s="394">
        <v>5.1776796378769476E-4</v>
      </c>
      <c r="J823" s="689">
        <v>1.7002410678845867E-5</v>
      </c>
      <c r="K823" s="690">
        <v>1.7771183293530717E-5</v>
      </c>
    </row>
    <row r="824" spans="2:11" ht="15.75" x14ac:dyDescent="0.25">
      <c r="B824" s="667" t="s">
        <v>76</v>
      </c>
      <c r="C824" s="110">
        <v>2050</v>
      </c>
      <c r="D824" s="687" t="s">
        <v>1307</v>
      </c>
      <c r="E824" s="688">
        <v>2.635846667865982E-2</v>
      </c>
      <c r="F824" s="310">
        <v>1.8946467915185485E-3</v>
      </c>
      <c r="G824" s="311">
        <v>1.7639391840598845E-2</v>
      </c>
      <c r="H824" s="311">
        <v>4.7421033456396564E-4</v>
      </c>
      <c r="I824" s="394">
        <v>5.15032704647772E-4</v>
      </c>
      <c r="J824" s="689">
        <v>1.6857788434016233E-5</v>
      </c>
      <c r="K824" s="690">
        <v>1.7620019870737055E-5</v>
      </c>
    </row>
    <row r="825" spans="2:11" ht="15.75" x14ac:dyDescent="0.25">
      <c r="B825" s="667" t="s">
        <v>77</v>
      </c>
      <c r="C825" s="110">
        <v>2015</v>
      </c>
      <c r="D825" s="687" t="s">
        <v>239</v>
      </c>
      <c r="E825" s="688">
        <v>4.4563902777398301E-2</v>
      </c>
      <c r="F825" s="310">
        <v>0.12046618627288873</v>
      </c>
      <c r="G825" s="311">
        <v>0.4143662454706572</v>
      </c>
      <c r="H825" s="311">
        <v>3.6883580655519719E-3</v>
      </c>
      <c r="I825" s="394">
        <v>3.9856066489470142E-3</v>
      </c>
      <c r="J825" s="689">
        <v>3.7431492246328609E-4</v>
      </c>
      <c r="K825" s="690">
        <v>3.9123978306780969E-4</v>
      </c>
    </row>
    <row r="826" spans="2:11" ht="15.75" x14ac:dyDescent="0.25">
      <c r="B826" s="667" t="s">
        <v>77</v>
      </c>
      <c r="C826" s="110">
        <v>2016</v>
      </c>
      <c r="D826" s="687" t="s">
        <v>240</v>
      </c>
      <c r="E826" s="688">
        <v>4.3625631500205715E-2</v>
      </c>
      <c r="F826" s="310">
        <v>0.10519976787944682</v>
      </c>
      <c r="G826" s="311">
        <v>0.3713383059876717</v>
      </c>
      <c r="H826" s="311">
        <v>3.3881335397795997E-3</v>
      </c>
      <c r="I826" s="394">
        <v>3.6626338074815619E-3</v>
      </c>
      <c r="J826" s="689">
        <v>3.4843379812382147E-4</v>
      </c>
      <c r="K826" s="690">
        <v>3.6418842760376456E-4</v>
      </c>
    </row>
    <row r="827" spans="2:11" ht="15.75" x14ac:dyDescent="0.25">
      <c r="B827" s="667" t="s">
        <v>77</v>
      </c>
      <c r="C827" s="110">
        <v>2017</v>
      </c>
      <c r="D827" s="687" t="s">
        <v>1308</v>
      </c>
      <c r="E827" s="688">
        <v>4.2637557440023378E-2</v>
      </c>
      <c r="F827" s="310">
        <v>9.2740564987670637E-2</v>
      </c>
      <c r="G827" s="311">
        <v>0.3330246293805037</v>
      </c>
      <c r="H827" s="311">
        <v>3.1780285286773448E-3</v>
      </c>
      <c r="I827" s="394">
        <v>3.4367504177007431E-3</v>
      </c>
      <c r="J827" s="689">
        <v>3.2507986594717956E-4</v>
      </c>
      <c r="K827" s="690">
        <v>3.3977852936988695E-4</v>
      </c>
    </row>
    <row r="828" spans="2:11" ht="15.75" x14ac:dyDescent="0.25">
      <c r="B828" s="667" t="s">
        <v>77</v>
      </c>
      <c r="C828" s="110">
        <v>2018</v>
      </c>
      <c r="D828" s="687" t="s">
        <v>1309</v>
      </c>
      <c r="E828" s="688">
        <v>4.1608189132656452E-2</v>
      </c>
      <c r="F828" s="310">
        <v>8.0611026101524638E-2</v>
      </c>
      <c r="G828" s="311">
        <v>0.29660150805642987</v>
      </c>
      <c r="H828" s="311">
        <v>3.0049685842842336E-3</v>
      </c>
      <c r="I828" s="394">
        <v>3.2510043479932254E-3</v>
      </c>
      <c r="J828" s="689">
        <v>3.0407867927257471E-4</v>
      </c>
      <c r="K828" s="690">
        <v>3.1782777108810251E-4</v>
      </c>
    </row>
    <row r="829" spans="2:11" ht="15.75" x14ac:dyDescent="0.25">
      <c r="B829" s="667" t="s">
        <v>77</v>
      </c>
      <c r="C829" s="110">
        <v>2019</v>
      </c>
      <c r="D829" s="687" t="s">
        <v>1310</v>
      </c>
      <c r="E829" s="688">
        <v>4.045262511472153E-2</v>
      </c>
      <c r="F829" s="310">
        <v>7.0556099399956579E-2</v>
      </c>
      <c r="G829" s="311">
        <v>0.26387597423754516</v>
      </c>
      <c r="H829" s="311">
        <v>2.8629206333900059E-3</v>
      </c>
      <c r="I829" s="394">
        <v>3.09841677227436E-3</v>
      </c>
      <c r="J829" s="689">
        <v>2.8359147333465145E-4</v>
      </c>
      <c r="K829" s="690">
        <v>2.9641422270812229E-4</v>
      </c>
    </row>
    <row r="830" spans="2:11" ht="15.75" x14ac:dyDescent="0.25">
      <c r="B830" s="667" t="s">
        <v>77</v>
      </c>
      <c r="C830" s="110">
        <v>2020</v>
      </c>
      <c r="D830" s="687" t="s">
        <v>1311</v>
      </c>
      <c r="E830" s="688">
        <v>3.9359449508563543E-2</v>
      </c>
      <c r="F830" s="310">
        <v>6.2095825776562176E-2</v>
      </c>
      <c r="G830" s="311">
        <v>0.23430511561263814</v>
      </c>
      <c r="H830" s="311">
        <v>2.7148375671089409E-3</v>
      </c>
      <c r="I830" s="394">
        <v>2.9387433084627165E-3</v>
      </c>
      <c r="J830" s="689">
        <v>2.639413692897951E-4</v>
      </c>
      <c r="K830" s="690">
        <v>2.7587563096647207E-4</v>
      </c>
    </row>
    <row r="831" spans="2:11" ht="15.75" x14ac:dyDescent="0.25">
      <c r="B831" s="667" t="s">
        <v>77</v>
      </c>
      <c r="C831" s="110">
        <v>2021</v>
      </c>
      <c r="D831" s="687" t="s">
        <v>1312</v>
      </c>
      <c r="E831" s="688">
        <v>3.8295439111986865E-2</v>
      </c>
      <c r="F831" s="310">
        <v>5.2559517999486403E-2</v>
      </c>
      <c r="G831" s="311">
        <v>0.20437640933046744</v>
      </c>
      <c r="H831" s="311">
        <v>2.5331937026618848E-3</v>
      </c>
      <c r="I831" s="394">
        <v>2.742973737348648E-3</v>
      </c>
      <c r="J831" s="689">
        <v>2.4457995887667487E-4</v>
      </c>
      <c r="K831" s="690">
        <v>2.5563877526697451E-4</v>
      </c>
    </row>
    <row r="832" spans="2:11" ht="15.75" x14ac:dyDescent="0.25">
      <c r="B832" s="667" t="s">
        <v>77</v>
      </c>
      <c r="C832" s="110">
        <v>2022</v>
      </c>
      <c r="D832" s="687" t="s">
        <v>1313</v>
      </c>
      <c r="E832" s="688">
        <v>3.7197716401528677E-2</v>
      </c>
      <c r="F832" s="310">
        <v>4.2271810229765623E-2</v>
      </c>
      <c r="G832" s="311">
        <v>0.17573816825298574</v>
      </c>
      <c r="H832" s="311">
        <v>2.3500252266137308E-3</v>
      </c>
      <c r="I832" s="394">
        <v>2.5458133361311299E-3</v>
      </c>
      <c r="J832" s="689">
        <v>2.2734889243050693E-4</v>
      </c>
      <c r="K832" s="690">
        <v>2.376286029087206E-4</v>
      </c>
    </row>
    <row r="833" spans="2:11" ht="15.75" x14ac:dyDescent="0.25">
      <c r="B833" s="667" t="s">
        <v>77</v>
      </c>
      <c r="C833" s="110">
        <v>2023</v>
      </c>
      <c r="D833" s="687" t="s">
        <v>1314</v>
      </c>
      <c r="E833" s="688">
        <v>3.6106437017603139E-2</v>
      </c>
      <c r="F833" s="310">
        <v>3.6817514924303879E-2</v>
      </c>
      <c r="G833" s="311">
        <v>0.1542873301285177</v>
      </c>
      <c r="H833" s="311">
        <v>2.1891434387088932E-3</v>
      </c>
      <c r="I833" s="394">
        <v>2.3716386895400628E-3</v>
      </c>
      <c r="J833" s="689">
        <v>2.1263630790687341E-4</v>
      </c>
      <c r="K833" s="690">
        <v>2.2225077755693844E-4</v>
      </c>
    </row>
    <row r="834" spans="2:11" ht="15.75" x14ac:dyDescent="0.25">
      <c r="B834" s="667" t="s">
        <v>77</v>
      </c>
      <c r="C834" s="110">
        <v>2024</v>
      </c>
      <c r="D834" s="687" t="s">
        <v>1315</v>
      </c>
      <c r="E834" s="688">
        <v>3.5194912063705661E-2</v>
      </c>
      <c r="F834" s="310">
        <v>3.1834953369452364E-2</v>
      </c>
      <c r="G834" s="311">
        <v>0.13497898704693706</v>
      </c>
      <c r="H834" s="311">
        <v>2.0206921344230657E-3</v>
      </c>
      <c r="I834" s="394">
        <v>2.1899857603555522E-3</v>
      </c>
      <c r="J834" s="689">
        <v>1.8048956156757536E-4</v>
      </c>
      <c r="K834" s="690">
        <v>1.8865050036941076E-4</v>
      </c>
    </row>
    <row r="835" spans="2:11" ht="15.75" x14ac:dyDescent="0.25">
      <c r="B835" s="667" t="s">
        <v>77</v>
      </c>
      <c r="C835" s="110">
        <v>2025</v>
      </c>
      <c r="D835" s="687" t="s">
        <v>1316</v>
      </c>
      <c r="E835" s="688">
        <v>3.4118100339907122E-2</v>
      </c>
      <c r="F835" s="310">
        <v>2.8131158442882782E-2</v>
      </c>
      <c r="G835" s="311">
        <v>0.11997096335300039</v>
      </c>
      <c r="H835" s="311">
        <v>1.9029689096482321E-3</v>
      </c>
      <c r="I835" s="394">
        <v>2.0629028085386017E-3</v>
      </c>
      <c r="J835" s="689">
        <v>1.5913683952508776E-4</v>
      </c>
      <c r="K835" s="690">
        <v>1.6633228985278399E-4</v>
      </c>
    </row>
    <row r="836" spans="2:11" ht="15.75" x14ac:dyDescent="0.25">
      <c r="B836" s="667" t="s">
        <v>77</v>
      </c>
      <c r="C836" s="110">
        <v>2026</v>
      </c>
      <c r="D836" s="687" t="s">
        <v>1317</v>
      </c>
      <c r="E836" s="688">
        <v>3.3166851915755392E-2</v>
      </c>
      <c r="F836" s="310">
        <v>2.5027060779180859E-2</v>
      </c>
      <c r="G836" s="311">
        <v>0.10742733542990468</v>
      </c>
      <c r="H836" s="311">
        <v>1.8064041323868822E-3</v>
      </c>
      <c r="I836" s="394">
        <v>1.958382484121798E-3</v>
      </c>
      <c r="J836" s="689">
        <v>1.4735744316266626E-4</v>
      </c>
      <c r="K836" s="690">
        <v>1.5402029605847151E-4</v>
      </c>
    </row>
    <row r="837" spans="2:11" ht="15.75" x14ac:dyDescent="0.25">
      <c r="B837" s="667" t="s">
        <v>77</v>
      </c>
      <c r="C837" s="110">
        <v>2027</v>
      </c>
      <c r="D837" s="687" t="s">
        <v>1318</v>
      </c>
      <c r="E837" s="688">
        <v>3.2317226797225679E-2</v>
      </c>
      <c r="F837" s="310">
        <v>2.2197850865054821E-2</v>
      </c>
      <c r="G837" s="311">
        <v>9.6089388578794357E-2</v>
      </c>
      <c r="H837" s="311">
        <v>1.6818436642385378E-3</v>
      </c>
      <c r="I837" s="394">
        <v>1.82440000512943E-3</v>
      </c>
      <c r="J837" s="689">
        <v>1.1229128431123304E-4</v>
      </c>
      <c r="K837" s="690">
        <v>1.173686043501221E-4</v>
      </c>
    </row>
    <row r="838" spans="2:11" ht="15.75" x14ac:dyDescent="0.25">
      <c r="B838" s="667" t="s">
        <v>77</v>
      </c>
      <c r="C838" s="110">
        <v>2028</v>
      </c>
      <c r="D838" s="687" t="s">
        <v>1319</v>
      </c>
      <c r="E838" s="688">
        <v>3.1561636215588371E-2</v>
      </c>
      <c r="F838" s="310">
        <v>1.9671385168601695E-2</v>
      </c>
      <c r="G838" s="311">
        <v>8.6073095609206354E-2</v>
      </c>
      <c r="H838" s="311">
        <v>1.56931101027892E-3</v>
      </c>
      <c r="I838" s="394">
        <v>1.7027422389666381E-3</v>
      </c>
      <c r="J838" s="689">
        <v>9.5033016939882598E-5</v>
      </c>
      <c r="K838" s="690">
        <v>9.9329990715219197E-5</v>
      </c>
    </row>
    <row r="839" spans="2:11" ht="15.75" x14ac:dyDescent="0.25">
      <c r="B839" s="667" t="s">
        <v>77</v>
      </c>
      <c r="C839" s="110">
        <v>2029</v>
      </c>
      <c r="D839" s="687" t="s">
        <v>1320</v>
      </c>
      <c r="E839" s="688">
        <v>3.0885975808232994E-2</v>
      </c>
      <c r="F839" s="310">
        <v>1.736832891740071E-2</v>
      </c>
      <c r="G839" s="311">
        <v>7.7048507145966103E-2</v>
      </c>
      <c r="H839" s="311">
        <v>1.4572106081010732E-3</v>
      </c>
      <c r="I839" s="394">
        <v>1.5816381366666073E-3</v>
      </c>
      <c r="J839" s="689">
        <v>7.5777719593174168E-5</v>
      </c>
      <c r="K839" s="690">
        <v>7.9204047450014562E-5</v>
      </c>
    </row>
    <row r="840" spans="2:11" ht="15.75" x14ac:dyDescent="0.25">
      <c r="B840" s="667" t="s">
        <v>77</v>
      </c>
      <c r="C840" s="110">
        <v>2030</v>
      </c>
      <c r="D840" s="687" t="s">
        <v>1321</v>
      </c>
      <c r="E840" s="688">
        <v>3.0283664593738598E-2</v>
      </c>
      <c r="F840" s="310">
        <v>1.538685834259574E-2</v>
      </c>
      <c r="G840" s="311">
        <v>6.9007321912664246E-2</v>
      </c>
      <c r="H840" s="311">
        <v>1.3518342069079744E-3</v>
      </c>
      <c r="I840" s="394">
        <v>1.4675449056641503E-3</v>
      </c>
      <c r="J840" s="689">
        <v>6.3667382630006684E-5</v>
      </c>
      <c r="K840" s="690">
        <v>6.6546147593893754E-5</v>
      </c>
    </row>
    <row r="841" spans="2:11" ht="15.75" x14ac:dyDescent="0.25">
      <c r="B841" s="667" t="s">
        <v>77</v>
      </c>
      <c r="C841" s="110">
        <v>2031</v>
      </c>
      <c r="D841" s="687" t="s">
        <v>1322</v>
      </c>
      <c r="E841" s="688">
        <v>2.978616665662856E-2</v>
      </c>
      <c r="F841" s="310">
        <v>1.360637841801475E-2</v>
      </c>
      <c r="G841" s="311">
        <v>6.182976695135841E-2</v>
      </c>
      <c r="H841" s="311">
        <v>1.2572440283205014E-3</v>
      </c>
      <c r="I841" s="394">
        <v>1.3648750209980672E-3</v>
      </c>
      <c r="J841" s="689">
        <v>5.881601044671727E-5</v>
      </c>
      <c r="K841" s="690">
        <v>6.1475405787089155E-5</v>
      </c>
    </row>
    <row r="842" spans="2:11" ht="15.75" x14ac:dyDescent="0.25">
      <c r="B842" s="667" t="s">
        <v>77</v>
      </c>
      <c r="C842" s="110">
        <v>2032</v>
      </c>
      <c r="D842" s="687" t="s">
        <v>1323</v>
      </c>
      <c r="E842" s="688">
        <v>2.9311059888377584E-2</v>
      </c>
      <c r="F842" s="310">
        <v>1.212620331867059E-2</v>
      </c>
      <c r="G842" s="311">
        <v>5.5990823544769773E-2</v>
      </c>
      <c r="H842" s="311">
        <v>1.1720718856005521E-3</v>
      </c>
      <c r="I842" s="394">
        <v>1.2724560922059151E-3</v>
      </c>
      <c r="J842" s="689">
        <v>5.3788956737696853E-5</v>
      </c>
      <c r="K842" s="690">
        <v>5.622105636751887E-5</v>
      </c>
    </row>
    <row r="843" spans="2:11" ht="15.75" x14ac:dyDescent="0.25">
      <c r="B843" s="667" t="s">
        <v>77</v>
      </c>
      <c r="C843" s="110">
        <v>2033</v>
      </c>
      <c r="D843" s="687" t="s">
        <v>1324</v>
      </c>
      <c r="E843" s="688">
        <v>2.8891494682379251E-2</v>
      </c>
      <c r="F843" s="310">
        <v>1.0720770782788169E-2</v>
      </c>
      <c r="G843" s="311">
        <v>5.0552071666875233E-2</v>
      </c>
      <c r="H843" s="311">
        <v>1.089833994760338E-3</v>
      </c>
      <c r="I843" s="394">
        <v>1.1831994854465985E-3</v>
      </c>
      <c r="J843" s="689">
        <v>4.9419898593404637E-5</v>
      </c>
      <c r="K843" s="690">
        <v>5.1654443331837736E-5</v>
      </c>
    </row>
    <row r="844" spans="2:11" ht="15.75" x14ac:dyDescent="0.25">
      <c r="B844" s="667" t="s">
        <v>77</v>
      </c>
      <c r="C844" s="110">
        <v>2034</v>
      </c>
      <c r="D844" s="687" t="s">
        <v>1325</v>
      </c>
      <c r="E844" s="688">
        <v>2.8521983865111931E-2</v>
      </c>
      <c r="F844" s="310">
        <v>9.4871067774584504E-3</v>
      </c>
      <c r="G844" s="311">
        <v>4.591597704769055E-2</v>
      </c>
      <c r="H844" s="311">
        <v>1.0150447357446574E-3</v>
      </c>
      <c r="I844" s="394">
        <v>1.1020123915483052E-3</v>
      </c>
      <c r="J844" s="689">
        <v>4.5810877806119598E-5</v>
      </c>
      <c r="K844" s="690">
        <v>4.7882238823800939E-5</v>
      </c>
    </row>
    <row r="845" spans="2:11" ht="15.75" x14ac:dyDescent="0.25">
      <c r="B845" s="667" t="s">
        <v>77</v>
      </c>
      <c r="C845" s="110">
        <v>2035</v>
      </c>
      <c r="D845" s="687" t="s">
        <v>1326</v>
      </c>
      <c r="E845" s="688">
        <v>2.8200281618089441E-2</v>
      </c>
      <c r="F845" s="310">
        <v>8.2911737651877072E-3</v>
      </c>
      <c r="G845" s="311">
        <v>4.1545597192291298E-2</v>
      </c>
      <c r="H845" s="311">
        <v>9.4238123573359546E-4</v>
      </c>
      <c r="I845" s="394">
        <v>1.0231248564862938E-3</v>
      </c>
      <c r="J845" s="689">
        <v>4.2498994898925104E-5</v>
      </c>
      <c r="K845" s="690">
        <v>4.4420606959421306E-5</v>
      </c>
    </row>
    <row r="846" spans="2:11" ht="15.75" x14ac:dyDescent="0.25">
      <c r="B846" s="667" t="s">
        <v>77</v>
      </c>
      <c r="C846" s="110">
        <v>2036</v>
      </c>
      <c r="D846" s="687" t="s">
        <v>1327</v>
      </c>
      <c r="E846" s="688">
        <v>2.7920965608378735E-2</v>
      </c>
      <c r="F846" s="310">
        <v>7.3746946655718886E-3</v>
      </c>
      <c r="G846" s="311">
        <v>3.8291114828407101E-2</v>
      </c>
      <c r="H846" s="311">
        <v>8.8522986236186808E-4</v>
      </c>
      <c r="I846" s="394">
        <v>9.6118324125949817E-4</v>
      </c>
      <c r="J846" s="689">
        <v>3.7393992669376507E-5</v>
      </c>
      <c r="K846" s="690">
        <v>3.908478930818759E-5</v>
      </c>
    </row>
    <row r="847" spans="2:11" ht="15.75" x14ac:dyDescent="0.25">
      <c r="B847" s="667" t="s">
        <v>77</v>
      </c>
      <c r="C847" s="110">
        <v>2037</v>
      </c>
      <c r="D847" s="687" t="s">
        <v>1328</v>
      </c>
      <c r="E847" s="688">
        <v>2.7681755230542209E-2</v>
      </c>
      <c r="F847" s="310">
        <v>6.494858975164529E-3</v>
      </c>
      <c r="G847" s="311">
        <v>3.5174608950076638E-2</v>
      </c>
      <c r="H847" s="311">
        <v>8.3412448903348992E-4</v>
      </c>
      <c r="I847" s="394">
        <v>9.0570740341047111E-4</v>
      </c>
      <c r="J847" s="689">
        <v>3.4905714705659372E-5</v>
      </c>
      <c r="K847" s="690">
        <v>3.6483996924253886E-5</v>
      </c>
    </row>
    <row r="848" spans="2:11" ht="15.75" x14ac:dyDescent="0.25">
      <c r="B848" s="667" t="s">
        <v>77</v>
      </c>
      <c r="C848" s="110">
        <v>2038</v>
      </c>
      <c r="D848" s="687" t="s">
        <v>1329</v>
      </c>
      <c r="E848" s="688">
        <v>2.7478209897706902E-2</v>
      </c>
      <c r="F848" s="310">
        <v>5.7166591482991037E-3</v>
      </c>
      <c r="G848" s="311">
        <v>3.2424504402681166E-2</v>
      </c>
      <c r="H848" s="311">
        <v>7.8807240191658531E-4</v>
      </c>
      <c r="I848" s="394">
        <v>8.5572490963413308E-4</v>
      </c>
      <c r="J848" s="689">
        <v>3.248378721269517E-5</v>
      </c>
      <c r="K848" s="690">
        <v>3.3952555587631859E-5</v>
      </c>
    </row>
    <row r="849" spans="2:11" ht="15.75" x14ac:dyDescent="0.25">
      <c r="B849" s="667" t="s">
        <v>77</v>
      </c>
      <c r="C849" s="110">
        <v>2039</v>
      </c>
      <c r="D849" s="687" t="s">
        <v>1330</v>
      </c>
      <c r="E849" s="688">
        <v>2.7305508320404428E-2</v>
      </c>
      <c r="F849" s="310">
        <v>4.9694114666869677E-3</v>
      </c>
      <c r="G849" s="311">
        <v>2.9805798588942434E-2</v>
      </c>
      <c r="H849" s="311">
        <v>7.4532432658596021E-4</v>
      </c>
      <c r="I849" s="394">
        <v>8.0932132862102427E-4</v>
      </c>
      <c r="J849" s="689">
        <v>3.0367668513225245E-5</v>
      </c>
      <c r="K849" s="690">
        <v>3.1740757891846189E-5</v>
      </c>
    </row>
    <row r="850" spans="2:11" ht="15.75" x14ac:dyDescent="0.25">
      <c r="B850" s="667" t="s">
        <v>77</v>
      </c>
      <c r="C850" s="110">
        <v>2040</v>
      </c>
      <c r="D850" s="687" t="s">
        <v>1331</v>
      </c>
      <c r="E850" s="688">
        <v>2.7159689647869596E-2</v>
      </c>
      <c r="F850" s="310">
        <v>4.2984745171355913E-3</v>
      </c>
      <c r="G850" s="311">
        <v>2.7556895483942408E-2</v>
      </c>
      <c r="H850" s="311">
        <v>7.0644411761865763E-4</v>
      </c>
      <c r="I850" s="394">
        <v>7.6709899380695461E-4</v>
      </c>
      <c r="J850" s="689">
        <v>2.8862751897445031E-5</v>
      </c>
      <c r="K850" s="690">
        <v>3.0167798059781956E-5</v>
      </c>
    </row>
    <row r="851" spans="2:11" ht="15.75" x14ac:dyDescent="0.25">
      <c r="B851" s="667" t="s">
        <v>77</v>
      </c>
      <c r="C851" s="110">
        <v>2041</v>
      </c>
      <c r="D851" s="687" t="s">
        <v>1332</v>
      </c>
      <c r="E851" s="688">
        <v>2.7039409107480913E-2</v>
      </c>
      <c r="F851" s="310">
        <v>3.8359935972797341E-3</v>
      </c>
      <c r="G851" s="311">
        <v>2.5864055611892832E-2</v>
      </c>
      <c r="H851" s="311">
        <v>6.7980058931156736E-4</v>
      </c>
      <c r="I851" s="394">
        <v>7.3817763626072706E-4</v>
      </c>
      <c r="J851" s="689">
        <v>2.7555135472103929E-5</v>
      </c>
      <c r="K851" s="690">
        <v>2.8801054786416751E-5</v>
      </c>
    </row>
    <row r="852" spans="2:11" ht="15.75" x14ac:dyDescent="0.25">
      <c r="B852" s="667" t="s">
        <v>77</v>
      </c>
      <c r="C852" s="110">
        <v>2042</v>
      </c>
      <c r="D852" s="687" t="s">
        <v>1333</v>
      </c>
      <c r="E852" s="688">
        <v>2.6938035883063295E-2</v>
      </c>
      <c r="F852" s="310">
        <v>3.4146213842832199E-3</v>
      </c>
      <c r="G852" s="311">
        <v>2.4220771471541735E-2</v>
      </c>
      <c r="H852" s="311">
        <v>6.5594555283896494E-4</v>
      </c>
      <c r="I852" s="394">
        <v>7.1228662437730584E-4</v>
      </c>
      <c r="J852" s="689">
        <v>2.6279255602998294E-5</v>
      </c>
      <c r="K852" s="690">
        <v>2.7467490427836355E-5</v>
      </c>
    </row>
    <row r="853" spans="2:11" ht="15.75" x14ac:dyDescent="0.25">
      <c r="B853" s="667" t="s">
        <v>77</v>
      </c>
      <c r="C853" s="110">
        <v>2043</v>
      </c>
      <c r="D853" s="687" t="s">
        <v>1334</v>
      </c>
      <c r="E853" s="688">
        <v>2.6854372324006726E-2</v>
      </c>
      <c r="F853" s="310">
        <v>3.1061988855270628E-3</v>
      </c>
      <c r="G853" s="311">
        <v>2.2997327131518246E-2</v>
      </c>
      <c r="H853" s="311">
        <v>6.3526588659237112E-4</v>
      </c>
      <c r="I853" s="394">
        <v>6.8984703405768164E-4</v>
      </c>
      <c r="J853" s="689">
        <v>2.5073247754354821E-5</v>
      </c>
      <c r="K853" s="690">
        <v>2.6206944209056929E-5</v>
      </c>
    </row>
    <row r="854" spans="2:11" ht="15.75" x14ac:dyDescent="0.25">
      <c r="B854" s="667" t="s">
        <v>77</v>
      </c>
      <c r="C854" s="110">
        <v>2044</v>
      </c>
      <c r="D854" s="687" t="s">
        <v>1335</v>
      </c>
      <c r="E854" s="688">
        <v>2.6784143978892491E-2</v>
      </c>
      <c r="F854" s="310">
        <v>2.8690119647786388E-3</v>
      </c>
      <c r="G854" s="311">
        <v>2.2000477380251786E-2</v>
      </c>
      <c r="H854" s="311">
        <v>6.1705023518327429E-4</v>
      </c>
      <c r="I854" s="394">
        <v>6.7007836243146727E-4</v>
      </c>
      <c r="J854" s="689">
        <v>2.4074787409894628E-5</v>
      </c>
      <c r="K854" s="690">
        <v>2.5163345976679309E-5</v>
      </c>
    </row>
    <row r="855" spans="2:11" ht="15.75" x14ac:dyDescent="0.25">
      <c r="B855" s="667" t="s">
        <v>77</v>
      </c>
      <c r="C855" s="110">
        <v>2045</v>
      </c>
      <c r="D855" s="687" t="s">
        <v>1336</v>
      </c>
      <c r="E855" s="688">
        <v>2.6723598880290172E-2</v>
      </c>
      <c r="F855" s="310">
        <v>2.7123486300240536E-3</v>
      </c>
      <c r="G855" s="311">
        <v>2.1311999007698902E-2</v>
      </c>
      <c r="H855" s="311">
        <v>6.0131120086033584E-4</v>
      </c>
      <c r="I855" s="394">
        <v>6.5299177330193953E-4</v>
      </c>
      <c r="J855" s="689">
        <v>2.3342844108711857E-5</v>
      </c>
      <c r="K855" s="690">
        <v>2.4398308219519313E-5</v>
      </c>
    </row>
    <row r="856" spans="2:11" ht="15.75" x14ac:dyDescent="0.25">
      <c r="B856" s="667" t="s">
        <v>77</v>
      </c>
      <c r="C856" s="110">
        <v>2046</v>
      </c>
      <c r="D856" s="687" t="s">
        <v>1337</v>
      </c>
      <c r="E856" s="688">
        <v>2.6673107540815942E-2</v>
      </c>
      <c r="F856" s="310">
        <v>2.5836559550840689E-3</v>
      </c>
      <c r="G856" s="311">
        <v>2.0788468712533922E-2</v>
      </c>
      <c r="H856" s="311">
        <v>5.875487931440845E-4</v>
      </c>
      <c r="I856" s="394">
        <v>6.3806356198548714E-4</v>
      </c>
      <c r="J856" s="689">
        <v>2.2392667885631798E-5</v>
      </c>
      <c r="K856" s="690">
        <v>2.3405163996948024E-5</v>
      </c>
    </row>
    <row r="857" spans="2:11" ht="15.75" x14ac:dyDescent="0.25">
      <c r="B857" s="667" t="s">
        <v>77</v>
      </c>
      <c r="C857" s="110">
        <v>2047</v>
      </c>
      <c r="D857" s="687" t="s">
        <v>1338</v>
      </c>
      <c r="E857" s="688">
        <v>2.6629993098060894E-2</v>
      </c>
      <c r="F857" s="310">
        <v>2.461929929899298E-3</v>
      </c>
      <c r="G857" s="311">
        <v>2.0292599889897397E-2</v>
      </c>
      <c r="H857" s="311">
        <v>5.7568333881337862E-4</v>
      </c>
      <c r="I857" s="394">
        <v>6.2518116773759198E-4</v>
      </c>
      <c r="J857" s="689">
        <v>2.1866273947189993E-5</v>
      </c>
      <c r="K857" s="690">
        <v>2.2854972557602203E-5</v>
      </c>
    </row>
    <row r="858" spans="2:11" ht="15.75" x14ac:dyDescent="0.25">
      <c r="B858" s="667" t="s">
        <v>77</v>
      </c>
      <c r="C858" s="110">
        <v>2048</v>
      </c>
      <c r="D858" s="687" t="s">
        <v>1339</v>
      </c>
      <c r="E858" s="688">
        <v>2.659339100534178E-2</v>
      </c>
      <c r="F858" s="310">
        <v>2.3708081492864203E-3</v>
      </c>
      <c r="G858" s="311">
        <v>1.9908882443587805E-2</v>
      </c>
      <c r="H858" s="311">
        <v>5.653883256424775E-4</v>
      </c>
      <c r="I858" s="394">
        <v>6.1401572645188138E-4</v>
      </c>
      <c r="J858" s="689">
        <v>2.1131345012683121E-5</v>
      </c>
      <c r="K858" s="690">
        <v>2.2086818277330546E-5</v>
      </c>
    </row>
    <row r="859" spans="2:11" ht="15.75" x14ac:dyDescent="0.25">
      <c r="B859" s="667" t="s">
        <v>77</v>
      </c>
      <c r="C859" s="110">
        <v>2049</v>
      </c>
      <c r="D859" s="687" t="s">
        <v>1340</v>
      </c>
      <c r="E859" s="688">
        <v>2.6562337214832761E-2</v>
      </c>
      <c r="F859" s="310">
        <v>2.3418089741337822E-3</v>
      </c>
      <c r="G859" s="311">
        <v>1.9870099359763718E-2</v>
      </c>
      <c r="H859" s="311">
        <v>5.6006137319555773E-4</v>
      </c>
      <c r="I859" s="394">
        <v>6.0823565347282017E-4</v>
      </c>
      <c r="J859" s="689">
        <v>2.08314889948258E-5</v>
      </c>
      <c r="K859" s="690">
        <v>2.1773395454415751E-5</v>
      </c>
    </row>
    <row r="860" spans="2:11" ht="15.75" x14ac:dyDescent="0.25">
      <c r="B860" s="667" t="s">
        <v>77</v>
      </c>
      <c r="C860" s="110">
        <v>2050</v>
      </c>
      <c r="D860" s="687" t="s">
        <v>1341</v>
      </c>
      <c r="E860" s="688">
        <v>2.6537959271217892E-2</v>
      </c>
      <c r="F860" s="310">
        <v>2.3177632276208246E-3</v>
      </c>
      <c r="G860" s="311">
        <v>1.9841037492601053E-2</v>
      </c>
      <c r="H860" s="311">
        <v>5.5567682199528386E-4</v>
      </c>
      <c r="I860" s="394">
        <v>6.034790127621342E-4</v>
      </c>
      <c r="J860" s="689">
        <v>2.0538966878923546E-5</v>
      </c>
      <c r="K860" s="690">
        <v>2.1467648081193857E-5</v>
      </c>
    </row>
    <row r="861" spans="2:11" ht="15.75" x14ac:dyDescent="0.25">
      <c r="B861" s="667" t="s">
        <v>241</v>
      </c>
      <c r="C861" s="110">
        <v>2015</v>
      </c>
      <c r="D861" s="687" t="s">
        <v>242</v>
      </c>
      <c r="E861" s="688">
        <v>4.6907383240726137E-2</v>
      </c>
      <c r="F861" s="310">
        <v>7.8175696380030649E-2</v>
      </c>
      <c r="G861" s="311">
        <v>0.30377825808619219</v>
      </c>
      <c r="H861" s="311">
        <v>2.8134331855154513E-3</v>
      </c>
      <c r="I861" s="394">
        <v>3.0311884080166966E-3</v>
      </c>
      <c r="J861" s="689">
        <v>5.1944615295322107E-4</v>
      </c>
      <c r="K861" s="690">
        <v>5.4293320863043541E-4</v>
      </c>
    </row>
    <row r="862" spans="2:11" ht="15.75" x14ac:dyDescent="0.25">
      <c r="B862" s="667" t="s">
        <v>241</v>
      </c>
      <c r="C862" s="110">
        <v>2016</v>
      </c>
      <c r="D862" s="687" t="s">
        <v>243</v>
      </c>
      <c r="E862" s="688">
        <v>4.5978002273033065E-2</v>
      </c>
      <c r="F862" s="310">
        <v>6.4836446993893612E-2</v>
      </c>
      <c r="G862" s="311">
        <v>0.26246819021009632</v>
      </c>
      <c r="H862" s="311">
        <v>2.5213347958348079E-3</v>
      </c>
      <c r="I862" s="394">
        <v>2.7198880439398333E-3</v>
      </c>
      <c r="J862" s="689">
        <v>4.1903528446709517E-4</v>
      </c>
      <c r="K862" s="690">
        <v>4.3798219800199588E-4</v>
      </c>
    </row>
    <row r="863" spans="2:11" ht="15.75" x14ac:dyDescent="0.25">
      <c r="B863" s="667" t="s">
        <v>241</v>
      </c>
      <c r="C863" s="110">
        <v>2017</v>
      </c>
      <c r="D863" s="687" t="s">
        <v>1342</v>
      </c>
      <c r="E863" s="688">
        <v>4.4851546137329376E-2</v>
      </c>
      <c r="F863" s="310">
        <v>5.4021846021862503E-2</v>
      </c>
      <c r="G863" s="311">
        <v>0.22682199480971132</v>
      </c>
      <c r="H863" s="311">
        <v>2.3513095854570446E-3</v>
      </c>
      <c r="I863" s="394">
        <v>2.5383062454815896E-3</v>
      </c>
      <c r="J863" s="689">
        <v>3.7658093137302656E-4</v>
      </c>
      <c r="K863" s="690">
        <v>3.9360825238026831E-4</v>
      </c>
    </row>
    <row r="864" spans="2:11" ht="15.75" x14ac:dyDescent="0.25">
      <c r="B864" s="667" t="s">
        <v>241</v>
      </c>
      <c r="C864" s="110">
        <v>2018</v>
      </c>
      <c r="D864" s="687" t="s">
        <v>1343</v>
      </c>
      <c r="E864" s="688">
        <v>4.4108312978178833E-2</v>
      </c>
      <c r="F864" s="310">
        <v>4.4698591434227698E-2</v>
      </c>
      <c r="G864" s="311">
        <v>0.19523307292530942</v>
      </c>
      <c r="H864" s="311">
        <v>2.2238712021257446E-3</v>
      </c>
      <c r="I864" s="394">
        <v>2.4025219171337738E-3</v>
      </c>
      <c r="J864" s="689">
        <v>3.3889588929096685E-4</v>
      </c>
      <c r="K864" s="690">
        <v>3.5421925368675212E-4</v>
      </c>
    </row>
    <row r="865" spans="2:11" ht="15.75" x14ac:dyDescent="0.25">
      <c r="B865" s="667" t="s">
        <v>241</v>
      </c>
      <c r="C865" s="110">
        <v>2019</v>
      </c>
      <c r="D865" s="687" t="s">
        <v>1344</v>
      </c>
      <c r="E865" s="688">
        <v>4.2829200190777295E-2</v>
      </c>
      <c r="F865" s="310">
        <v>3.6841649978985896E-2</v>
      </c>
      <c r="G865" s="311">
        <v>0.16793392289368844</v>
      </c>
      <c r="H865" s="311">
        <v>2.1182700420745906E-3</v>
      </c>
      <c r="I865" s="394">
        <v>2.2901242334728783E-3</v>
      </c>
      <c r="J865" s="689">
        <v>3.0258277000206561E-4</v>
      </c>
      <c r="K865" s="690">
        <v>3.1626422692559536E-4</v>
      </c>
    </row>
    <row r="866" spans="2:11" ht="15.75" x14ac:dyDescent="0.25">
      <c r="B866" s="667" t="s">
        <v>241</v>
      </c>
      <c r="C866" s="110">
        <v>2020</v>
      </c>
      <c r="D866" s="687" t="s">
        <v>1345</v>
      </c>
      <c r="E866" s="688">
        <v>4.1522731659456594E-2</v>
      </c>
      <c r="F866" s="310">
        <v>3.1277906596277341E-2</v>
      </c>
      <c r="G866" s="311">
        <v>0.14514764823699228</v>
      </c>
      <c r="H866" s="311">
        <v>2.0097715200389451E-3</v>
      </c>
      <c r="I866" s="394">
        <v>2.1736926239636946E-3</v>
      </c>
      <c r="J866" s="689">
        <v>2.7201610324979004E-4</v>
      </c>
      <c r="K866" s="690">
        <v>2.8431546506696426E-4</v>
      </c>
    </row>
    <row r="867" spans="2:11" ht="15.75" x14ac:dyDescent="0.25">
      <c r="B867" s="667" t="s">
        <v>241</v>
      </c>
      <c r="C867" s="110">
        <v>2021</v>
      </c>
      <c r="D867" s="687" t="s">
        <v>1346</v>
      </c>
      <c r="E867" s="688">
        <v>4.0034775477734381E-2</v>
      </c>
      <c r="F867" s="310">
        <v>2.6693154964680495E-2</v>
      </c>
      <c r="G867" s="311">
        <v>0.12523953747219829</v>
      </c>
      <c r="H867" s="311">
        <v>1.8768970049109737E-3</v>
      </c>
      <c r="I867" s="394">
        <v>2.0305448617718982E-3</v>
      </c>
      <c r="J867" s="689">
        <v>2.4425014686596519E-4</v>
      </c>
      <c r="K867" s="690">
        <v>2.5529404955719102E-4</v>
      </c>
    </row>
    <row r="868" spans="2:11" ht="15.75" x14ac:dyDescent="0.25">
      <c r="B868" s="667" t="s">
        <v>241</v>
      </c>
      <c r="C868" s="110">
        <v>2022</v>
      </c>
      <c r="D868" s="687" t="s">
        <v>1347</v>
      </c>
      <c r="E868" s="688">
        <v>3.8741419983806306E-2</v>
      </c>
      <c r="F868" s="310">
        <v>2.2441000502136987E-2</v>
      </c>
      <c r="G868" s="311">
        <v>0.10797900774323184</v>
      </c>
      <c r="H868" s="311">
        <v>1.7491083234870823E-3</v>
      </c>
      <c r="I868" s="394">
        <v>1.8931003349706851E-3</v>
      </c>
      <c r="J868" s="689">
        <v>2.1395451672709008E-4</v>
      </c>
      <c r="K868" s="690">
        <v>2.2362859334275185E-4</v>
      </c>
    </row>
    <row r="869" spans="2:11" ht="15.75" x14ac:dyDescent="0.25">
      <c r="B869" s="667" t="s">
        <v>241</v>
      </c>
      <c r="C869" s="110">
        <v>2023</v>
      </c>
      <c r="D869" s="687" t="s">
        <v>1348</v>
      </c>
      <c r="E869" s="688">
        <v>3.7462973057600969E-2</v>
      </c>
      <c r="F869" s="310">
        <v>1.9313083793430497E-2</v>
      </c>
      <c r="G869" s="311">
        <v>9.3746544572969923E-2</v>
      </c>
      <c r="H869" s="311">
        <v>1.6383594869878997E-3</v>
      </c>
      <c r="I869" s="394">
        <v>1.7737215135925804E-3</v>
      </c>
      <c r="J869" s="689">
        <v>1.9022610040918383E-4</v>
      </c>
      <c r="K869" s="690">
        <v>1.9882728114725288E-4</v>
      </c>
    </row>
    <row r="870" spans="2:11" ht="15.75" x14ac:dyDescent="0.25">
      <c r="B870" s="667" t="s">
        <v>241</v>
      </c>
      <c r="C870" s="110">
        <v>2024</v>
      </c>
      <c r="D870" s="687" t="s">
        <v>1349</v>
      </c>
      <c r="E870" s="688">
        <v>3.6533460699003199E-2</v>
      </c>
      <c r="F870" s="310">
        <v>1.6624755124140689E-2</v>
      </c>
      <c r="G870" s="311">
        <v>8.1631024457519644E-2</v>
      </c>
      <c r="H870" s="311">
        <v>1.5322865361443241E-3</v>
      </c>
      <c r="I870" s="394">
        <v>1.6596192285463385E-3</v>
      </c>
      <c r="J870" s="689">
        <v>1.6194401884110451E-4</v>
      </c>
      <c r="K870" s="690">
        <v>1.692664092065794E-4</v>
      </c>
    </row>
    <row r="871" spans="2:11" ht="15.75" x14ac:dyDescent="0.25">
      <c r="B871" s="667" t="s">
        <v>241</v>
      </c>
      <c r="C871" s="110">
        <v>2025</v>
      </c>
      <c r="D871" s="687" t="s">
        <v>1350</v>
      </c>
      <c r="E871" s="688">
        <v>3.5292030093985315E-2</v>
      </c>
      <c r="F871" s="310">
        <v>1.451347165396861E-2</v>
      </c>
      <c r="G871" s="311">
        <v>7.1974636735830003E-2</v>
      </c>
      <c r="H871" s="311">
        <v>1.4514983016874611E-3</v>
      </c>
      <c r="I871" s="394">
        <v>1.572601634892147E-3</v>
      </c>
      <c r="J871" s="689">
        <v>1.4237934925813366E-4</v>
      </c>
      <c r="K871" s="690">
        <v>1.4881711561418086E-4</v>
      </c>
    </row>
    <row r="872" spans="2:11" ht="15.75" x14ac:dyDescent="0.25">
      <c r="B872" s="667" t="s">
        <v>241</v>
      </c>
      <c r="C872" s="110">
        <v>2026</v>
      </c>
      <c r="D872" s="687" t="s">
        <v>1351</v>
      </c>
      <c r="E872" s="688">
        <v>3.4666302742794211E-2</v>
      </c>
      <c r="F872" s="310">
        <v>1.2756457777768616E-2</v>
      </c>
      <c r="G872" s="311">
        <v>6.4017632664469637E-2</v>
      </c>
      <c r="H872" s="311">
        <v>1.3698884753398099E-3</v>
      </c>
      <c r="I872" s="394">
        <v>1.4848641002781083E-3</v>
      </c>
      <c r="J872" s="689">
        <v>1.1833600623716827E-4</v>
      </c>
      <c r="K872" s="690">
        <v>1.2368663419836512E-4</v>
      </c>
    </row>
    <row r="873" spans="2:11" ht="15.75" x14ac:dyDescent="0.25">
      <c r="B873" s="667" t="s">
        <v>241</v>
      </c>
      <c r="C873" s="110">
        <v>2027</v>
      </c>
      <c r="D873" s="687" t="s">
        <v>1352</v>
      </c>
      <c r="E873" s="688">
        <v>3.3606039941734847E-2</v>
      </c>
      <c r="F873" s="310">
        <v>1.1257835155801468E-2</v>
      </c>
      <c r="G873" s="311">
        <v>5.72346120444433E-2</v>
      </c>
      <c r="H873" s="311">
        <v>1.2854273721114777E-3</v>
      </c>
      <c r="I873" s="394">
        <v>1.3939577305413172E-3</v>
      </c>
      <c r="J873" s="689">
        <v>9.58630281492821E-5</v>
      </c>
      <c r="K873" s="690">
        <v>1.0019753293117867E-4</v>
      </c>
    </row>
    <row r="874" spans="2:11" ht="15.75" x14ac:dyDescent="0.25">
      <c r="B874" s="667" t="s">
        <v>241</v>
      </c>
      <c r="C874" s="110">
        <v>2028</v>
      </c>
      <c r="D874" s="687" t="s">
        <v>1353</v>
      </c>
      <c r="E874" s="688">
        <v>3.2648677255223572E-2</v>
      </c>
      <c r="F874" s="310">
        <v>1.001086770962975E-2</v>
      </c>
      <c r="G874" s="311">
        <v>5.1550371559350522E-2</v>
      </c>
      <c r="H874" s="311">
        <v>1.2021107298941841E-3</v>
      </c>
      <c r="I874" s="394">
        <v>1.3040545193376118E-3</v>
      </c>
      <c r="J874" s="689">
        <v>7.9067038426407341E-5</v>
      </c>
      <c r="K874" s="690">
        <v>8.2642100697005123E-5</v>
      </c>
    </row>
    <row r="875" spans="2:11" ht="15.75" x14ac:dyDescent="0.25">
      <c r="B875" s="667" t="s">
        <v>241</v>
      </c>
      <c r="C875" s="110">
        <v>2029</v>
      </c>
      <c r="D875" s="687" t="s">
        <v>1354</v>
      </c>
      <c r="E875" s="688">
        <v>3.1789104787668471E-2</v>
      </c>
      <c r="F875" s="310">
        <v>8.8863084910389169E-3</v>
      </c>
      <c r="G875" s="311">
        <v>4.6530478465487551E-2</v>
      </c>
      <c r="H875" s="311">
        <v>1.1243577101633436E-3</v>
      </c>
      <c r="I875" s="394">
        <v>1.2200046954963328E-3</v>
      </c>
      <c r="J875" s="689">
        <v>6.6946744550712661E-5</v>
      </c>
      <c r="K875" s="690">
        <v>6.9973776405958204E-5</v>
      </c>
    </row>
    <row r="876" spans="2:11" ht="15.75" x14ac:dyDescent="0.25">
      <c r="B876" s="667" t="s">
        <v>241</v>
      </c>
      <c r="C876" s="110">
        <v>2030</v>
      </c>
      <c r="D876" s="687" t="s">
        <v>1355</v>
      </c>
      <c r="E876" s="688">
        <v>3.1022875951312014E-2</v>
      </c>
      <c r="F876" s="310">
        <v>7.9441339589607328E-3</v>
      </c>
      <c r="G876" s="311">
        <v>4.2301169356348096E-2</v>
      </c>
      <c r="H876" s="311">
        <v>1.0509778733483004E-3</v>
      </c>
      <c r="I876" s="394">
        <v>1.1406523539109707E-3</v>
      </c>
      <c r="J876" s="689">
        <v>5.6218874361265807E-5</v>
      </c>
      <c r="K876" s="690">
        <v>5.8760848558988097E-5</v>
      </c>
    </row>
    <row r="877" spans="2:11" ht="15.75" x14ac:dyDescent="0.25">
      <c r="B877" s="667" t="s">
        <v>241</v>
      </c>
      <c r="C877" s="110">
        <v>2031</v>
      </c>
      <c r="D877" s="687" t="s">
        <v>1356</v>
      </c>
      <c r="E877" s="688">
        <v>3.0342335429747683E-2</v>
      </c>
      <c r="F877" s="310">
        <v>7.1018186999727362E-3</v>
      </c>
      <c r="G877" s="311">
        <v>3.8553566999907002E-2</v>
      </c>
      <c r="H877" s="311">
        <v>9.8382256495330796E-4</v>
      </c>
      <c r="I877" s="394">
        <v>1.0679000509486068E-3</v>
      </c>
      <c r="J877" s="689">
        <v>4.9470541529838454E-5</v>
      </c>
      <c r="K877" s="690">
        <v>5.1707374886234026E-5</v>
      </c>
    </row>
    <row r="878" spans="2:11" ht="15.75" x14ac:dyDescent="0.25">
      <c r="B878" s="667" t="s">
        <v>241</v>
      </c>
      <c r="C878" s="110">
        <v>2032</v>
      </c>
      <c r="D878" s="687" t="s">
        <v>1357</v>
      </c>
      <c r="E878" s="688">
        <v>2.9742110908960038E-2</v>
      </c>
      <c r="F878" s="310">
        <v>6.3784396922832495E-3</v>
      </c>
      <c r="G878" s="311">
        <v>3.5428608823974687E-2</v>
      </c>
      <c r="H878" s="311">
        <v>9.2191785421343682E-4</v>
      </c>
      <c r="I878" s="394">
        <v>1.0008169762014689E-3</v>
      </c>
      <c r="J878" s="689">
        <v>4.3730470712122055E-5</v>
      </c>
      <c r="K878" s="690">
        <v>4.5707763530738819E-5</v>
      </c>
    </row>
    <row r="879" spans="2:11" ht="15.75" x14ac:dyDescent="0.25">
      <c r="B879" s="667" t="s">
        <v>241</v>
      </c>
      <c r="C879" s="110">
        <v>2033</v>
      </c>
      <c r="D879" s="687" t="s">
        <v>1358</v>
      </c>
      <c r="E879" s="688">
        <v>2.9213724571203633E-2</v>
      </c>
      <c r="F879" s="310">
        <v>5.7546245922371862E-3</v>
      </c>
      <c r="G879" s="311">
        <v>3.2813400012610398E-2</v>
      </c>
      <c r="H879" s="311">
        <v>8.6569037828452991E-4</v>
      </c>
      <c r="I879" s="394">
        <v>9.3982501314404242E-4</v>
      </c>
      <c r="J879" s="689">
        <v>3.9928560291095781E-5</v>
      </c>
      <c r="K879" s="690">
        <v>4.1733954275462011E-5</v>
      </c>
    </row>
    <row r="880" spans="2:11" ht="15.75" x14ac:dyDescent="0.25">
      <c r="B880" s="667" t="s">
        <v>241</v>
      </c>
      <c r="C880" s="110">
        <v>2034</v>
      </c>
      <c r="D880" s="687" t="s">
        <v>1359</v>
      </c>
      <c r="E880" s="688">
        <v>2.875251139755319E-2</v>
      </c>
      <c r="F880" s="310">
        <v>5.1820902691463002E-3</v>
      </c>
      <c r="G880" s="311">
        <v>3.0518131789437873E-2</v>
      </c>
      <c r="H880" s="311">
        <v>8.1273007909735519E-4</v>
      </c>
      <c r="I880" s="394">
        <v>8.8235661833339159E-4</v>
      </c>
      <c r="J880" s="689">
        <v>3.683824744662847E-5</v>
      </c>
      <c r="K880" s="690">
        <v>3.8503907513540302E-5</v>
      </c>
    </row>
    <row r="881" spans="2:11" ht="15.75" x14ac:dyDescent="0.25">
      <c r="B881" s="667" t="s">
        <v>241</v>
      </c>
      <c r="C881" s="110">
        <v>2035</v>
      </c>
      <c r="D881" s="687" t="s">
        <v>1360</v>
      </c>
      <c r="E881" s="688">
        <v>2.8351965943550734E-2</v>
      </c>
      <c r="F881" s="310">
        <v>4.6827004115189601E-3</v>
      </c>
      <c r="G881" s="311">
        <v>2.8618344371816901E-2</v>
      </c>
      <c r="H881" s="311">
        <v>7.6393632692601642E-4</v>
      </c>
      <c r="I881" s="394">
        <v>8.2940590876677707E-4</v>
      </c>
      <c r="J881" s="689">
        <v>3.4089733002736645E-5</v>
      </c>
      <c r="K881" s="690">
        <v>3.5631120079636052E-5</v>
      </c>
    </row>
    <row r="882" spans="2:11" ht="15.75" x14ac:dyDescent="0.25">
      <c r="B882" s="667" t="s">
        <v>241</v>
      </c>
      <c r="C882" s="110">
        <v>2036</v>
      </c>
      <c r="D882" s="687" t="s">
        <v>1361</v>
      </c>
      <c r="E882" s="688">
        <v>2.8005551633777895E-2</v>
      </c>
      <c r="F882" s="310">
        <v>4.2341891376643081E-3</v>
      </c>
      <c r="G882" s="311">
        <v>2.6954257903189664E-2</v>
      </c>
      <c r="H882" s="311">
        <v>7.2176689781891523E-4</v>
      </c>
      <c r="I882" s="394">
        <v>7.836483948245916E-4</v>
      </c>
      <c r="J882" s="689">
        <v>3.1591725085400057E-5</v>
      </c>
      <c r="K882" s="690">
        <v>3.3020162372036666E-5</v>
      </c>
    </row>
    <row r="883" spans="2:11" ht="15.75" x14ac:dyDescent="0.25">
      <c r="B883" s="667" t="s">
        <v>241</v>
      </c>
      <c r="C883" s="110">
        <v>2037</v>
      </c>
      <c r="D883" s="687" t="s">
        <v>1362</v>
      </c>
      <c r="E883" s="688">
        <v>2.7709421594543409E-2</v>
      </c>
      <c r="F883" s="310">
        <v>3.8573930233412311E-3</v>
      </c>
      <c r="G883" s="311">
        <v>2.560699808998956E-2</v>
      </c>
      <c r="H883" s="311">
        <v>6.8381173059555323E-4</v>
      </c>
      <c r="I883" s="394">
        <v>7.4246498792884179E-4</v>
      </c>
      <c r="J883" s="689">
        <v>2.9316147530141883E-5</v>
      </c>
      <c r="K883" s="690">
        <v>3.0641695371993107E-5</v>
      </c>
    </row>
    <row r="884" spans="2:11" ht="15.75" x14ac:dyDescent="0.25">
      <c r="B884" s="667" t="s">
        <v>241</v>
      </c>
      <c r="C884" s="110">
        <v>2038</v>
      </c>
      <c r="D884" s="687" t="s">
        <v>1363</v>
      </c>
      <c r="E884" s="688">
        <v>2.7458532465005375E-2</v>
      </c>
      <c r="F884" s="310">
        <v>3.514435825242876E-3</v>
      </c>
      <c r="G884" s="311">
        <v>2.4376287136138004E-2</v>
      </c>
      <c r="H884" s="311">
        <v>6.4948178059309042E-4</v>
      </c>
      <c r="I884" s="394">
        <v>7.0520424274160933E-4</v>
      </c>
      <c r="J884" s="689">
        <v>2.7531745610337053E-5</v>
      </c>
      <c r="K884" s="690">
        <v>2.877661075601188E-5</v>
      </c>
    </row>
    <row r="885" spans="2:11" ht="15.75" x14ac:dyDescent="0.25">
      <c r="B885" s="667" t="s">
        <v>241</v>
      </c>
      <c r="C885" s="110">
        <v>2039</v>
      </c>
      <c r="D885" s="687" t="s">
        <v>1364</v>
      </c>
      <c r="E885" s="688">
        <v>2.7247178970761909E-2</v>
      </c>
      <c r="F885" s="310">
        <v>3.1854172470847596E-3</v>
      </c>
      <c r="G885" s="311">
        <v>2.3195261666705758E-2</v>
      </c>
      <c r="H885" s="311">
        <v>6.1820566823673161E-4</v>
      </c>
      <c r="I885" s="394">
        <v>6.7125346827724664E-4</v>
      </c>
      <c r="J885" s="689">
        <v>2.5995578456259856E-5</v>
      </c>
      <c r="K885" s="690">
        <v>2.717098025351482E-5</v>
      </c>
    </row>
    <row r="886" spans="2:11" ht="15.75" x14ac:dyDescent="0.25">
      <c r="B886" s="667" t="s">
        <v>241</v>
      </c>
      <c r="C886" s="110">
        <v>2040</v>
      </c>
      <c r="D886" s="687" t="s">
        <v>1365</v>
      </c>
      <c r="E886" s="688">
        <v>2.7071151885186259E-2</v>
      </c>
      <c r="F886" s="310">
        <v>2.8898736461633271E-3</v>
      </c>
      <c r="G886" s="311">
        <v>2.2214021224028664E-2</v>
      </c>
      <c r="H886" s="311">
        <v>5.9012538078753469E-4</v>
      </c>
      <c r="I886" s="394">
        <v>6.407692222920021E-4</v>
      </c>
      <c r="J886" s="689">
        <v>2.4677838861130804E-5</v>
      </c>
      <c r="K886" s="690">
        <v>2.5793657561933328E-5</v>
      </c>
    </row>
    <row r="887" spans="2:11" ht="15.75" x14ac:dyDescent="0.25">
      <c r="B887" s="667" t="s">
        <v>241</v>
      </c>
      <c r="C887" s="110">
        <v>2041</v>
      </c>
      <c r="D887" s="687" t="s">
        <v>1366</v>
      </c>
      <c r="E887" s="688">
        <v>2.6926878657849495E-2</v>
      </c>
      <c r="F887" s="310">
        <v>2.648818191898081E-3</v>
      </c>
      <c r="G887" s="311">
        <v>2.1389090054368395E-2</v>
      </c>
      <c r="H887" s="311">
        <v>5.6859171242036328E-4</v>
      </c>
      <c r="I887" s="394">
        <v>6.1739891389965768E-4</v>
      </c>
      <c r="J887" s="689">
        <v>2.3512903379803964E-5</v>
      </c>
      <c r="K887" s="690">
        <v>2.4576050282514135E-5</v>
      </c>
    </row>
    <row r="888" spans="2:11" ht="15.75" x14ac:dyDescent="0.25">
      <c r="B888" s="667" t="s">
        <v>241</v>
      </c>
      <c r="C888" s="110">
        <v>2042</v>
      </c>
      <c r="D888" s="687" t="s">
        <v>1367</v>
      </c>
      <c r="E888" s="688">
        <v>2.6807762980551039E-2</v>
      </c>
      <c r="F888" s="310">
        <v>2.4403830063944552E-3</v>
      </c>
      <c r="G888" s="311">
        <v>2.0645554442522942E-2</v>
      </c>
      <c r="H888" s="311">
        <v>5.4977917528247757E-4</v>
      </c>
      <c r="I888" s="394">
        <v>5.9697737097686723E-4</v>
      </c>
      <c r="J888" s="689">
        <v>2.2594501035598418E-5</v>
      </c>
      <c r="K888" s="690">
        <v>2.3616121239709358E-5</v>
      </c>
    </row>
    <row r="889" spans="2:11" ht="15.75" x14ac:dyDescent="0.25">
      <c r="B889" s="667" t="s">
        <v>241</v>
      </c>
      <c r="C889" s="110">
        <v>2043</v>
      </c>
      <c r="D889" s="687" t="s">
        <v>1368</v>
      </c>
      <c r="E889" s="688">
        <v>2.6710486790461251E-2</v>
      </c>
      <c r="F889" s="310">
        <v>2.2857780159063956E-3</v>
      </c>
      <c r="G889" s="311">
        <v>2.0091333738073286E-2</v>
      </c>
      <c r="H889" s="311">
        <v>5.3337766414910802E-4</v>
      </c>
      <c r="I889" s="394">
        <v>5.7917580564522005E-4</v>
      </c>
      <c r="J889" s="689">
        <v>2.173857932488597E-5</v>
      </c>
      <c r="K889" s="690">
        <v>2.2721494826831058E-5</v>
      </c>
    </row>
    <row r="890" spans="2:11" ht="15.75" x14ac:dyDescent="0.25">
      <c r="B890" s="667" t="s">
        <v>241</v>
      </c>
      <c r="C890" s="110">
        <v>2044</v>
      </c>
      <c r="D890" s="687" t="s">
        <v>1369</v>
      </c>
      <c r="E890" s="688">
        <v>2.6630395245221577E-2</v>
      </c>
      <c r="F890" s="310">
        <v>2.177338471581366E-3</v>
      </c>
      <c r="G890" s="311">
        <v>1.9686924339118905E-2</v>
      </c>
      <c r="H890" s="311">
        <v>5.1926148822225497E-4</v>
      </c>
      <c r="I890" s="394">
        <v>5.6385304122726207E-4</v>
      </c>
      <c r="J890" s="689">
        <v>2.1028866035256989E-5</v>
      </c>
      <c r="K890" s="690">
        <v>2.197969571098515E-5</v>
      </c>
    </row>
    <row r="891" spans="2:11" ht="15.75" x14ac:dyDescent="0.25">
      <c r="B891" s="667" t="s">
        <v>241</v>
      </c>
      <c r="C891" s="110">
        <v>2045</v>
      </c>
      <c r="D891" s="687" t="s">
        <v>1370</v>
      </c>
      <c r="E891" s="688">
        <v>2.6564644081470915E-2</v>
      </c>
      <c r="F891" s="310">
        <v>2.109183076749138E-3</v>
      </c>
      <c r="G891" s="311">
        <v>1.9429633056898776E-2</v>
      </c>
      <c r="H891" s="311">
        <v>5.0722402185388472E-4</v>
      </c>
      <c r="I891" s="394">
        <v>5.5078303033760851E-4</v>
      </c>
      <c r="J891" s="689">
        <v>2.0514328975942225E-5</v>
      </c>
      <c r="K891" s="690">
        <v>2.144188871665563E-5</v>
      </c>
    </row>
    <row r="892" spans="2:11" ht="15.75" x14ac:dyDescent="0.25">
      <c r="B892" s="667" t="s">
        <v>241</v>
      </c>
      <c r="C892" s="110">
        <v>2046</v>
      </c>
      <c r="D892" s="687" t="s">
        <v>1371</v>
      </c>
      <c r="E892" s="688">
        <v>2.6510302217904604E-2</v>
      </c>
      <c r="F892" s="310">
        <v>2.0497040733618516E-3</v>
      </c>
      <c r="G892" s="311">
        <v>1.9211986717146561E-2</v>
      </c>
      <c r="H892" s="311">
        <v>4.969270170246653E-4</v>
      </c>
      <c r="I892" s="394">
        <v>5.3960442941862236E-4</v>
      </c>
      <c r="J892" s="689">
        <v>2.0039984036229358E-5</v>
      </c>
      <c r="K892" s="690">
        <v>2.0946103528358997E-5</v>
      </c>
    </row>
    <row r="893" spans="2:11" ht="15.75" x14ac:dyDescent="0.25">
      <c r="B893" s="667" t="s">
        <v>241</v>
      </c>
      <c r="C893" s="110">
        <v>2047</v>
      </c>
      <c r="D893" s="687" t="s">
        <v>1372</v>
      </c>
      <c r="E893" s="688">
        <v>2.6466230588132932E-2</v>
      </c>
      <c r="F893" s="310">
        <v>1.9984931112068394E-3</v>
      </c>
      <c r="G893" s="311">
        <v>1.9021622125208332E-2</v>
      </c>
      <c r="H893" s="311">
        <v>4.8826112944660603E-4</v>
      </c>
      <c r="I893" s="394">
        <v>5.3019809223606433E-4</v>
      </c>
      <c r="J893" s="689">
        <v>1.9597903308077927E-5</v>
      </c>
      <c r="K893" s="690">
        <v>2.0484036283560096E-5</v>
      </c>
    </row>
    <row r="894" spans="2:11" ht="15.75" x14ac:dyDescent="0.25">
      <c r="B894" s="667" t="s">
        <v>241</v>
      </c>
      <c r="C894" s="110">
        <v>2048</v>
      </c>
      <c r="D894" s="687" t="s">
        <v>1373</v>
      </c>
      <c r="E894" s="688">
        <v>2.6430220272251989E-2</v>
      </c>
      <c r="F894" s="310">
        <v>1.9573321327595503E-3</v>
      </c>
      <c r="G894" s="311">
        <v>1.886580649477133E-2</v>
      </c>
      <c r="H894" s="311">
        <v>4.8099582263650797E-4</v>
      </c>
      <c r="I894" s="394">
        <v>5.2231219373885507E-4</v>
      </c>
      <c r="J894" s="689">
        <v>1.9215807082636801E-5</v>
      </c>
      <c r="K894" s="690">
        <v>2.0084657295076185E-5</v>
      </c>
    </row>
    <row r="895" spans="2:11" ht="15.75" x14ac:dyDescent="0.25">
      <c r="B895" s="667" t="s">
        <v>241</v>
      </c>
      <c r="C895" s="110">
        <v>2049</v>
      </c>
      <c r="D895" s="687" t="s">
        <v>1374</v>
      </c>
      <c r="E895" s="688">
        <v>2.6400646196154533E-2</v>
      </c>
      <c r="F895" s="310">
        <v>1.9412576049675783E-3</v>
      </c>
      <c r="G895" s="311">
        <v>1.8867360367919923E-2</v>
      </c>
      <c r="H895" s="311">
        <v>4.7629304552768088E-4</v>
      </c>
      <c r="I895" s="394">
        <v>5.1721085333579801E-4</v>
      </c>
      <c r="J895" s="689">
        <v>1.8917034432153816E-5</v>
      </c>
      <c r="K895" s="690">
        <v>1.97723792384737E-5</v>
      </c>
    </row>
    <row r="896" spans="2:11" ht="15.75" x14ac:dyDescent="0.25">
      <c r="B896" s="667" t="s">
        <v>241</v>
      </c>
      <c r="C896" s="110">
        <v>2050</v>
      </c>
      <c r="D896" s="687" t="s">
        <v>1375</v>
      </c>
      <c r="E896" s="688">
        <v>2.6376469297381713E-2</v>
      </c>
      <c r="F896" s="310">
        <v>1.9276643382948127E-3</v>
      </c>
      <c r="G896" s="311">
        <v>1.8863181567916304E-2</v>
      </c>
      <c r="H896" s="311">
        <v>4.7220883043002266E-4</v>
      </c>
      <c r="I896" s="394">
        <v>5.1278854887005761E-4</v>
      </c>
      <c r="J896" s="689">
        <v>1.8438762486765206E-5</v>
      </c>
      <c r="K896" s="690">
        <v>1.9272486841618886E-5</v>
      </c>
    </row>
    <row r="897" spans="2:11" ht="15.75" x14ac:dyDescent="0.25">
      <c r="B897" s="667" t="s">
        <v>78</v>
      </c>
      <c r="C897" s="110">
        <v>2015</v>
      </c>
      <c r="D897" s="687" t="s">
        <v>244</v>
      </c>
      <c r="E897" s="688">
        <v>4.2885950814131379E-2</v>
      </c>
      <c r="F897" s="310">
        <v>6.6925780464840184E-2</v>
      </c>
      <c r="G897" s="311">
        <v>0.25719914046861758</v>
      </c>
      <c r="H897" s="311">
        <v>2.1680073072473712E-3</v>
      </c>
      <c r="I897" s="394">
        <v>2.3473374181405878E-3</v>
      </c>
      <c r="J897" s="689">
        <v>1.4754471199989068E-4</v>
      </c>
      <c r="K897" s="690">
        <v>1.5421602779063605E-4</v>
      </c>
    </row>
    <row r="898" spans="2:11" ht="15.75" x14ac:dyDescent="0.25">
      <c r="B898" s="667" t="s">
        <v>78</v>
      </c>
      <c r="C898" s="110">
        <v>2016</v>
      </c>
      <c r="D898" s="687" t="s">
        <v>245</v>
      </c>
      <c r="E898" s="688">
        <v>4.2112033985681974E-2</v>
      </c>
      <c r="F898" s="310">
        <v>5.5908414269320077E-2</v>
      </c>
      <c r="G898" s="311">
        <v>0.21933347335287684</v>
      </c>
      <c r="H898" s="311">
        <v>1.9925522754333483E-3</v>
      </c>
      <c r="I898" s="394">
        <v>2.1586684226566036E-3</v>
      </c>
      <c r="J898" s="689">
        <v>1.2587325783013992E-4</v>
      </c>
      <c r="K898" s="690">
        <v>1.3156469279926414E-4</v>
      </c>
    </row>
    <row r="899" spans="2:11" ht="15.75" x14ac:dyDescent="0.25">
      <c r="B899" s="667" t="s">
        <v>78</v>
      </c>
      <c r="C899" s="110">
        <v>2017</v>
      </c>
      <c r="D899" s="687" t="s">
        <v>1376</v>
      </c>
      <c r="E899" s="688">
        <v>4.1153696451531954E-2</v>
      </c>
      <c r="F899" s="310">
        <v>4.6656333791988518E-2</v>
      </c>
      <c r="G899" s="311">
        <v>0.18752208526694597</v>
      </c>
      <c r="H899" s="311">
        <v>1.8827867474970406E-3</v>
      </c>
      <c r="I899" s="394">
        <v>2.0408329409703522E-3</v>
      </c>
      <c r="J899" s="689">
        <v>1.134950781027074E-4</v>
      </c>
      <c r="K899" s="690">
        <v>1.1862682100718078E-4</v>
      </c>
    </row>
    <row r="900" spans="2:11" ht="15.75" x14ac:dyDescent="0.25">
      <c r="B900" s="667" t="s">
        <v>78</v>
      </c>
      <c r="C900" s="110">
        <v>2018</v>
      </c>
      <c r="D900" s="687" t="s">
        <v>1377</v>
      </c>
      <c r="E900" s="688">
        <v>4.0164083501263242E-2</v>
      </c>
      <c r="F900" s="310">
        <v>3.9522230830600552E-2</v>
      </c>
      <c r="G900" s="311">
        <v>0.16041971199138627</v>
      </c>
      <c r="H900" s="311">
        <v>1.8442001114791725E-3</v>
      </c>
      <c r="I900" s="394">
        <v>1.9999411734560853E-3</v>
      </c>
      <c r="J900" s="689">
        <v>1.0484374911197601E-4</v>
      </c>
      <c r="K900" s="690">
        <v>1.0958432014184325E-4</v>
      </c>
    </row>
    <row r="901" spans="2:11" ht="15.75" x14ac:dyDescent="0.25">
      <c r="B901" s="667" t="s">
        <v>78</v>
      </c>
      <c r="C901" s="110">
        <v>2019</v>
      </c>
      <c r="D901" s="687" t="s">
        <v>1378</v>
      </c>
      <c r="E901" s="688">
        <v>3.9136242830724782E-2</v>
      </c>
      <c r="F901" s="310">
        <v>3.2692796321677146E-2</v>
      </c>
      <c r="G901" s="311">
        <v>0.1364174067907894</v>
      </c>
      <c r="H901" s="311">
        <v>1.7944141360906665E-3</v>
      </c>
      <c r="I901" s="394">
        <v>1.946747840806068E-3</v>
      </c>
      <c r="J901" s="689">
        <v>9.636425634603438E-5</v>
      </c>
      <c r="K901" s="690">
        <v>1.0072142177110074E-4</v>
      </c>
    </row>
    <row r="902" spans="2:11" ht="15.75" x14ac:dyDescent="0.25">
      <c r="B902" s="667" t="s">
        <v>78</v>
      </c>
      <c r="C902" s="110">
        <v>2020</v>
      </c>
      <c r="D902" s="687" t="s">
        <v>1379</v>
      </c>
      <c r="E902" s="688">
        <v>3.808475231893791E-2</v>
      </c>
      <c r="F902" s="310">
        <v>2.7357201148935285E-2</v>
      </c>
      <c r="G902" s="311">
        <v>0.11621634298535519</v>
      </c>
      <c r="H902" s="311">
        <v>1.7321408775516287E-3</v>
      </c>
      <c r="I902" s="394">
        <v>1.8795896701680112E-3</v>
      </c>
      <c r="J902" s="689">
        <v>8.9139679186484602E-5</v>
      </c>
      <c r="K902" s="690">
        <v>9.3170184937699531E-5</v>
      </c>
    </row>
    <row r="903" spans="2:11" ht="15.75" x14ac:dyDescent="0.25">
      <c r="B903" s="667" t="s">
        <v>78</v>
      </c>
      <c r="C903" s="110">
        <v>2021</v>
      </c>
      <c r="D903" s="687" t="s">
        <v>1380</v>
      </c>
      <c r="E903" s="688">
        <v>3.7015085545012573E-2</v>
      </c>
      <c r="F903" s="310">
        <v>2.3490345799845179E-2</v>
      </c>
      <c r="G903" s="311">
        <v>9.9387475555458113E-2</v>
      </c>
      <c r="H903" s="311">
        <v>1.67300298055767E-3</v>
      </c>
      <c r="I903" s="394">
        <v>1.8156839727799237E-3</v>
      </c>
      <c r="J903" s="689">
        <v>8.2639884233968007E-5</v>
      </c>
      <c r="K903" s="690">
        <v>8.6376492757669671E-5</v>
      </c>
    </row>
    <row r="904" spans="2:11" ht="15.75" x14ac:dyDescent="0.25">
      <c r="B904" s="667" t="s">
        <v>78</v>
      </c>
      <c r="C904" s="110">
        <v>2022</v>
      </c>
      <c r="D904" s="687" t="s">
        <v>1381</v>
      </c>
      <c r="E904" s="688">
        <v>3.5958824233361705E-2</v>
      </c>
      <c r="F904" s="310">
        <v>1.9320911661474892E-2</v>
      </c>
      <c r="G904" s="311">
        <v>8.437533499106295E-2</v>
      </c>
      <c r="H904" s="311">
        <v>1.5849354736031495E-3</v>
      </c>
      <c r="I904" s="394">
        <v>1.7204710801937294E-3</v>
      </c>
      <c r="J904" s="689">
        <v>7.5590659907135772E-5</v>
      </c>
      <c r="K904" s="690">
        <v>7.90085339475105E-5</v>
      </c>
    </row>
    <row r="905" spans="2:11" ht="15.75" x14ac:dyDescent="0.25">
      <c r="B905" s="667" t="s">
        <v>78</v>
      </c>
      <c r="C905" s="110">
        <v>2023</v>
      </c>
      <c r="D905" s="687" t="s">
        <v>1382</v>
      </c>
      <c r="E905" s="688">
        <v>3.4905000167155434E-2</v>
      </c>
      <c r="F905" s="310">
        <v>1.6461523888943359E-2</v>
      </c>
      <c r="G905" s="311">
        <v>7.2506781694176903E-2</v>
      </c>
      <c r="H905" s="311">
        <v>1.5052032735793244E-3</v>
      </c>
      <c r="I905" s="394">
        <v>1.6340761621561472E-3</v>
      </c>
      <c r="J905" s="689">
        <v>6.886988437337467E-5</v>
      </c>
      <c r="K905" s="690">
        <v>7.198387395245792E-5</v>
      </c>
    </row>
    <row r="906" spans="2:11" ht="15.75" x14ac:dyDescent="0.25">
      <c r="B906" s="667" t="s">
        <v>78</v>
      </c>
      <c r="C906" s="110">
        <v>2024</v>
      </c>
      <c r="D906" s="687" t="s">
        <v>1383</v>
      </c>
      <c r="E906" s="688">
        <v>3.3859308862104941E-2</v>
      </c>
      <c r="F906" s="310">
        <v>1.4236327848427715E-2</v>
      </c>
      <c r="G906" s="311">
        <v>6.2773478421838308E-2</v>
      </c>
      <c r="H906" s="311">
        <v>1.4503375551570233E-3</v>
      </c>
      <c r="I906" s="394">
        <v>1.5747326089334656E-3</v>
      </c>
      <c r="J906" s="689">
        <v>6.1892241915925127E-5</v>
      </c>
      <c r="K906" s="690">
        <v>6.4690738547887932E-5</v>
      </c>
    </row>
    <row r="907" spans="2:11" ht="15.75" x14ac:dyDescent="0.25">
      <c r="B907" s="667" t="s">
        <v>78</v>
      </c>
      <c r="C907" s="110">
        <v>2025</v>
      </c>
      <c r="D907" s="687" t="s">
        <v>1384</v>
      </c>
      <c r="E907" s="688">
        <v>3.2820173323440616E-2</v>
      </c>
      <c r="F907" s="310">
        <v>1.2245380865302836E-2</v>
      </c>
      <c r="G907" s="311">
        <v>5.4742342282103035E-2</v>
      </c>
      <c r="H907" s="311">
        <v>1.3889635863428358E-3</v>
      </c>
      <c r="I907" s="394">
        <v>1.5082269266941926E-3</v>
      </c>
      <c r="J907" s="689">
        <v>5.6565143678683579E-5</v>
      </c>
      <c r="K907" s="690">
        <v>5.9122765721904382E-5</v>
      </c>
    </row>
    <row r="908" spans="2:11" ht="15.75" x14ac:dyDescent="0.25">
      <c r="B908" s="667" t="s">
        <v>78</v>
      </c>
      <c r="C908" s="110">
        <v>2026</v>
      </c>
      <c r="D908" s="687" t="s">
        <v>1385</v>
      </c>
      <c r="E908" s="688">
        <v>3.1876406981784643E-2</v>
      </c>
      <c r="F908" s="310">
        <v>1.089537785527892E-2</v>
      </c>
      <c r="G908" s="311">
        <v>4.8555905816885354E-2</v>
      </c>
      <c r="H908" s="311">
        <v>1.3577040324380481E-3</v>
      </c>
      <c r="I908" s="394">
        <v>1.4744303165525141E-3</v>
      </c>
      <c r="J908" s="689">
        <v>5.1818543024337367E-5</v>
      </c>
      <c r="K908" s="690">
        <v>5.4161548794169266E-5</v>
      </c>
    </row>
    <row r="909" spans="2:11" ht="15.75" x14ac:dyDescent="0.25">
      <c r="B909" s="667" t="s">
        <v>78</v>
      </c>
      <c r="C909" s="110">
        <v>2027</v>
      </c>
      <c r="D909" s="687" t="s">
        <v>1386</v>
      </c>
      <c r="E909" s="688">
        <v>3.101512168807289E-2</v>
      </c>
      <c r="F909" s="310">
        <v>9.5522039749290494E-3</v>
      </c>
      <c r="G909" s="311">
        <v>4.3295260602311085E-2</v>
      </c>
      <c r="H909" s="311">
        <v>1.2902343591489076E-3</v>
      </c>
      <c r="I909" s="394">
        <v>1.4013381804243007E-3</v>
      </c>
      <c r="J909" s="689">
        <v>4.5068607680353414E-5</v>
      </c>
      <c r="K909" s="690">
        <v>4.7106407779157852E-5</v>
      </c>
    </row>
    <row r="910" spans="2:11" ht="15.75" x14ac:dyDescent="0.25">
      <c r="B910" s="667" t="s">
        <v>78</v>
      </c>
      <c r="C910" s="110">
        <v>2028</v>
      </c>
      <c r="D910" s="687" t="s">
        <v>1387</v>
      </c>
      <c r="E910" s="688">
        <v>3.0238988438007559E-2</v>
      </c>
      <c r="F910" s="310">
        <v>8.4336568796685857E-3</v>
      </c>
      <c r="G910" s="311">
        <v>3.8972227876336994E-2</v>
      </c>
      <c r="H910" s="311">
        <v>1.216030276207578E-3</v>
      </c>
      <c r="I910" s="394">
        <v>1.320921205607507E-3</v>
      </c>
      <c r="J910" s="689">
        <v>3.8301198084849845E-5</v>
      </c>
      <c r="K910" s="690">
        <v>4.0033010706597299E-5</v>
      </c>
    </row>
    <row r="911" spans="2:11" ht="15.75" x14ac:dyDescent="0.25">
      <c r="B911" s="667" t="s">
        <v>78</v>
      </c>
      <c r="C911" s="110">
        <v>2029</v>
      </c>
      <c r="D911" s="687" t="s">
        <v>1388</v>
      </c>
      <c r="E911" s="688">
        <v>2.9540776350186055E-2</v>
      </c>
      <c r="F911" s="310">
        <v>7.4730315300952687E-3</v>
      </c>
      <c r="G911" s="311">
        <v>3.5359251017197987E-2</v>
      </c>
      <c r="H911" s="311">
        <v>1.1452076045394865E-3</v>
      </c>
      <c r="I911" s="394">
        <v>1.2440621056340644E-3</v>
      </c>
      <c r="J911" s="689">
        <v>3.4339765024444074E-5</v>
      </c>
      <c r="K911" s="690">
        <v>3.5892461069115499E-5</v>
      </c>
    </row>
    <row r="912" spans="2:11" ht="15.75" x14ac:dyDescent="0.25">
      <c r="B912" s="667" t="s">
        <v>78</v>
      </c>
      <c r="C912" s="110">
        <v>2030</v>
      </c>
      <c r="D912" s="687" t="s">
        <v>1389</v>
      </c>
      <c r="E912" s="688">
        <v>2.8916663634137578E-2</v>
      </c>
      <c r="F912" s="310">
        <v>6.6871790880489749E-3</v>
      </c>
      <c r="G912" s="311">
        <v>3.2434919655593961E-2</v>
      </c>
      <c r="H912" s="311">
        <v>1.0778552816562905E-3</v>
      </c>
      <c r="I912" s="394">
        <v>1.1709383124859207E-3</v>
      </c>
      <c r="J912" s="689">
        <v>3.1342026712186803E-5</v>
      </c>
      <c r="K912" s="690">
        <v>3.2759181088712408E-5</v>
      </c>
    </row>
    <row r="913" spans="2:11" ht="15.75" x14ac:dyDescent="0.25">
      <c r="B913" s="667" t="s">
        <v>78</v>
      </c>
      <c r="C913" s="110">
        <v>2031</v>
      </c>
      <c r="D913" s="687" t="s">
        <v>1390</v>
      </c>
      <c r="E913" s="688">
        <v>2.8360590304406838E-2</v>
      </c>
      <c r="F913" s="310">
        <v>6.009463275401911E-3</v>
      </c>
      <c r="G913" s="311">
        <v>2.9976979320171352E-2</v>
      </c>
      <c r="H913" s="311">
        <v>1.0140266241620926E-3</v>
      </c>
      <c r="I913" s="394">
        <v>1.1016064200020112E-3</v>
      </c>
      <c r="J913" s="689">
        <v>2.9255358956701555E-5</v>
      </c>
      <c r="K913" s="690">
        <v>3.0578158813995345E-5</v>
      </c>
    </row>
    <row r="914" spans="2:11" ht="15.75" x14ac:dyDescent="0.25">
      <c r="B914" s="667" t="s">
        <v>78</v>
      </c>
      <c r="C914" s="110">
        <v>2032</v>
      </c>
      <c r="D914" s="687" t="s">
        <v>1391</v>
      </c>
      <c r="E914" s="688">
        <v>2.7868722159489798E-2</v>
      </c>
      <c r="F914" s="310">
        <v>5.4347090051708145E-3</v>
      </c>
      <c r="G914" s="311">
        <v>2.7978987771729809E-2</v>
      </c>
      <c r="H914" s="311">
        <v>9.5402285963619589E-4</v>
      </c>
      <c r="I914" s="394">
        <v>1.0364281562382763E-3</v>
      </c>
      <c r="J914" s="689">
        <v>2.7341264720082451E-5</v>
      </c>
      <c r="K914" s="690">
        <v>2.8577519324168624E-5</v>
      </c>
    </row>
    <row r="915" spans="2:11" ht="15.75" x14ac:dyDescent="0.25">
      <c r="B915" s="667" t="s">
        <v>78</v>
      </c>
      <c r="C915" s="110">
        <v>2033</v>
      </c>
      <c r="D915" s="687" t="s">
        <v>1392</v>
      </c>
      <c r="E915" s="688">
        <v>2.7436823483478812E-2</v>
      </c>
      <c r="F915" s="310">
        <v>4.9373440544089988E-3</v>
      </c>
      <c r="G915" s="311">
        <v>2.631625631024033E-2</v>
      </c>
      <c r="H915" s="311">
        <v>8.9787378565580277E-4</v>
      </c>
      <c r="I915" s="394">
        <v>9.754245600745163E-4</v>
      </c>
      <c r="J915" s="689">
        <v>2.5835277837545291E-5</v>
      </c>
      <c r="K915" s="690">
        <v>2.7003433142079521E-5</v>
      </c>
    </row>
    <row r="916" spans="2:11" ht="15.75" x14ac:dyDescent="0.25">
      <c r="B916" s="667" t="s">
        <v>78</v>
      </c>
      <c r="C916" s="110">
        <v>2034</v>
      </c>
      <c r="D916" s="687" t="s">
        <v>1393</v>
      </c>
      <c r="E916" s="688">
        <v>2.7058986220835687E-2</v>
      </c>
      <c r="F916" s="310">
        <v>4.5023444708903798E-3</v>
      </c>
      <c r="G916" s="311">
        <v>2.4934151745677584E-2</v>
      </c>
      <c r="H916" s="311">
        <v>8.4537184733735928E-4</v>
      </c>
      <c r="I916" s="394">
        <v>9.1838231887505801E-4</v>
      </c>
      <c r="J916" s="689">
        <v>2.4455178924317872E-5</v>
      </c>
      <c r="K916" s="690">
        <v>2.5560938459389795E-5</v>
      </c>
    </row>
    <row r="917" spans="2:11" ht="15.75" x14ac:dyDescent="0.25">
      <c r="B917" s="667" t="s">
        <v>78</v>
      </c>
      <c r="C917" s="110">
        <v>2035</v>
      </c>
      <c r="D917" s="687" t="s">
        <v>1394</v>
      </c>
      <c r="E917" s="688">
        <v>2.6731356090452976E-2</v>
      </c>
      <c r="F917" s="310">
        <v>4.1192019659845782E-3</v>
      </c>
      <c r="G917" s="311">
        <v>2.3780707034079855E-2</v>
      </c>
      <c r="H917" s="311">
        <v>7.9653650760592022E-4</v>
      </c>
      <c r="I917" s="394">
        <v>8.6532217251435856E-4</v>
      </c>
      <c r="J917" s="689">
        <v>2.3219474501502007E-5</v>
      </c>
      <c r="K917" s="690">
        <v>2.4269356154933803E-5</v>
      </c>
    </row>
    <row r="918" spans="2:11" ht="15.75" x14ac:dyDescent="0.25">
      <c r="B918" s="667" t="s">
        <v>78</v>
      </c>
      <c r="C918" s="110">
        <v>2036</v>
      </c>
      <c r="D918" s="687" t="s">
        <v>1395</v>
      </c>
      <c r="E918" s="688">
        <v>2.6449387475995234E-2</v>
      </c>
      <c r="F918" s="310">
        <v>3.787698517494476E-3</v>
      </c>
      <c r="G918" s="311">
        <v>2.2828091930507159E-2</v>
      </c>
      <c r="H918" s="311">
        <v>7.5320467825932646E-4</v>
      </c>
      <c r="I918" s="394">
        <v>8.1824281765047917E-4</v>
      </c>
      <c r="J918" s="689">
        <v>2.2091762943910118E-5</v>
      </c>
      <c r="K918" s="690">
        <v>2.3090658380298353E-5</v>
      </c>
    </row>
    <row r="919" spans="2:11" ht="15.75" x14ac:dyDescent="0.25">
      <c r="B919" s="667" t="s">
        <v>78</v>
      </c>
      <c r="C919" s="110">
        <v>2037</v>
      </c>
      <c r="D919" s="687" t="s">
        <v>1396</v>
      </c>
      <c r="E919" s="688">
        <v>2.6210237681235867E-2</v>
      </c>
      <c r="F919" s="310">
        <v>3.5014984586622363E-3</v>
      </c>
      <c r="G919" s="311">
        <v>2.2045519462471953E-2</v>
      </c>
      <c r="H919" s="311">
        <v>7.1396364065280671E-4</v>
      </c>
      <c r="I919" s="394">
        <v>7.7561112016168968E-4</v>
      </c>
      <c r="J919" s="689">
        <v>2.0977941424832139E-5</v>
      </c>
      <c r="K919" s="690">
        <v>2.1926475070471229E-5</v>
      </c>
    </row>
    <row r="920" spans="2:11" ht="15.75" x14ac:dyDescent="0.25">
      <c r="B920" s="667" t="s">
        <v>78</v>
      </c>
      <c r="C920" s="110">
        <v>2038</v>
      </c>
      <c r="D920" s="687" t="s">
        <v>1397</v>
      </c>
      <c r="E920" s="688">
        <v>2.600884790165011E-2</v>
      </c>
      <c r="F920" s="310">
        <v>3.242909726716117E-3</v>
      </c>
      <c r="G920" s="311">
        <v>2.1350436049041119E-2</v>
      </c>
      <c r="H920" s="311">
        <v>6.7879441979190245E-4</v>
      </c>
      <c r="I920" s="394">
        <v>7.3739882816643214E-4</v>
      </c>
      <c r="J920" s="689">
        <v>2.0104223133353268E-5</v>
      </c>
      <c r="K920" s="690">
        <v>2.1013245356830651E-5</v>
      </c>
    </row>
    <row r="921" spans="2:11" ht="15.75" x14ac:dyDescent="0.25">
      <c r="B921" s="667" t="s">
        <v>78</v>
      </c>
      <c r="C921" s="110">
        <v>2039</v>
      </c>
      <c r="D921" s="687" t="s">
        <v>1398</v>
      </c>
      <c r="E921" s="688">
        <v>2.5839856580009337E-2</v>
      </c>
      <c r="F921" s="310">
        <v>2.9945067592096692E-3</v>
      </c>
      <c r="G921" s="311">
        <v>2.0687120741722333E-2</v>
      </c>
      <c r="H921" s="311">
        <v>6.4724525835798731E-4</v>
      </c>
      <c r="I921" s="394">
        <v>7.0311849639377339E-4</v>
      </c>
      <c r="J921" s="689">
        <v>1.9337795174405076E-5</v>
      </c>
      <c r="K921" s="690">
        <v>2.0212166034390605E-5</v>
      </c>
    </row>
    <row r="922" spans="2:11" ht="15.75" x14ac:dyDescent="0.25">
      <c r="B922" s="667" t="s">
        <v>78</v>
      </c>
      <c r="C922" s="110">
        <v>2040</v>
      </c>
      <c r="D922" s="687" t="s">
        <v>1399</v>
      </c>
      <c r="E922" s="688">
        <v>2.5698763942162101E-2</v>
      </c>
      <c r="F922" s="310">
        <v>2.7840078916955596E-3</v>
      </c>
      <c r="G922" s="311">
        <v>2.015967342891449E-2</v>
      </c>
      <c r="H922" s="311">
        <v>6.1966850920799009E-4</v>
      </c>
      <c r="I922" s="394">
        <v>6.7315497383040079E-4</v>
      </c>
      <c r="J922" s="689">
        <v>1.8676711358185965E-5</v>
      </c>
      <c r="K922" s="690">
        <v>1.9521192377308041E-5</v>
      </c>
    </row>
    <row r="923" spans="2:11" ht="15.75" x14ac:dyDescent="0.25">
      <c r="B923" s="667" t="s">
        <v>78</v>
      </c>
      <c r="C923" s="110">
        <v>2041</v>
      </c>
      <c r="D923" s="687" t="s">
        <v>1400</v>
      </c>
      <c r="E923" s="688">
        <v>2.5583086494165189E-2</v>
      </c>
      <c r="F923" s="310">
        <v>2.6299781875130587E-3</v>
      </c>
      <c r="G923" s="311">
        <v>1.9769110838330724E-2</v>
      </c>
      <c r="H923" s="311">
        <v>5.9763812518121517E-4</v>
      </c>
      <c r="I923" s="394">
        <v>6.4921819201119646E-4</v>
      </c>
      <c r="J923" s="689">
        <v>1.812455683511565E-5</v>
      </c>
      <c r="K923" s="690">
        <v>1.8944064259806525E-5</v>
      </c>
    </row>
    <row r="924" spans="2:11" ht="15.75" x14ac:dyDescent="0.25">
      <c r="B924" s="667" t="s">
        <v>78</v>
      </c>
      <c r="C924" s="110">
        <v>2042</v>
      </c>
      <c r="D924" s="687" t="s">
        <v>1401</v>
      </c>
      <c r="E924" s="688">
        <v>2.5487411716848714E-2</v>
      </c>
      <c r="F924" s="310">
        <v>2.4991638573792106E-3</v>
      </c>
      <c r="G924" s="311">
        <v>1.941547551080245E-2</v>
      </c>
      <c r="H924" s="311">
        <v>5.7880205289557204E-4</v>
      </c>
      <c r="I924" s="394">
        <v>6.2875084690258427E-4</v>
      </c>
      <c r="J924" s="689">
        <v>1.7668520668331479E-5</v>
      </c>
      <c r="K924" s="690">
        <v>1.8467416753656332E-5</v>
      </c>
    </row>
    <row r="925" spans="2:11" ht="15.75" x14ac:dyDescent="0.25">
      <c r="B925" s="667" t="s">
        <v>78</v>
      </c>
      <c r="C925" s="110">
        <v>2043</v>
      </c>
      <c r="D925" s="687" t="s">
        <v>1402</v>
      </c>
      <c r="E925" s="688">
        <v>2.5409612398529804E-2</v>
      </c>
      <c r="F925" s="310">
        <v>2.4007035536224549E-3</v>
      </c>
      <c r="G925" s="311">
        <v>1.9160215501351024E-2</v>
      </c>
      <c r="H925" s="311">
        <v>5.6300195696635331E-4</v>
      </c>
      <c r="I925" s="394">
        <v>6.115824095724692E-4</v>
      </c>
      <c r="J925" s="689">
        <v>1.7313765974678466E-5</v>
      </c>
      <c r="K925" s="690">
        <v>1.8096621617692413E-5</v>
      </c>
    </row>
    <row r="926" spans="2:11" ht="15.75" x14ac:dyDescent="0.25">
      <c r="B926" s="667" t="s">
        <v>78</v>
      </c>
      <c r="C926" s="110">
        <v>2044</v>
      </c>
      <c r="D926" s="687" t="s">
        <v>1403</v>
      </c>
      <c r="E926" s="688">
        <v>2.5345361607978813E-2</v>
      </c>
      <c r="F926" s="310">
        <v>2.3240960341290445E-3</v>
      </c>
      <c r="G926" s="311">
        <v>1.8947345629357477E-2</v>
      </c>
      <c r="H926" s="311">
        <v>5.497267041438043E-4</v>
      </c>
      <c r="I926" s="394">
        <v>5.9715626935875768E-4</v>
      </c>
      <c r="J926" s="689">
        <v>1.7031567193030343E-5</v>
      </c>
      <c r="K926" s="690">
        <v>1.7801658046458078E-5</v>
      </c>
    </row>
    <row r="927" spans="2:11" ht="15.75" x14ac:dyDescent="0.25">
      <c r="B927" s="667" t="s">
        <v>78</v>
      </c>
      <c r="C927" s="110">
        <v>2045</v>
      </c>
      <c r="D927" s="687" t="s">
        <v>1404</v>
      </c>
      <c r="E927" s="688">
        <v>2.5291956732355889E-2</v>
      </c>
      <c r="F927" s="310">
        <v>2.2694633066672565E-3</v>
      </c>
      <c r="G927" s="311">
        <v>1.8801338538457078E-2</v>
      </c>
      <c r="H927" s="311">
        <v>5.3864454405402038E-4</v>
      </c>
      <c r="I927" s="394">
        <v>5.8511230722235676E-4</v>
      </c>
      <c r="J927" s="689">
        <v>1.6809592258789342E-5</v>
      </c>
      <c r="K927" s="690">
        <v>1.7569646902981806E-5</v>
      </c>
    </row>
    <row r="928" spans="2:11" ht="15.75" x14ac:dyDescent="0.25">
      <c r="B928" s="667" t="s">
        <v>78</v>
      </c>
      <c r="C928" s="110">
        <v>2046</v>
      </c>
      <c r="D928" s="687" t="s">
        <v>1405</v>
      </c>
      <c r="E928" s="688">
        <v>2.5248725458658028E-2</v>
      </c>
      <c r="F928" s="310">
        <v>2.2220307385880426E-3</v>
      </c>
      <c r="G928" s="311">
        <v>1.8681689555007618E-2</v>
      </c>
      <c r="H928" s="311">
        <v>5.2950809360964568E-4</v>
      </c>
      <c r="I928" s="394">
        <v>5.7518338559294391E-4</v>
      </c>
      <c r="J928" s="689">
        <v>1.6638299321692793E-5</v>
      </c>
      <c r="K928" s="690">
        <v>1.7390607737292112E-5</v>
      </c>
    </row>
    <row r="929" spans="2:11" ht="15.75" x14ac:dyDescent="0.25">
      <c r="B929" s="667" t="s">
        <v>78</v>
      </c>
      <c r="C929" s="110">
        <v>2047</v>
      </c>
      <c r="D929" s="687" t="s">
        <v>1406</v>
      </c>
      <c r="E929" s="688">
        <v>2.521350323758411E-2</v>
      </c>
      <c r="F929" s="310">
        <v>2.1806379414008028E-3</v>
      </c>
      <c r="G929" s="311">
        <v>1.8570748079926001E-2</v>
      </c>
      <c r="H929" s="311">
        <v>5.2206563590780184E-4</v>
      </c>
      <c r="I929" s="394">
        <v>5.6709404631544679E-4</v>
      </c>
      <c r="J929" s="689">
        <v>1.6507814826599507E-5</v>
      </c>
      <c r="K929" s="690">
        <v>1.7254227133226338E-5</v>
      </c>
    </row>
    <row r="930" spans="2:11" ht="15.75" x14ac:dyDescent="0.25">
      <c r="B930" s="667" t="s">
        <v>78</v>
      </c>
      <c r="C930" s="110">
        <v>2048</v>
      </c>
      <c r="D930" s="687" t="s">
        <v>1407</v>
      </c>
      <c r="E930" s="688">
        <v>2.5184759577352962E-2</v>
      </c>
      <c r="F930" s="310">
        <v>2.147802710659738E-3</v>
      </c>
      <c r="G930" s="311">
        <v>1.8481521079438346E-2</v>
      </c>
      <c r="H930" s="311">
        <v>5.1600676013985401E-4</v>
      </c>
      <c r="I930" s="394">
        <v>5.6050954886058789E-4</v>
      </c>
      <c r="J930" s="689">
        <v>1.6389709420364469E-5</v>
      </c>
      <c r="K930" s="690">
        <v>1.7130783591190487E-5</v>
      </c>
    </row>
    <row r="931" spans="2:11" ht="15.75" x14ac:dyDescent="0.25">
      <c r="B931" s="667" t="s">
        <v>78</v>
      </c>
      <c r="C931" s="110">
        <v>2049</v>
      </c>
      <c r="D931" s="687" t="s">
        <v>1408</v>
      </c>
      <c r="E931" s="688">
        <v>2.5160439591377183E-2</v>
      </c>
      <c r="F931" s="310">
        <v>2.1354611765933918E-3</v>
      </c>
      <c r="G931" s="311">
        <v>1.8488926227050687E-2</v>
      </c>
      <c r="H931" s="311">
        <v>5.1202394175319736E-4</v>
      </c>
      <c r="I931" s="394">
        <v>5.5618199858132656E-4</v>
      </c>
      <c r="J931" s="689">
        <v>1.6305222602638817E-5</v>
      </c>
      <c r="K931" s="690">
        <v>1.7042468948148824E-5</v>
      </c>
    </row>
    <row r="932" spans="2:11" ht="15.75" x14ac:dyDescent="0.25">
      <c r="B932" s="667" t="s">
        <v>78</v>
      </c>
      <c r="C932" s="110">
        <v>2050</v>
      </c>
      <c r="D932" s="687" t="s">
        <v>1409</v>
      </c>
      <c r="E932" s="688">
        <v>2.5140831235887524E-2</v>
      </c>
      <c r="F932" s="310">
        <v>2.1257558999377099E-3</v>
      </c>
      <c r="G932" s="311">
        <v>1.84970790027893E-2</v>
      </c>
      <c r="H932" s="311">
        <v>5.0888418869086266E-4</v>
      </c>
      <c r="I932" s="394">
        <v>5.5277072194848944E-4</v>
      </c>
      <c r="J932" s="689">
        <v>1.6221015073217366E-5</v>
      </c>
      <c r="K932" s="690">
        <v>1.6954454691196848E-5</v>
      </c>
    </row>
    <row r="933" spans="2:11" ht="15.75" x14ac:dyDescent="0.25">
      <c r="B933" s="667" t="s">
        <v>79</v>
      </c>
      <c r="C933" s="110">
        <v>2015</v>
      </c>
      <c r="D933" s="687" t="s">
        <v>246</v>
      </c>
      <c r="E933" s="688">
        <v>4.844669272039049E-2</v>
      </c>
      <c r="F933" s="310">
        <v>0.11244542591344994</v>
      </c>
      <c r="G933" s="311">
        <v>0.32354384412879444</v>
      </c>
      <c r="H933" s="311">
        <v>3.4870781512901091E-3</v>
      </c>
      <c r="I933" s="394">
        <v>3.7705221418218916E-3</v>
      </c>
      <c r="J933" s="689">
        <v>2.7806467992607547E-4</v>
      </c>
      <c r="K933" s="690">
        <v>2.906375346345267E-4</v>
      </c>
    </row>
    <row r="934" spans="2:11" ht="15.75" x14ac:dyDescent="0.25">
      <c r="B934" s="667" t="s">
        <v>79</v>
      </c>
      <c r="C934" s="110">
        <v>2016</v>
      </c>
      <c r="D934" s="687" t="s">
        <v>247</v>
      </c>
      <c r="E934" s="688">
        <v>4.7714893297217516E-2</v>
      </c>
      <c r="F934" s="310">
        <v>9.4838089927894845E-2</v>
      </c>
      <c r="G934" s="311">
        <v>0.28130177748897428</v>
      </c>
      <c r="H934" s="311">
        <v>3.2352122716089301E-3</v>
      </c>
      <c r="I934" s="394">
        <v>3.5011451770678866E-3</v>
      </c>
      <c r="J934" s="689">
        <v>2.302029432234585E-4</v>
      </c>
      <c r="K934" s="690">
        <v>2.4061170158108942E-4</v>
      </c>
    </row>
    <row r="935" spans="2:11" ht="15.75" x14ac:dyDescent="0.25">
      <c r="B935" s="667" t="s">
        <v>79</v>
      </c>
      <c r="C935" s="110">
        <v>2017</v>
      </c>
      <c r="D935" s="687" t="s">
        <v>1410</v>
      </c>
      <c r="E935" s="688">
        <v>4.670555202227597E-2</v>
      </c>
      <c r="F935" s="310">
        <v>7.8747289446338506E-2</v>
      </c>
      <c r="G935" s="311">
        <v>0.24252992149395328</v>
      </c>
      <c r="H935" s="311">
        <v>3.0647246907970216E-3</v>
      </c>
      <c r="I935" s="394">
        <v>3.3189375686058964E-3</v>
      </c>
      <c r="J935" s="689">
        <v>2.0809574692523232E-4</v>
      </c>
      <c r="K935" s="690">
        <v>2.1750491172066927E-4</v>
      </c>
    </row>
    <row r="936" spans="2:11" ht="15.75" x14ac:dyDescent="0.25">
      <c r="B936" s="667" t="s">
        <v>79</v>
      </c>
      <c r="C936" s="110">
        <v>2018</v>
      </c>
      <c r="D936" s="687" t="s">
        <v>1411</v>
      </c>
      <c r="E936" s="688">
        <v>4.5643568666285418E-2</v>
      </c>
      <c r="F936" s="310">
        <v>6.5133888990635061E-2</v>
      </c>
      <c r="G936" s="311">
        <v>0.20845366279793162</v>
      </c>
      <c r="H936" s="311">
        <v>2.9510258618504351E-3</v>
      </c>
      <c r="I936" s="394">
        <v>3.1978253901908723E-3</v>
      </c>
      <c r="J936" s="689">
        <v>1.8982816984870946E-4</v>
      </c>
      <c r="K936" s="690">
        <v>1.9841135462830668E-4</v>
      </c>
    </row>
    <row r="937" spans="2:11" ht="15.75" x14ac:dyDescent="0.25">
      <c r="B937" s="667" t="s">
        <v>79</v>
      </c>
      <c r="C937" s="110">
        <v>2019</v>
      </c>
      <c r="D937" s="687" t="s">
        <v>1412</v>
      </c>
      <c r="E937" s="688">
        <v>4.4504894504305406E-2</v>
      </c>
      <c r="F937" s="310">
        <v>5.3727151196513299E-2</v>
      </c>
      <c r="G937" s="311">
        <v>0.17918085888681234</v>
      </c>
      <c r="H937" s="311">
        <v>2.8620982352437208E-3</v>
      </c>
      <c r="I937" s="394">
        <v>3.1031595525312823E-3</v>
      </c>
      <c r="J937" s="689">
        <v>1.7352353560356717E-4</v>
      </c>
      <c r="K937" s="690">
        <v>1.8136949838350495E-4</v>
      </c>
    </row>
    <row r="938" spans="2:11" ht="15.75" x14ac:dyDescent="0.25">
      <c r="B938" s="667" t="s">
        <v>79</v>
      </c>
      <c r="C938" s="110">
        <v>2020</v>
      </c>
      <c r="D938" s="687" t="s">
        <v>1413</v>
      </c>
      <c r="E938" s="688">
        <v>4.3308464078344953E-2</v>
      </c>
      <c r="F938" s="310">
        <v>4.4621619876565641E-2</v>
      </c>
      <c r="G938" s="311">
        <v>0.15419867736047951</v>
      </c>
      <c r="H938" s="311">
        <v>2.7388645125919642E-3</v>
      </c>
      <c r="I938" s="394">
        <v>2.9704826444000615E-3</v>
      </c>
      <c r="J938" s="689">
        <v>1.5945168920046313E-4</v>
      </c>
      <c r="K938" s="690">
        <v>1.6666138676375118E-4</v>
      </c>
    </row>
    <row r="939" spans="2:11" ht="15.75" x14ac:dyDescent="0.25">
      <c r="B939" s="667" t="s">
        <v>79</v>
      </c>
      <c r="C939" s="110">
        <v>2021</v>
      </c>
      <c r="D939" s="687" t="s">
        <v>1414</v>
      </c>
      <c r="E939" s="688">
        <v>4.2040948653884976E-2</v>
      </c>
      <c r="F939" s="310">
        <v>3.7639677712952457E-2</v>
      </c>
      <c r="G939" s="311">
        <v>0.1327455296241985</v>
      </c>
      <c r="H939" s="311">
        <v>2.5718936119221562E-3</v>
      </c>
      <c r="I939" s="394">
        <v>2.789951906233515E-3</v>
      </c>
      <c r="J939" s="689">
        <v>1.4506536203827633E-4</v>
      </c>
      <c r="K939" s="690">
        <v>1.5162457198482026E-4</v>
      </c>
    </row>
    <row r="940" spans="2:11" ht="15.75" x14ac:dyDescent="0.25">
      <c r="B940" s="667" t="s">
        <v>79</v>
      </c>
      <c r="C940" s="110">
        <v>2022</v>
      </c>
      <c r="D940" s="687" t="s">
        <v>1415</v>
      </c>
      <c r="E940" s="688">
        <v>4.0751644256328406E-2</v>
      </c>
      <c r="F940" s="310">
        <v>3.0020017142277731E-2</v>
      </c>
      <c r="G940" s="311">
        <v>0.11320127664318591</v>
      </c>
      <c r="H940" s="311">
        <v>2.4132626401293451E-3</v>
      </c>
      <c r="I940" s="394">
        <v>2.6187672697642662E-3</v>
      </c>
      <c r="J940" s="689">
        <v>1.3219688065871387E-4</v>
      </c>
      <c r="K940" s="690">
        <v>1.3817424013108217E-4</v>
      </c>
    </row>
    <row r="941" spans="2:11" ht="15.75" x14ac:dyDescent="0.25">
      <c r="B941" s="667" t="s">
        <v>79</v>
      </c>
      <c r="C941" s="110">
        <v>2023</v>
      </c>
      <c r="D941" s="687" t="s">
        <v>1416</v>
      </c>
      <c r="E941" s="688">
        <v>3.9469498546339618E-2</v>
      </c>
      <c r="F941" s="310">
        <v>2.5592942467168343E-2</v>
      </c>
      <c r="G941" s="311">
        <v>9.7908578701882479E-2</v>
      </c>
      <c r="H941" s="311">
        <v>2.2711447057495388E-3</v>
      </c>
      <c r="I941" s="394">
        <v>2.4648409619434605E-3</v>
      </c>
      <c r="J941" s="689">
        <v>1.2050115426478327E-4</v>
      </c>
      <c r="K941" s="690">
        <v>1.2594967753044436E-4</v>
      </c>
    </row>
    <row r="942" spans="2:11" ht="15.75" x14ac:dyDescent="0.25">
      <c r="B942" s="667" t="s">
        <v>79</v>
      </c>
      <c r="C942" s="110">
        <v>2024</v>
      </c>
      <c r="D942" s="687" t="s">
        <v>1417</v>
      </c>
      <c r="E942" s="688">
        <v>3.8184833512652547E-2</v>
      </c>
      <c r="F942" s="310">
        <v>2.1945583845063288E-2</v>
      </c>
      <c r="G942" s="311">
        <v>8.5289084518464037E-2</v>
      </c>
      <c r="H942" s="311">
        <v>2.1385259643650362E-3</v>
      </c>
      <c r="I942" s="394">
        <v>2.3216381380733748E-3</v>
      </c>
      <c r="J942" s="689">
        <v>9.8701970008687931E-5</v>
      </c>
      <c r="K942" s="690">
        <v>1.0316483700271656E-4</v>
      </c>
    </row>
    <row r="943" spans="2:11" ht="15.75" x14ac:dyDescent="0.25">
      <c r="B943" s="667" t="s">
        <v>79</v>
      </c>
      <c r="C943" s="110">
        <v>2025</v>
      </c>
      <c r="D943" s="687" t="s">
        <v>1418</v>
      </c>
      <c r="E943" s="688">
        <v>3.6930068313385911E-2</v>
      </c>
      <c r="F943" s="310">
        <v>1.9312648572269223E-2</v>
      </c>
      <c r="G943" s="311">
        <v>7.5756710717972991E-2</v>
      </c>
      <c r="H943" s="311">
        <v>2.0470147235660619E-3</v>
      </c>
      <c r="I943" s="394">
        <v>2.2224739863649337E-3</v>
      </c>
      <c r="J943" s="689">
        <v>9.0508814372679204E-5</v>
      </c>
      <c r="K943" s="690">
        <v>9.4601225922333885E-5</v>
      </c>
    </row>
    <row r="944" spans="2:11" ht="15.75" x14ac:dyDescent="0.25">
      <c r="B944" s="667" t="s">
        <v>79</v>
      </c>
      <c r="C944" s="110">
        <v>2026</v>
      </c>
      <c r="D944" s="687" t="s">
        <v>1419</v>
      </c>
      <c r="E944" s="688">
        <v>3.5751879823499942E-2</v>
      </c>
      <c r="F944" s="310">
        <v>1.7055607791152914E-2</v>
      </c>
      <c r="G944" s="311">
        <v>6.7817390749617609E-2</v>
      </c>
      <c r="H944" s="311">
        <v>1.9485351004173302E-3</v>
      </c>
      <c r="I944" s="394">
        <v>2.1159495755328156E-3</v>
      </c>
      <c r="J944" s="689">
        <v>7.6883288146425478E-5</v>
      </c>
      <c r="K944" s="690">
        <v>8.0359607342835021E-5</v>
      </c>
    </row>
    <row r="945" spans="2:11" ht="15.75" x14ac:dyDescent="0.25">
      <c r="B945" s="667" t="s">
        <v>79</v>
      </c>
      <c r="C945" s="110">
        <v>2027</v>
      </c>
      <c r="D945" s="687" t="s">
        <v>1420</v>
      </c>
      <c r="E945" s="688">
        <v>3.4638495844018409E-2</v>
      </c>
      <c r="F945" s="310">
        <v>1.5132652587569215E-2</v>
      </c>
      <c r="G945" s="311">
        <v>6.1104249391582023E-2</v>
      </c>
      <c r="H945" s="311">
        <v>1.8418810229264768E-3</v>
      </c>
      <c r="I945" s="394">
        <v>2.00045568434631E-3</v>
      </c>
      <c r="J945" s="689">
        <v>6.5087300810125637E-5</v>
      </c>
      <c r="K945" s="690">
        <v>6.8030262802657061E-5</v>
      </c>
    </row>
    <row r="946" spans="2:11" ht="15.75" x14ac:dyDescent="0.25">
      <c r="B946" s="667" t="s">
        <v>79</v>
      </c>
      <c r="C946" s="110">
        <v>2028</v>
      </c>
      <c r="D946" s="687" t="s">
        <v>1421</v>
      </c>
      <c r="E946" s="688">
        <v>3.3600848603641494E-2</v>
      </c>
      <c r="F946" s="310">
        <v>1.3525670632312851E-2</v>
      </c>
      <c r="G946" s="311">
        <v>5.5503706694973891E-2</v>
      </c>
      <c r="H946" s="311">
        <v>1.7303876791814115E-3</v>
      </c>
      <c r="I946" s="394">
        <v>1.879500904826311E-3</v>
      </c>
      <c r="J946" s="689">
        <v>5.7893230888972102E-5</v>
      </c>
      <c r="K946" s="690">
        <v>6.051090781179417E-5</v>
      </c>
    </row>
    <row r="947" spans="2:11" ht="15.75" x14ac:dyDescent="0.25">
      <c r="B947" s="667" t="s">
        <v>79</v>
      </c>
      <c r="C947" s="110">
        <v>2029</v>
      </c>
      <c r="D947" s="687" t="s">
        <v>1422</v>
      </c>
      <c r="E947" s="688">
        <v>3.2643866265881352E-2</v>
      </c>
      <c r="F947" s="310">
        <v>1.2050994194190107E-2</v>
      </c>
      <c r="G947" s="311">
        <v>5.0496676010922406E-2</v>
      </c>
      <c r="H947" s="311">
        <v>1.6220508993441895E-3</v>
      </c>
      <c r="I947" s="394">
        <v>1.7619496114792085E-3</v>
      </c>
      <c r="J947" s="689">
        <v>5.1416554055478089E-5</v>
      </c>
      <c r="K947" s="690">
        <v>5.3741379193333247E-5</v>
      </c>
    </row>
    <row r="948" spans="2:11" ht="15.75" x14ac:dyDescent="0.25">
      <c r="B948" s="667" t="s">
        <v>79</v>
      </c>
      <c r="C948" s="110">
        <v>2030</v>
      </c>
      <c r="D948" s="687" t="s">
        <v>1423</v>
      </c>
      <c r="E948" s="688">
        <v>3.1762161556531297E-2</v>
      </c>
      <c r="F948" s="310">
        <v>1.0846929783262611E-2</v>
      </c>
      <c r="G948" s="311">
        <v>4.6283885240710032E-2</v>
      </c>
      <c r="H948" s="311">
        <v>1.519798269319695E-3</v>
      </c>
      <c r="I948" s="394">
        <v>1.6509797139249419E-3</v>
      </c>
      <c r="J948" s="689">
        <v>4.5767855069511721E-5</v>
      </c>
      <c r="K948" s="690">
        <v>4.7837275228069532E-5</v>
      </c>
    </row>
    <row r="949" spans="2:11" ht="15.75" x14ac:dyDescent="0.25">
      <c r="B949" s="667" t="s">
        <v>79</v>
      </c>
      <c r="C949" s="110">
        <v>2031</v>
      </c>
      <c r="D949" s="687" t="s">
        <v>1424</v>
      </c>
      <c r="E949" s="688">
        <v>3.0963747039574659E-2</v>
      </c>
      <c r="F949" s="310">
        <v>9.7720199870932334E-3</v>
      </c>
      <c r="G949" s="311">
        <v>4.2550256398017815E-2</v>
      </c>
      <c r="H949" s="311">
        <v>1.42398467313068E-3</v>
      </c>
      <c r="I949" s="394">
        <v>1.546947497218951E-3</v>
      </c>
      <c r="J949" s="689">
        <v>4.1665648971042793E-5</v>
      </c>
      <c r="K949" s="690">
        <v>4.3549585332187646E-5</v>
      </c>
    </row>
    <row r="950" spans="2:11" ht="15.75" x14ac:dyDescent="0.25">
      <c r="B950" s="667" t="s">
        <v>79</v>
      </c>
      <c r="C950" s="110">
        <v>2032</v>
      </c>
      <c r="D950" s="687" t="s">
        <v>1425</v>
      </c>
      <c r="E950" s="688">
        <v>3.0249503573325488E-2</v>
      </c>
      <c r="F950" s="310">
        <v>8.8453010341499518E-3</v>
      </c>
      <c r="G950" s="311">
        <v>3.9453338806665586E-2</v>
      </c>
      <c r="H950" s="311">
        <v>1.3366162645623454E-3</v>
      </c>
      <c r="I950" s="394">
        <v>1.4520323789810525E-3</v>
      </c>
      <c r="J950" s="689">
        <v>3.9164929679037875E-5</v>
      </c>
      <c r="K950" s="690">
        <v>4.093579738527873E-5</v>
      </c>
    </row>
    <row r="951" spans="2:11" ht="15.75" x14ac:dyDescent="0.25">
      <c r="B951" s="667" t="s">
        <v>79</v>
      </c>
      <c r="C951" s="110">
        <v>2033</v>
      </c>
      <c r="D951" s="687" t="s">
        <v>1426</v>
      </c>
      <c r="E951" s="688">
        <v>2.9601493842501266E-2</v>
      </c>
      <c r="F951" s="310">
        <v>8.0016455095765302E-3</v>
      </c>
      <c r="G951" s="311">
        <v>3.6695072393185119E-2</v>
      </c>
      <c r="H951" s="311">
        <v>1.2540719955700093E-3</v>
      </c>
      <c r="I951" s="394">
        <v>1.3623538054561551E-3</v>
      </c>
      <c r="J951" s="689">
        <v>3.689394960168859E-5</v>
      </c>
      <c r="K951" s="690">
        <v>3.8562128331244856E-5</v>
      </c>
    </row>
    <row r="952" spans="2:11" ht="15.75" x14ac:dyDescent="0.25">
      <c r="B952" s="667" t="s">
        <v>79</v>
      </c>
      <c r="C952" s="110">
        <v>2034</v>
      </c>
      <c r="D952" s="687" t="s">
        <v>1427</v>
      </c>
      <c r="E952" s="688">
        <v>2.9024269721195633E-2</v>
      </c>
      <c r="F952" s="310">
        <v>7.2371833234391135E-3</v>
      </c>
      <c r="G952" s="311">
        <v>3.430920199614506E-2</v>
      </c>
      <c r="H952" s="311">
        <v>1.1775904457363632E-3</v>
      </c>
      <c r="I952" s="394">
        <v>1.2792607577466752E-3</v>
      </c>
      <c r="J952" s="689">
        <v>3.4831663876718273E-5</v>
      </c>
      <c r="K952" s="690">
        <v>3.6406598144728162E-5</v>
      </c>
    </row>
    <row r="953" spans="2:11" ht="15.75" x14ac:dyDescent="0.25">
      <c r="B953" s="667" t="s">
        <v>79</v>
      </c>
      <c r="C953" s="110">
        <v>2035</v>
      </c>
      <c r="D953" s="687" t="s">
        <v>1428</v>
      </c>
      <c r="E953" s="688">
        <v>2.8505213520233091E-2</v>
      </c>
      <c r="F953" s="310">
        <v>6.5508679319973475E-3</v>
      </c>
      <c r="G953" s="311">
        <v>3.2262801898144448E-2</v>
      </c>
      <c r="H953" s="311">
        <v>1.1068365950178476E-3</v>
      </c>
      <c r="I953" s="394">
        <v>1.2023887765280836E-3</v>
      </c>
      <c r="J953" s="689">
        <v>3.2978799685595807E-5</v>
      </c>
      <c r="K953" s="690">
        <v>3.4469955875271491E-5</v>
      </c>
    </row>
    <row r="954" spans="2:11" ht="15.75" x14ac:dyDescent="0.25">
      <c r="B954" s="667" t="s">
        <v>79</v>
      </c>
      <c r="C954" s="110">
        <v>2036</v>
      </c>
      <c r="D954" s="687" t="s">
        <v>1429</v>
      </c>
      <c r="E954" s="688">
        <v>2.8058905324100342E-2</v>
      </c>
      <c r="F954" s="310">
        <v>5.9722455860851155E-3</v>
      </c>
      <c r="G954" s="311">
        <v>3.0588527944280356E-2</v>
      </c>
      <c r="H954" s="311">
        <v>1.0471822647979544E-3</v>
      </c>
      <c r="I954" s="394">
        <v>1.1375776456323979E-3</v>
      </c>
      <c r="J954" s="689">
        <v>3.1353621505323432E-5</v>
      </c>
      <c r="K954" s="690">
        <v>3.277128804120367E-5</v>
      </c>
    </row>
    <row r="955" spans="2:11" ht="15.75" x14ac:dyDescent="0.25">
      <c r="B955" s="667" t="s">
        <v>79</v>
      </c>
      <c r="C955" s="110">
        <v>2037</v>
      </c>
      <c r="D955" s="687" t="s">
        <v>1430</v>
      </c>
      <c r="E955" s="688">
        <v>2.7662215187320878E-2</v>
      </c>
      <c r="F955" s="310">
        <v>5.4425837616544487E-3</v>
      </c>
      <c r="G955" s="311">
        <v>2.9079169458497148E-2</v>
      </c>
      <c r="H955" s="311">
        <v>9.9322880587282081E-4</v>
      </c>
      <c r="I955" s="394">
        <v>1.0789612219817663E-3</v>
      </c>
      <c r="J955" s="689">
        <v>2.987737695701216E-5</v>
      </c>
      <c r="K955" s="690">
        <v>3.1228295713146705E-5</v>
      </c>
    </row>
    <row r="956" spans="2:11" ht="15.75" x14ac:dyDescent="0.25">
      <c r="B956" s="667" t="s">
        <v>79</v>
      </c>
      <c r="C956" s="110">
        <v>2038</v>
      </c>
      <c r="D956" s="687" t="s">
        <v>1431</v>
      </c>
      <c r="E956" s="688">
        <v>2.7321451349000381E-2</v>
      </c>
      <c r="F956" s="310">
        <v>4.9430631849825286E-3</v>
      </c>
      <c r="G956" s="311">
        <v>2.7636634818092008E-2</v>
      </c>
      <c r="H956" s="311">
        <v>9.4406433532481944E-4</v>
      </c>
      <c r="I956" s="394">
        <v>1.0255630645875451E-3</v>
      </c>
      <c r="J956" s="689">
        <v>2.815696985825339E-5</v>
      </c>
      <c r="K956" s="690">
        <v>2.9430097256624007E-5</v>
      </c>
    </row>
    <row r="957" spans="2:11" ht="15.75" x14ac:dyDescent="0.25">
      <c r="B957" s="667" t="s">
        <v>79</v>
      </c>
      <c r="C957" s="110">
        <v>2039</v>
      </c>
      <c r="D957" s="687" t="s">
        <v>1432</v>
      </c>
      <c r="E957" s="688">
        <v>2.7022677205323715E-2</v>
      </c>
      <c r="F957" s="310">
        <v>4.480861141404318E-3</v>
      </c>
      <c r="G957" s="311">
        <v>2.6330465624474088E-2</v>
      </c>
      <c r="H957" s="311">
        <v>9.006718835515155E-4</v>
      </c>
      <c r="I957" s="394">
        <v>9.7841443445618515E-4</v>
      </c>
      <c r="J957" s="689">
        <v>2.7098726568815882E-5</v>
      </c>
      <c r="K957" s="690">
        <v>2.832401530098425E-5</v>
      </c>
    </row>
    <row r="958" spans="2:11" ht="15.75" x14ac:dyDescent="0.25">
      <c r="B958" s="667" t="s">
        <v>79</v>
      </c>
      <c r="C958" s="110">
        <v>2040</v>
      </c>
      <c r="D958" s="687" t="s">
        <v>1433</v>
      </c>
      <c r="E958" s="688">
        <v>2.6761169250131469E-2</v>
      </c>
      <c r="F958" s="310">
        <v>4.0998974876381485E-3</v>
      </c>
      <c r="G958" s="311">
        <v>2.5309447784848577E-2</v>
      </c>
      <c r="H958" s="311">
        <v>8.6250502573658285E-4</v>
      </c>
      <c r="I958" s="394">
        <v>9.369594513686173E-4</v>
      </c>
      <c r="J958" s="689">
        <v>2.5802886275025301E-5</v>
      </c>
      <c r="K958" s="690">
        <v>2.696957375095548E-5</v>
      </c>
    </row>
    <row r="959" spans="2:11" ht="15.75" x14ac:dyDescent="0.25">
      <c r="B959" s="667" t="s">
        <v>79</v>
      </c>
      <c r="C959" s="110">
        <v>2041</v>
      </c>
      <c r="D959" s="687" t="s">
        <v>1434</v>
      </c>
      <c r="E959" s="688">
        <v>2.6537993153853936E-2</v>
      </c>
      <c r="F959" s="310">
        <v>3.8371168295014309E-3</v>
      </c>
      <c r="G959" s="311">
        <v>2.4591909159472954E-2</v>
      </c>
      <c r="H959" s="311">
        <v>8.3397116872321907E-4</v>
      </c>
      <c r="I959" s="394">
        <v>9.0595740448483233E-4</v>
      </c>
      <c r="J959" s="689">
        <v>2.5062070180750542E-5</v>
      </c>
      <c r="K959" s="690">
        <v>2.6195269021867062E-5</v>
      </c>
    </row>
    <row r="960" spans="2:11" ht="15.75" x14ac:dyDescent="0.25">
      <c r="B960" s="667" t="s">
        <v>79</v>
      </c>
      <c r="C960" s="110">
        <v>2042</v>
      </c>
      <c r="D960" s="687" t="s">
        <v>1435</v>
      </c>
      <c r="E960" s="688">
        <v>2.6337868514549858E-2</v>
      </c>
      <c r="F960" s="310">
        <v>3.6035383042045828E-3</v>
      </c>
      <c r="G960" s="311">
        <v>2.3896665470745749E-2</v>
      </c>
      <c r="H960" s="311">
        <v>8.0937156282986922E-4</v>
      </c>
      <c r="I960" s="394">
        <v>8.7922942654945985E-4</v>
      </c>
      <c r="J960" s="689">
        <v>2.4448332675913171E-5</v>
      </c>
      <c r="K960" s="690">
        <v>2.5553775874157301E-5</v>
      </c>
    </row>
    <row r="961" spans="2:11" ht="15.75" x14ac:dyDescent="0.25">
      <c r="B961" s="667" t="s">
        <v>79</v>
      </c>
      <c r="C961" s="110">
        <v>2043</v>
      </c>
      <c r="D961" s="687" t="s">
        <v>1436</v>
      </c>
      <c r="E961" s="688">
        <v>2.6165293688858719E-2</v>
      </c>
      <c r="F961" s="310">
        <v>3.4118680205342733E-3</v>
      </c>
      <c r="G961" s="311">
        <v>2.3296044355243125E-2</v>
      </c>
      <c r="H961" s="311">
        <v>7.8823257077579993E-4</v>
      </c>
      <c r="I961" s="394">
        <v>8.5626054770477147E-4</v>
      </c>
      <c r="J961" s="689">
        <v>2.3936946344962987E-5</v>
      </c>
      <c r="K961" s="690">
        <v>2.5019269722765087E-5</v>
      </c>
    </row>
    <row r="962" spans="2:11" ht="15.75" x14ac:dyDescent="0.25">
      <c r="B962" s="667" t="s">
        <v>79</v>
      </c>
      <c r="C962" s="110">
        <v>2044</v>
      </c>
      <c r="D962" s="687" t="s">
        <v>1437</v>
      </c>
      <c r="E962" s="688">
        <v>2.6011314719244186E-2</v>
      </c>
      <c r="F962" s="310">
        <v>3.2791790028231021E-3</v>
      </c>
      <c r="G962" s="311">
        <v>2.287928329255861E-2</v>
      </c>
      <c r="H962" s="311">
        <v>7.702419276711496E-4</v>
      </c>
      <c r="I962" s="394">
        <v>8.3672337093820945E-4</v>
      </c>
      <c r="J962" s="689">
        <v>2.3244013842089499E-5</v>
      </c>
      <c r="K962" s="690">
        <v>2.4295000791174425E-5</v>
      </c>
    </row>
    <row r="963" spans="2:11" ht="15.75" x14ac:dyDescent="0.25">
      <c r="B963" s="667" t="s">
        <v>79</v>
      </c>
      <c r="C963" s="110">
        <v>2045</v>
      </c>
      <c r="D963" s="687" t="s">
        <v>1438</v>
      </c>
      <c r="E963" s="688">
        <v>2.5871255078535719E-2</v>
      </c>
      <c r="F963" s="310">
        <v>3.1839882298291189E-3</v>
      </c>
      <c r="G963" s="311">
        <v>2.2575108538568985E-2</v>
      </c>
      <c r="H963" s="311">
        <v>7.5507078696288716E-4</v>
      </c>
      <c r="I963" s="394">
        <v>8.2023840294157566E-4</v>
      </c>
      <c r="J963" s="689">
        <v>2.2886816198673888E-5</v>
      </c>
      <c r="K963" s="690">
        <v>2.3921656132815777E-5</v>
      </c>
    </row>
    <row r="964" spans="2:11" ht="15.75" x14ac:dyDescent="0.25">
      <c r="B964" s="667" t="s">
        <v>79</v>
      </c>
      <c r="C964" s="110">
        <v>2046</v>
      </c>
      <c r="D964" s="687" t="s">
        <v>1439</v>
      </c>
      <c r="E964" s="688">
        <v>2.5750108258069105E-2</v>
      </c>
      <c r="F964" s="310">
        <v>3.1021523651175477E-3</v>
      </c>
      <c r="G964" s="311">
        <v>2.2333022601905443E-2</v>
      </c>
      <c r="H964" s="311">
        <v>7.4237600804103636E-4</v>
      </c>
      <c r="I964" s="394">
        <v>8.0644454031760101E-4</v>
      </c>
      <c r="J964" s="689">
        <v>2.2589551032177329E-5</v>
      </c>
      <c r="K964" s="690">
        <v>2.3610952454563582E-5</v>
      </c>
    </row>
    <row r="965" spans="2:11" ht="15.75" x14ac:dyDescent="0.25">
      <c r="B965" s="667" t="s">
        <v>79</v>
      </c>
      <c r="C965" s="110">
        <v>2047</v>
      </c>
      <c r="D965" s="687" t="s">
        <v>1440</v>
      </c>
      <c r="E965" s="688">
        <v>2.5641497274660821E-2</v>
      </c>
      <c r="F965" s="310">
        <v>3.0312767489491408E-3</v>
      </c>
      <c r="G965" s="311">
        <v>2.2114266062144023E-2</v>
      </c>
      <c r="H965" s="311">
        <v>7.317404166779115E-4</v>
      </c>
      <c r="I965" s="394">
        <v>7.9489118615542142E-4</v>
      </c>
      <c r="J965" s="689">
        <v>2.2268058801453579E-5</v>
      </c>
      <c r="K965" s="690">
        <v>2.3274925565052702E-5</v>
      </c>
    </row>
    <row r="966" spans="2:11" ht="15.75" x14ac:dyDescent="0.25">
      <c r="B966" s="667" t="s">
        <v>79</v>
      </c>
      <c r="C966" s="110">
        <v>2048</v>
      </c>
      <c r="D966" s="687" t="s">
        <v>1441</v>
      </c>
      <c r="E966" s="688">
        <v>2.5548866785403877E-2</v>
      </c>
      <c r="F966" s="310">
        <v>2.9748963028178748E-3</v>
      </c>
      <c r="G966" s="311">
        <v>2.1936849037720006E-2</v>
      </c>
      <c r="H966" s="311">
        <v>7.227925890983738E-4</v>
      </c>
      <c r="I966" s="394">
        <v>7.8517598932737419E-4</v>
      </c>
      <c r="J966" s="689">
        <v>2.1874342264113153E-5</v>
      </c>
      <c r="K966" s="690">
        <v>2.2863396333218073E-5</v>
      </c>
    </row>
    <row r="967" spans="2:11" ht="15.75" x14ac:dyDescent="0.25">
      <c r="B967" s="667" t="s">
        <v>79</v>
      </c>
      <c r="C967" s="110">
        <v>2049</v>
      </c>
      <c r="D967" s="687" t="s">
        <v>1442</v>
      </c>
      <c r="E967" s="688">
        <v>2.54672191940984E-2</v>
      </c>
      <c r="F967" s="310">
        <v>2.9541885240290159E-3</v>
      </c>
      <c r="G967" s="311">
        <v>2.1928230785520544E-2</v>
      </c>
      <c r="H967" s="311">
        <v>7.1723677753011289E-4</v>
      </c>
      <c r="I967" s="394">
        <v>7.7914666560476031E-4</v>
      </c>
      <c r="J967" s="689">
        <v>2.1564334532414925E-5</v>
      </c>
      <c r="K967" s="690">
        <v>2.2539375945193479E-5</v>
      </c>
    </row>
    <row r="968" spans="2:11" ht="15.75" x14ac:dyDescent="0.25">
      <c r="B968" s="667" t="s">
        <v>79</v>
      </c>
      <c r="C968" s="110">
        <v>2050</v>
      </c>
      <c r="D968" s="687" t="s">
        <v>1443</v>
      </c>
      <c r="E968" s="688">
        <v>2.5396336449322689E-2</v>
      </c>
      <c r="F968" s="310">
        <v>2.9376832085348929E-3</v>
      </c>
      <c r="G968" s="311">
        <v>2.1928989315450287E-2</v>
      </c>
      <c r="H968" s="311">
        <v>7.1295769209051441E-4</v>
      </c>
      <c r="I968" s="394">
        <v>7.7449588538664349E-4</v>
      </c>
      <c r="J968" s="689">
        <v>2.1486380334919802E-5</v>
      </c>
      <c r="K968" s="690">
        <v>2.2457897692672271E-5</v>
      </c>
    </row>
    <row r="969" spans="2:11" ht="15.75" x14ac:dyDescent="0.25">
      <c r="B969" s="667" t="s">
        <v>80</v>
      </c>
      <c r="C969" s="110">
        <v>2015</v>
      </c>
      <c r="D969" s="687" t="s">
        <v>249</v>
      </c>
      <c r="E969" s="688">
        <v>4.447120032419985E-2</v>
      </c>
      <c r="F969" s="310">
        <v>6.5393476755088872E-2</v>
      </c>
      <c r="G969" s="311">
        <v>0.26900926859210961</v>
      </c>
      <c r="H969" s="311">
        <v>2.2796647505289617E-3</v>
      </c>
      <c r="I969" s="394">
        <v>2.4647972887915917E-3</v>
      </c>
      <c r="J969" s="689">
        <v>2.2798625938493644E-4</v>
      </c>
      <c r="K969" s="690">
        <v>2.3829478486164221E-4</v>
      </c>
    </row>
    <row r="970" spans="2:11" ht="15.75" x14ac:dyDescent="0.25">
      <c r="B970" s="667" t="s">
        <v>80</v>
      </c>
      <c r="C970" s="110">
        <v>2016</v>
      </c>
      <c r="D970" s="687" t="s">
        <v>250</v>
      </c>
      <c r="E970" s="688">
        <v>4.3673403907594423E-2</v>
      </c>
      <c r="F970" s="310">
        <v>5.3434781448422362E-2</v>
      </c>
      <c r="G970" s="311">
        <v>0.23054035919975835</v>
      </c>
      <c r="H970" s="311">
        <v>2.1436979909125291E-3</v>
      </c>
      <c r="I970" s="394">
        <v>2.3190415932677435E-3</v>
      </c>
      <c r="J970" s="689">
        <v>2.1702773848192159E-4</v>
      </c>
      <c r="K970" s="690">
        <v>2.268407712305808E-4</v>
      </c>
    </row>
    <row r="971" spans="2:11" ht="15.75" x14ac:dyDescent="0.25">
      <c r="B971" s="667" t="s">
        <v>80</v>
      </c>
      <c r="C971" s="110">
        <v>2017</v>
      </c>
      <c r="D971" s="687" t="s">
        <v>1480</v>
      </c>
      <c r="E971" s="688">
        <v>4.268827483320331E-2</v>
      </c>
      <c r="F971" s="310">
        <v>4.4915351243819367E-2</v>
      </c>
      <c r="G971" s="311">
        <v>0.19879411395072968</v>
      </c>
      <c r="H971" s="311">
        <v>2.0591641637634126E-3</v>
      </c>
      <c r="I971" s="394">
        <v>2.2289807500741735E-3</v>
      </c>
      <c r="J971" s="689">
        <v>1.9434593982413885E-4</v>
      </c>
      <c r="K971" s="690">
        <v>2.0313339780605295E-4</v>
      </c>
    </row>
    <row r="972" spans="2:11" ht="15.75" x14ac:dyDescent="0.25">
      <c r="B972" s="667" t="s">
        <v>80</v>
      </c>
      <c r="C972" s="110">
        <v>2018</v>
      </c>
      <c r="D972" s="687" t="s">
        <v>1481</v>
      </c>
      <c r="E972" s="688">
        <v>4.1651217872647091E-2</v>
      </c>
      <c r="F972" s="310">
        <v>3.7133690186073494E-2</v>
      </c>
      <c r="G972" s="311">
        <v>0.17063158905095871</v>
      </c>
      <c r="H972" s="311">
        <v>2.0057041388692604E-3</v>
      </c>
      <c r="I972" s="394">
        <v>2.172504108888613E-3</v>
      </c>
      <c r="J972" s="689">
        <v>1.7547179596488722E-4</v>
      </c>
      <c r="K972" s="690">
        <v>1.8340584936432303E-4</v>
      </c>
    </row>
    <row r="973" spans="2:11" ht="15.75" x14ac:dyDescent="0.25">
      <c r="B973" s="667" t="s">
        <v>80</v>
      </c>
      <c r="C973" s="110">
        <v>2019</v>
      </c>
      <c r="D973" s="687" t="s">
        <v>1482</v>
      </c>
      <c r="E973" s="688">
        <v>4.0564598980245586E-2</v>
      </c>
      <c r="F973" s="310">
        <v>3.0791006524228996E-2</v>
      </c>
      <c r="G973" s="311">
        <v>0.1466538950629494</v>
      </c>
      <c r="H973" s="311">
        <v>1.9649632783111785E-3</v>
      </c>
      <c r="I973" s="394">
        <v>2.129507259745058E-3</v>
      </c>
      <c r="J973" s="689">
        <v>1.5891737540956239E-4</v>
      </c>
      <c r="K973" s="690">
        <v>1.6610291849921069E-4</v>
      </c>
    </row>
    <row r="974" spans="2:11" ht="15.75" x14ac:dyDescent="0.25">
      <c r="B974" s="667" t="s">
        <v>80</v>
      </c>
      <c r="C974" s="110">
        <v>2020</v>
      </c>
      <c r="D974" s="687" t="s">
        <v>1483</v>
      </c>
      <c r="E974" s="688">
        <v>3.9452626074600254E-2</v>
      </c>
      <c r="F974" s="310">
        <v>2.6132431834616946E-2</v>
      </c>
      <c r="G974" s="311">
        <v>0.1265062035624831</v>
      </c>
      <c r="H974" s="311">
        <v>1.8950720170244051E-3</v>
      </c>
      <c r="I974" s="394">
        <v>2.0543000714223596E-3</v>
      </c>
      <c r="J974" s="689">
        <v>1.4535514034012362E-4</v>
      </c>
      <c r="K974" s="690">
        <v>1.5192745667744922E-4</v>
      </c>
    </row>
    <row r="975" spans="2:11" ht="15.75" x14ac:dyDescent="0.25">
      <c r="B975" s="667" t="s">
        <v>80</v>
      </c>
      <c r="C975" s="110">
        <v>2021</v>
      </c>
      <c r="D975" s="687" t="s">
        <v>1484</v>
      </c>
      <c r="E975" s="688">
        <v>3.8316583674870466E-2</v>
      </c>
      <c r="F975" s="310">
        <v>2.2254157520703897E-2</v>
      </c>
      <c r="G975" s="311">
        <v>0.10910312699935563</v>
      </c>
      <c r="H975" s="311">
        <v>1.7836332264256176E-3</v>
      </c>
      <c r="I975" s="394">
        <v>1.9338671008136059E-3</v>
      </c>
      <c r="J975" s="689">
        <v>1.3126322331198629E-4</v>
      </c>
      <c r="K975" s="690">
        <v>1.3719836179986497E-4</v>
      </c>
    </row>
    <row r="976" spans="2:11" ht="15.75" x14ac:dyDescent="0.25">
      <c r="B976" s="667" t="s">
        <v>80</v>
      </c>
      <c r="C976" s="110">
        <v>2022</v>
      </c>
      <c r="D976" s="687" t="s">
        <v>1485</v>
      </c>
      <c r="E976" s="688">
        <v>3.7189052539077616E-2</v>
      </c>
      <c r="F976" s="310">
        <v>1.8258740250758465E-2</v>
      </c>
      <c r="G976" s="311">
        <v>9.368364894174934E-2</v>
      </c>
      <c r="H976" s="311">
        <v>1.6771104151393952E-3</v>
      </c>
      <c r="I976" s="394">
        <v>1.8188566935940541E-3</v>
      </c>
      <c r="J976" s="689">
        <v>1.1853177623979001E-4</v>
      </c>
      <c r="K976" s="690">
        <v>1.2389125337780203E-4</v>
      </c>
    </row>
    <row r="977" spans="2:11" ht="15.75" x14ac:dyDescent="0.25">
      <c r="B977" s="667" t="s">
        <v>80</v>
      </c>
      <c r="C977" s="110">
        <v>2023</v>
      </c>
      <c r="D977" s="687" t="s">
        <v>1486</v>
      </c>
      <c r="E977" s="688">
        <v>3.6065468572104686E-2</v>
      </c>
      <c r="F977" s="310">
        <v>1.569930884995727E-2</v>
      </c>
      <c r="G977" s="311">
        <v>8.1451664238151325E-2</v>
      </c>
      <c r="H977" s="311">
        <v>1.5853638454775248E-3</v>
      </c>
      <c r="I977" s="394">
        <v>1.7195871626985149E-3</v>
      </c>
      <c r="J977" s="689">
        <v>1.0777118553889864E-4</v>
      </c>
      <c r="K977" s="690">
        <v>1.1264411747171667E-4</v>
      </c>
    </row>
    <row r="978" spans="2:11" ht="15.75" x14ac:dyDescent="0.25">
      <c r="B978" s="667" t="s">
        <v>80</v>
      </c>
      <c r="C978" s="110">
        <v>2024</v>
      </c>
      <c r="D978" s="687" t="s">
        <v>1487</v>
      </c>
      <c r="E978" s="688">
        <v>3.4953971708418484E-2</v>
      </c>
      <c r="F978" s="310">
        <v>1.3465029038830314E-2</v>
      </c>
      <c r="G978" s="311">
        <v>7.1017370620250944E-2</v>
      </c>
      <c r="H978" s="311">
        <v>1.502778038857033E-3</v>
      </c>
      <c r="I978" s="394">
        <v>1.6302321864500868E-3</v>
      </c>
      <c r="J978" s="689">
        <v>9.8225275195481165E-5</v>
      </c>
      <c r="K978" s="690">
        <v>1.0266658927994522E-4</v>
      </c>
    </row>
    <row r="979" spans="2:11" ht="15.75" x14ac:dyDescent="0.25">
      <c r="B979" s="667" t="s">
        <v>80</v>
      </c>
      <c r="C979" s="110">
        <v>2025</v>
      </c>
      <c r="D979" s="687" t="s">
        <v>1488</v>
      </c>
      <c r="E979" s="688">
        <v>3.3860691084804724E-2</v>
      </c>
      <c r="F979" s="310">
        <v>1.1798337966942978E-2</v>
      </c>
      <c r="G979" s="311">
        <v>6.2957973772480913E-2</v>
      </c>
      <c r="H979" s="311">
        <v>1.4369770168402021E-3</v>
      </c>
      <c r="I979" s="394">
        <v>1.559034323113228E-3</v>
      </c>
      <c r="J979" s="689">
        <v>8.9808649523822793E-5</v>
      </c>
      <c r="K979" s="690">
        <v>9.3869404539018866E-5</v>
      </c>
    </row>
    <row r="980" spans="2:11" ht="15.75" x14ac:dyDescent="0.25">
      <c r="B980" s="667" t="s">
        <v>80</v>
      </c>
      <c r="C980" s="110">
        <v>2026</v>
      </c>
      <c r="D980" s="687" t="s">
        <v>1489</v>
      </c>
      <c r="E980" s="688">
        <v>3.2853751220333537E-2</v>
      </c>
      <c r="F980" s="310">
        <v>1.0403840345474605E-2</v>
      </c>
      <c r="G980" s="311">
        <v>5.6362478721134056E-2</v>
      </c>
      <c r="H980" s="311">
        <v>1.3711816983133956E-3</v>
      </c>
      <c r="I980" s="394">
        <v>1.4877833758812338E-3</v>
      </c>
      <c r="J980" s="689">
        <v>8.2610842870363386E-5</v>
      </c>
      <c r="K980" s="690">
        <v>8.6346131070092364E-5</v>
      </c>
    </row>
    <row r="981" spans="2:11" ht="15.75" x14ac:dyDescent="0.25">
      <c r="B981" s="667" t="s">
        <v>80</v>
      </c>
      <c r="C981" s="110">
        <v>2027</v>
      </c>
      <c r="D981" s="687" t="s">
        <v>1490</v>
      </c>
      <c r="E981" s="688">
        <v>3.1922112069193549E-2</v>
      </c>
      <c r="F981" s="310">
        <v>9.2164000106381046E-3</v>
      </c>
      <c r="G981" s="311">
        <v>5.0783270640828104E-2</v>
      </c>
      <c r="H981" s="311">
        <v>1.2951651165905788E-3</v>
      </c>
      <c r="I981" s="394">
        <v>1.4055144105474203E-3</v>
      </c>
      <c r="J981" s="689">
        <v>7.3047241591664839E-5</v>
      </c>
      <c r="K981" s="690">
        <v>7.6350115528439529E-5</v>
      </c>
    </row>
    <row r="982" spans="2:11" ht="15.75" x14ac:dyDescent="0.25">
      <c r="B982" s="667" t="s">
        <v>80</v>
      </c>
      <c r="C982" s="110">
        <v>2028</v>
      </c>
      <c r="D982" s="687" t="s">
        <v>1491</v>
      </c>
      <c r="E982" s="688">
        <v>3.1072644799843393E-2</v>
      </c>
      <c r="F982" s="310">
        <v>8.2251081932409476E-3</v>
      </c>
      <c r="G982" s="311">
        <v>4.6100663181322318E-2</v>
      </c>
      <c r="H982" s="311">
        <v>1.2080830183200456E-3</v>
      </c>
      <c r="I982" s="394">
        <v>1.3113902324601693E-3</v>
      </c>
      <c r="J982" s="689">
        <v>5.9233480830169721E-5</v>
      </c>
      <c r="K982" s="690">
        <v>6.191175746240058E-5</v>
      </c>
    </row>
    <row r="983" spans="2:11" ht="15.75" x14ac:dyDescent="0.25">
      <c r="B983" s="667" t="s">
        <v>80</v>
      </c>
      <c r="C983" s="110">
        <v>2029</v>
      </c>
      <c r="D983" s="687" t="s">
        <v>1492</v>
      </c>
      <c r="E983" s="688">
        <v>3.0297949899348826E-2</v>
      </c>
      <c r="F983" s="310">
        <v>7.3282840517162337E-3</v>
      </c>
      <c r="G983" s="311">
        <v>4.1983459325227165E-2</v>
      </c>
      <c r="H983" s="311">
        <v>1.1273276925266376E-3</v>
      </c>
      <c r="I983" s="394">
        <v>1.2239658957926484E-3</v>
      </c>
      <c r="J983" s="689">
        <v>4.9699330502966811E-5</v>
      </c>
      <c r="K983" s="690">
        <v>5.1946513462618791E-5</v>
      </c>
    </row>
    <row r="984" spans="2:11" ht="15.75" x14ac:dyDescent="0.25">
      <c r="B984" s="667" t="s">
        <v>80</v>
      </c>
      <c r="C984" s="110">
        <v>2030</v>
      </c>
      <c r="D984" s="687" t="s">
        <v>1493</v>
      </c>
      <c r="E984" s="688">
        <v>2.9596252716201515E-2</v>
      </c>
      <c r="F984" s="310">
        <v>6.6011244727841034E-3</v>
      </c>
      <c r="G984" s="311">
        <v>3.8612450001335868E-2</v>
      </c>
      <c r="H984" s="311">
        <v>1.055565804611604E-3</v>
      </c>
      <c r="I984" s="394">
        <v>1.146147121530577E-3</v>
      </c>
      <c r="J984" s="689">
        <v>4.4294174704659471E-5</v>
      </c>
      <c r="K984" s="690">
        <v>4.6296959513951866E-5</v>
      </c>
    </row>
    <row r="985" spans="2:11" ht="15.75" x14ac:dyDescent="0.25">
      <c r="B985" s="667" t="s">
        <v>80</v>
      </c>
      <c r="C985" s="110">
        <v>2031</v>
      </c>
      <c r="D985" s="687" t="s">
        <v>1494</v>
      </c>
      <c r="E985" s="688">
        <v>2.8962575513845391E-2</v>
      </c>
      <c r="F985" s="310">
        <v>5.9576171271932873E-3</v>
      </c>
      <c r="G985" s="311">
        <v>3.5683143689468573E-2</v>
      </c>
      <c r="H985" s="311">
        <v>9.8958579479393105E-4</v>
      </c>
      <c r="I985" s="394">
        <v>1.0745376623341582E-3</v>
      </c>
      <c r="J985" s="689">
        <v>4.0752258493996104E-5</v>
      </c>
      <c r="K985" s="690">
        <v>4.2594897938836207E-5</v>
      </c>
    </row>
    <row r="986" spans="2:11" ht="15.75" x14ac:dyDescent="0.25">
      <c r="B986" s="667" t="s">
        <v>80</v>
      </c>
      <c r="C986" s="110">
        <v>2032</v>
      </c>
      <c r="D986" s="687" t="s">
        <v>1495</v>
      </c>
      <c r="E986" s="688">
        <v>2.8394051674246083E-2</v>
      </c>
      <c r="F986" s="310">
        <v>5.402160035538269E-3</v>
      </c>
      <c r="G986" s="311">
        <v>3.3222926014873165E-2</v>
      </c>
      <c r="H986" s="311">
        <v>9.2885336609666426E-4</v>
      </c>
      <c r="I986" s="394">
        <v>1.0086099254813412E-3</v>
      </c>
      <c r="J986" s="689">
        <v>3.7836119012716005E-5</v>
      </c>
      <c r="K986" s="690">
        <v>3.9546898763045009E-5</v>
      </c>
    </row>
    <row r="987" spans="2:11" ht="15.75" x14ac:dyDescent="0.25">
      <c r="B987" s="667" t="s">
        <v>80</v>
      </c>
      <c r="C987" s="110">
        <v>2033</v>
      </c>
      <c r="D987" s="687" t="s">
        <v>1496</v>
      </c>
      <c r="E987" s="688">
        <v>2.7886507825708888E-2</v>
      </c>
      <c r="F987" s="310">
        <v>4.9124703126696761E-3</v>
      </c>
      <c r="G987" s="311">
        <v>3.1142752471604366E-2</v>
      </c>
      <c r="H987" s="311">
        <v>8.7283873771395342E-4</v>
      </c>
      <c r="I987" s="394">
        <v>9.4779280618759003E-4</v>
      </c>
      <c r="J987" s="689">
        <v>3.5377381537094192E-5</v>
      </c>
      <c r="K987" s="690">
        <v>3.6976988361966082E-5</v>
      </c>
    </row>
    <row r="988" spans="2:11" ht="15.75" x14ac:dyDescent="0.25">
      <c r="B988" s="667" t="s">
        <v>80</v>
      </c>
      <c r="C988" s="110">
        <v>2034</v>
      </c>
      <c r="D988" s="687" t="s">
        <v>1497</v>
      </c>
      <c r="E988" s="688">
        <v>2.7432636768011942E-2</v>
      </c>
      <c r="F988" s="310">
        <v>4.4806389917382439E-3</v>
      </c>
      <c r="G988" s="311">
        <v>2.9381443697830086E-2</v>
      </c>
      <c r="H988" s="311">
        <v>8.2148292717337628E-4</v>
      </c>
      <c r="I988" s="394">
        <v>8.9203373307103484E-4</v>
      </c>
      <c r="J988" s="689">
        <v>3.3138140171315412E-5</v>
      </c>
      <c r="K988" s="690">
        <v>3.4636507945156576E-5</v>
      </c>
    </row>
    <row r="989" spans="2:11" ht="15.75" x14ac:dyDescent="0.25">
      <c r="B989" s="667" t="s">
        <v>80</v>
      </c>
      <c r="C989" s="110">
        <v>2035</v>
      </c>
      <c r="D989" s="687" t="s">
        <v>1498</v>
      </c>
      <c r="E989" s="688">
        <v>2.7030889527305701E-2</v>
      </c>
      <c r="F989" s="310">
        <v>4.0979037603794339E-3</v>
      </c>
      <c r="G989" s="311">
        <v>2.7902510847996394E-2</v>
      </c>
      <c r="H989" s="311">
        <v>7.7050270493176927E-4</v>
      </c>
      <c r="I989" s="394">
        <v>8.3684952155970902E-4</v>
      </c>
      <c r="J989" s="689">
        <v>2.6957727610736733E-5</v>
      </c>
      <c r="K989" s="690">
        <v>2.81766341193738E-5</v>
      </c>
    </row>
    <row r="990" spans="2:11" ht="15.75" x14ac:dyDescent="0.25">
      <c r="B990" s="667" t="s">
        <v>80</v>
      </c>
      <c r="C990" s="110">
        <v>2036</v>
      </c>
      <c r="D990" s="687" t="s">
        <v>1499</v>
      </c>
      <c r="E990" s="688">
        <v>2.667644425470525E-2</v>
      </c>
      <c r="F990" s="310">
        <v>3.760530843865806E-3</v>
      </c>
      <c r="G990" s="311">
        <v>2.6624402796443233E-2</v>
      </c>
      <c r="H990" s="311">
        <v>7.3016522926371951E-4</v>
      </c>
      <c r="I990" s="394">
        <v>7.9304075352130087E-4</v>
      </c>
      <c r="J990" s="689">
        <v>2.5491971724853073E-5</v>
      </c>
      <c r="K990" s="690">
        <v>2.6644608764560609E-5</v>
      </c>
    </row>
    <row r="991" spans="2:11" ht="15.75" x14ac:dyDescent="0.25">
      <c r="B991" s="667" t="s">
        <v>80</v>
      </c>
      <c r="C991" s="110">
        <v>2037</v>
      </c>
      <c r="D991" s="687" t="s">
        <v>1500</v>
      </c>
      <c r="E991" s="688">
        <v>2.6367777231524062E-2</v>
      </c>
      <c r="F991" s="310">
        <v>3.4673309955457286E-3</v>
      </c>
      <c r="G991" s="311">
        <v>2.555005505976744E-2</v>
      </c>
      <c r="H991" s="311">
        <v>6.9380459211563681E-4</v>
      </c>
      <c r="I991" s="394">
        <v>7.5356458985890073E-4</v>
      </c>
      <c r="J991" s="689">
        <v>2.3865966031319841E-5</v>
      </c>
      <c r="K991" s="690">
        <v>2.4945079577817323E-5</v>
      </c>
    </row>
    <row r="992" spans="2:11" ht="15.75" x14ac:dyDescent="0.25">
      <c r="B992" s="667" t="s">
        <v>80</v>
      </c>
      <c r="C992" s="110">
        <v>2038</v>
      </c>
      <c r="D992" s="687" t="s">
        <v>1501</v>
      </c>
      <c r="E992" s="688">
        <v>2.6100505844184295E-2</v>
      </c>
      <c r="F992" s="310">
        <v>3.1992845146818615E-3</v>
      </c>
      <c r="G992" s="311">
        <v>2.4561473060813618E-2</v>
      </c>
      <c r="H992" s="311">
        <v>6.6162826258790025E-4</v>
      </c>
      <c r="I992" s="394">
        <v>7.1861840973092505E-4</v>
      </c>
      <c r="J992" s="689">
        <v>2.2727047206662845E-5</v>
      </c>
      <c r="K992" s="690">
        <v>2.3754667630904289E-5</v>
      </c>
    </row>
    <row r="993" spans="2:11" ht="15.75" x14ac:dyDescent="0.25">
      <c r="B993" s="667" t="s">
        <v>80</v>
      </c>
      <c r="C993" s="110">
        <v>2039</v>
      </c>
      <c r="D993" s="687" t="s">
        <v>1502</v>
      </c>
      <c r="E993" s="688">
        <v>2.5868161548070236E-2</v>
      </c>
      <c r="F993" s="310">
        <v>2.9479878196115882E-3</v>
      </c>
      <c r="G993" s="311">
        <v>2.3644192138907703E-2</v>
      </c>
      <c r="H993" s="311">
        <v>6.3307323069709961E-4</v>
      </c>
      <c r="I993" s="394">
        <v>6.8760119072515608E-4</v>
      </c>
      <c r="J993" s="689">
        <v>2.1810499257831762E-5</v>
      </c>
      <c r="K993" s="690">
        <v>2.2796676154931714E-5</v>
      </c>
    </row>
    <row r="994" spans="2:11" ht="15.75" x14ac:dyDescent="0.25">
      <c r="B994" s="667" t="s">
        <v>80</v>
      </c>
      <c r="C994" s="110">
        <v>2040</v>
      </c>
      <c r="D994" s="687" t="s">
        <v>1503</v>
      </c>
      <c r="E994" s="688">
        <v>2.5667880806766765E-2</v>
      </c>
      <c r="F994" s="310">
        <v>2.7286601629487942E-3</v>
      </c>
      <c r="G994" s="311">
        <v>2.2891223474991625E-2</v>
      </c>
      <c r="H994" s="311">
        <v>6.0812592902901458E-4</v>
      </c>
      <c r="I994" s="394">
        <v>6.6050066839376889E-4</v>
      </c>
      <c r="J994" s="689">
        <v>2.1034325528331384E-5</v>
      </c>
      <c r="K994" s="690">
        <v>2.198540351259244E-5</v>
      </c>
    </row>
    <row r="995" spans="2:11" ht="15.75" x14ac:dyDescent="0.25">
      <c r="B995" s="667" t="s">
        <v>80</v>
      </c>
      <c r="C995" s="110">
        <v>2041</v>
      </c>
      <c r="D995" s="687" t="s">
        <v>1504</v>
      </c>
      <c r="E995" s="688">
        <v>2.5497394973821506E-2</v>
      </c>
      <c r="F995" s="310">
        <v>2.5547822528981063E-3</v>
      </c>
      <c r="G995" s="311">
        <v>2.2270711075262808E-2</v>
      </c>
      <c r="H995" s="311">
        <v>5.8877201478735211E-4</v>
      </c>
      <c r="I995" s="394">
        <v>6.3947885090271631E-4</v>
      </c>
      <c r="J995" s="689">
        <v>2.0393010612188255E-5</v>
      </c>
      <c r="K995" s="690">
        <v>2.1315093247230285E-5</v>
      </c>
    </row>
    <row r="996" spans="2:11" ht="15.75" x14ac:dyDescent="0.25">
      <c r="B996" s="667" t="s">
        <v>80</v>
      </c>
      <c r="C996" s="110">
        <v>2042</v>
      </c>
      <c r="D996" s="687" t="s">
        <v>1505</v>
      </c>
      <c r="E996" s="688">
        <v>2.5349857401218031E-2</v>
      </c>
      <c r="F996" s="310">
        <v>2.4054418532648346E-3</v>
      </c>
      <c r="G996" s="311">
        <v>2.1696780553961938E-2</v>
      </c>
      <c r="H996" s="311">
        <v>5.7215535573841992E-4</v>
      </c>
      <c r="I996" s="394">
        <v>6.2142910280385967E-4</v>
      </c>
      <c r="J996" s="689">
        <v>1.986599756630484E-5</v>
      </c>
      <c r="K996" s="690">
        <v>2.0764252233006728E-5</v>
      </c>
    </row>
    <row r="997" spans="2:11" ht="15.75" x14ac:dyDescent="0.25">
      <c r="B997" s="667" t="s">
        <v>80</v>
      </c>
      <c r="C997" s="110">
        <v>2043</v>
      </c>
      <c r="D997" s="687" t="s">
        <v>1506</v>
      </c>
      <c r="E997" s="688">
        <v>2.5224427752561448E-2</v>
      </c>
      <c r="F997" s="310">
        <v>2.2871647224279382E-3</v>
      </c>
      <c r="G997" s="311">
        <v>2.1239579723721789E-2</v>
      </c>
      <c r="H997" s="311">
        <v>5.5790206432805849E-4</v>
      </c>
      <c r="I997" s="394">
        <v>6.0594916581700937E-4</v>
      </c>
      <c r="J997" s="689">
        <v>1.9360589635914649E-5</v>
      </c>
      <c r="K997" s="690">
        <v>2.0235984079666671E-5</v>
      </c>
    </row>
    <row r="998" spans="2:11" ht="15.75" x14ac:dyDescent="0.25">
      <c r="B998" s="667" t="s">
        <v>80</v>
      </c>
      <c r="C998" s="110">
        <v>2044</v>
      </c>
      <c r="D998" s="687" t="s">
        <v>1507</v>
      </c>
      <c r="E998" s="688">
        <v>2.5117027139763767E-2</v>
      </c>
      <c r="F998" s="310">
        <v>2.203593666653317E-3</v>
      </c>
      <c r="G998" s="311">
        <v>2.0901905993870963E-2</v>
      </c>
      <c r="H998" s="311">
        <v>5.457397551951402E-4</v>
      </c>
      <c r="I998" s="394">
        <v>5.9274481978850452E-4</v>
      </c>
      <c r="J998" s="689">
        <v>1.8807663140091032E-5</v>
      </c>
      <c r="K998" s="690">
        <v>1.9658059621090939E-5</v>
      </c>
    </row>
    <row r="999" spans="2:11" ht="15.75" x14ac:dyDescent="0.25">
      <c r="B999" s="667" t="s">
        <v>80</v>
      </c>
      <c r="C999" s="110">
        <v>2045</v>
      </c>
      <c r="D999" s="687" t="s">
        <v>1508</v>
      </c>
      <c r="E999" s="688">
        <v>2.5023166911595302E-2</v>
      </c>
      <c r="F999" s="310">
        <v>2.1468205378891913E-3</v>
      </c>
      <c r="G999" s="311">
        <v>2.067538859894039E-2</v>
      </c>
      <c r="H999" s="311">
        <v>5.3556074159756323E-4</v>
      </c>
      <c r="I999" s="394">
        <v>5.81687649552684E-4</v>
      </c>
      <c r="J999" s="689">
        <v>1.8498910767858044E-5</v>
      </c>
      <c r="K999" s="690">
        <v>1.933535212963309E-5</v>
      </c>
    </row>
    <row r="1000" spans="2:11" ht="15.75" x14ac:dyDescent="0.25">
      <c r="B1000" s="667" t="s">
        <v>80</v>
      </c>
      <c r="C1000" s="110">
        <v>2046</v>
      </c>
      <c r="D1000" s="687" t="s">
        <v>1509</v>
      </c>
      <c r="E1000" s="688">
        <v>2.4942508638387845E-2</v>
      </c>
      <c r="F1000" s="310">
        <v>2.0957357486424523E-3</v>
      </c>
      <c r="G1000" s="311">
        <v>2.0481330563810615E-2</v>
      </c>
      <c r="H1000" s="311">
        <v>5.2698471163402144E-4</v>
      </c>
      <c r="I1000" s="394">
        <v>5.7237071664848177E-4</v>
      </c>
      <c r="J1000" s="689">
        <v>1.8253307680247819E-5</v>
      </c>
      <c r="K1000" s="690">
        <v>1.9078641816627161E-5</v>
      </c>
    </row>
    <row r="1001" spans="2:11" ht="15.75" x14ac:dyDescent="0.25">
      <c r="B1001" s="667" t="s">
        <v>80</v>
      </c>
      <c r="C1001" s="110">
        <v>2047</v>
      </c>
      <c r="D1001" s="687" t="s">
        <v>1510</v>
      </c>
      <c r="E1001" s="688">
        <v>2.4874571227871581E-2</v>
      </c>
      <c r="F1001" s="310">
        <v>2.05117873051427E-3</v>
      </c>
      <c r="G1001" s="311">
        <v>2.0305531485075731E-2</v>
      </c>
      <c r="H1001" s="311">
        <v>5.1979561635070255E-4</v>
      </c>
      <c r="I1001" s="394">
        <v>5.6456292197046547E-4</v>
      </c>
      <c r="J1001" s="689">
        <v>1.7989848752393573E-5</v>
      </c>
      <c r="K1001" s="690">
        <v>1.8803275499513315E-5</v>
      </c>
    </row>
    <row r="1002" spans="2:11" ht="15.75" x14ac:dyDescent="0.25">
      <c r="B1002" s="667" t="s">
        <v>80</v>
      </c>
      <c r="C1002" s="110">
        <v>2048</v>
      </c>
      <c r="D1002" s="687" t="s">
        <v>1511</v>
      </c>
      <c r="E1002" s="688">
        <v>2.4817494409664829E-2</v>
      </c>
      <c r="F1002" s="310">
        <v>2.0149899020555722E-3</v>
      </c>
      <c r="G1002" s="311">
        <v>2.0158445014307486E-2</v>
      </c>
      <c r="H1002" s="311">
        <v>5.1369839190473548E-4</v>
      </c>
      <c r="I1002" s="394">
        <v>5.5794557413145691E-4</v>
      </c>
      <c r="J1002" s="689">
        <v>1.7659099016277746E-5</v>
      </c>
      <c r="K1002" s="690">
        <v>1.8457568478011368E-5</v>
      </c>
    </row>
    <row r="1003" spans="2:11" ht="15.75" x14ac:dyDescent="0.25">
      <c r="B1003" s="667" t="s">
        <v>80</v>
      </c>
      <c r="C1003" s="110">
        <v>2049</v>
      </c>
      <c r="D1003" s="687" t="s">
        <v>1512</v>
      </c>
      <c r="E1003" s="688">
        <v>2.4768015926696155E-2</v>
      </c>
      <c r="F1003" s="310">
        <v>2.001322827076209E-3</v>
      </c>
      <c r="G1003" s="311">
        <v>2.0156473952118711E-2</v>
      </c>
      <c r="H1003" s="311">
        <v>5.0995227278731394E-4</v>
      </c>
      <c r="I1003" s="394">
        <v>5.5387902144775282E-4</v>
      </c>
      <c r="J1003" s="689">
        <v>1.7481353944181148E-5</v>
      </c>
      <c r="K1003" s="690">
        <v>1.8271788103199751E-5</v>
      </c>
    </row>
    <row r="1004" spans="2:11" ht="15.75" x14ac:dyDescent="0.25">
      <c r="B1004" s="667" t="s">
        <v>80</v>
      </c>
      <c r="C1004" s="110">
        <v>2050</v>
      </c>
      <c r="D1004" s="687" t="s">
        <v>1513</v>
      </c>
      <c r="E1004" s="688">
        <v>2.4726788474580246E-2</v>
      </c>
      <c r="F1004" s="310">
        <v>1.9906472365947394E-3</v>
      </c>
      <c r="G1004" s="311">
        <v>2.015886734305445E-2</v>
      </c>
      <c r="H1004" s="311">
        <v>5.068345048792588E-4</v>
      </c>
      <c r="I1004" s="394">
        <v>5.5049767133250342E-4</v>
      </c>
      <c r="J1004" s="689">
        <v>1.7251810948405031E-5</v>
      </c>
      <c r="K1004" s="690">
        <v>1.803186190713527E-5</v>
      </c>
    </row>
    <row r="1005" spans="2:11" ht="15.75" x14ac:dyDescent="0.25">
      <c r="B1005" s="667" t="s">
        <v>81</v>
      </c>
      <c r="C1005" s="110">
        <v>2015</v>
      </c>
      <c r="D1005" s="687" t="s">
        <v>251</v>
      </c>
      <c r="E1005" s="688">
        <v>4.5925872753083394E-2</v>
      </c>
      <c r="F1005" s="310">
        <v>7.7652718992848965E-2</v>
      </c>
      <c r="G1005" s="311">
        <v>0.27102430641181313</v>
      </c>
      <c r="H1005" s="311">
        <v>2.7065496535017522E-3</v>
      </c>
      <c r="I1005" s="394">
        <v>2.9264497601559068E-3</v>
      </c>
      <c r="J1005" s="689">
        <v>2.8368037101879947E-4</v>
      </c>
      <c r="K1005" s="690">
        <v>2.9650713423099795E-4</v>
      </c>
    </row>
    <row r="1006" spans="2:11" ht="15.75" x14ac:dyDescent="0.25">
      <c r="B1006" s="667" t="s">
        <v>81</v>
      </c>
      <c r="C1006" s="110">
        <v>2016</v>
      </c>
      <c r="D1006" s="687" t="s">
        <v>252</v>
      </c>
      <c r="E1006" s="688">
        <v>4.5000240672345773E-2</v>
      </c>
      <c r="F1006" s="310">
        <v>6.3796353903091976E-2</v>
      </c>
      <c r="G1006" s="311">
        <v>0.23069680894381697</v>
      </c>
      <c r="H1006" s="311">
        <v>2.4474865949476753E-3</v>
      </c>
      <c r="I1006" s="394">
        <v>2.6495534951373688E-3</v>
      </c>
      <c r="J1006" s="689">
        <v>2.1286571887681752E-4</v>
      </c>
      <c r="K1006" s="690">
        <v>2.2249056186148658E-4</v>
      </c>
    </row>
    <row r="1007" spans="2:11" ht="15.75" x14ac:dyDescent="0.25">
      <c r="B1007" s="667" t="s">
        <v>81</v>
      </c>
      <c r="C1007" s="110">
        <v>2017</v>
      </c>
      <c r="D1007" s="687" t="s">
        <v>1514</v>
      </c>
      <c r="E1007" s="688">
        <v>4.3919113856216191E-2</v>
      </c>
      <c r="F1007" s="310">
        <v>5.3380075886456699E-2</v>
      </c>
      <c r="G1007" s="311">
        <v>0.19819522940066447</v>
      </c>
      <c r="H1007" s="311">
        <v>2.3217001398028242E-3</v>
      </c>
      <c r="I1007" s="394">
        <v>2.5147537688134164E-3</v>
      </c>
      <c r="J1007" s="689">
        <v>1.9299700992549305E-4</v>
      </c>
      <c r="K1007" s="690">
        <v>2.0172348508772938E-4</v>
      </c>
    </row>
    <row r="1008" spans="2:11" ht="15.75" x14ac:dyDescent="0.25">
      <c r="B1008" s="667" t="s">
        <v>81</v>
      </c>
      <c r="C1008" s="110">
        <v>2018</v>
      </c>
      <c r="D1008" s="687" t="s">
        <v>1515</v>
      </c>
      <c r="E1008" s="688">
        <v>4.2954060114056704E-2</v>
      </c>
      <c r="F1008" s="310">
        <v>4.4498012959778975E-2</v>
      </c>
      <c r="G1008" s="311">
        <v>0.16985423426702667</v>
      </c>
      <c r="H1008" s="311">
        <v>2.2418761873954172E-3</v>
      </c>
      <c r="I1008" s="394">
        <v>2.4295255064442573E-3</v>
      </c>
      <c r="J1008" s="689">
        <v>1.7646976609451775E-4</v>
      </c>
      <c r="K1008" s="690">
        <v>1.8444894476693161E-4</v>
      </c>
    </row>
    <row r="1009" spans="2:11" ht="15.75" x14ac:dyDescent="0.25">
      <c r="B1009" s="667" t="s">
        <v>81</v>
      </c>
      <c r="C1009" s="110">
        <v>2019</v>
      </c>
      <c r="D1009" s="687" t="s">
        <v>1516</v>
      </c>
      <c r="E1009" s="688">
        <v>4.1736148767419629E-2</v>
      </c>
      <c r="F1009" s="310">
        <v>3.6949041147676727E-2</v>
      </c>
      <c r="G1009" s="311">
        <v>0.1454514446311338</v>
      </c>
      <c r="H1009" s="311">
        <v>2.1846236716683743E-3</v>
      </c>
      <c r="I1009" s="394">
        <v>2.3684842298644843E-3</v>
      </c>
      <c r="J1009" s="689">
        <v>1.6331269822601134E-4</v>
      </c>
      <c r="K1009" s="690">
        <v>1.7069697274580737E-4</v>
      </c>
    </row>
    <row r="1010" spans="2:11" ht="15.75" x14ac:dyDescent="0.25">
      <c r="B1010" s="667" t="s">
        <v>81</v>
      </c>
      <c r="C1010" s="110">
        <v>2020</v>
      </c>
      <c r="D1010" s="687" t="s">
        <v>1517</v>
      </c>
      <c r="E1010" s="688">
        <v>4.0492816426718273E-2</v>
      </c>
      <c r="F1010" s="310">
        <v>3.1339534815076391E-2</v>
      </c>
      <c r="G1010" s="311">
        <v>0.12495349401690803</v>
      </c>
      <c r="H1010" s="311">
        <v>2.1096198163216718E-3</v>
      </c>
      <c r="I1010" s="394">
        <v>2.287583795344595E-3</v>
      </c>
      <c r="J1010" s="689">
        <v>1.520428906464561E-4</v>
      </c>
      <c r="K1010" s="690">
        <v>1.589175918279861E-4</v>
      </c>
    </row>
    <row r="1011" spans="2:11" ht="15.75" x14ac:dyDescent="0.25">
      <c r="B1011" s="667" t="s">
        <v>81</v>
      </c>
      <c r="C1011" s="110">
        <v>2021</v>
      </c>
      <c r="D1011" s="687" t="s">
        <v>1518</v>
      </c>
      <c r="E1011" s="688">
        <v>3.9341535896291455E-2</v>
      </c>
      <c r="F1011" s="310">
        <v>2.6878208538927726E-2</v>
      </c>
      <c r="G1011" s="311">
        <v>0.10763203745245577</v>
      </c>
      <c r="H1011" s="311">
        <v>2.0066429668973936E-3</v>
      </c>
      <c r="I1011" s="394">
        <v>2.1762042543620199E-3</v>
      </c>
      <c r="J1011" s="689">
        <v>1.4008200551104733E-4</v>
      </c>
      <c r="K1011" s="690">
        <v>1.4641589499734189E-4</v>
      </c>
    </row>
    <row r="1012" spans="2:11" ht="15.75" x14ac:dyDescent="0.25">
      <c r="B1012" s="667" t="s">
        <v>81</v>
      </c>
      <c r="C1012" s="110">
        <v>2022</v>
      </c>
      <c r="D1012" s="687" t="s">
        <v>1519</v>
      </c>
      <c r="E1012" s="688">
        <v>3.8093660253701409E-2</v>
      </c>
      <c r="F1012" s="310">
        <v>2.2730320506739354E-2</v>
      </c>
      <c r="G1012" s="311">
        <v>9.2794090356651038E-2</v>
      </c>
      <c r="H1012" s="311">
        <v>1.9023238567238043E-3</v>
      </c>
      <c r="I1012" s="394">
        <v>2.0634173192782845E-3</v>
      </c>
      <c r="J1012" s="689">
        <v>1.2861044279501163E-4</v>
      </c>
      <c r="K1012" s="690">
        <v>1.3442563106573672E-4</v>
      </c>
    </row>
    <row r="1013" spans="2:11" ht="15.75" x14ac:dyDescent="0.25">
      <c r="B1013" s="667" t="s">
        <v>81</v>
      </c>
      <c r="C1013" s="110">
        <v>2023</v>
      </c>
      <c r="D1013" s="687" t="s">
        <v>1520</v>
      </c>
      <c r="E1013" s="688">
        <v>3.6859359112904652E-2</v>
      </c>
      <c r="F1013" s="310">
        <v>1.9625098938923165E-2</v>
      </c>
      <c r="G1013" s="311">
        <v>8.0647445580520727E-2</v>
      </c>
      <c r="H1013" s="311">
        <v>1.8068090088927352E-3</v>
      </c>
      <c r="I1013" s="394">
        <v>1.9600628206083775E-3</v>
      </c>
      <c r="J1013" s="689">
        <v>1.1701048634439739E-4</v>
      </c>
      <c r="K1013" s="690">
        <v>1.2230118420184728E-4</v>
      </c>
    </row>
    <row r="1014" spans="2:11" ht="15.75" x14ac:dyDescent="0.25">
      <c r="B1014" s="667" t="s">
        <v>81</v>
      </c>
      <c r="C1014" s="110">
        <v>2024</v>
      </c>
      <c r="D1014" s="687" t="s">
        <v>1521</v>
      </c>
      <c r="E1014" s="688">
        <v>3.5734789291626025E-2</v>
      </c>
      <c r="F1014" s="310">
        <v>1.697353225346266E-2</v>
      </c>
      <c r="G1014" s="311">
        <v>7.0397439776665585E-2</v>
      </c>
      <c r="H1014" s="311">
        <v>1.7156419320470588E-3</v>
      </c>
      <c r="I1014" s="394">
        <v>1.8616000848752749E-3</v>
      </c>
      <c r="J1014" s="689">
        <v>1.0162997115048699E-4</v>
      </c>
      <c r="K1014" s="690">
        <v>1.0622522960305228E-4</v>
      </c>
    </row>
    <row r="1015" spans="2:11" ht="15.75" x14ac:dyDescent="0.25">
      <c r="B1015" s="667" t="s">
        <v>81</v>
      </c>
      <c r="C1015" s="110">
        <v>2025</v>
      </c>
      <c r="D1015" s="687" t="s">
        <v>1522</v>
      </c>
      <c r="E1015" s="688">
        <v>3.453951646617269E-2</v>
      </c>
      <c r="F1015" s="310">
        <v>1.484592847083786E-2</v>
      </c>
      <c r="G1015" s="311">
        <v>6.2147953744151878E-2</v>
      </c>
      <c r="H1015" s="311">
        <v>1.6431659907390939E-3</v>
      </c>
      <c r="I1015" s="394">
        <v>1.7831981712031824E-3</v>
      </c>
      <c r="J1015" s="689">
        <v>9.1888624977223428E-5</v>
      </c>
      <c r="K1015" s="690">
        <v>9.6043423547555523E-5</v>
      </c>
    </row>
    <row r="1016" spans="2:11" ht="15.75" x14ac:dyDescent="0.25">
      <c r="B1016" s="667" t="s">
        <v>81</v>
      </c>
      <c r="C1016" s="110">
        <v>2026</v>
      </c>
      <c r="D1016" s="687" t="s">
        <v>1523</v>
      </c>
      <c r="E1016" s="688">
        <v>3.3565252898290945E-2</v>
      </c>
      <c r="F1016" s="310">
        <v>1.294626893752359E-2</v>
      </c>
      <c r="G1016" s="311">
        <v>5.526299374762856E-2</v>
      </c>
      <c r="H1016" s="311">
        <v>1.5534719449384689E-3</v>
      </c>
      <c r="I1016" s="394">
        <v>1.686170035801216E-3</v>
      </c>
      <c r="J1016" s="689">
        <v>7.9576928748901026E-5</v>
      </c>
      <c r="K1016" s="690">
        <v>8.3175038246958676E-5</v>
      </c>
    </row>
    <row r="1017" spans="2:11" ht="15.75" x14ac:dyDescent="0.25">
      <c r="B1017" s="667" t="s">
        <v>81</v>
      </c>
      <c r="C1017" s="110">
        <v>2027</v>
      </c>
      <c r="D1017" s="687" t="s">
        <v>1524</v>
      </c>
      <c r="E1017" s="688">
        <v>3.254583249136625E-2</v>
      </c>
      <c r="F1017" s="310">
        <v>1.1470877980412783E-2</v>
      </c>
      <c r="G1017" s="311">
        <v>4.961709725014448E-2</v>
      </c>
      <c r="H1017" s="311">
        <v>1.4718493748826168E-3</v>
      </c>
      <c r="I1017" s="394">
        <v>1.598022868050133E-3</v>
      </c>
      <c r="J1017" s="689">
        <v>6.4844493362473668E-5</v>
      </c>
      <c r="K1017" s="690">
        <v>6.7776473684365586E-5</v>
      </c>
    </row>
    <row r="1018" spans="2:11" ht="15.75" x14ac:dyDescent="0.25">
      <c r="B1018" s="667" t="s">
        <v>81</v>
      </c>
      <c r="C1018" s="110">
        <v>2028</v>
      </c>
      <c r="D1018" s="687" t="s">
        <v>1525</v>
      </c>
      <c r="E1018" s="688">
        <v>3.1621630140880305E-2</v>
      </c>
      <c r="F1018" s="310">
        <v>1.0240694906179123E-2</v>
      </c>
      <c r="G1018" s="311">
        <v>4.4949784970530489E-2</v>
      </c>
      <c r="H1018" s="311">
        <v>1.3866105345681592E-3</v>
      </c>
      <c r="I1018" s="394">
        <v>1.5058034004738323E-3</v>
      </c>
      <c r="J1018" s="689">
        <v>5.3376365573062272E-5</v>
      </c>
      <c r="K1018" s="690">
        <v>5.578980733096293E-5</v>
      </c>
    </row>
    <row r="1019" spans="2:11" ht="15.75" x14ac:dyDescent="0.25">
      <c r="B1019" s="667" t="s">
        <v>81</v>
      </c>
      <c r="C1019" s="110">
        <v>2029</v>
      </c>
      <c r="D1019" s="687" t="s">
        <v>1526</v>
      </c>
      <c r="E1019" s="688">
        <v>3.0788540139024642E-2</v>
      </c>
      <c r="F1019" s="310">
        <v>9.1714556805412052E-3</v>
      </c>
      <c r="G1019" s="311">
        <v>4.0985089348962701E-2</v>
      </c>
      <c r="H1019" s="311">
        <v>1.3063501006654705E-3</v>
      </c>
      <c r="I1019" s="394">
        <v>1.4188162038696103E-3</v>
      </c>
      <c r="J1019" s="689">
        <v>4.6228196543579458E-5</v>
      </c>
      <c r="K1019" s="690">
        <v>4.8318431132288751E-5</v>
      </c>
    </row>
    <row r="1020" spans="2:11" ht="15.75" x14ac:dyDescent="0.25">
      <c r="B1020" s="667" t="s">
        <v>81</v>
      </c>
      <c r="C1020" s="110">
        <v>2030</v>
      </c>
      <c r="D1020" s="687" t="s">
        <v>1527</v>
      </c>
      <c r="E1020" s="688">
        <v>3.0042519124617712E-2</v>
      </c>
      <c r="F1020" s="310">
        <v>8.2710372028927757E-3</v>
      </c>
      <c r="G1020" s="311">
        <v>3.7682229917692697E-2</v>
      </c>
      <c r="H1020" s="311">
        <v>1.2303175306403449E-3</v>
      </c>
      <c r="I1020" s="394">
        <v>1.3363521506747638E-3</v>
      </c>
      <c r="J1020" s="689">
        <v>4.0839897600743834E-5</v>
      </c>
      <c r="K1020" s="690">
        <v>4.2686495745147574E-5</v>
      </c>
    </row>
    <row r="1021" spans="2:11" ht="15.75" x14ac:dyDescent="0.25">
      <c r="B1021" s="667" t="s">
        <v>81</v>
      </c>
      <c r="C1021" s="110">
        <v>2031</v>
      </c>
      <c r="D1021" s="687" t="s">
        <v>1528</v>
      </c>
      <c r="E1021" s="688">
        <v>2.9377436726529767E-2</v>
      </c>
      <c r="F1021" s="310">
        <v>7.4809314634438125E-3</v>
      </c>
      <c r="G1021" s="311">
        <v>3.4845344710104732E-2</v>
      </c>
      <c r="H1021" s="311">
        <v>1.1593244800878644E-3</v>
      </c>
      <c r="I1021" s="394">
        <v>1.2592649756446943E-3</v>
      </c>
      <c r="J1021" s="689">
        <v>3.7910212308312316E-5</v>
      </c>
      <c r="K1021" s="690">
        <v>3.9624350471134338E-5</v>
      </c>
    </row>
    <row r="1022" spans="2:11" ht="15.75" x14ac:dyDescent="0.25">
      <c r="B1022" s="667" t="s">
        <v>81</v>
      </c>
      <c r="C1022" s="110">
        <v>2032</v>
      </c>
      <c r="D1022" s="687" t="s">
        <v>1529</v>
      </c>
      <c r="E1022" s="688">
        <v>2.8787416530741555E-2</v>
      </c>
      <c r="F1022" s="310">
        <v>6.8066952474300719E-3</v>
      </c>
      <c r="G1022" s="311">
        <v>3.2510498142022226E-2</v>
      </c>
      <c r="H1022" s="311">
        <v>1.0922993339184998E-3</v>
      </c>
      <c r="I1022" s="394">
        <v>1.1865086255749076E-3</v>
      </c>
      <c r="J1022" s="689">
        <v>3.4606798801710345E-5</v>
      </c>
      <c r="K1022" s="690">
        <v>3.6171561383573562E-5</v>
      </c>
    </row>
    <row r="1023" spans="2:11" ht="15.75" x14ac:dyDescent="0.25">
      <c r="B1023" s="667" t="s">
        <v>81</v>
      </c>
      <c r="C1023" s="110">
        <v>2033</v>
      </c>
      <c r="D1023" s="687" t="s">
        <v>1530</v>
      </c>
      <c r="E1023" s="688">
        <v>2.8266030736123153E-2</v>
      </c>
      <c r="F1023" s="310">
        <v>6.2125765713367462E-3</v>
      </c>
      <c r="G1023" s="311">
        <v>3.0525858627479859E-2</v>
      </c>
      <c r="H1023" s="311">
        <v>1.0299291316008042E-3</v>
      </c>
      <c r="I1023" s="394">
        <v>1.1187643950534131E-3</v>
      </c>
      <c r="J1023" s="689">
        <v>3.2503672229325024E-5</v>
      </c>
      <c r="K1023" s="690">
        <v>3.3973344252632451E-5</v>
      </c>
    </row>
    <row r="1024" spans="2:11" ht="15.75" x14ac:dyDescent="0.25">
      <c r="B1024" s="667" t="s">
        <v>81</v>
      </c>
      <c r="C1024" s="110">
        <v>2034</v>
      </c>
      <c r="D1024" s="687" t="s">
        <v>1531</v>
      </c>
      <c r="E1024" s="688">
        <v>2.7807585812925726E-2</v>
      </c>
      <c r="F1024" s="310">
        <v>5.6806920506150506E-3</v>
      </c>
      <c r="G1024" s="311">
        <v>2.8821808523576187E-2</v>
      </c>
      <c r="H1024" s="311">
        <v>9.7124858228116976E-4</v>
      </c>
      <c r="I1024" s="394">
        <v>1.0550214012369332E-3</v>
      </c>
      <c r="J1024" s="689">
        <v>3.0688666605390944E-5</v>
      </c>
      <c r="K1024" s="690">
        <v>3.2076270636610367E-5</v>
      </c>
    </row>
    <row r="1025" spans="2:11" ht="15.75" x14ac:dyDescent="0.25">
      <c r="B1025" s="667" t="s">
        <v>81</v>
      </c>
      <c r="C1025" s="110">
        <v>2035</v>
      </c>
      <c r="D1025" s="687" t="s">
        <v>1532</v>
      </c>
      <c r="E1025" s="688">
        <v>2.7407521185827181E-2</v>
      </c>
      <c r="F1025" s="310">
        <v>5.1987442596922104E-3</v>
      </c>
      <c r="G1025" s="311">
        <v>2.7361305458026047E-2</v>
      </c>
      <c r="H1025" s="311">
        <v>9.1595309604620946E-4</v>
      </c>
      <c r="I1025" s="394">
        <v>9.9495318088057639E-4</v>
      </c>
      <c r="J1025" s="689">
        <v>2.9009494856625779E-5</v>
      </c>
      <c r="K1025" s="690">
        <v>3.0321177376854741E-5</v>
      </c>
    </row>
    <row r="1026" spans="2:11" ht="15.75" x14ac:dyDescent="0.25">
      <c r="B1026" s="667" t="s">
        <v>81</v>
      </c>
      <c r="C1026" s="110">
        <v>2036</v>
      </c>
      <c r="D1026" s="687" t="s">
        <v>1533</v>
      </c>
      <c r="E1026" s="688">
        <v>2.7059642497465692E-2</v>
      </c>
      <c r="F1026" s="310">
        <v>4.759365208662155E-3</v>
      </c>
      <c r="G1026" s="311">
        <v>2.6064533527862505E-2</v>
      </c>
      <c r="H1026" s="311">
        <v>8.6702514644855988E-4</v>
      </c>
      <c r="I1026" s="394">
        <v>9.4181262655007928E-4</v>
      </c>
      <c r="J1026" s="689">
        <v>2.729223509954722E-5</v>
      </c>
      <c r="K1026" s="690">
        <v>2.8526269801075796E-5</v>
      </c>
    </row>
    <row r="1027" spans="2:11" ht="15.75" x14ac:dyDescent="0.25">
      <c r="B1027" s="667" t="s">
        <v>81</v>
      </c>
      <c r="C1027" s="110">
        <v>2037</v>
      </c>
      <c r="D1027" s="687" t="s">
        <v>1534</v>
      </c>
      <c r="E1027" s="688">
        <v>2.6760101880769663E-2</v>
      </c>
      <c r="F1027" s="310">
        <v>4.3851305756893773E-3</v>
      </c>
      <c r="G1027" s="311">
        <v>2.5007941606198517E-2</v>
      </c>
      <c r="H1027" s="311">
        <v>8.2275135389549259E-4</v>
      </c>
      <c r="I1027" s="394">
        <v>8.9372189417981493E-4</v>
      </c>
      <c r="J1027" s="689">
        <v>2.5841735807625881E-5</v>
      </c>
      <c r="K1027" s="690">
        <v>2.7010183968341507E-5</v>
      </c>
    </row>
    <row r="1028" spans="2:11" ht="15.75" x14ac:dyDescent="0.25">
      <c r="B1028" s="667" t="s">
        <v>81</v>
      </c>
      <c r="C1028" s="110">
        <v>2038</v>
      </c>
      <c r="D1028" s="687" t="s">
        <v>1535</v>
      </c>
      <c r="E1028" s="688">
        <v>2.6504584574535719E-2</v>
      </c>
      <c r="F1028" s="310">
        <v>4.0342535884979108E-3</v>
      </c>
      <c r="G1028" s="311">
        <v>2.4014953680439297E-2</v>
      </c>
      <c r="H1028" s="311">
        <v>7.8236578009568101E-4</v>
      </c>
      <c r="I1028" s="394">
        <v>8.4984834825276121E-4</v>
      </c>
      <c r="J1028" s="689">
        <v>2.467261306024528E-5</v>
      </c>
      <c r="K1028" s="690">
        <v>2.5788200101395659E-5</v>
      </c>
    </row>
    <row r="1029" spans="2:11" ht="15.75" x14ac:dyDescent="0.25">
      <c r="B1029" s="667" t="s">
        <v>81</v>
      </c>
      <c r="C1029" s="110">
        <v>2039</v>
      </c>
      <c r="D1029" s="687" t="s">
        <v>1536</v>
      </c>
      <c r="E1029" s="688">
        <v>2.6286834631701908E-2</v>
      </c>
      <c r="F1029" s="310">
        <v>3.6983897126364536E-3</v>
      </c>
      <c r="G1029" s="311">
        <v>2.3071697866949785E-2</v>
      </c>
      <c r="H1029" s="311">
        <v>7.4573701125505386E-4</v>
      </c>
      <c r="I1029" s="394">
        <v>8.1005320729333379E-4</v>
      </c>
      <c r="J1029" s="689">
        <v>2.3680529743505366E-5</v>
      </c>
      <c r="K1029" s="690">
        <v>2.4751254539633831E-5</v>
      </c>
    </row>
    <row r="1030" spans="2:11" ht="15.75" x14ac:dyDescent="0.25">
      <c r="B1030" s="667" t="s">
        <v>81</v>
      </c>
      <c r="C1030" s="110">
        <v>2040</v>
      </c>
      <c r="D1030" s="687" t="s">
        <v>1537</v>
      </c>
      <c r="E1030" s="688">
        <v>2.6103502644793775E-2</v>
      </c>
      <c r="F1030" s="310">
        <v>3.3949561727853834E-3</v>
      </c>
      <c r="G1030" s="311">
        <v>2.2282932223029892E-2</v>
      </c>
      <c r="H1030" s="311">
        <v>7.1289214465169353E-4</v>
      </c>
      <c r="I1030" s="394">
        <v>7.7436745661435178E-4</v>
      </c>
      <c r="J1030" s="689">
        <v>2.28340774503373E-5</v>
      </c>
      <c r="K1030" s="690">
        <v>2.3866537978507406E-5</v>
      </c>
    </row>
    <row r="1031" spans="2:11" ht="15.75" x14ac:dyDescent="0.25">
      <c r="B1031" s="667" t="s">
        <v>81</v>
      </c>
      <c r="C1031" s="110">
        <v>2041</v>
      </c>
      <c r="D1031" s="687" t="s">
        <v>1538</v>
      </c>
      <c r="E1031" s="688">
        <v>2.5951922861154178E-2</v>
      </c>
      <c r="F1031" s="310">
        <v>3.1547808062029961E-3</v>
      </c>
      <c r="G1031" s="311">
        <v>2.1635296241531012E-2</v>
      </c>
      <c r="H1031" s="311">
        <v>6.872648413213812E-4</v>
      </c>
      <c r="I1031" s="394">
        <v>7.4652644156390302E-4</v>
      </c>
      <c r="J1031" s="689">
        <v>2.2109997240530688E-5</v>
      </c>
      <c r="K1031" s="690">
        <v>2.3109710328642296E-5</v>
      </c>
    </row>
    <row r="1032" spans="2:11" ht="15.75" x14ac:dyDescent="0.25">
      <c r="B1032" s="667" t="s">
        <v>81</v>
      </c>
      <c r="C1032" s="110">
        <v>2042</v>
      </c>
      <c r="D1032" s="687" t="s">
        <v>1539</v>
      </c>
      <c r="E1032" s="688">
        <v>2.5825604032523299E-2</v>
      </c>
      <c r="F1032" s="310">
        <v>2.9469494013831597E-3</v>
      </c>
      <c r="G1032" s="311">
        <v>2.1033423180397012E-2</v>
      </c>
      <c r="H1032" s="311">
        <v>6.648588950260904E-4</v>
      </c>
      <c r="I1032" s="394">
        <v>7.2218343486377796E-4</v>
      </c>
      <c r="J1032" s="689">
        <v>2.1507877732087583E-5</v>
      </c>
      <c r="K1032" s="690">
        <v>2.2480362556556498E-5</v>
      </c>
    </row>
    <row r="1033" spans="2:11" ht="15.75" x14ac:dyDescent="0.25">
      <c r="B1033" s="667" t="s">
        <v>81</v>
      </c>
      <c r="C1033" s="110">
        <v>2043</v>
      </c>
      <c r="D1033" s="687" t="s">
        <v>1540</v>
      </c>
      <c r="E1033" s="688">
        <v>2.5722276619167785E-2</v>
      </c>
      <c r="F1033" s="310">
        <v>2.7890537102565594E-3</v>
      </c>
      <c r="G1033" s="311">
        <v>2.0579524871708516E-2</v>
      </c>
      <c r="H1033" s="311">
        <v>6.4550338369361417E-4</v>
      </c>
      <c r="I1033" s="394">
        <v>7.0115377313773931E-4</v>
      </c>
      <c r="J1033" s="689">
        <v>2.1007114739658215E-5</v>
      </c>
      <c r="K1033" s="690">
        <v>2.1956964383575494E-5</v>
      </c>
    </row>
    <row r="1034" spans="2:11" ht="15.75" x14ac:dyDescent="0.25">
      <c r="B1034" s="667" t="s">
        <v>81</v>
      </c>
      <c r="C1034" s="110">
        <v>2044</v>
      </c>
      <c r="D1034" s="687" t="s">
        <v>1541</v>
      </c>
      <c r="E1034" s="688">
        <v>2.5636119117200321E-2</v>
      </c>
      <c r="F1034" s="310">
        <v>2.6681910612942781E-3</v>
      </c>
      <c r="G1034" s="311">
        <v>2.020736876525181E-2</v>
      </c>
      <c r="H1034" s="311">
        <v>6.2877912451117534E-4</v>
      </c>
      <c r="I1034" s="394">
        <v>6.8298181281032104E-4</v>
      </c>
      <c r="J1034" s="689">
        <v>2.0594330242503536E-5</v>
      </c>
      <c r="K1034" s="690">
        <v>2.1525521876477161E-5</v>
      </c>
    </row>
    <row r="1035" spans="2:11" ht="15.75" x14ac:dyDescent="0.25">
      <c r="B1035" s="667" t="s">
        <v>81</v>
      </c>
      <c r="C1035" s="110">
        <v>2045</v>
      </c>
      <c r="D1035" s="687" t="s">
        <v>1542</v>
      </c>
      <c r="E1035" s="688">
        <v>2.556395282633632E-2</v>
      </c>
      <c r="F1035" s="310">
        <v>2.5862912788649195E-3</v>
      </c>
      <c r="G1035" s="311">
        <v>1.9954511187947537E-2</v>
      </c>
      <c r="H1035" s="311">
        <v>6.1446461249475197E-4</v>
      </c>
      <c r="I1035" s="394">
        <v>6.6742684741723831E-4</v>
      </c>
      <c r="J1035" s="689">
        <v>2.028880086847883E-5</v>
      </c>
      <c r="K1035" s="690">
        <v>2.1206170452644861E-5</v>
      </c>
    </row>
    <row r="1036" spans="2:11" ht="15.75" x14ac:dyDescent="0.25">
      <c r="B1036" s="667" t="s">
        <v>81</v>
      </c>
      <c r="C1036" s="110">
        <v>2046</v>
      </c>
      <c r="D1036" s="687" t="s">
        <v>1543</v>
      </c>
      <c r="E1036" s="688">
        <v>2.5503608803377261E-2</v>
      </c>
      <c r="F1036" s="310">
        <v>2.5124182448144124E-3</v>
      </c>
      <c r="G1036" s="311">
        <v>1.973590703955716E-2</v>
      </c>
      <c r="H1036" s="311">
        <v>6.0227846718306723E-4</v>
      </c>
      <c r="I1036" s="394">
        <v>6.5418345275089637E-4</v>
      </c>
      <c r="J1036" s="689">
        <v>2.0047405810195966E-5</v>
      </c>
      <c r="K1036" s="690">
        <v>2.0953859867278685E-5</v>
      </c>
    </row>
    <row r="1037" spans="2:11" ht="15.75" x14ac:dyDescent="0.25">
      <c r="B1037" s="667" t="s">
        <v>81</v>
      </c>
      <c r="C1037" s="110">
        <v>2047</v>
      </c>
      <c r="D1037" s="687" t="s">
        <v>1544</v>
      </c>
      <c r="E1037" s="688">
        <v>2.545407884874307E-2</v>
      </c>
      <c r="F1037" s="310">
        <v>2.4500992518591293E-3</v>
      </c>
      <c r="G1037" s="311">
        <v>1.9551942350979949E-2</v>
      </c>
      <c r="H1037" s="311">
        <v>5.9211852618892998E-4</v>
      </c>
      <c r="I1037" s="394">
        <v>6.4314287362049125E-4</v>
      </c>
      <c r="J1037" s="689">
        <v>1.9823518908761961E-5</v>
      </c>
      <c r="K1037" s="690">
        <v>2.0719851494138808E-5</v>
      </c>
    </row>
    <row r="1038" spans="2:11" ht="15.75" x14ac:dyDescent="0.25">
      <c r="B1038" s="667" t="s">
        <v>81</v>
      </c>
      <c r="C1038" s="110">
        <v>2048</v>
      </c>
      <c r="D1038" s="687" t="s">
        <v>1545</v>
      </c>
      <c r="E1038" s="688">
        <v>2.5413321401829066E-2</v>
      </c>
      <c r="F1038" s="310">
        <v>2.3986770357898512E-3</v>
      </c>
      <c r="G1038" s="311">
        <v>1.9395196115879872E-2</v>
      </c>
      <c r="H1038" s="311">
        <v>5.8358823429712739E-4</v>
      </c>
      <c r="I1038" s="394">
        <v>6.3387418652337138E-4</v>
      </c>
      <c r="J1038" s="689">
        <v>1.9610036408618881E-5</v>
      </c>
      <c r="K1038" s="690">
        <v>2.0496707560690179E-5</v>
      </c>
    </row>
    <row r="1039" spans="2:11" ht="15.75" x14ac:dyDescent="0.25">
      <c r="B1039" s="667" t="s">
        <v>81</v>
      </c>
      <c r="C1039" s="110">
        <v>2049</v>
      </c>
      <c r="D1039" s="687" t="s">
        <v>1546</v>
      </c>
      <c r="E1039" s="688">
        <v>2.5380013517548608E-2</v>
      </c>
      <c r="F1039" s="310">
        <v>2.3801774677972504E-3</v>
      </c>
      <c r="G1039" s="311">
        <v>1.9399513996960792E-2</v>
      </c>
      <c r="H1039" s="311">
        <v>5.7825727095092553E-4</v>
      </c>
      <c r="I1039" s="394">
        <v>6.2808207543802179E-4</v>
      </c>
      <c r="J1039" s="689">
        <v>1.9476505344491026E-5</v>
      </c>
      <c r="K1039" s="690">
        <v>2.0357148426775789E-5</v>
      </c>
    </row>
    <row r="1040" spans="2:11" ht="15.75" x14ac:dyDescent="0.25">
      <c r="B1040" s="667" t="s">
        <v>81</v>
      </c>
      <c r="C1040" s="110">
        <v>2050</v>
      </c>
      <c r="D1040" s="687" t="s">
        <v>1547</v>
      </c>
      <c r="E1040" s="688">
        <v>2.5352702443428791E-2</v>
      </c>
      <c r="F1040" s="310">
        <v>2.3657659600286865E-3</v>
      </c>
      <c r="G1040" s="311">
        <v>1.9408684790504071E-2</v>
      </c>
      <c r="H1040" s="311">
        <v>5.7396950414086785E-4</v>
      </c>
      <c r="I1040" s="394">
        <v>6.2342426112995818E-4</v>
      </c>
      <c r="J1040" s="689">
        <v>1.9352765070131251E-5</v>
      </c>
      <c r="K1040" s="690">
        <v>2.0227803350123621E-5</v>
      </c>
    </row>
    <row r="1041" spans="2:11" ht="15.75" x14ac:dyDescent="0.25">
      <c r="B1041" s="667" t="s">
        <v>82</v>
      </c>
      <c r="C1041" s="110">
        <v>2015</v>
      </c>
      <c r="D1041" s="687" t="s">
        <v>254</v>
      </c>
      <c r="E1041" s="688">
        <v>5.0589485547404327E-2</v>
      </c>
      <c r="F1041" s="310">
        <v>5.3616453907042068E-2</v>
      </c>
      <c r="G1041" s="311">
        <v>0.21263038665017586</v>
      </c>
      <c r="H1041" s="311">
        <v>1.9518314340742926E-3</v>
      </c>
      <c r="I1041" s="394">
        <v>2.1093159151113483E-3</v>
      </c>
      <c r="J1041" s="689">
        <v>2.2009471351215252E-4</v>
      </c>
      <c r="K1041" s="690">
        <v>2.3004642008742608E-4</v>
      </c>
    </row>
    <row r="1042" spans="2:11" ht="15.75" x14ac:dyDescent="0.25">
      <c r="B1042" s="667" t="s">
        <v>82</v>
      </c>
      <c r="C1042" s="110">
        <v>2016</v>
      </c>
      <c r="D1042" s="687" t="s">
        <v>255</v>
      </c>
      <c r="E1042" s="688">
        <v>4.9623151286176323E-2</v>
      </c>
      <c r="F1042" s="310">
        <v>4.3725678969572017E-2</v>
      </c>
      <c r="G1042" s="311">
        <v>0.17992042064642882</v>
      </c>
      <c r="H1042" s="311">
        <v>1.8001907352805909E-3</v>
      </c>
      <c r="I1042" s="394">
        <v>1.9473974536161731E-3</v>
      </c>
      <c r="J1042" s="689">
        <v>1.8206097334286781E-4</v>
      </c>
      <c r="K1042" s="690">
        <v>1.9029296305430926E-4</v>
      </c>
    </row>
    <row r="1043" spans="2:11" ht="15.75" x14ac:dyDescent="0.25">
      <c r="B1043" s="667" t="s">
        <v>82</v>
      </c>
      <c r="C1043" s="110">
        <v>2017</v>
      </c>
      <c r="D1043" s="687" t="s">
        <v>1584</v>
      </c>
      <c r="E1043" s="688">
        <v>4.8394796556947221E-2</v>
      </c>
      <c r="F1043" s="310">
        <v>3.6187364295905397E-2</v>
      </c>
      <c r="G1043" s="311">
        <v>0.15314829437200497</v>
      </c>
      <c r="H1043" s="311">
        <v>1.7258701344837252E-3</v>
      </c>
      <c r="I1043" s="394">
        <v>1.868162315318896E-3</v>
      </c>
      <c r="J1043" s="689">
        <v>1.658619137771016E-4</v>
      </c>
      <c r="K1043" s="690">
        <v>1.7336144754130349E-4</v>
      </c>
    </row>
    <row r="1044" spans="2:11" ht="15.75" x14ac:dyDescent="0.25">
      <c r="B1044" s="667" t="s">
        <v>82</v>
      </c>
      <c r="C1044" s="110">
        <v>2018</v>
      </c>
      <c r="D1044" s="687" t="s">
        <v>1585</v>
      </c>
      <c r="E1044" s="688">
        <v>4.7151199149868393E-2</v>
      </c>
      <c r="F1044" s="310">
        <v>2.9535628468131247E-2</v>
      </c>
      <c r="G1044" s="311">
        <v>0.12974826978758947</v>
      </c>
      <c r="H1044" s="311">
        <v>1.6821804532126206E-3</v>
      </c>
      <c r="I1044" s="394">
        <v>1.8220618639455289E-3</v>
      </c>
      <c r="J1044" s="689">
        <v>1.5112147651404322E-4</v>
      </c>
      <c r="K1044" s="690">
        <v>1.5795452141146449E-4</v>
      </c>
    </row>
    <row r="1045" spans="2:11" ht="15.75" x14ac:dyDescent="0.25">
      <c r="B1045" s="667" t="s">
        <v>82</v>
      </c>
      <c r="C1045" s="110">
        <v>2019</v>
      </c>
      <c r="D1045" s="687" t="s">
        <v>1586</v>
      </c>
      <c r="E1045" s="688">
        <v>4.5856081964883021E-2</v>
      </c>
      <c r="F1045" s="310">
        <v>2.4235544392882204E-2</v>
      </c>
      <c r="G1045" s="311">
        <v>0.11020187896254552</v>
      </c>
      <c r="H1045" s="311">
        <v>1.6548549011494301E-3</v>
      </c>
      <c r="I1045" s="394">
        <v>1.7933771052393854E-3</v>
      </c>
      <c r="J1045" s="689">
        <v>1.390258452872554E-4</v>
      </c>
      <c r="K1045" s="690">
        <v>1.4531197520118743E-4</v>
      </c>
    </row>
    <row r="1046" spans="2:11" ht="15.75" x14ac:dyDescent="0.25">
      <c r="B1046" s="667" t="s">
        <v>82</v>
      </c>
      <c r="C1046" s="110">
        <v>2020</v>
      </c>
      <c r="D1046" s="687" t="s">
        <v>1587</v>
      </c>
      <c r="E1046" s="688">
        <v>4.453271003016529E-2</v>
      </c>
      <c r="F1046" s="310">
        <v>2.0341101263875838E-2</v>
      </c>
      <c r="G1046" s="311">
        <v>9.4117966452096427E-2</v>
      </c>
      <c r="H1046" s="311">
        <v>1.6056319829891883E-3</v>
      </c>
      <c r="I1046" s="394">
        <v>1.7404927616099318E-3</v>
      </c>
      <c r="J1046" s="689">
        <v>1.2824973855555383E-4</v>
      </c>
      <c r="K1046" s="690">
        <v>1.3404862402436964E-4</v>
      </c>
    </row>
    <row r="1047" spans="2:11" ht="15.75" x14ac:dyDescent="0.25">
      <c r="B1047" s="667" t="s">
        <v>82</v>
      </c>
      <c r="C1047" s="110">
        <v>2021</v>
      </c>
      <c r="D1047" s="687" t="s">
        <v>1588</v>
      </c>
      <c r="E1047" s="688">
        <v>4.3188541957110409E-2</v>
      </c>
      <c r="F1047" s="310">
        <v>1.7169324787538201E-2</v>
      </c>
      <c r="G1047" s="311">
        <v>8.053306860340366E-2</v>
      </c>
      <c r="H1047" s="311">
        <v>1.5233883951998246E-3</v>
      </c>
      <c r="I1047" s="394">
        <v>1.651688867691369E-3</v>
      </c>
      <c r="J1047" s="689">
        <v>1.1612547194646565E-4</v>
      </c>
      <c r="K1047" s="690">
        <v>1.2137615485344631E-4</v>
      </c>
    </row>
    <row r="1048" spans="2:11" ht="15.75" x14ac:dyDescent="0.25">
      <c r="B1048" s="667" t="s">
        <v>82</v>
      </c>
      <c r="C1048" s="110">
        <v>2022</v>
      </c>
      <c r="D1048" s="687" t="s">
        <v>1589</v>
      </c>
      <c r="E1048" s="688">
        <v>4.185076668122107E-2</v>
      </c>
      <c r="F1048" s="310">
        <v>1.4356972076784784E-2</v>
      </c>
      <c r="G1048" s="311">
        <v>6.9107437648922743E-2</v>
      </c>
      <c r="H1048" s="311">
        <v>1.4452873684577176E-3</v>
      </c>
      <c r="I1048" s="394">
        <v>1.5673389538489266E-3</v>
      </c>
      <c r="J1048" s="689">
        <v>1.057953721834219E-4</v>
      </c>
      <c r="K1048" s="690">
        <v>1.1057897113715324E-4</v>
      </c>
    </row>
    <row r="1049" spans="2:11" ht="15.75" x14ac:dyDescent="0.25">
      <c r="B1049" s="667" t="s">
        <v>82</v>
      </c>
      <c r="C1049" s="110">
        <v>2023</v>
      </c>
      <c r="D1049" s="687" t="s">
        <v>1590</v>
      </c>
      <c r="E1049" s="688">
        <v>4.0525073944786404E-2</v>
      </c>
      <c r="F1049" s="310">
        <v>1.2327661911301684E-2</v>
      </c>
      <c r="G1049" s="311">
        <v>5.9885386658266551E-2</v>
      </c>
      <c r="H1049" s="311">
        <v>1.3733133897709563E-3</v>
      </c>
      <c r="I1049" s="394">
        <v>1.4895360396055565E-3</v>
      </c>
      <c r="J1049" s="689">
        <v>9.52514459195774E-5</v>
      </c>
      <c r="K1049" s="690">
        <v>9.9558292076148231E-5</v>
      </c>
    </row>
    <row r="1050" spans="2:11" ht="15.75" x14ac:dyDescent="0.25">
      <c r="B1050" s="667" t="s">
        <v>82</v>
      </c>
      <c r="C1050" s="110">
        <v>2024</v>
      </c>
      <c r="D1050" s="687" t="s">
        <v>1591</v>
      </c>
      <c r="E1050" s="688">
        <v>3.9223323946528069E-2</v>
      </c>
      <c r="F1050" s="310">
        <v>1.064420571762671E-2</v>
      </c>
      <c r="G1050" s="311">
        <v>5.2333472203978958E-2</v>
      </c>
      <c r="H1050" s="311">
        <v>1.3106333284718518E-3</v>
      </c>
      <c r="I1050" s="394">
        <v>1.4217599034314445E-3</v>
      </c>
      <c r="J1050" s="689">
        <v>8.6496333099615321E-5</v>
      </c>
      <c r="K1050" s="690">
        <v>9.0407312174979121E-5</v>
      </c>
    </row>
    <row r="1051" spans="2:11" ht="15.75" x14ac:dyDescent="0.25">
      <c r="B1051" s="667" t="s">
        <v>82</v>
      </c>
      <c r="C1051" s="110">
        <v>2025</v>
      </c>
      <c r="D1051" s="687" t="s">
        <v>1592</v>
      </c>
      <c r="E1051" s="688">
        <v>3.795506764847914E-2</v>
      </c>
      <c r="F1051" s="310">
        <v>9.2749913294251241E-3</v>
      </c>
      <c r="G1051" s="311">
        <v>4.6269761819456731E-2</v>
      </c>
      <c r="H1051" s="311">
        <v>1.2561824193051546E-3</v>
      </c>
      <c r="I1051" s="394">
        <v>1.362909446094194E-3</v>
      </c>
      <c r="J1051" s="689">
        <v>7.7952148882834448E-5</v>
      </c>
      <c r="K1051" s="690">
        <v>8.1476795872531077E-5</v>
      </c>
    </row>
    <row r="1052" spans="2:11" ht="15.75" x14ac:dyDescent="0.25">
      <c r="B1052" s="667" t="s">
        <v>82</v>
      </c>
      <c r="C1052" s="110">
        <v>2026</v>
      </c>
      <c r="D1052" s="687" t="s">
        <v>1593</v>
      </c>
      <c r="E1052" s="688">
        <v>3.6795761852376527E-2</v>
      </c>
      <c r="F1052" s="310">
        <v>8.1709880529638994E-3</v>
      </c>
      <c r="G1052" s="311">
        <v>4.144575105142876E-2</v>
      </c>
      <c r="H1052" s="311">
        <v>1.2001138236425236E-3</v>
      </c>
      <c r="I1052" s="394">
        <v>1.3022935215976704E-3</v>
      </c>
      <c r="J1052" s="689">
        <v>6.9367846976804584E-5</v>
      </c>
      <c r="K1052" s="690">
        <v>7.2504359989721649E-5</v>
      </c>
    </row>
    <row r="1053" spans="2:11" ht="15.75" x14ac:dyDescent="0.25">
      <c r="B1053" s="667" t="s">
        <v>82</v>
      </c>
      <c r="C1053" s="110">
        <v>2027</v>
      </c>
      <c r="D1053" s="687" t="s">
        <v>1594</v>
      </c>
      <c r="E1053" s="688">
        <v>3.5734940885769624E-2</v>
      </c>
      <c r="F1053" s="310">
        <v>7.2371123888965005E-3</v>
      </c>
      <c r="G1053" s="311">
        <v>3.7427992389312506E-2</v>
      </c>
      <c r="H1053" s="311">
        <v>1.1339129406623262E-3</v>
      </c>
      <c r="I1053" s="394">
        <v>1.2307910535583053E-3</v>
      </c>
      <c r="J1053" s="689">
        <v>5.7640141008472657E-5</v>
      </c>
      <c r="K1053" s="690">
        <v>6.0246375543015812E-5</v>
      </c>
    </row>
    <row r="1054" spans="2:11" ht="15.75" x14ac:dyDescent="0.25">
      <c r="B1054" s="667" t="s">
        <v>82</v>
      </c>
      <c r="C1054" s="110">
        <v>2028</v>
      </c>
      <c r="D1054" s="687" t="s">
        <v>1595</v>
      </c>
      <c r="E1054" s="688">
        <v>3.4776075166933908E-2</v>
      </c>
      <c r="F1054" s="310">
        <v>6.4439406527105293E-3</v>
      </c>
      <c r="G1054" s="311">
        <v>3.4096235270430444E-2</v>
      </c>
      <c r="H1054" s="311">
        <v>1.0620427822889069E-3</v>
      </c>
      <c r="I1054" s="394">
        <v>1.153057304531398E-3</v>
      </c>
      <c r="J1054" s="689">
        <v>4.7458549701056509E-5</v>
      </c>
      <c r="K1054" s="690">
        <v>4.9604409505810881E-5</v>
      </c>
    </row>
    <row r="1055" spans="2:11" ht="15.75" x14ac:dyDescent="0.25">
      <c r="B1055" s="667" t="s">
        <v>82</v>
      </c>
      <c r="C1055" s="110">
        <v>2029</v>
      </c>
      <c r="D1055" s="687" t="s">
        <v>1596</v>
      </c>
      <c r="E1055" s="688">
        <v>3.3907899442120408E-2</v>
      </c>
      <c r="F1055" s="310">
        <v>5.7563531300728428E-3</v>
      </c>
      <c r="G1055" s="311">
        <v>3.129341949963528E-2</v>
      </c>
      <c r="H1055" s="311">
        <v>9.9516111147576617E-4</v>
      </c>
      <c r="I1055" s="394">
        <v>1.0805822354620946E-3</v>
      </c>
      <c r="J1055" s="689">
        <v>4.1215491352262315E-5</v>
      </c>
      <c r="K1055" s="690">
        <v>4.3079077212010825E-5</v>
      </c>
    </row>
    <row r="1056" spans="2:11" ht="15.75" x14ac:dyDescent="0.25">
      <c r="B1056" s="667" t="s">
        <v>82</v>
      </c>
      <c r="C1056" s="110">
        <v>2030</v>
      </c>
      <c r="D1056" s="687" t="s">
        <v>1597</v>
      </c>
      <c r="E1056" s="688">
        <v>3.3127720471839296E-2</v>
      </c>
      <c r="F1056" s="310">
        <v>5.1864778821945371E-3</v>
      </c>
      <c r="G1056" s="311">
        <v>2.9011056649486139E-2</v>
      </c>
      <c r="H1056" s="311">
        <v>9.319903315574609E-4</v>
      </c>
      <c r="I1056" s="394">
        <v>1.0121118579775944E-3</v>
      </c>
      <c r="J1056" s="689">
        <v>3.5698206910573767E-5</v>
      </c>
      <c r="K1056" s="690">
        <v>3.7312323849163413E-5</v>
      </c>
    </row>
    <row r="1057" spans="2:11" ht="15.75" x14ac:dyDescent="0.25">
      <c r="B1057" s="667" t="s">
        <v>82</v>
      </c>
      <c r="C1057" s="110">
        <v>2031</v>
      </c>
      <c r="D1057" s="687" t="s">
        <v>1598</v>
      </c>
      <c r="E1057" s="688">
        <v>3.2430372192816311E-2</v>
      </c>
      <c r="F1057" s="310">
        <v>4.6947497226426391E-3</v>
      </c>
      <c r="G1057" s="311">
        <v>2.7091189038805651E-2</v>
      </c>
      <c r="H1057" s="311">
        <v>8.7468933557462321E-4</v>
      </c>
      <c r="I1057" s="394">
        <v>9.499145931886494E-4</v>
      </c>
      <c r="J1057" s="689">
        <v>3.2805273528248169E-5</v>
      </c>
      <c r="K1057" s="690">
        <v>3.4288583444302976E-5</v>
      </c>
    </row>
    <row r="1058" spans="2:11" ht="15.75" x14ac:dyDescent="0.25">
      <c r="B1058" s="667" t="s">
        <v>82</v>
      </c>
      <c r="C1058" s="110">
        <v>2032</v>
      </c>
      <c r="D1058" s="687" t="s">
        <v>1599</v>
      </c>
      <c r="E1058" s="688">
        <v>3.1811527184345989E-2</v>
      </c>
      <c r="F1058" s="310">
        <v>4.2701098910283728E-3</v>
      </c>
      <c r="G1058" s="311">
        <v>2.5508393446499161E-2</v>
      </c>
      <c r="H1058" s="311">
        <v>8.2053795018658705E-4</v>
      </c>
      <c r="I1058" s="394">
        <v>8.9116333107727025E-4</v>
      </c>
      <c r="J1058" s="689">
        <v>2.9426340948492582E-5</v>
      </c>
      <c r="K1058" s="690">
        <v>3.0756871676718377E-5</v>
      </c>
    </row>
    <row r="1059" spans="2:11" ht="15.75" x14ac:dyDescent="0.25">
      <c r="B1059" s="667" t="s">
        <v>82</v>
      </c>
      <c r="C1059" s="110">
        <v>2033</v>
      </c>
      <c r="D1059" s="687" t="s">
        <v>1600</v>
      </c>
      <c r="E1059" s="688">
        <v>3.1261674179749246E-2</v>
      </c>
      <c r="F1059" s="310">
        <v>3.9000840223495439E-3</v>
      </c>
      <c r="G1059" s="311">
        <v>2.4193488611196075E-2</v>
      </c>
      <c r="H1059" s="311">
        <v>7.7126839490284358E-4</v>
      </c>
      <c r="I1059" s="394">
        <v>8.3766536132241288E-4</v>
      </c>
      <c r="J1059" s="689">
        <v>2.736911955967577E-5</v>
      </c>
      <c r="K1059" s="690">
        <v>2.8606632025092479E-5</v>
      </c>
    </row>
    <row r="1060" spans="2:11" ht="15.75" x14ac:dyDescent="0.25">
      <c r="B1060" s="667" t="s">
        <v>82</v>
      </c>
      <c r="C1060" s="110">
        <v>2034</v>
      </c>
      <c r="D1060" s="687" t="s">
        <v>1601</v>
      </c>
      <c r="E1060" s="688">
        <v>3.0775800559464467E-2</v>
      </c>
      <c r="F1060" s="310">
        <v>3.5698905359457297E-3</v>
      </c>
      <c r="G1060" s="311">
        <v>2.306458562538713E-2</v>
      </c>
      <c r="H1060" s="311">
        <v>7.2552777173230307E-4</v>
      </c>
      <c r="I1060" s="394">
        <v>7.8799804601949229E-4</v>
      </c>
      <c r="J1060" s="689">
        <v>2.5474555736314067E-5</v>
      </c>
      <c r="K1060" s="690">
        <v>2.6626400797769362E-5</v>
      </c>
    </row>
    <row r="1061" spans="2:11" ht="15.75" x14ac:dyDescent="0.25">
      <c r="B1061" s="667" t="s">
        <v>82</v>
      </c>
      <c r="C1061" s="110">
        <v>2035</v>
      </c>
      <c r="D1061" s="687" t="s">
        <v>1602</v>
      </c>
      <c r="E1061" s="688">
        <v>3.035103546497574E-2</v>
      </c>
      <c r="F1061" s="310">
        <v>3.2774763899242406E-3</v>
      </c>
      <c r="G1061" s="311">
        <v>2.2123128916274219E-2</v>
      </c>
      <c r="H1061" s="311">
        <v>6.8332846779109154E-4</v>
      </c>
      <c r="I1061" s="394">
        <v>7.4217175679782441E-4</v>
      </c>
      <c r="J1061" s="689">
        <v>2.3832954723017042E-5</v>
      </c>
      <c r="K1061" s="690">
        <v>2.4910571330559919E-5</v>
      </c>
    </row>
    <row r="1062" spans="2:11" ht="15.75" x14ac:dyDescent="0.25">
      <c r="B1062" s="667" t="s">
        <v>82</v>
      </c>
      <c r="C1062" s="110">
        <v>2036</v>
      </c>
      <c r="D1062" s="687" t="s">
        <v>1603</v>
      </c>
      <c r="E1062" s="688">
        <v>2.9983943199212052E-2</v>
      </c>
      <c r="F1062" s="310">
        <v>3.0239561003467673E-3</v>
      </c>
      <c r="G1062" s="311">
        <v>2.134296620477133E-2</v>
      </c>
      <c r="H1062" s="311">
        <v>6.4641715592017503E-4</v>
      </c>
      <c r="I1062" s="394">
        <v>7.020931147046286E-4</v>
      </c>
      <c r="J1062" s="689">
        <v>2.2281247541975605E-5</v>
      </c>
      <c r="K1062" s="690">
        <v>2.3288701975519438E-5</v>
      </c>
    </row>
    <row r="1063" spans="2:11" ht="15.75" x14ac:dyDescent="0.25">
      <c r="B1063" s="667" t="s">
        <v>82</v>
      </c>
      <c r="C1063" s="110">
        <v>2037</v>
      </c>
      <c r="D1063" s="687" t="s">
        <v>1604</v>
      </c>
      <c r="E1063" s="688">
        <v>2.9665218992912183E-2</v>
      </c>
      <c r="F1063" s="310">
        <v>2.8121328684136324E-3</v>
      </c>
      <c r="G1063" s="311">
        <v>2.0726928160726375E-2</v>
      </c>
      <c r="H1063" s="311">
        <v>6.1383398968824611E-4</v>
      </c>
      <c r="I1063" s="394">
        <v>6.6670806216479557E-4</v>
      </c>
      <c r="J1063" s="689">
        <v>2.1054309078602934E-5</v>
      </c>
      <c r="K1063" s="690">
        <v>2.200629364667861E-5</v>
      </c>
    </row>
    <row r="1064" spans="2:11" ht="15.75" x14ac:dyDescent="0.25">
      <c r="B1064" s="667" t="s">
        <v>82</v>
      </c>
      <c r="C1064" s="110">
        <v>2038</v>
      </c>
      <c r="D1064" s="687" t="s">
        <v>1605</v>
      </c>
      <c r="E1064" s="688">
        <v>2.9392783286436661E-2</v>
      </c>
      <c r="F1064" s="310">
        <v>2.6219215907429642E-3</v>
      </c>
      <c r="G1064" s="311">
        <v>2.0179176369354034E-2</v>
      </c>
      <c r="H1064" s="311">
        <v>5.8499944558454029E-4</v>
      </c>
      <c r="I1064" s="394">
        <v>6.3539304374230637E-4</v>
      </c>
      <c r="J1064" s="689">
        <v>1.9994105480223774E-5</v>
      </c>
      <c r="K1064" s="690">
        <v>2.0898153840537039E-5</v>
      </c>
    </row>
    <row r="1065" spans="2:11" ht="15.75" x14ac:dyDescent="0.25">
      <c r="B1065" s="667" t="s">
        <v>82</v>
      </c>
      <c r="C1065" s="110">
        <v>2039</v>
      </c>
      <c r="D1065" s="687" t="s">
        <v>1606</v>
      </c>
      <c r="E1065" s="688">
        <v>2.9160733784279688E-2</v>
      </c>
      <c r="F1065" s="310">
        <v>2.4469362859112073E-3</v>
      </c>
      <c r="G1065" s="311">
        <v>1.9680537338459911E-2</v>
      </c>
      <c r="H1065" s="311">
        <v>5.5963663815686521E-4</v>
      </c>
      <c r="I1065" s="394">
        <v>6.0784755922454949E-4</v>
      </c>
      <c r="J1065" s="689">
        <v>1.9083967785600455E-5</v>
      </c>
      <c r="K1065" s="690">
        <v>1.9946869132419949E-5</v>
      </c>
    </row>
    <row r="1066" spans="2:11" ht="15.75" x14ac:dyDescent="0.25">
      <c r="B1066" s="667" t="s">
        <v>82</v>
      </c>
      <c r="C1066" s="110">
        <v>2040</v>
      </c>
      <c r="D1066" s="687" t="s">
        <v>1607</v>
      </c>
      <c r="E1066" s="688">
        <v>2.8964767820250328E-2</v>
      </c>
      <c r="F1066" s="310">
        <v>2.2857516160913658E-3</v>
      </c>
      <c r="G1066" s="311">
        <v>1.9238737836193853E-2</v>
      </c>
      <c r="H1066" s="311">
        <v>5.3747099241543527E-4</v>
      </c>
      <c r="I1066" s="394">
        <v>5.8377209701110312E-4</v>
      </c>
      <c r="J1066" s="689">
        <v>1.8325513133481945E-5</v>
      </c>
      <c r="K1066" s="690">
        <v>1.9154111909156343E-5</v>
      </c>
    </row>
    <row r="1067" spans="2:11" ht="15.75" x14ac:dyDescent="0.25">
      <c r="B1067" s="667" t="s">
        <v>82</v>
      </c>
      <c r="C1067" s="110">
        <v>2041</v>
      </c>
      <c r="D1067" s="687" t="s">
        <v>1608</v>
      </c>
      <c r="E1067" s="688">
        <v>2.8804083824348341E-2</v>
      </c>
      <c r="F1067" s="310">
        <v>2.1649094298835259E-3</v>
      </c>
      <c r="G1067" s="311">
        <v>1.8906630553575929E-2</v>
      </c>
      <c r="H1067" s="311">
        <v>5.2012770256272837E-4</v>
      </c>
      <c r="I1067" s="394">
        <v>5.6493660640117367E-4</v>
      </c>
      <c r="J1067" s="689">
        <v>1.7695557795616116E-5</v>
      </c>
      <c r="K1067" s="690">
        <v>1.8495668456452132E-5</v>
      </c>
    </row>
    <row r="1068" spans="2:11" ht="15.75" x14ac:dyDescent="0.25">
      <c r="B1068" s="667" t="s">
        <v>82</v>
      </c>
      <c r="C1068" s="110">
        <v>2042</v>
      </c>
      <c r="D1068" s="687" t="s">
        <v>1609</v>
      </c>
      <c r="E1068" s="688">
        <v>2.8666130246256728E-2</v>
      </c>
      <c r="F1068" s="310">
        <v>2.063123931929995E-3</v>
      </c>
      <c r="G1068" s="311">
        <v>1.8611192247534252E-2</v>
      </c>
      <c r="H1068" s="311">
        <v>5.0550027428058314E-4</v>
      </c>
      <c r="I1068" s="394">
        <v>5.4904881072207748E-4</v>
      </c>
      <c r="J1068" s="689">
        <v>1.7213013815680207E-5</v>
      </c>
      <c r="K1068" s="690">
        <v>1.7991308803041746E-5</v>
      </c>
    </row>
    <row r="1069" spans="2:11" ht="15.75" x14ac:dyDescent="0.25">
      <c r="B1069" s="667" t="s">
        <v>82</v>
      </c>
      <c r="C1069" s="110">
        <v>2043</v>
      </c>
      <c r="D1069" s="687" t="s">
        <v>1610</v>
      </c>
      <c r="E1069" s="688">
        <v>2.8549207492356777E-2</v>
      </c>
      <c r="F1069" s="310">
        <v>1.9856193384678784E-3</v>
      </c>
      <c r="G1069" s="311">
        <v>1.8385307733442449E-2</v>
      </c>
      <c r="H1069" s="311">
        <v>4.9324544992613835E-4</v>
      </c>
      <c r="I1069" s="394">
        <v>5.3573651998375721E-4</v>
      </c>
      <c r="J1069" s="689">
        <v>1.6824535243219775E-5</v>
      </c>
      <c r="K1069" s="690">
        <v>1.758526672806945E-5</v>
      </c>
    </row>
    <row r="1070" spans="2:11" ht="15.75" x14ac:dyDescent="0.25">
      <c r="B1070" s="667" t="s">
        <v>82</v>
      </c>
      <c r="C1070" s="110">
        <v>2044</v>
      </c>
      <c r="D1070" s="687" t="s">
        <v>1611</v>
      </c>
      <c r="E1070" s="688">
        <v>2.8452951042694376E-2</v>
      </c>
      <c r="F1070" s="310">
        <v>1.9280212724415873E-3</v>
      </c>
      <c r="G1070" s="311">
        <v>1.8208275013548155E-2</v>
      </c>
      <c r="H1070" s="311">
        <v>4.8300287000146872E-4</v>
      </c>
      <c r="I1070" s="394">
        <v>5.2461019552100824E-4</v>
      </c>
      <c r="J1070" s="689">
        <v>1.6507766553713327E-5</v>
      </c>
      <c r="K1070" s="690">
        <v>1.7254171376740044E-5</v>
      </c>
    </row>
    <row r="1071" spans="2:11" ht="15.75" x14ac:dyDescent="0.25">
      <c r="B1071" s="667" t="s">
        <v>82</v>
      </c>
      <c r="C1071" s="110">
        <v>2045</v>
      </c>
      <c r="D1071" s="687" t="s">
        <v>1612</v>
      </c>
      <c r="E1071" s="688">
        <v>2.8368879560974735E-2</v>
      </c>
      <c r="F1071" s="310">
        <v>1.8878587976396621E-3</v>
      </c>
      <c r="G1071" s="311">
        <v>1.8083008863980128E-2</v>
      </c>
      <c r="H1071" s="311">
        <v>4.744570826271553E-4</v>
      </c>
      <c r="I1071" s="394">
        <v>5.1532604857758497E-4</v>
      </c>
      <c r="J1071" s="689">
        <v>1.6280861478461606E-5</v>
      </c>
      <c r="K1071" s="690">
        <v>1.7017013015999374E-5</v>
      </c>
    </row>
    <row r="1072" spans="2:11" ht="15.75" x14ac:dyDescent="0.25">
      <c r="B1072" s="667" t="s">
        <v>82</v>
      </c>
      <c r="C1072" s="110">
        <v>2046</v>
      </c>
      <c r="D1072" s="687" t="s">
        <v>1613</v>
      </c>
      <c r="E1072" s="688">
        <v>2.8297981040368105E-2</v>
      </c>
      <c r="F1072" s="310">
        <v>1.8531542943095035E-3</v>
      </c>
      <c r="G1072" s="311">
        <v>1.7979323327859169E-2</v>
      </c>
      <c r="H1072" s="311">
        <v>4.674006925009325E-4</v>
      </c>
      <c r="I1072" s="394">
        <v>5.0765944585893185E-4</v>
      </c>
      <c r="J1072" s="689">
        <v>1.60867562167872E-5</v>
      </c>
      <c r="K1072" s="690">
        <v>1.6814125322459091E-5</v>
      </c>
    </row>
    <row r="1073" spans="2:11" ht="15.75" x14ac:dyDescent="0.25">
      <c r="B1073" s="667" t="s">
        <v>82</v>
      </c>
      <c r="C1073" s="110">
        <v>2047</v>
      </c>
      <c r="D1073" s="687" t="s">
        <v>1614</v>
      </c>
      <c r="E1073" s="688">
        <v>2.8238406411040841E-2</v>
      </c>
      <c r="F1073" s="310">
        <v>1.8221964762898434E-3</v>
      </c>
      <c r="G1073" s="311">
        <v>1.787972633923432E-2</v>
      </c>
      <c r="H1073" s="311">
        <v>4.6164034928923559E-4</v>
      </c>
      <c r="I1073" s="394">
        <v>5.0140105046699729E-4</v>
      </c>
      <c r="J1073" s="689">
        <v>1.5927933712286808E-5</v>
      </c>
      <c r="K1073" s="690">
        <v>1.6648123230622643E-5</v>
      </c>
    </row>
    <row r="1074" spans="2:11" ht="15.75" x14ac:dyDescent="0.25">
      <c r="B1074" s="667" t="s">
        <v>82</v>
      </c>
      <c r="C1074" s="110">
        <v>2048</v>
      </c>
      <c r="D1074" s="687" t="s">
        <v>1615</v>
      </c>
      <c r="E1074" s="688">
        <v>2.818841005396425E-2</v>
      </c>
      <c r="F1074" s="310">
        <v>1.7977646943717945E-3</v>
      </c>
      <c r="G1074" s="311">
        <v>1.7800937138266547E-2</v>
      </c>
      <c r="H1074" s="311">
        <v>4.5698594330681019E-4</v>
      </c>
      <c r="I1074" s="394">
        <v>4.9634439067622381E-4</v>
      </c>
      <c r="J1074" s="689">
        <v>1.5798651327251854E-5</v>
      </c>
      <c r="K1074" s="690">
        <v>1.6512996270700242E-5</v>
      </c>
    </row>
    <row r="1075" spans="2:11" ht="15.75" x14ac:dyDescent="0.25">
      <c r="B1075" s="667" t="s">
        <v>82</v>
      </c>
      <c r="C1075" s="110">
        <v>2049</v>
      </c>
      <c r="D1075" s="687" t="s">
        <v>1616</v>
      </c>
      <c r="E1075" s="688">
        <v>2.8145336526586778E-2</v>
      </c>
      <c r="F1075" s="310">
        <v>1.7883788091194079E-3</v>
      </c>
      <c r="G1075" s="311">
        <v>1.780688538871161E-2</v>
      </c>
      <c r="H1075" s="311">
        <v>4.5398850488183464E-4</v>
      </c>
      <c r="I1075" s="394">
        <v>4.9308852769508948E-4</v>
      </c>
      <c r="J1075" s="689">
        <v>1.5704414200758962E-5</v>
      </c>
      <c r="K1075" s="690">
        <v>1.6414496578993426E-5</v>
      </c>
    </row>
    <row r="1076" spans="2:11" ht="15.75" x14ac:dyDescent="0.25">
      <c r="B1076" s="667" t="s">
        <v>82</v>
      </c>
      <c r="C1076" s="110">
        <v>2050</v>
      </c>
      <c r="D1076" s="687" t="s">
        <v>1617</v>
      </c>
      <c r="E1076" s="688">
        <v>2.8110498569972973E-2</v>
      </c>
      <c r="F1076" s="310">
        <v>1.7810372069758452E-3</v>
      </c>
      <c r="G1076" s="311">
        <v>1.7814610290346325E-2</v>
      </c>
      <c r="H1076" s="311">
        <v>4.5161115099426205E-4</v>
      </c>
      <c r="I1076" s="394">
        <v>4.905070547760672E-4</v>
      </c>
      <c r="J1076" s="689">
        <v>1.5610998907358889E-5</v>
      </c>
      <c r="K1076" s="690">
        <v>1.6316857540678185E-5</v>
      </c>
    </row>
    <row r="1077" spans="2:11" ht="15.75" x14ac:dyDescent="0.25">
      <c r="B1077" s="667" t="s">
        <v>83</v>
      </c>
      <c r="C1077" s="110">
        <v>2015</v>
      </c>
      <c r="D1077" s="687" t="s">
        <v>256</v>
      </c>
      <c r="E1077" s="688">
        <v>4.3762800406094468E-2</v>
      </c>
      <c r="F1077" s="310">
        <v>7.3297879812281599E-2</v>
      </c>
      <c r="G1077" s="311">
        <v>0.31076384944066165</v>
      </c>
      <c r="H1077" s="311">
        <v>2.3859286558003379E-3</v>
      </c>
      <c r="I1077" s="394">
        <v>2.5747616703731832E-3</v>
      </c>
      <c r="J1077" s="689">
        <v>3.332420286064548E-4</v>
      </c>
      <c r="K1077" s="690">
        <v>3.4830975723812701E-4</v>
      </c>
    </row>
    <row r="1078" spans="2:11" ht="15.75" x14ac:dyDescent="0.25">
      <c r="B1078" s="667" t="s">
        <v>83</v>
      </c>
      <c r="C1078" s="110">
        <v>2016</v>
      </c>
      <c r="D1078" s="687" t="s">
        <v>257</v>
      </c>
      <c r="E1078" s="688">
        <v>4.2892518071564453E-2</v>
      </c>
      <c r="F1078" s="310">
        <v>6.1615543406875792E-2</v>
      </c>
      <c r="G1078" s="311">
        <v>0.26842633433940838</v>
      </c>
      <c r="H1078" s="311">
        <v>2.1763643712683928E-3</v>
      </c>
      <c r="I1078" s="394">
        <v>2.3501253785126338E-3</v>
      </c>
      <c r="J1078" s="689">
        <v>2.9348372097239928E-4</v>
      </c>
      <c r="K1078" s="690">
        <v>3.067537545741878E-4</v>
      </c>
    </row>
    <row r="1079" spans="2:11" ht="15.75" x14ac:dyDescent="0.25">
      <c r="B1079" s="667" t="s">
        <v>83</v>
      </c>
      <c r="C1079" s="110">
        <v>2017</v>
      </c>
      <c r="D1079" s="687" t="s">
        <v>1618</v>
      </c>
      <c r="E1079" s="688">
        <v>4.1872364423535355E-2</v>
      </c>
      <c r="F1079" s="310">
        <v>5.1977930166161437E-2</v>
      </c>
      <c r="G1079" s="311">
        <v>0.23447112502771059</v>
      </c>
      <c r="H1079" s="311">
        <v>2.039903908434706E-3</v>
      </c>
      <c r="I1079" s="394">
        <v>2.2044202342347621E-3</v>
      </c>
      <c r="J1079" s="689">
        <v>2.6179404378884943E-4</v>
      </c>
      <c r="K1079" s="690">
        <v>2.736312056037417E-4</v>
      </c>
    </row>
    <row r="1080" spans="2:11" ht="15.75" x14ac:dyDescent="0.25">
      <c r="B1080" s="667" t="s">
        <v>83</v>
      </c>
      <c r="C1080" s="110">
        <v>2018</v>
      </c>
      <c r="D1080" s="687" t="s">
        <v>1619</v>
      </c>
      <c r="E1080" s="688">
        <v>4.079547434184079E-2</v>
      </c>
      <c r="F1080" s="310">
        <v>4.3231029929898197E-2</v>
      </c>
      <c r="G1080" s="311">
        <v>0.20365917266008141</v>
      </c>
      <c r="H1080" s="311">
        <v>1.936937404437702E-3</v>
      </c>
      <c r="I1080" s="394">
        <v>2.0948233982996823E-3</v>
      </c>
      <c r="J1080" s="689">
        <v>2.3365256936148238E-4</v>
      </c>
      <c r="K1080" s="690">
        <v>2.4421730202891097E-4</v>
      </c>
    </row>
    <row r="1081" spans="2:11" ht="15.75" x14ac:dyDescent="0.25">
      <c r="B1081" s="667" t="s">
        <v>83</v>
      </c>
      <c r="C1081" s="110">
        <v>2019</v>
      </c>
      <c r="D1081" s="687" t="s">
        <v>1620</v>
      </c>
      <c r="E1081" s="688">
        <v>3.9672348569894322E-2</v>
      </c>
      <c r="F1081" s="310">
        <v>3.6404743891879837E-2</v>
      </c>
      <c r="G1081" s="311">
        <v>0.17721863702888105</v>
      </c>
      <c r="H1081" s="311">
        <v>1.8595204407412533E-3</v>
      </c>
      <c r="I1081" s="394">
        <v>2.0124651943232517E-3</v>
      </c>
      <c r="J1081" s="689">
        <v>2.0760649959018974E-4</v>
      </c>
      <c r="K1081" s="690">
        <v>2.169935430938514E-4</v>
      </c>
    </row>
    <row r="1082" spans="2:11" ht="15.75" x14ac:dyDescent="0.25">
      <c r="B1082" s="667" t="s">
        <v>83</v>
      </c>
      <c r="C1082" s="110">
        <v>2020</v>
      </c>
      <c r="D1082" s="687" t="s">
        <v>1621</v>
      </c>
      <c r="E1082" s="688">
        <v>3.854220949579451E-2</v>
      </c>
      <c r="F1082" s="310">
        <v>3.0940657214741932E-2</v>
      </c>
      <c r="G1082" s="311">
        <v>0.15435587585679089</v>
      </c>
      <c r="H1082" s="311">
        <v>1.7759189836642566E-3</v>
      </c>
      <c r="I1082" s="394">
        <v>1.9228736851986763E-3</v>
      </c>
      <c r="J1082" s="689">
        <v>1.8505515957851779E-4</v>
      </c>
      <c r="K1082" s="690">
        <v>1.9342252658244568E-4</v>
      </c>
    </row>
    <row r="1083" spans="2:11" ht="15.75" x14ac:dyDescent="0.25">
      <c r="B1083" s="667" t="s">
        <v>83</v>
      </c>
      <c r="C1083" s="110">
        <v>2021</v>
      </c>
      <c r="D1083" s="687" t="s">
        <v>1622</v>
      </c>
      <c r="E1083" s="688">
        <v>3.738059114161342E-2</v>
      </c>
      <c r="F1083" s="310">
        <v>2.6500822734946208E-2</v>
      </c>
      <c r="G1083" s="311">
        <v>0.13426513900520987</v>
      </c>
      <c r="H1083" s="311">
        <v>1.6768543999018499E-3</v>
      </c>
      <c r="I1083" s="394">
        <v>1.816217892398532E-3</v>
      </c>
      <c r="J1083" s="689">
        <v>1.6515655294554226E-4</v>
      </c>
      <c r="K1083" s="690">
        <v>1.726241974442975E-4</v>
      </c>
    </row>
    <row r="1084" spans="2:11" ht="15.75" x14ac:dyDescent="0.25">
      <c r="B1084" s="667" t="s">
        <v>83</v>
      </c>
      <c r="C1084" s="110">
        <v>2022</v>
      </c>
      <c r="D1084" s="687" t="s">
        <v>1623</v>
      </c>
      <c r="E1084" s="688">
        <v>3.6247497501378685E-2</v>
      </c>
      <c r="F1084" s="310">
        <v>2.1867835198136863E-2</v>
      </c>
      <c r="G1084" s="311">
        <v>0.11589229561360516</v>
      </c>
      <c r="H1084" s="311">
        <v>1.5801989544062633E-3</v>
      </c>
      <c r="I1084" s="394">
        <v>1.7122285607096002E-3</v>
      </c>
      <c r="J1084" s="689">
        <v>1.4798614317977556E-4</v>
      </c>
      <c r="K1084" s="690">
        <v>1.5467742144604016E-4</v>
      </c>
    </row>
    <row r="1085" spans="2:11" ht="15.75" x14ac:dyDescent="0.25">
      <c r="B1085" s="667" t="s">
        <v>83</v>
      </c>
      <c r="C1085" s="110">
        <v>2023</v>
      </c>
      <c r="D1085" s="687" t="s">
        <v>1624</v>
      </c>
      <c r="E1085" s="688">
        <v>3.5123103902588076E-2</v>
      </c>
      <c r="F1085" s="310">
        <v>1.8990909940748636E-2</v>
      </c>
      <c r="G1085" s="311">
        <v>0.10134942472639322</v>
      </c>
      <c r="H1085" s="311">
        <v>1.4933742450097382E-3</v>
      </c>
      <c r="I1085" s="394">
        <v>1.6185461545842256E-3</v>
      </c>
      <c r="J1085" s="689">
        <v>1.3163277011688868E-4</v>
      </c>
      <c r="K1085" s="690">
        <v>1.3758461652268341E-4</v>
      </c>
    </row>
    <row r="1086" spans="2:11" ht="15.75" x14ac:dyDescent="0.25">
      <c r="B1086" s="667" t="s">
        <v>83</v>
      </c>
      <c r="C1086" s="110">
        <v>2024</v>
      </c>
      <c r="D1086" s="687" t="s">
        <v>1625</v>
      </c>
      <c r="E1086" s="688">
        <v>3.4041115023840988E-2</v>
      </c>
      <c r="F1086" s="310">
        <v>1.6540925899200646E-2</v>
      </c>
      <c r="G1086" s="311">
        <v>8.8988203355757384E-2</v>
      </c>
      <c r="H1086" s="311">
        <v>1.4156845768584993E-3</v>
      </c>
      <c r="I1086" s="394">
        <v>1.5347361494563159E-3</v>
      </c>
      <c r="J1086" s="689">
        <v>1.1642211853245297E-4</v>
      </c>
      <c r="K1086" s="690">
        <v>1.2168621436515925E-4</v>
      </c>
    </row>
    <row r="1087" spans="2:11" ht="15.75" x14ac:dyDescent="0.25">
      <c r="B1087" s="667" t="s">
        <v>83</v>
      </c>
      <c r="C1087" s="110">
        <v>2025</v>
      </c>
      <c r="D1087" s="687" t="s">
        <v>1626</v>
      </c>
      <c r="E1087" s="688">
        <v>3.2945175223360483E-2</v>
      </c>
      <c r="F1087" s="310">
        <v>1.4539482364034725E-2</v>
      </c>
      <c r="G1087" s="311">
        <v>7.8855347615107874E-2</v>
      </c>
      <c r="H1087" s="311">
        <v>1.3521871673660057E-3</v>
      </c>
      <c r="I1087" s="394">
        <v>1.4661845645917431E-3</v>
      </c>
      <c r="J1087" s="689">
        <v>1.0477780406479981E-4</v>
      </c>
      <c r="K1087" s="690">
        <v>1.0951538471371813E-4</v>
      </c>
    </row>
    <row r="1088" spans="2:11" ht="15.75" x14ac:dyDescent="0.25">
      <c r="B1088" s="667" t="s">
        <v>83</v>
      </c>
      <c r="C1088" s="110">
        <v>2026</v>
      </c>
      <c r="D1088" s="687" t="s">
        <v>1627</v>
      </c>
      <c r="E1088" s="688">
        <v>3.1950293496570033E-2</v>
      </c>
      <c r="F1088" s="310">
        <v>1.2864744502257185E-2</v>
      </c>
      <c r="G1088" s="311">
        <v>7.0433108022542656E-2</v>
      </c>
      <c r="H1088" s="311">
        <v>1.2902553412321987E-3</v>
      </c>
      <c r="I1088" s="394">
        <v>1.3992940871626158E-3</v>
      </c>
      <c r="J1088" s="689">
        <v>9.3800368905866944E-5</v>
      </c>
      <c r="K1088" s="690">
        <v>9.8041609829505299E-5</v>
      </c>
    </row>
    <row r="1089" spans="2:11" ht="15.75" x14ac:dyDescent="0.25">
      <c r="B1089" s="667" t="s">
        <v>83</v>
      </c>
      <c r="C1089" s="110">
        <v>2027</v>
      </c>
      <c r="D1089" s="687" t="s">
        <v>1628</v>
      </c>
      <c r="E1089" s="688">
        <v>3.1045009545779739E-2</v>
      </c>
      <c r="F1089" s="310">
        <v>1.1394353693134926E-2</v>
      </c>
      <c r="G1089" s="311">
        <v>6.3091921323885733E-2</v>
      </c>
      <c r="H1089" s="311">
        <v>1.2187799683612227E-3</v>
      </c>
      <c r="I1089" s="394">
        <v>1.3222200409893942E-3</v>
      </c>
      <c r="J1089" s="689">
        <v>7.8207849422457372E-5</v>
      </c>
      <c r="K1089" s="690">
        <v>8.1744059358389605E-5</v>
      </c>
    </row>
    <row r="1090" spans="2:11" ht="15.75" x14ac:dyDescent="0.25">
      <c r="B1090" s="667" t="s">
        <v>83</v>
      </c>
      <c r="C1090" s="110">
        <v>2028</v>
      </c>
      <c r="D1090" s="687" t="s">
        <v>1629</v>
      </c>
      <c r="E1090" s="688">
        <v>3.0233066128169613E-2</v>
      </c>
      <c r="F1090" s="310">
        <v>1.0154351680392752E-2</v>
      </c>
      <c r="G1090" s="311">
        <v>5.6888640823419802E-2</v>
      </c>
      <c r="H1090" s="311">
        <v>1.1463507783825162E-3</v>
      </c>
      <c r="I1090" s="394">
        <v>1.2439446740301013E-3</v>
      </c>
      <c r="J1090" s="689">
        <v>6.6466736944371043E-5</v>
      </c>
      <c r="K1090" s="690">
        <v>6.9472064032889195E-5</v>
      </c>
    </row>
    <row r="1091" spans="2:11" ht="15.75" x14ac:dyDescent="0.25">
      <c r="B1091" s="667" t="s">
        <v>83</v>
      </c>
      <c r="C1091" s="110">
        <v>2029</v>
      </c>
      <c r="D1091" s="687" t="s">
        <v>1630</v>
      </c>
      <c r="E1091" s="688">
        <v>2.9505942851636921E-2</v>
      </c>
      <c r="F1091" s="310">
        <v>9.0512353561178569E-3</v>
      </c>
      <c r="G1091" s="311">
        <v>5.1489506938141055E-2</v>
      </c>
      <c r="H1091" s="311">
        <v>1.078779044837294E-3</v>
      </c>
      <c r="I1091" s="394">
        <v>1.1707736145323052E-3</v>
      </c>
      <c r="J1091" s="689">
        <v>5.8923830591473399E-5</v>
      </c>
      <c r="K1091" s="690">
        <v>6.1588110342942812E-5</v>
      </c>
    </row>
    <row r="1092" spans="2:11" ht="15.75" x14ac:dyDescent="0.25">
      <c r="B1092" s="667" t="s">
        <v>83</v>
      </c>
      <c r="C1092" s="110">
        <v>2030</v>
      </c>
      <c r="D1092" s="687" t="s">
        <v>1631</v>
      </c>
      <c r="E1092" s="688">
        <v>2.8858772198706497E-2</v>
      </c>
      <c r="F1092" s="310">
        <v>8.1045010421598486E-3</v>
      </c>
      <c r="G1092" s="311">
        <v>4.6793351689714727E-2</v>
      </c>
      <c r="H1092" s="311">
        <v>1.0140024742429376E-3</v>
      </c>
      <c r="I1092" s="394">
        <v>1.1005870418529873E-3</v>
      </c>
      <c r="J1092" s="689">
        <v>5.2698061365856857E-5</v>
      </c>
      <c r="K1092" s="690">
        <v>5.5080838034416169E-5</v>
      </c>
    </row>
    <row r="1093" spans="2:11" ht="15.75" x14ac:dyDescent="0.25">
      <c r="B1093" s="667" t="s">
        <v>83</v>
      </c>
      <c r="C1093" s="110">
        <v>2031</v>
      </c>
      <c r="D1093" s="687" t="s">
        <v>1632</v>
      </c>
      <c r="E1093" s="688">
        <v>2.8299010188482691E-2</v>
      </c>
      <c r="F1093" s="310">
        <v>7.253864990143028E-3</v>
      </c>
      <c r="G1093" s="311">
        <v>4.2651376310173648E-2</v>
      </c>
      <c r="H1093" s="311">
        <v>9.5226209928415853E-4</v>
      </c>
      <c r="I1093" s="394">
        <v>1.0336401788929434E-3</v>
      </c>
      <c r="J1093" s="689">
        <v>4.7956881222433775E-5</v>
      </c>
      <c r="K1093" s="690">
        <v>5.0125286237615423E-5</v>
      </c>
    </row>
    <row r="1094" spans="2:11" ht="15.75" x14ac:dyDescent="0.25">
      <c r="B1094" s="667" t="s">
        <v>83</v>
      </c>
      <c r="C1094" s="110">
        <v>2032</v>
      </c>
      <c r="D1094" s="687" t="s">
        <v>1633</v>
      </c>
      <c r="E1094" s="688">
        <v>2.7790325770275064E-2</v>
      </c>
      <c r="F1094" s="310">
        <v>6.5342470096246509E-3</v>
      </c>
      <c r="G1094" s="311">
        <v>3.9248758207982799E-2</v>
      </c>
      <c r="H1094" s="311">
        <v>8.9529350572850836E-4</v>
      </c>
      <c r="I1094" s="394">
        <v>9.7185518068279683E-4</v>
      </c>
      <c r="J1094" s="689">
        <v>4.3849984178814352E-5</v>
      </c>
      <c r="K1094" s="690">
        <v>4.5832693020492566E-5</v>
      </c>
    </row>
    <row r="1095" spans="2:11" ht="15.75" x14ac:dyDescent="0.25">
      <c r="B1095" s="667" t="s">
        <v>83</v>
      </c>
      <c r="C1095" s="110">
        <v>2033</v>
      </c>
      <c r="D1095" s="687" t="s">
        <v>1634</v>
      </c>
      <c r="E1095" s="688">
        <v>2.7341890679382662E-2</v>
      </c>
      <c r="F1095" s="310">
        <v>5.8979931933727638E-3</v>
      </c>
      <c r="G1095" s="311">
        <v>3.632207897197795E-2</v>
      </c>
      <c r="H1095" s="311">
        <v>8.4217665518044086E-4</v>
      </c>
      <c r="I1095" s="394">
        <v>9.1422132950941888E-4</v>
      </c>
      <c r="J1095" s="689">
        <v>4.0660040143669395E-5</v>
      </c>
      <c r="K1095" s="690">
        <v>4.2498509749360363E-5</v>
      </c>
    </row>
    <row r="1096" spans="2:11" ht="15.75" x14ac:dyDescent="0.25">
      <c r="B1096" s="667" t="s">
        <v>83</v>
      </c>
      <c r="C1096" s="110">
        <v>2034</v>
      </c>
      <c r="D1096" s="687" t="s">
        <v>1635</v>
      </c>
      <c r="E1096" s="688">
        <v>2.6947961398475564E-2</v>
      </c>
      <c r="F1096" s="310">
        <v>5.3070529164604228E-3</v>
      </c>
      <c r="G1096" s="311">
        <v>3.3655076694524201E-2</v>
      </c>
      <c r="H1096" s="311">
        <v>7.9154942860086455E-4</v>
      </c>
      <c r="I1096" s="394">
        <v>8.5928211100796915E-4</v>
      </c>
      <c r="J1096" s="689">
        <v>3.7759150289549776E-5</v>
      </c>
      <c r="K1096" s="690">
        <v>3.9466445859076816E-5</v>
      </c>
    </row>
    <row r="1097" spans="2:11" ht="15.75" x14ac:dyDescent="0.25">
      <c r="B1097" s="667" t="s">
        <v>83</v>
      </c>
      <c r="C1097" s="110">
        <v>2035</v>
      </c>
      <c r="D1097" s="687" t="s">
        <v>1636</v>
      </c>
      <c r="E1097" s="688">
        <v>2.6604671410868422E-2</v>
      </c>
      <c r="F1097" s="310">
        <v>4.7838599544610021E-3</v>
      </c>
      <c r="G1097" s="311">
        <v>3.137629100564876E-2</v>
      </c>
      <c r="H1097" s="311">
        <v>7.4466927229548574E-4</v>
      </c>
      <c r="I1097" s="394">
        <v>8.0840751327540398E-4</v>
      </c>
      <c r="J1097" s="689">
        <v>3.5121707862435556E-5</v>
      </c>
      <c r="K1097" s="690">
        <v>3.6709755213693025E-5</v>
      </c>
    </row>
    <row r="1098" spans="2:11" ht="15.75" x14ac:dyDescent="0.25">
      <c r="B1098" s="667" t="s">
        <v>83</v>
      </c>
      <c r="C1098" s="110">
        <v>2036</v>
      </c>
      <c r="D1098" s="687" t="s">
        <v>1637</v>
      </c>
      <c r="E1098" s="688">
        <v>2.6306991920724245E-2</v>
      </c>
      <c r="F1098" s="310">
        <v>4.332712515505514E-3</v>
      </c>
      <c r="G1098" s="311">
        <v>2.9444042975337741E-2</v>
      </c>
      <c r="H1098" s="311">
        <v>7.039042074365201E-4</v>
      </c>
      <c r="I1098" s="394">
        <v>7.6417981949768166E-4</v>
      </c>
      <c r="J1098" s="689">
        <v>3.2572965858251051E-5</v>
      </c>
      <c r="K1098" s="690">
        <v>3.4045771739252984E-5</v>
      </c>
    </row>
    <row r="1099" spans="2:11" ht="15.75" x14ac:dyDescent="0.25">
      <c r="B1099" s="667" t="s">
        <v>83</v>
      </c>
      <c r="C1099" s="110">
        <v>2037</v>
      </c>
      <c r="D1099" s="687" t="s">
        <v>1638</v>
      </c>
      <c r="E1099" s="688">
        <v>2.6051105517558886E-2</v>
      </c>
      <c r="F1099" s="310">
        <v>3.9398474449942452E-3</v>
      </c>
      <c r="G1099" s="311">
        <v>2.7804100341326233E-2</v>
      </c>
      <c r="H1099" s="311">
        <v>6.666139551728277E-4</v>
      </c>
      <c r="I1099" s="394">
        <v>7.2374179066909841E-4</v>
      </c>
      <c r="J1099" s="689">
        <v>2.9776638566988774E-5</v>
      </c>
      <c r="K1099" s="690">
        <v>3.1123009370811527E-5</v>
      </c>
    </row>
    <row r="1100" spans="2:11" ht="15.75" x14ac:dyDescent="0.25">
      <c r="B1100" s="667" t="s">
        <v>83</v>
      </c>
      <c r="C1100" s="110">
        <v>2038</v>
      </c>
      <c r="D1100" s="687" t="s">
        <v>1639</v>
      </c>
      <c r="E1100" s="688">
        <v>2.5833050684581853E-2</v>
      </c>
      <c r="F1100" s="310">
        <v>3.5780770263303431E-3</v>
      </c>
      <c r="G1100" s="311">
        <v>2.6297957284807751E-2</v>
      </c>
      <c r="H1100" s="311">
        <v>6.3360077909386647E-4</v>
      </c>
      <c r="I1100" s="394">
        <v>6.8790778083339704E-4</v>
      </c>
      <c r="J1100" s="689">
        <v>2.8102546060512955E-5</v>
      </c>
      <c r="K1100" s="690">
        <v>2.9373215933907011E-5</v>
      </c>
    </row>
    <row r="1101" spans="2:11" ht="15.75" x14ac:dyDescent="0.25">
      <c r="B1101" s="667" t="s">
        <v>83</v>
      </c>
      <c r="C1101" s="110">
        <v>2039</v>
      </c>
      <c r="D1101" s="687" t="s">
        <v>1640</v>
      </c>
      <c r="E1101" s="688">
        <v>2.5647477177616701E-2</v>
      </c>
      <c r="F1101" s="310">
        <v>3.2308700916052484E-3</v>
      </c>
      <c r="G1101" s="311">
        <v>2.4855127549227616E-2</v>
      </c>
      <c r="H1101" s="311">
        <v>6.0346648936840917E-4</v>
      </c>
      <c r="I1101" s="394">
        <v>6.5519873921340746E-4</v>
      </c>
      <c r="J1101" s="689">
        <v>2.6582853702039691E-5</v>
      </c>
      <c r="K1101" s="690">
        <v>2.7784815341630261E-5</v>
      </c>
    </row>
    <row r="1102" spans="2:11" ht="15.75" x14ac:dyDescent="0.25">
      <c r="B1102" s="667" t="s">
        <v>83</v>
      </c>
      <c r="C1102" s="110">
        <v>2040</v>
      </c>
      <c r="D1102" s="687" t="s">
        <v>1641</v>
      </c>
      <c r="E1102" s="688">
        <v>2.5490907782425316E-2</v>
      </c>
      <c r="F1102" s="310">
        <v>2.9273613824113624E-3</v>
      </c>
      <c r="G1102" s="311">
        <v>2.3678363921862827E-2</v>
      </c>
      <c r="H1102" s="311">
        <v>5.7664694702037477E-4</v>
      </c>
      <c r="I1102" s="394">
        <v>6.2608275629045932E-4</v>
      </c>
      <c r="J1102" s="689">
        <v>2.5328762540979533E-5</v>
      </c>
      <c r="K1102" s="690">
        <v>2.6474017045628077E-5</v>
      </c>
    </row>
    <row r="1103" spans="2:11" ht="15.75" x14ac:dyDescent="0.25">
      <c r="B1103" s="667" t="s">
        <v>83</v>
      </c>
      <c r="C1103" s="110">
        <v>2041</v>
      </c>
      <c r="D1103" s="687" t="s">
        <v>1642</v>
      </c>
      <c r="E1103" s="688">
        <v>2.5361234151813402E-2</v>
      </c>
      <c r="F1103" s="310">
        <v>2.7132624194449485E-3</v>
      </c>
      <c r="G1103" s="311">
        <v>2.2779566494606829E-2</v>
      </c>
      <c r="H1103" s="311">
        <v>5.5588513700221805E-4</v>
      </c>
      <c r="I1103" s="394">
        <v>6.0355096066543837E-4</v>
      </c>
      <c r="J1103" s="689">
        <v>2.4195800660210428E-5</v>
      </c>
      <c r="K1103" s="690">
        <v>2.5289824008661022E-5</v>
      </c>
    </row>
    <row r="1104" spans="2:11" ht="15.75" x14ac:dyDescent="0.25">
      <c r="B1104" s="667" t="s">
        <v>83</v>
      </c>
      <c r="C1104" s="110">
        <v>2042</v>
      </c>
      <c r="D1104" s="687" t="s">
        <v>1643</v>
      </c>
      <c r="E1104" s="688">
        <v>2.5252005773585651E-2</v>
      </c>
      <c r="F1104" s="310">
        <v>2.5173046751584098E-3</v>
      </c>
      <c r="G1104" s="311">
        <v>2.1918279075167683E-2</v>
      </c>
      <c r="H1104" s="311">
        <v>5.3756681003940031E-4</v>
      </c>
      <c r="I1104" s="394">
        <v>5.8367171032658891E-4</v>
      </c>
      <c r="J1104" s="689">
        <v>2.3159653620951657E-5</v>
      </c>
      <c r="K1104" s="690">
        <v>2.4206832258304829E-5</v>
      </c>
    </row>
    <row r="1105" spans="2:11" ht="15.75" x14ac:dyDescent="0.25">
      <c r="B1105" s="667" t="s">
        <v>83</v>
      </c>
      <c r="C1105" s="110">
        <v>2043</v>
      </c>
      <c r="D1105" s="687" t="s">
        <v>1644</v>
      </c>
      <c r="E1105" s="688">
        <v>2.5161484569993307E-2</v>
      </c>
      <c r="F1105" s="310">
        <v>2.3663612550604506E-3</v>
      </c>
      <c r="G1105" s="311">
        <v>2.1245995364994791E-2</v>
      </c>
      <c r="H1105" s="311">
        <v>5.2172570715410568E-4</v>
      </c>
      <c r="I1105" s="394">
        <v>5.664781877367666E-4</v>
      </c>
      <c r="J1105" s="689">
        <v>2.2335354358561969E-5</v>
      </c>
      <c r="K1105" s="690">
        <v>2.3345259355638817E-5</v>
      </c>
    </row>
    <row r="1106" spans="2:11" ht="15.75" x14ac:dyDescent="0.25">
      <c r="B1106" s="667" t="s">
        <v>83</v>
      </c>
      <c r="C1106" s="110">
        <v>2044</v>
      </c>
      <c r="D1106" s="687" t="s">
        <v>1645</v>
      </c>
      <c r="E1106" s="688">
        <v>2.5085504441906131E-2</v>
      </c>
      <c r="F1106" s="310">
        <v>2.2398269492294428E-3</v>
      </c>
      <c r="G1106" s="311">
        <v>2.0642420890627983E-2</v>
      </c>
      <c r="H1106" s="311">
        <v>5.0786825058380379E-4</v>
      </c>
      <c r="I1106" s="394">
        <v>5.5143463818950423E-4</v>
      </c>
      <c r="J1106" s="689">
        <v>2.1682997946299202E-5</v>
      </c>
      <c r="K1106" s="690">
        <v>2.2663404039561106E-5</v>
      </c>
    </row>
    <row r="1107" spans="2:11" ht="15.75" x14ac:dyDescent="0.25">
      <c r="B1107" s="667" t="s">
        <v>83</v>
      </c>
      <c r="C1107" s="110">
        <v>2045</v>
      </c>
      <c r="D1107" s="687" t="s">
        <v>1646</v>
      </c>
      <c r="E1107" s="688">
        <v>2.5020740970595978E-2</v>
      </c>
      <c r="F1107" s="310">
        <v>2.1474851712012253E-3</v>
      </c>
      <c r="G1107" s="311">
        <v>2.0201362630919425E-2</v>
      </c>
      <c r="H1107" s="311">
        <v>4.9596479142116623E-4</v>
      </c>
      <c r="I1107" s="394">
        <v>5.385077769925362E-4</v>
      </c>
      <c r="J1107" s="689">
        <v>2.1207835447529468E-5</v>
      </c>
      <c r="K1107" s="690">
        <v>2.216675403211172E-5</v>
      </c>
    </row>
    <row r="1108" spans="2:11" ht="15.75" x14ac:dyDescent="0.25">
      <c r="B1108" s="667" t="s">
        <v>83</v>
      </c>
      <c r="C1108" s="110">
        <v>2046</v>
      </c>
      <c r="D1108" s="687" t="s">
        <v>1647</v>
      </c>
      <c r="E1108" s="688">
        <v>2.4965854766626411E-2</v>
      </c>
      <c r="F1108" s="310">
        <v>2.069677924671338E-3</v>
      </c>
      <c r="G1108" s="311">
        <v>1.9857475780904698E-2</v>
      </c>
      <c r="H1108" s="311">
        <v>4.8567512403210021E-4</v>
      </c>
      <c r="I1108" s="394">
        <v>5.2733821717841807E-4</v>
      </c>
      <c r="J1108" s="689">
        <v>2.0709461792776058E-5</v>
      </c>
      <c r="K1108" s="690">
        <v>2.1645844760561125E-5</v>
      </c>
    </row>
    <row r="1109" spans="2:11" ht="15.75" x14ac:dyDescent="0.25">
      <c r="B1109" s="667" t="s">
        <v>83</v>
      </c>
      <c r="C1109" s="110">
        <v>2047</v>
      </c>
      <c r="D1109" s="687" t="s">
        <v>1648</v>
      </c>
      <c r="E1109" s="688">
        <v>2.4919713069808475E-2</v>
      </c>
      <c r="F1109" s="310">
        <v>1.9982697980356107E-3</v>
      </c>
      <c r="G1109" s="311">
        <v>1.9540050576905495E-2</v>
      </c>
      <c r="H1109" s="311">
        <v>4.769634770842398E-4</v>
      </c>
      <c r="I1109" s="394">
        <v>5.1787734111209671E-4</v>
      </c>
      <c r="J1109" s="689">
        <v>2.0394797145419191E-5</v>
      </c>
      <c r="K1109" s="690">
        <v>2.1316957837937506E-5</v>
      </c>
    </row>
    <row r="1110" spans="2:11" ht="15.75" x14ac:dyDescent="0.25">
      <c r="B1110" s="667" t="s">
        <v>83</v>
      </c>
      <c r="C1110" s="110">
        <v>2048</v>
      </c>
      <c r="D1110" s="687" t="s">
        <v>1649</v>
      </c>
      <c r="E1110" s="688">
        <v>2.4880506900384857E-2</v>
      </c>
      <c r="F1110" s="310">
        <v>1.9429487286823368E-3</v>
      </c>
      <c r="G1110" s="311">
        <v>1.929188903960051E-2</v>
      </c>
      <c r="H1110" s="311">
        <v>4.6961257037306486E-4</v>
      </c>
      <c r="I1110" s="394">
        <v>5.0989546989577258E-4</v>
      </c>
      <c r="J1110" s="689">
        <v>2.0080330387371528E-5</v>
      </c>
      <c r="K1110" s="690">
        <v>2.0988280526155111E-5</v>
      </c>
    </row>
    <row r="1111" spans="2:11" ht="15.75" x14ac:dyDescent="0.25">
      <c r="B1111" s="667" t="s">
        <v>83</v>
      </c>
      <c r="C1111" s="110">
        <v>2049</v>
      </c>
      <c r="D1111" s="687" t="s">
        <v>1650</v>
      </c>
      <c r="E1111" s="688">
        <v>2.4846610366873356E-2</v>
      </c>
      <c r="F1111" s="310">
        <v>1.9219072213068151E-3</v>
      </c>
      <c r="G1111" s="311">
        <v>1.9266294860264811E-2</v>
      </c>
      <c r="H1111" s="311">
        <v>4.649700479874675E-4</v>
      </c>
      <c r="I1111" s="394">
        <v>5.0486036165942277E-4</v>
      </c>
      <c r="J1111" s="689">
        <v>1.9756038979618031E-5</v>
      </c>
      <c r="K1111" s="690">
        <v>2.0649319459220499E-5</v>
      </c>
    </row>
    <row r="1112" spans="2:11" ht="15.75" x14ac:dyDescent="0.25">
      <c r="B1112" s="667" t="s">
        <v>83</v>
      </c>
      <c r="C1112" s="110">
        <v>2050</v>
      </c>
      <c r="D1112" s="687" t="s">
        <v>1651</v>
      </c>
      <c r="E1112" s="688">
        <v>2.481876586327366E-2</v>
      </c>
      <c r="F1112" s="310">
        <v>1.9044094012509057E-3</v>
      </c>
      <c r="G1112" s="311">
        <v>1.9242933434305876E-2</v>
      </c>
      <c r="H1112" s="311">
        <v>4.6092749032350421E-4</v>
      </c>
      <c r="I1112" s="394">
        <v>5.00482398857392E-4</v>
      </c>
      <c r="J1112" s="689">
        <v>1.9308786706735139E-5</v>
      </c>
      <c r="K1112" s="690">
        <v>2.018184544232769E-5</v>
      </c>
    </row>
    <row r="1113" spans="2:11" ht="15.75" x14ac:dyDescent="0.25">
      <c r="B1113" s="667" t="s">
        <v>84</v>
      </c>
      <c r="C1113" s="110">
        <v>2015</v>
      </c>
      <c r="D1113" s="687" t="s">
        <v>261</v>
      </c>
      <c r="E1113" s="688">
        <v>4.5547426819493288E-2</v>
      </c>
      <c r="F1113" s="310">
        <v>4.0231934208865477E-2</v>
      </c>
      <c r="G1113" s="311">
        <v>0.14645503426609791</v>
      </c>
      <c r="H1113" s="311">
        <v>1.7033689008005956E-3</v>
      </c>
      <c r="I1113" s="394">
        <v>1.8454612967576777E-3</v>
      </c>
      <c r="J1113" s="689">
        <v>1.1490456871437275E-4</v>
      </c>
      <c r="K1113" s="690">
        <v>1.2010004441608181E-4</v>
      </c>
    </row>
    <row r="1114" spans="2:11" ht="15.75" x14ac:dyDescent="0.25">
      <c r="B1114" s="667" t="s">
        <v>84</v>
      </c>
      <c r="C1114" s="110">
        <v>2016</v>
      </c>
      <c r="D1114" s="687" t="s">
        <v>262</v>
      </c>
      <c r="E1114" s="688">
        <v>4.4618255849778951E-2</v>
      </c>
      <c r="F1114" s="310">
        <v>3.3534766903070543E-2</v>
      </c>
      <c r="G1114" s="311">
        <v>0.12508569164960226</v>
      </c>
      <c r="H1114" s="311">
        <v>1.6641753131280579E-3</v>
      </c>
      <c r="I1114" s="394">
        <v>1.8043251230337844E-3</v>
      </c>
      <c r="J1114" s="689">
        <v>9.7629862582618665E-5</v>
      </c>
      <c r="K1114" s="690">
        <v>1.0204424728806455E-4</v>
      </c>
    </row>
    <row r="1115" spans="2:11" ht="15.75" x14ac:dyDescent="0.25">
      <c r="B1115" s="667" t="s">
        <v>84</v>
      </c>
      <c r="C1115" s="110">
        <v>2017</v>
      </c>
      <c r="D1115" s="687" t="s">
        <v>1760</v>
      </c>
      <c r="E1115" s="688">
        <v>4.3517521634029999E-2</v>
      </c>
      <c r="F1115" s="310">
        <v>2.8141200576586648E-2</v>
      </c>
      <c r="G1115" s="311">
        <v>0.10688498433658136</v>
      </c>
      <c r="H1115" s="311">
        <v>1.6624066058748255E-3</v>
      </c>
      <c r="I1115" s="394">
        <v>1.8032457978270728E-3</v>
      </c>
      <c r="J1115" s="689">
        <v>8.9125174152601992E-5</v>
      </c>
      <c r="K1115" s="690">
        <v>9.315501976087566E-5</v>
      </c>
    </row>
    <row r="1116" spans="2:11" ht="15.75" x14ac:dyDescent="0.25">
      <c r="B1116" s="667" t="s">
        <v>84</v>
      </c>
      <c r="C1116" s="110">
        <v>2018</v>
      </c>
      <c r="D1116" s="687" t="s">
        <v>1761</v>
      </c>
      <c r="E1116" s="688">
        <v>4.2366457038331681E-2</v>
      </c>
      <c r="F1116" s="310">
        <v>2.3516628515083484E-2</v>
      </c>
      <c r="G1116" s="311">
        <v>9.1338726241904158E-2</v>
      </c>
      <c r="H1116" s="311">
        <v>1.6831078939631243E-3</v>
      </c>
      <c r="I1116" s="394">
        <v>1.8264362120670903E-3</v>
      </c>
      <c r="J1116" s="689">
        <v>8.264383650604934E-5</v>
      </c>
      <c r="K1116" s="690">
        <v>8.6380625112719126E-5</v>
      </c>
    </row>
    <row r="1117" spans="2:11" ht="15.75" x14ac:dyDescent="0.25">
      <c r="B1117" s="667" t="s">
        <v>84</v>
      </c>
      <c r="C1117" s="110">
        <v>2019</v>
      </c>
      <c r="D1117" s="687" t="s">
        <v>1762</v>
      </c>
      <c r="E1117" s="688">
        <v>4.1177286109228647E-2</v>
      </c>
      <c r="F1117" s="310">
        <v>1.9964030956112353E-2</v>
      </c>
      <c r="G1117" s="311">
        <v>7.8490715958545967E-2</v>
      </c>
      <c r="H1117" s="311">
        <v>1.7219050235310089E-3</v>
      </c>
      <c r="I1117" s="394">
        <v>1.8691285284866612E-3</v>
      </c>
      <c r="J1117" s="689">
        <v>7.7574843180230904E-5</v>
      </c>
      <c r="K1117" s="690">
        <v>8.1082430295190423E-5</v>
      </c>
    </row>
    <row r="1118" spans="2:11" ht="15.75" x14ac:dyDescent="0.25">
      <c r="B1118" s="667" t="s">
        <v>84</v>
      </c>
      <c r="C1118" s="110">
        <v>2020</v>
      </c>
      <c r="D1118" s="687" t="s">
        <v>1763</v>
      </c>
      <c r="E1118" s="688">
        <v>3.996968648677382E-2</v>
      </c>
      <c r="F1118" s="310">
        <v>1.704403647874354E-2</v>
      </c>
      <c r="G1118" s="311">
        <v>6.7815210882881588E-2</v>
      </c>
      <c r="H1118" s="311">
        <v>1.68861553017777E-3</v>
      </c>
      <c r="I1118" s="394">
        <v>1.8332053226757844E-3</v>
      </c>
      <c r="J1118" s="689">
        <v>7.336549456331623E-5</v>
      </c>
      <c r="K1118" s="690">
        <v>7.6682755017697663E-5</v>
      </c>
    </row>
    <row r="1119" spans="2:11" ht="15.75" x14ac:dyDescent="0.25">
      <c r="B1119" s="667" t="s">
        <v>84</v>
      </c>
      <c r="C1119" s="110">
        <v>2021</v>
      </c>
      <c r="D1119" s="687" t="s">
        <v>1764</v>
      </c>
      <c r="E1119" s="688">
        <v>3.8748638653059018E-2</v>
      </c>
      <c r="F1119" s="310">
        <v>1.4691632836521848E-2</v>
      </c>
      <c r="G1119" s="311">
        <v>5.8898418737834815E-2</v>
      </c>
      <c r="H1119" s="311">
        <v>1.6040943984070495E-3</v>
      </c>
      <c r="I1119" s="394">
        <v>1.741594876550607E-3</v>
      </c>
      <c r="J1119" s="689">
        <v>6.7553803842343473E-5</v>
      </c>
      <c r="K1119" s="690">
        <v>7.0608287118725712E-5</v>
      </c>
    </row>
    <row r="1120" spans="2:11" ht="15.75" x14ac:dyDescent="0.25">
      <c r="B1120" s="667" t="s">
        <v>84</v>
      </c>
      <c r="C1120" s="110">
        <v>2022</v>
      </c>
      <c r="D1120" s="687" t="s">
        <v>1765</v>
      </c>
      <c r="E1120" s="688">
        <v>3.7544417870193185E-2</v>
      </c>
      <c r="F1120" s="310">
        <v>1.2535832092097221E-2</v>
      </c>
      <c r="G1120" s="311">
        <v>5.1329365535145603E-2</v>
      </c>
      <c r="H1120" s="311">
        <v>1.5217008614414945E-3</v>
      </c>
      <c r="I1120" s="394">
        <v>1.6523123930389913E-3</v>
      </c>
      <c r="J1120" s="689">
        <v>6.2283660441687084E-5</v>
      </c>
      <c r="K1120" s="690">
        <v>6.509984967402433E-5</v>
      </c>
    </row>
    <row r="1121" spans="2:11" ht="15.75" x14ac:dyDescent="0.25">
      <c r="B1121" s="667" t="s">
        <v>84</v>
      </c>
      <c r="C1121" s="110">
        <v>2023</v>
      </c>
      <c r="D1121" s="687" t="s">
        <v>1766</v>
      </c>
      <c r="E1121" s="688">
        <v>3.6356668493239284E-2</v>
      </c>
      <c r="F1121" s="310">
        <v>1.0952347215469765E-2</v>
      </c>
      <c r="G1121" s="311">
        <v>4.5266705407683419E-2</v>
      </c>
      <c r="H1121" s="311">
        <v>1.4514169845608791E-3</v>
      </c>
      <c r="I1121" s="394">
        <v>1.5761194719457472E-3</v>
      </c>
      <c r="J1121" s="689">
        <v>5.6840604352030949E-5</v>
      </c>
      <c r="K1121" s="690">
        <v>5.9410685090229862E-5</v>
      </c>
    </row>
    <row r="1122" spans="2:11" ht="15.75" x14ac:dyDescent="0.25">
      <c r="B1122" s="667" t="s">
        <v>84</v>
      </c>
      <c r="C1122" s="110">
        <v>2024</v>
      </c>
      <c r="D1122" s="687" t="s">
        <v>1767</v>
      </c>
      <c r="E1122" s="688">
        <v>3.5185818931541012E-2</v>
      </c>
      <c r="F1122" s="310">
        <v>9.5990299269632009E-3</v>
      </c>
      <c r="G1122" s="311">
        <v>4.0222427888915765E-2</v>
      </c>
      <c r="H1122" s="311">
        <v>1.3890324587962036E-3</v>
      </c>
      <c r="I1122" s="394">
        <v>1.5085181480544326E-3</v>
      </c>
      <c r="J1122" s="689">
        <v>5.1348599165627646E-5</v>
      </c>
      <c r="K1122" s="690">
        <v>5.3670358999902186E-5</v>
      </c>
    </row>
    <row r="1123" spans="2:11" ht="15.75" x14ac:dyDescent="0.25">
      <c r="B1123" s="667" t="s">
        <v>84</v>
      </c>
      <c r="C1123" s="110">
        <v>2025</v>
      </c>
      <c r="D1123" s="687" t="s">
        <v>1768</v>
      </c>
      <c r="E1123" s="688">
        <v>3.4040774466134155E-2</v>
      </c>
      <c r="F1123" s="310">
        <v>8.4884357222129794E-3</v>
      </c>
      <c r="G1123" s="311">
        <v>3.6182977500785328E-2</v>
      </c>
      <c r="H1123" s="311">
        <v>1.3378780334187437E-3</v>
      </c>
      <c r="I1123" s="394">
        <v>1.4530681181432956E-3</v>
      </c>
      <c r="J1123" s="689">
        <v>4.7102294407705806E-5</v>
      </c>
      <c r="K1123" s="690">
        <v>4.9232053084325285E-5</v>
      </c>
    </row>
    <row r="1124" spans="2:11" ht="15.75" x14ac:dyDescent="0.25">
      <c r="B1124" s="667" t="s">
        <v>84</v>
      </c>
      <c r="C1124" s="110">
        <v>2026</v>
      </c>
      <c r="D1124" s="687" t="s">
        <v>1769</v>
      </c>
      <c r="E1124" s="688">
        <v>3.3002235588454575E-2</v>
      </c>
      <c r="F1124" s="310">
        <v>7.5665214111330066E-3</v>
      </c>
      <c r="G1124" s="311">
        <v>3.292709617157763E-2</v>
      </c>
      <c r="H1124" s="311">
        <v>1.2803407275654944E-3</v>
      </c>
      <c r="I1124" s="394">
        <v>1.3906637843340659E-3</v>
      </c>
      <c r="J1124" s="689">
        <v>4.3037141370847403E-5</v>
      </c>
      <c r="K1124" s="690">
        <v>4.4983092088330281E-5</v>
      </c>
    </row>
    <row r="1125" spans="2:11" ht="15.75" x14ac:dyDescent="0.25">
      <c r="B1125" s="667" t="s">
        <v>84</v>
      </c>
      <c r="C1125" s="110">
        <v>2027</v>
      </c>
      <c r="D1125" s="687" t="s">
        <v>1770</v>
      </c>
      <c r="E1125" s="688">
        <v>3.2055546153045109E-2</v>
      </c>
      <c r="F1125" s="310">
        <v>6.7862360018945515E-3</v>
      </c>
      <c r="G1125" s="311">
        <v>3.0225961041719377E-2</v>
      </c>
      <c r="H1125" s="311">
        <v>1.2113331438853836E-3</v>
      </c>
      <c r="I1125" s="394">
        <v>1.315800142810559E-3</v>
      </c>
      <c r="J1125" s="689">
        <v>3.8587554659288952E-5</v>
      </c>
      <c r="K1125" s="690">
        <v>4.0332314599102289E-5</v>
      </c>
    </row>
    <row r="1126" spans="2:11" ht="15.75" x14ac:dyDescent="0.25">
      <c r="B1126" s="667" t="s">
        <v>84</v>
      </c>
      <c r="C1126" s="110">
        <v>2028</v>
      </c>
      <c r="D1126" s="687" t="s">
        <v>1771</v>
      </c>
      <c r="E1126" s="688">
        <v>3.1203252039151946E-2</v>
      </c>
      <c r="F1126" s="310">
        <v>6.1299175146110755E-3</v>
      </c>
      <c r="G1126" s="311">
        <v>2.7999649388111919E-2</v>
      </c>
      <c r="H1126" s="311">
        <v>1.13391539534822E-3</v>
      </c>
      <c r="I1126" s="394">
        <v>1.2317576778429109E-3</v>
      </c>
      <c r="J1126" s="689">
        <v>3.4894136187109402E-5</v>
      </c>
      <c r="K1126" s="690">
        <v>3.6471895449908792E-5</v>
      </c>
    </row>
    <row r="1127" spans="2:11" ht="15.75" x14ac:dyDescent="0.25">
      <c r="B1127" s="667" t="s">
        <v>84</v>
      </c>
      <c r="C1127" s="110">
        <v>2029</v>
      </c>
      <c r="D1127" s="687" t="s">
        <v>1772</v>
      </c>
      <c r="E1127" s="688">
        <v>3.0436139681824952E-2</v>
      </c>
      <c r="F1127" s="310">
        <v>5.5580064528953756E-3</v>
      </c>
      <c r="G1127" s="311">
        <v>2.612162604453518E-2</v>
      </c>
      <c r="H1127" s="311">
        <v>1.0613816748019868E-3</v>
      </c>
      <c r="I1127" s="394">
        <v>1.152990273773392E-3</v>
      </c>
      <c r="J1127" s="689">
        <v>3.2074653019487387E-5</v>
      </c>
      <c r="K1127" s="690">
        <v>3.3524929759163668E-5</v>
      </c>
    </row>
    <row r="1128" spans="2:11" ht="15.75" x14ac:dyDescent="0.25">
      <c r="B1128" s="667" t="s">
        <v>84</v>
      </c>
      <c r="C1128" s="110">
        <v>2030</v>
      </c>
      <c r="D1128" s="687" t="s">
        <v>1773</v>
      </c>
      <c r="E1128" s="688">
        <v>2.9750449809904336E-2</v>
      </c>
      <c r="F1128" s="310">
        <v>5.0722292149330359E-3</v>
      </c>
      <c r="G1128" s="311">
        <v>2.4564529185738287E-2</v>
      </c>
      <c r="H1128" s="311">
        <v>9.9455271390121863E-4</v>
      </c>
      <c r="I1128" s="394">
        <v>1.0804195494987354E-3</v>
      </c>
      <c r="J1128" s="689">
        <v>2.9436651758609631E-5</v>
      </c>
      <c r="K1128" s="690">
        <v>3.0767644762477274E-5</v>
      </c>
    </row>
    <row r="1129" spans="2:11" ht="15.75" x14ac:dyDescent="0.25">
      <c r="B1129" s="667" t="s">
        <v>84</v>
      </c>
      <c r="C1129" s="110">
        <v>2031</v>
      </c>
      <c r="D1129" s="687" t="s">
        <v>1774</v>
      </c>
      <c r="E1129" s="688">
        <v>2.9139711636829005E-2</v>
      </c>
      <c r="F1129" s="310">
        <v>4.6268444533423686E-3</v>
      </c>
      <c r="G1129" s="311">
        <v>2.3211455578812514E-2</v>
      </c>
      <c r="H1129" s="311">
        <v>9.3029613015583787E-4</v>
      </c>
      <c r="I1129" s="394">
        <v>1.0106081297710885E-3</v>
      </c>
      <c r="J1129" s="689">
        <v>2.7705222763483305E-5</v>
      </c>
      <c r="K1129" s="690">
        <v>2.8957931028612022E-5</v>
      </c>
    </row>
    <row r="1130" spans="2:11" ht="15.75" x14ac:dyDescent="0.25">
      <c r="B1130" s="667" t="s">
        <v>84</v>
      </c>
      <c r="C1130" s="110">
        <v>2032</v>
      </c>
      <c r="D1130" s="687" t="s">
        <v>1775</v>
      </c>
      <c r="E1130" s="688">
        <v>2.8598302178732125E-2</v>
      </c>
      <c r="F1130" s="310">
        <v>4.25887672577498E-3</v>
      </c>
      <c r="G1130" s="311">
        <v>2.211458442137931E-2</v>
      </c>
      <c r="H1130" s="311">
        <v>8.747306963749912E-4</v>
      </c>
      <c r="I1130" s="394">
        <v>9.5024585967773694E-4</v>
      </c>
      <c r="J1130" s="689">
        <v>2.6034854403513439E-5</v>
      </c>
      <c r="K1130" s="690">
        <v>2.7212034135891104E-5</v>
      </c>
    </row>
    <row r="1131" spans="2:11" ht="15.75" x14ac:dyDescent="0.25">
      <c r="B1131" s="667" t="s">
        <v>84</v>
      </c>
      <c r="C1131" s="110">
        <v>2033</v>
      </c>
      <c r="D1131" s="687" t="s">
        <v>1776</v>
      </c>
      <c r="E1131" s="688">
        <v>2.8121163390324277E-2</v>
      </c>
      <c r="F1131" s="310">
        <v>3.9397157572494106E-3</v>
      </c>
      <c r="G1131" s="311">
        <v>2.1209763805168338E-2</v>
      </c>
      <c r="H1131" s="311">
        <v>8.2421219637307487E-4</v>
      </c>
      <c r="I1131" s="394">
        <v>8.9535566840625745E-4</v>
      </c>
      <c r="J1131" s="689">
        <v>2.4783030001469462E-5</v>
      </c>
      <c r="K1131" s="690">
        <v>2.5903605661878231E-5</v>
      </c>
    </row>
    <row r="1132" spans="2:11" ht="15.75" x14ac:dyDescent="0.25">
      <c r="B1132" s="667" t="s">
        <v>84</v>
      </c>
      <c r="C1132" s="110">
        <v>2034</v>
      </c>
      <c r="D1132" s="687" t="s">
        <v>1777</v>
      </c>
      <c r="E1132" s="688">
        <v>2.7702128936273114E-2</v>
      </c>
      <c r="F1132" s="310">
        <v>3.6544536511960873E-3</v>
      </c>
      <c r="G1132" s="311">
        <v>2.0445450349237632E-2</v>
      </c>
      <c r="H1132" s="311">
        <v>7.7796503403809107E-4</v>
      </c>
      <c r="I1132" s="394">
        <v>8.4510470926337498E-4</v>
      </c>
      <c r="J1132" s="689">
        <v>2.3669388292474349E-5</v>
      </c>
      <c r="K1132" s="690">
        <v>2.4739611642124255E-5</v>
      </c>
    </row>
    <row r="1133" spans="2:11" ht="15.75" x14ac:dyDescent="0.25">
      <c r="B1133" s="667" t="s">
        <v>84</v>
      </c>
      <c r="C1133" s="110">
        <v>2035</v>
      </c>
      <c r="D1133" s="687" t="s">
        <v>1778</v>
      </c>
      <c r="E1133" s="688">
        <v>2.7337207524384219E-2</v>
      </c>
      <c r="F1133" s="310">
        <v>3.405682506670078E-3</v>
      </c>
      <c r="G1133" s="311">
        <v>1.9819891032902708E-2</v>
      </c>
      <c r="H1133" s="311">
        <v>7.3610069652208356E-4</v>
      </c>
      <c r="I1133" s="394">
        <v>7.9961698387447772E-4</v>
      </c>
      <c r="J1133" s="689">
        <v>2.2651555274672126E-5</v>
      </c>
      <c r="K1133" s="690">
        <v>2.3675757718153625E-5</v>
      </c>
    </row>
    <row r="1134" spans="2:11" ht="15.75" x14ac:dyDescent="0.25">
      <c r="B1134" s="667" t="s">
        <v>84</v>
      </c>
      <c r="C1134" s="110">
        <v>2036</v>
      </c>
      <c r="D1134" s="687" t="s">
        <v>1779</v>
      </c>
      <c r="E1134" s="688">
        <v>2.702063022691719E-2</v>
      </c>
      <c r="F1134" s="310">
        <v>3.1880178047049416E-3</v>
      </c>
      <c r="G1134" s="311">
        <v>1.9292794041208716E-2</v>
      </c>
      <c r="H1134" s="311">
        <v>6.9946685548211878E-4</v>
      </c>
      <c r="I1134" s="394">
        <v>7.5981423860760301E-4</v>
      </c>
      <c r="J1134" s="689">
        <v>2.170698606853274E-5</v>
      </c>
      <c r="K1134" s="690">
        <v>2.268848286477252E-5</v>
      </c>
    </row>
    <row r="1135" spans="2:11" ht="15.75" x14ac:dyDescent="0.25">
      <c r="B1135" s="667" t="s">
        <v>84</v>
      </c>
      <c r="C1135" s="110">
        <v>2037</v>
      </c>
      <c r="D1135" s="687" t="s">
        <v>1780</v>
      </c>
      <c r="E1135" s="688">
        <v>2.6749010624971897E-2</v>
      </c>
      <c r="F1135" s="310">
        <v>3.0031634358556325E-3</v>
      </c>
      <c r="G1135" s="311">
        <v>1.8869499447550647E-2</v>
      </c>
      <c r="H1135" s="311">
        <v>6.6719517489021026E-4</v>
      </c>
      <c r="I1135" s="394">
        <v>7.2475043275888322E-4</v>
      </c>
      <c r="J1135" s="689">
        <v>2.0885541436296643E-5</v>
      </c>
      <c r="K1135" s="690">
        <v>2.1829893936702477E-5</v>
      </c>
    </row>
    <row r="1136" spans="2:11" ht="15.75" x14ac:dyDescent="0.25">
      <c r="B1136" s="667" t="s">
        <v>84</v>
      </c>
      <c r="C1136" s="110">
        <v>2038</v>
      </c>
      <c r="D1136" s="687" t="s">
        <v>1781</v>
      </c>
      <c r="E1136" s="688">
        <v>2.6517163931450941E-2</v>
      </c>
      <c r="F1136" s="310">
        <v>2.8346244251868293E-3</v>
      </c>
      <c r="G1136" s="311">
        <v>1.8483914010932172E-2</v>
      </c>
      <c r="H1136" s="311">
        <v>6.3892301524971599E-4</v>
      </c>
      <c r="I1136" s="394">
        <v>6.9402999159221804E-4</v>
      </c>
      <c r="J1136" s="689">
        <v>2.0212061342045415E-5</v>
      </c>
      <c r="K1136" s="690">
        <v>2.1125964279770418E-5</v>
      </c>
    </row>
    <row r="1137" spans="2:11" ht="15.75" x14ac:dyDescent="0.25">
      <c r="B1137" s="667" t="s">
        <v>84</v>
      </c>
      <c r="C1137" s="110">
        <v>2039</v>
      </c>
      <c r="D1137" s="687" t="s">
        <v>1782</v>
      </c>
      <c r="E1137" s="688">
        <v>2.6320267855278051E-2</v>
      </c>
      <c r="F1137" s="310">
        <v>2.6808992038029494E-3</v>
      </c>
      <c r="G1137" s="311">
        <v>1.8135139636688728E-2</v>
      </c>
      <c r="H1137" s="311">
        <v>6.1440880456190916E-4</v>
      </c>
      <c r="I1137" s="394">
        <v>6.6739319017784674E-4</v>
      </c>
      <c r="J1137" s="689">
        <v>1.9641096205713596E-5</v>
      </c>
      <c r="K1137" s="690">
        <v>2.0529178989676487E-5</v>
      </c>
    </row>
    <row r="1138" spans="2:11" ht="15.75" x14ac:dyDescent="0.25">
      <c r="B1138" s="667" t="s">
        <v>84</v>
      </c>
      <c r="C1138" s="110">
        <v>2040</v>
      </c>
      <c r="D1138" s="687" t="s">
        <v>1783</v>
      </c>
      <c r="E1138" s="688">
        <v>2.6153535923380627E-2</v>
      </c>
      <c r="F1138" s="310">
        <v>2.5442025909831571E-3</v>
      </c>
      <c r="G1138" s="311">
        <v>1.7843401093950901E-2</v>
      </c>
      <c r="H1138" s="311">
        <v>5.9333403602376833E-4</v>
      </c>
      <c r="I1138" s="394">
        <v>6.4449322516281038E-4</v>
      </c>
      <c r="J1138" s="689">
        <v>1.9156369241657409E-5</v>
      </c>
      <c r="K1138" s="690">
        <v>2.0022538149361491E-5</v>
      </c>
    </row>
    <row r="1139" spans="2:11" ht="15.75" x14ac:dyDescent="0.25">
      <c r="B1139" s="667" t="s">
        <v>84</v>
      </c>
      <c r="C1139" s="110">
        <v>2041</v>
      </c>
      <c r="D1139" s="687" t="s">
        <v>1784</v>
      </c>
      <c r="E1139" s="688">
        <v>2.6013785484207144E-2</v>
      </c>
      <c r="F1139" s="310">
        <v>2.4385438290819637E-3</v>
      </c>
      <c r="G1139" s="311">
        <v>1.7617981203336436E-2</v>
      </c>
      <c r="H1139" s="311">
        <v>5.7662623817336786E-4</v>
      </c>
      <c r="I1139" s="394">
        <v>6.2633877731357987E-4</v>
      </c>
      <c r="J1139" s="689">
        <v>1.8761896206885795E-5</v>
      </c>
      <c r="K1139" s="690">
        <v>1.9610230532024379E-5</v>
      </c>
    </row>
    <row r="1140" spans="2:11" ht="15.75" x14ac:dyDescent="0.25">
      <c r="B1140" s="667" t="s">
        <v>84</v>
      </c>
      <c r="C1140" s="110">
        <v>2042</v>
      </c>
      <c r="D1140" s="687" t="s">
        <v>1785</v>
      </c>
      <c r="E1140" s="688">
        <v>2.5895809773026066E-2</v>
      </c>
      <c r="F1140" s="310">
        <v>2.3473213886861634E-3</v>
      </c>
      <c r="G1140" s="311">
        <v>1.7406215123495203E-2</v>
      </c>
      <c r="H1140" s="311">
        <v>5.6256095165647198E-4</v>
      </c>
      <c r="I1140" s="394">
        <v>6.1105467096374798E-4</v>
      </c>
      <c r="J1140" s="689">
        <v>1.8438974671764195E-5</v>
      </c>
      <c r="K1140" s="690">
        <v>1.9272703591809446E-5</v>
      </c>
    </row>
    <row r="1141" spans="2:11" ht="15.75" x14ac:dyDescent="0.25">
      <c r="B1141" s="667" t="s">
        <v>84</v>
      </c>
      <c r="C1141" s="110">
        <v>2043</v>
      </c>
      <c r="D1141" s="687" t="s">
        <v>1786</v>
      </c>
      <c r="E1141" s="688">
        <v>2.5796361880481275E-2</v>
      </c>
      <c r="F1141" s="310">
        <v>2.2772530857916827E-3</v>
      </c>
      <c r="G1141" s="311">
        <v>1.7245725894684129E-2</v>
      </c>
      <c r="H1141" s="311">
        <v>5.5083812413744165E-4</v>
      </c>
      <c r="I1141" s="394">
        <v>5.9831628768985826E-4</v>
      </c>
      <c r="J1141" s="689">
        <v>1.8185775455894074E-5</v>
      </c>
      <c r="K1141" s="690">
        <v>1.900805354588049E-5</v>
      </c>
    </row>
    <row r="1142" spans="2:11" ht="15.75" x14ac:dyDescent="0.25">
      <c r="B1142" s="667" t="s">
        <v>84</v>
      </c>
      <c r="C1142" s="110">
        <v>2044</v>
      </c>
      <c r="D1142" s="687" t="s">
        <v>1787</v>
      </c>
      <c r="E1142" s="688">
        <v>2.5714048299439789E-2</v>
      </c>
      <c r="F1142" s="310">
        <v>2.2234869537075173E-3</v>
      </c>
      <c r="G1142" s="311">
        <v>1.711160631424526E-2</v>
      </c>
      <c r="H1142" s="311">
        <v>5.4107017978848547E-4</v>
      </c>
      <c r="I1142" s="394">
        <v>5.8770064956219811E-4</v>
      </c>
      <c r="J1142" s="689">
        <v>1.7982308219326856E-5</v>
      </c>
      <c r="K1142" s="690">
        <v>1.8795393540596506E-5</v>
      </c>
    </row>
    <row r="1143" spans="2:11" ht="15.75" x14ac:dyDescent="0.25">
      <c r="B1143" s="667" t="s">
        <v>84</v>
      </c>
      <c r="C1143" s="110">
        <v>2045</v>
      </c>
      <c r="D1143" s="687" t="s">
        <v>1788</v>
      </c>
      <c r="E1143" s="688">
        <v>2.5643411112857128E-2</v>
      </c>
      <c r="F1143" s="310">
        <v>2.1856997673894278E-3</v>
      </c>
      <c r="G1143" s="311">
        <v>1.7015591792085248E-2</v>
      </c>
      <c r="H1143" s="311">
        <v>5.3295592389777924E-4</v>
      </c>
      <c r="I1143" s="394">
        <v>5.7888271445411183E-4</v>
      </c>
      <c r="J1143" s="689">
        <v>1.7830739824284524E-5</v>
      </c>
      <c r="K1143" s="690">
        <v>1.8636964309346857E-5</v>
      </c>
    </row>
    <row r="1144" spans="2:11" ht="15.75" x14ac:dyDescent="0.25">
      <c r="B1144" s="667" t="s">
        <v>84</v>
      </c>
      <c r="C1144" s="110">
        <v>2046</v>
      </c>
      <c r="D1144" s="687" t="s">
        <v>1789</v>
      </c>
      <c r="E1144" s="688">
        <v>2.5583303980986051E-2</v>
      </c>
      <c r="F1144" s="310">
        <v>2.1531293008559232E-3</v>
      </c>
      <c r="G1144" s="311">
        <v>1.6936000685622322E-2</v>
      </c>
      <c r="H1144" s="311">
        <v>5.2630332227381808E-4</v>
      </c>
      <c r="I1144" s="394">
        <v>5.716527698995963E-4</v>
      </c>
      <c r="J1144" s="689">
        <v>1.7711640046136019E-5</v>
      </c>
      <c r="K1144" s="690">
        <v>1.8512478690679758E-5</v>
      </c>
    </row>
    <row r="1145" spans="2:11" ht="15.75" x14ac:dyDescent="0.25">
      <c r="B1145" s="667" t="s">
        <v>84</v>
      </c>
      <c r="C1145" s="110">
        <v>2047</v>
      </c>
      <c r="D1145" s="687" t="s">
        <v>1790</v>
      </c>
      <c r="E1145" s="688">
        <v>2.5532881656683378E-2</v>
      </c>
      <c r="F1145" s="310">
        <v>2.1228041159953291E-3</v>
      </c>
      <c r="G1145" s="311">
        <v>1.6853947926629417E-2</v>
      </c>
      <c r="H1145" s="311">
        <v>5.208465252797387E-4</v>
      </c>
      <c r="I1145" s="394">
        <v>5.6572152875578919E-4</v>
      </c>
      <c r="J1145" s="689">
        <v>1.7621264030621476E-5</v>
      </c>
      <c r="K1145" s="690">
        <v>1.8418023372751372E-5</v>
      </c>
    </row>
    <row r="1146" spans="2:11" ht="15.75" x14ac:dyDescent="0.25">
      <c r="B1146" s="667" t="s">
        <v>84</v>
      </c>
      <c r="C1146" s="110">
        <v>2048</v>
      </c>
      <c r="D1146" s="687" t="s">
        <v>1791</v>
      </c>
      <c r="E1146" s="688">
        <v>2.5491175717258095E-2</v>
      </c>
      <c r="F1146" s="310">
        <v>2.0971527775156228E-3</v>
      </c>
      <c r="G1146" s="311">
        <v>1.6779626155040174E-2</v>
      </c>
      <c r="H1146" s="311">
        <v>5.1636099983716054E-4</v>
      </c>
      <c r="I1146" s="394">
        <v>5.6084585369987395E-4</v>
      </c>
      <c r="J1146" s="689">
        <v>1.7550297237389849E-5</v>
      </c>
      <c r="K1146" s="690">
        <v>1.8343838363502806E-5</v>
      </c>
    </row>
    <row r="1147" spans="2:11" ht="15.75" x14ac:dyDescent="0.25">
      <c r="B1147" s="667" t="s">
        <v>84</v>
      </c>
      <c r="C1147" s="110">
        <v>2049</v>
      </c>
      <c r="D1147" s="687" t="s">
        <v>1792</v>
      </c>
      <c r="E1147" s="688">
        <v>2.5454388377895196E-2</v>
      </c>
      <c r="F1147" s="310">
        <v>2.0877301001855928E-3</v>
      </c>
      <c r="G1147" s="311">
        <v>1.6786050963066838E-2</v>
      </c>
      <c r="H1147" s="311">
        <v>5.1348165719964701E-4</v>
      </c>
      <c r="I1147" s="394">
        <v>5.57716660932196E-4</v>
      </c>
      <c r="J1147" s="689">
        <v>1.749447319570929E-5</v>
      </c>
      <c r="K1147" s="690">
        <v>1.8285490698849055E-5</v>
      </c>
    </row>
    <row r="1148" spans="2:11" ht="15.75" x14ac:dyDescent="0.25">
      <c r="B1148" s="667" t="s">
        <v>84</v>
      </c>
      <c r="C1148" s="110">
        <v>2050</v>
      </c>
      <c r="D1148" s="687" t="s">
        <v>1793</v>
      </c>
      <c r="E1148" s="688">
        <v>2.542666895209483E-2</v>
      </c>
      <c r="F1148" s="310">
        <v>2.0804795014425057E-3</v>
      </c>
      <c r="G1148" s="311">
        <v>1.6794668555693393E-2</v>
      </c>
      <c r="H1148" s="311">
        <v>5.1117501115585716E-4</v>
      </c>
      <c r="I1148" s="394">
        <v>5.5521064900801941E-4</v>
      </c>
      <c r="J1148" s="689">
        <v>1.7439155900342302E-5</v>
      </c>
      <c r="K1148" s="690">
        <v>1.8227679241514492E-5</v>
      </c>
    </row>
    <row r="1149" spans="2:11" ht="15.75" x14ac:dyDescent="0.25">
      <c r="B1149" s="667" t="s">
        <v>4887</v>
      </c>
      <c r="C1149" s="110">
        <v>2015</v>
      </c>
      <c r="D1149" s="687" t="s">
        <v>4998</v>
      </c>
      <c r="E1149" s="688">
        <v>4.7545265082334302E-2</v>
      </c>
      <c r="F1149" s="310">
        <v>4.4939073413074869E-2</v>
      </c>
      <c r="G1149" s="311">
        <v>0.17956397057777357</v>
      </c>
      <c r="H1149" s="311">
        <v>1.6920778660236349E-3</v>
      </c>
      <c r="I1149" s="394">
        <v>1.8292129772784847E-3</v>
      </c>
      <c r="J1149" s="689">
        <v>1.7925427250611997E-4</v>
      </c>
      <c r="K1149" s="690">
        <v>1.8735935155288712E-4</v>
      </c>
    </row>
    <row r="1150" spans="2:11" ht="15.75" x14ac:dyDescent="0.25">
      <c r="B1150" s="816" t="s">
        <v>4887</v>
      </c>
      <c r="C1150" s="110">
        <v>2016</v>
      </c>
      <c r="D1150" s="687" t="s">
        <v>4999</v>
      </c>
      <c r="E1150" s="688">
        <v>4.6617217350661731E-2</v>
      </c>
      <c r="F1150" s="310">
        <v>3.663541572626456E-2</v>
      </c>
      <c r="G1150" s="311">
        <v>0.15217156352719935</v>
      </c>
      <c r="H1150" s="311">
        <v>1.5996426941322672E-3</v>
      </c>
      <c r="I1150" s="394">
        <v>1.7311484018446603E-3</v>
      </c>
      <c r="J1150" s="689">
        <v>1.4747857807093234E-4</v>
      </c>
      <c r="K1150" s="690">
        <v>1.5414690167456167E-4</v>
      </c>
    </row>
    <row r="1151" spans="2:11" ht="15.75" x14ac:dyDescent="0.25">
      <c r="B1151" s="816" t="s">
        <v>4887</v>
      </c>
      <c r="C1151" s="110">
        <v>2017</v>
      </c>
      <c r="D1151" s="687" t="s">
        <v>5000</v>
      </c>
      <c r="E1151" s="688">
        <v>4.5531205998372209E-2</v>
      </c>
      <c r="F1151" s="310">
        <v>3.0270780929643953E-2</v>
      </c>
      <c r="G1151" s="311">
        <v>0.12987762961711474</v>
      </c>
      <c r="H1151" s="311">
        <v>1.5685208496423139E-3</v>
      </c>
      <c r="I1151" s="394">
        <v>1.6987000768849939E-3</v>
      </c>
      <c r="J1151" s="689">
        <v>1.3367137723156188E-4</v>
      </c>
      <c r="K1151" s="690">
        <v>1.3971540416813266E-4</v>
      </c>
    </row>
    <row r="1152" spans="2:11" ht="15.75" x14ac:dyDescent="0.25">
      <c r="B1152" s="816" t="s">
        <v>4887</v>
      </c>
      <c r="C1152" s="110">
        <v>2018</v>
      </c>
      <c r="D1152" s="687" t="s">
        <v>5001</v>
      </c>
      <c r="E1152" s="688">
        <v>4.4378781435001367E-2</v>
      </c>
      <c r="F1152" s="310">
        <v>2.4917120137623081E-2</v>
      </c>
      <c r="G1152" s="311">
        <v>0.11080581136109049</v>
      </c>
      <c r="H1152" s="311">
        <v>1.5639982985902608E-3</v>
      </c>
      <c r="I1152" s="394">
        <v>1.6949044566558905E-3</v>
      </c>
      <c r="J1152" s="689">
        <v>1.2228042012450856E-4</v>
      </c>
      <c r="K1152" s="690">
        <v>1.2780939900357315E-4</v>
      </c>
    </row>
    <row r="1153" spans="2:11" ht="15.75" x14ac:dyDescent="0.25">
      <c r="B1153" s="816" t="s">
        <v>4887</v>
      </c>
      <c r="C1153" s="110">
        <v>2019</v>
      </c>
      <c r="D1153" s="687" t="s">
        <v>5002</v>
      </c>
      <c r="E1153" s="688">
        <v>4.3185628866076825E-2</v>
      </c>
      <c r="F1153" s="310">
        <v>2.077194303149545E-2</v>
      </c>
      <c r="G1153" s="311">
        <v>9.4997960482154559E-2</v>
      </c>
      <c r="H1153" s="311">
        <v>1.5753671303152244E-3</v>
      </c>
      <c r="I1153" s="394">
        <v>1.7081123616542919E-3</v>
      </c>
      <c r="J1153" s="689">
        <v>1.1246241571887356E-4</v>
      </c>
      <c r="K1153" s="690">
        <v>1.1754746536856785E-4</v>
      </c>
    </row>
    <row r="1154" spans="2:11" ht="15.75" x14ac:dyDescent="0.25">
      <c r="B1154" s="816" t="s">
        <v>4887</v>
      </c>
      <c r="C1154" s="110">
        <v>2020</v>
      </c>
      <c r="D1154" s="687" t="s">
        <v>5003</v>
      </c>
      <c r="E1154" s="688">
        <v>4.1969227548211897E-2</v>
      </c>
      <c r="F1154" s="310">
        <v>1.7510770319978535E-2</v>
      </c>
      <c r="G1154" s="311">
        <v>8.1700095118597035E-2</v>
      </c>
      <c r="H1154" s="311">
        <v>1.5417206568883706E-3</v>
      </c>
      <c r="I1154" s="394">
        <v>1.6720692065599842E-3</v>
      </c>
      <c r="J1154" s="689">
        <v>1.0375300218213493E-4</v>
      </c>
      <c r="K1154" s="690">
        <v>1.084442576306735E-4</v>
      </c>
    </row>
    <row r="1155" spans="2:11" ht="15.75" x14ac:dyDescent="0.25">
      <c r="B1155" s="816" t="s">
        <v>4887</v>
      </c>
      <c r="C1155" s="110">
        <v>2021</v>
      </c>
      <c r="D1155" s="687" t="s">
        <v>5004</v>
      </c>
      <c r="E1155" s="688">
        <v>4.0690504257958039E-2</v>
      </c>
      <c r="F1155" s="310">
        <v>1.4963640102226179E-2</v>
      </c>
      <c r="G1155" s="311">
        <v>7.0619932635399882E-2</v>
      </c>
      <c r="H1155" s="311">
        <v>1.4687933550801204E-3</v>
      </c>
      <c r="I1155" s="394">
        <v>1.5932249549400379E-3</v>
      </c>
      <c r="J1155" s="689">
        <v>9.4880901032546453E-5</v>
      </c>
      <c r="K1155" s="690">
        <v>9.917098764592777E-5</v>
      </c>
    </row>
    <row r="1156" spans="2:11" ht="15.75" x14ac:dyDescent="0.25">
      <c r="B1156" s="816" t="s">
        <v>4887</v>
      </c>
      <c r="C1156" s="110">
        <v>2022</v>
      </c>
      <c r="D1156" s="687" t="s">
        <v>5005</v>
      </c>
      <c r="E1156" s="688">
        <v>3.9477534352177178E-2</v>
      </c>
      <c r="F1156" s="310">
        <v>1.2561682149171496E-2</v>
      </c>
      <c r="G1156" s="311">
        <v>6.1050041300305675E-2</v>
      </c>
      <c r="H1156" s="311">
        <v>1.3982509552199925E-3</v>
      </c>
      <c r="I1156" s="394">
        <v>1.5170081083493267E-3</v>
      </c>
      <c r="J1156" s="689">
        <v>8.6537025551427661E-5</v>
      </c>
      <c r="K1156" s="690">
        <v>9.0449852555625558E-5</v>
      </c>
    </row>
    <row r="1157" spans="2:11" ht="15.75" x14ac:dyDescent="0.25">
      <c r="B1157" s="816" t="s">
        <v>4887</v>
      </c>
      <c r="C1157" s="110">
        <v>2023</v>
      </c>
      <c r="D1157" s="687" t="s">
        <v>5006</v>
      </c>
      <c r="E1157" s="688">
        <v>3.8274229123071768E-2</v>
      </c>
      <c r="F1157" s="310">
        <v>1.0896227667140521E-2</v>
      </c>
      <c r="G1157" s="311">
        <v>5.3410335714581501E-2</v>
      </c>
      <c r="H1157" s="311">
        <v>1.3349724533526161E-3</v>
      </c>
      <c r="I1157" s="394">
        <v>1.4485490282749184E-3</v>
      </c>
      <c r="J1157" s="689">
        <v>7.8540530293752232E-5</v>
      </c>
      <c r="K1157" s="690">
        <v>8.2091787121230388E-5</v>
      </c>
    </row>
    <row r="1158" spans="2:11" ht="15.75" x14ac:dyDescent="0.25">
      <c r="B1158" s="816" t="s">
        <v>4887</v>
      </c>
      <c r="C1158" s="110">
        <v>2024</v>
      </c>
      <c r="D1158" s="687" t="s">
        <v>5007</v>
      </c>
      <c r="E1158" s="688">
        <v>3.7085780253289159E-2</v>
      </c>
      <c r="F1158" s="310">
        <v>9.476898466286781E-3</v>
      </c>
      <c r="G1158" s="311">
        <v>4.7066667955164877E-2</v>
      </c>
      <c r="H1158" s="311">
        <v>1.2772482535348274E-3</v>
      </c>
      <c r="I1158" s="394">
        <v>1.3861204473425931E-3</v>
      </c>
      <c r="J1158" s="689">
        <v>7.0741861654286746E-5</v>
      </c>
      <c r="K1158" s="690">
        <v>7.3940486379241882E-5</v>
      </c>
    </row>
    <row r="1159" spans="2:11" ht="15.75" x14ac:dyDescent="0.25">
      <c r="B1159" s="816" t="s">
        <v>4887</v>
      </c>
      <c r="C1159" s="110">
        <v>2025</v>
      </c>
      <c r="D1159" s="687" t="s">
        <v>5008</v>
      </c>
      <c r="E1159" s="688">
        <v>3.5915162759268579E-2</v>
      </c>
      <c r="F1159" s="310">
        <v>8.3368607468144763E-3</v>
      </c>
      <c r="G1159" s="311">
        <v>4.1964787017453355E-2</v>
      </c>
      <c r="H1159" s="311">
        <v>1.228004295488456E-3</v>
      </c>
      <c r="I1159" s="394">
        <v>1.3328341355287551E-3</v>
      </c>
      <c r="J1159" s="689">
        <v>6.4474546563052514E-5</v>
      </c>
      <c r="K1159" s="690">
        <v>6.7389790832416075E-5</v>
      </c>
    </row>
    <row r="1160" spans="2:11" ht="15.75" x14ac:dyDescent="0.25">
      <c r="B1160" s="816" t="s">
        <v>4887</v>
      </c>
      <c r="C1160" s="110">
        <v>2026</v>
      </c>
      <c r="D1160" s="687" t="s">
        <v>5009</v>
      </c>
      <c r="E1160" s="688">
        <v>3.4753926705203476E-2</v>
      </c>
      <c r="F1160" s="310">
        <v>7.3932019634552881E-3</v>
      </c>
      <c r="G1160" s="311">
        <v>3.7839175629508094E-2</v>
      </c>
      <c r="H1160" s="311">
        <v>1.1738748941738152E-3</v>
      </c>
      <c r="I1160" s="394">
        <v>1.2742289801063525E-3</v>
      </c>
      <c r="J1160" s="689">
        <v>5.8223274580370141E-5</v>
      </c>
      <c r="K1160" s="690">
        <v>6.0855870888556331E-5</v>
      </c>
    </row>
    <row r="1161" spans="2:11" ht="15.75" x14ac:dyDescent="0.25">
      <c r="B1161" s="816" t="s">
        <v>4887</v>
      </c>
      <c r="C1161" s="110">
        <v>2027</v>
      </c>
      <c r="D1161" s="687" t="s">
        <v>5010</v>
      </c>
      <c r="E1161" s="688">
        <v>3.3756499470987057E-2</v>
      </c>
      <c r="F1161" s="310">
        <v>6.5926619893666013E-3</v>
      </c>
      <c r="G1161" s="311">
        <v>3.4400265539519373E-2</v>
      </c>
      <c r="H1161" s="311">
        <v>1.1092373039014087E-3</v>
      </c>
      <c r="I1161" s="394">
        <v>1.2042566533701014E-3</v>
      </c>
      <c r="J1161" s="689">
        <v>5.050760406506847E-5</v>
      </c>
      <c r="K1161" s="690">
        <v>5.2791333073950117E-5</v>
      </c>
    </row>
    <row r="1162" spans="2:11" ht="15.75" x14ac:dyDescent="0.25">
      <c r="B1162" s="816" t="s">
        <v>4887</v>
      </c>
      <c r="C1162" s="110">
        <v>2028</v>
      </c>
      <c r="D1162" s="687" t="s">
        <v>5011</v>
      </c>
      <c r="E1162" s="688">
        <v>3.284678350794977E-2</v>
      </c>
      <c r="F1162" s="310">
        <v>5.9123400854626381E-3</v>
      </c>
      <c r="G1162" s="311">
        <v>3.1550418537000399E-2</v>
      </c>
      <c r="H1162" s="311">
        <v>1.038421625741382E-3</v>
      </c>
      <c r="I1162" s="394">
        <v>1.127491673632425E-3</v>
      </c>
      <c r="J1162" s="689">
        <v>4.451359001263151E-5</v>
      </c>
      <c r="K1162" s="690">
        <v>4.6526297109812842E-5</v>
      </c>
    </row>
    <row r="1163" spans="2:11" ht="15.75" x14ac:dyDescent="0.25">
      <c r="B1163" s="816" t="s">
        <v>4887</v>
      </c>
      <c r="C1163" s="110">
        <v>2029</v>
      </c>
      <c r="D1163" s="687" t="s">
        <v>5012</v>
      </c>
      <c r="E1163" s="688">
        <v>3.2021621496837759E-2</v>
      </c>
      <c r="F1163" s="310">
        <v>5.3217954194070055E-3</v>
      </c>
      <c r="G1163" s="311">
        <v>2.916137930487557E-2</v>
      </c>
      <c r="H1163" s="311">
        <v>9.7117656655741223E-4</v>
      </c>
      <c r="I1163" s="394">
        <v>1.0545585462605161E-3</v>
      </c>
      <c r="J1163" s="689">
        <v>3.9756612616317467E-5</v>
      </c>
      <c r="K1163" s="690">
        <v>4.1554229717026897E-5</v>
      </c>
    </row>
    <row r="1164" spans="2:11" ht="15.75" x14ac:dyDescent="0.25">
      <c r="B1164" s="816" t="s">
        <v>4887</v>
      </c>
      <c r="C1164" s="110">
        <v>2030</v>
      </c>
      <c r="D1164" s="687" t="s">
        <v>5013</v>
      </c>
      <c r="E1164" s="688">
        <v>3.1277598038601979E-2</v>
      </c>
      <c r="F1164" s="310">
        <v>4.8260041412428152E-3</v>
      </c>
      <c r="G1164" s="311">
        <v>2.7191355643564685E-2</v>
      </c>
      <c r="H1164" s="311">
        <v>9.0810480775069258E-4</v>
      </c>
      <c r="I1164" s="394">
        <v>9.8614392957788633E-4</v>
      </c>
      <c r="J1164" s="689">
        <v>3.5468123265036131E-5</v>
      </c>
      <c r="K1164" s="690">
        <v>3.7071836587315093E-5</v>
      </c>
    </row>
    <row r="1165" spans="2:11" ht="15.75" x14ac:dyDescent="0.25">
      <c r="B1165" s="816" t="s">
        <v>4887</v>
      </c>
      <c r="C1165" s="110">
        <v>2031</v>
      </c>
      <c r="D1165" s="687" t="s">
        <v>5014</v>
      </c>
      <c r="E1165" s="688">
        <v>3.0609746181944484E-2</v>
      </c>
      <c r="F1165" s="310">
        <v>4.3976374746688245E-3</v>
      </c>
      <c r="G1165" s="311">
        <v>2.5544337161095956E-2</v>
      </c>
      <c r="H1165" s="311">
        <v>8.5058277740067683E-4</v>
      </c>
      <c r="I1165" s="394">
        <v>9.237031744751753E-4</v>
      </c>
      <c r="J1165" s="689">
        <v>3.2648673168738102E-5</v>
      </c>
      <c r="K1165" s="690">
        <v>3.4124902270982145E-5</v>
      </c>
    </row>
    <row r="1166" spans="2:11" ht="15.75" x14ac:dyDescent="0.25">
      <c r="B1166" s="816" t="s">
        <v>4887</v>
      </c>
      <c r="C1166" s="110">
        <v>2032</v>
      </c>
      <c r="D1166" s="687" t="s">
        <v>5015</v>
      </c>
      <c r="E1166" s="688">
        <v>3.0012786862883615E-2</v>
      </c>
      <c r="F1166" s="310">
        <v>4.0248354491813822E-3</v>
      </c>
      <c r="G1166" s="311">
        <v>2.4180809053235566E-2</v>
      </c>
      <c r="H1166" s="311">
        <v>7.9728919874741606E-4</v>
      </c>
      <c r="I1166" s="394">
        <v>8.658571606185001E-4</v>
      </c>
      <c r="J1166" s="689">
        <v>2.9922344483136294E-5</v>
      </c>
      <c r="K1166" s="690">
        <v>3.127530324352884E-5</v>
      </c>
    </row>
    <row r="1167" spans="2:11" ht="15.75" x14ac:dyDescent="0.25">
      <c r="B1167" s="816" t="s">
        <v>4887</v>
      </c>
      <c r="C1167" s="110">
        <v>2033</v>
      </c>
      <c r="D1167" s="687" t="s">
        <v>5016</v>
      </c>
      <c r="E1167" s="688">
        <v>2.9480728038849907E-2</v>
      </c>
      <c r="F1167" s="310">
        <v>3.707338071035906E-3</v>
      </c>
      <c r="G1167" s="311">
        <v>2.307573365945164E-2</v>
      </c>
      <c r="H1167" s="311">
        <v>7.4943322757900163E-4</v>
      </c>
      <c r="I1167" s="394">
        <v>8.1388389941480332E-4</v>
      </c>
      <c r="J1167" s="689">
        <v>2.8156575640271231E-5</v>
      </c>
      <c r="K1167" s="690">
        <v>2.9429683295026262E-5</v>
      </c>
    </row>
    <row r="1168" spans="2:11" ht="15.75" x14ac:dyDescent="0.25">
      <c r="B1168" s="816" t="s">
        <v>4887</v>
      </c>
      <c r="C1168" s="110">
        <v>2034</v>
      </c>
      <c r="D1168" s="687" t="s">
        <v>5017</v>
      </c>
      <c r="E1168" s="688">
        <v>2.9008623429829895E-2</v>
      </c>
      <c r="F1168" s="310">
        <v>3.424917676206566E-3</v>
      </c>
      <c r="G1168" s="311">
        <v>2.2143505842269724E-2</v>
      </c>
      <c r="H1168" s="311">
        <v>7.0577318518761343E-4</v>
      </c>
      <c r="I1168" s="394">
        <v>7.6646414903743432E-4</v>
      </c>
      <c r="J1168" s="689">
        <v>2.6624272554427264E-5</v>
      </c>
      <c r="K1168" s="690">
        <v>2.7828093480682696E-5</v>
      </c>
    </row>
    <row r="1169" spans="2:11" ht="15.75" x14ac:dyDescent="0.25">
      <c r="B1169" s="816" t="s">
        <v>4887</v>
      </c>
      <c r="C1169" s="110">
        <v>2035</v>
      </c>
      <c r="D1169" s="687" t="s">
        <v>5018</v>
      </c>
      <c r="E1169" s="688">
        <v>2.8590643425783258E-2</v>
      </c>
      <c r="F1169" s="310">
        <v>3.1781135147236294E-3</v>
      </c>
      <c r="G1169" s="311">
        <v>2.1374753190283775E-2</v>
      </c>
      <c r="H1169" s="311">
        <v>6.6630772787321926E-4</v>
      </c>
      <c r="I1169" s="394">
        <v>7.2360227023307556E-4</v>
      </c>
      <c r="J1169" s="689">
        <v>2.5215034011008885E-5</v>
      </c>
      <c r="K1169" s="690">
        <v>2.635514893368277E-5</v>
      </c>
    </row>
    <row r="1170" spans="2:11" ht="15.75" x14ac:dyDescent="0.25">
      <c r="B1170" s="816" t="s">
        <v>4887</v>
      </c>
      <c r="C1170" s="110">
        <v>2036</v>
      </c>
      <c r="D1170" s="687" t="s">
        <v>5019</v>
      </c>
      <c r="E1170" s="688">
        <v>2.8222897649610345E-2</v>
      </c>
      <c r="F1170" s="310">
        <v>2.9630630861378592E-3</v>
      </c>
      <c r="G1170" s="311">
        <v>2.0732961526328114E-2</v>
      </c>
      <c r="H1170" s="311">
        <v>6.3216806641358189E-4</v>
      </c>
      <c r="I1170" s="394">
        <v>6.8652448024969146E-4</v>
      </c>
      <c r="J1170" s="689">
        <v>2.3982578687485983E-5</v>
      </c>
      <c r="K1170" s="690">
        <v>2.506696832107052E-5</v>
      </c>
    </row>
    <row r="1171" spans="2:11" ht="15.75" x14ac:dyDescent="0.25">
      <c r="B1171" s="816" t="s">
        <v>4887</v>
      </c>
      <c r="C1171" s="110">
        <v>2037</v>
      </c>
      <c r="D1171" s="687" t="s">
        <v>5020</v>
      </c>
      <c r="E1171" s="688">
        <v>2.7903709704029032E-2</v>
      </c>
      <c r="F1171" s="310">
        <v>2.7801488772084973E-3</v>
      </c>
      <c r="G1171" s="311">
        <v>2.0211857503286797E-2</v>
      </c>
      <c r="H1171" s="311">
        <v>6.0213905385519766E-4</v>
      </c>
      <c r="I1171" s="394">
        <v>6.5391419385423433E-4</v>
      </c>
      <c r="J1171" s="689">
        <v>2.2809610760003182E-5</v>
      </c>
      <c r="K1171" s="690">
        <v>2.3840963794120076E-5</v>
      </c>
    </row>
    <row r="1172" spans="2:11" ht="15.75" x14ac:dyDescent="0.25">
      <c r="B1172" s="816" t="s">
        <v>4887</v>
      </c>
      <c r="C1172" s="110">
        <v>2038</v>
      </c>
      <c r="D1172" s="687" t="s">
        <v>5021</v>
      </c>
      <c r="E1172" s="688">
        <v>2.7627606737478636E-2</v>
      </c>
      <c r="F1172" s="310">
        <v>2.6181313172912606E-3</v>
      </c>
      <c r="G1172" s="311">
        <v>1.9759379540181664E-2</v>
      </c>
      <c r="H1172" s="311">
        <v>5.7611381381373673E-4</v>
      </c>
      <c r="I1172" s="394">
        <v>6.2564582385477247E-4</v>
      </c>
      <c r="J1172" s="689">
        <v>2.1955639927917022E-5</v>
      </c>
      <c r="K1172" s="690">
        <v>2.2948372829232989E-5</v>
      </c>
    </row>
    <row r="1173" spans="2:11" ht="15.75" x14ac:dyDescent="0.25">
      <c r="B1173" s="816" t="s">
        <v>4887</v>
      </c>
      <c r="C1173" s="110">
        <v>2039</v>
      </c>
      <c r="D1173" s="687" t="s">
        <v>5022</v>
      </c>
      <c r="E1173" s="688">
        <v>2.7388860440286576E-2</v>
      </c>
      <c r="F1173" s="310">
        <v>2.4695496450564307E-3</v>
      </c>
      <c r="G1173" s="311">
        <v>1.934750696278973E-2</v>
      </c>
      <c r="H1173" s="311">
        <v>5.5354974477177439E-4</v>
      </c>
      <c r="I1173" s="394">
        <v>6.0113510607666008E-4</v>
      </c>
      <c r="J1173" s="689">
        <v>2.1252980589446044E-5</v>
      </c>
      <c r="K1173" s="690">
        <v>2.2213943305176981E-5</v>
      </c>
    </row>
    <row r="1174" spans="2:11" ht="15.75" x14ac:dyDescent="0.25">
      <c r="B1174" s="816" t="s">
        <v>4887</v>
      </c>
      <c r="C1174" s="110">
        <v>2040</v>
      </c>
      <c r="D1174" s="687" t="s">
        <v>5023</v>
      </c>
      <c r="E1174" s="688">
        <v>2.7184148230630128E-2</v>
      </c>
      <c r="F1174" s="310">
        <v>2.3360790631669786E-3</v>
      </c>
      <c r="G1174" s="311">
        <v>1.8995366725634157E-2</v>
      </c>
      <c r="H1174" s="311">
        <v>5.3406282733558478E-4</v>
      </c>
      <c r="I1174" s="394">
        <v>5.799668053171925E-4</v>
      </c>
      <c r="J1174" s="689">
        <v>2.0644261080728432E-5</v>
      </c>
      <c r="K1174" s="690">
        <v>2.1577698512415895E-5</v>
      </c>
    </row>
    <row r="1175" spans="2:11" ht="15.75" x14ac:dyDescent="0.25">
      <c r="B1175" s="816" t="s">
        <v>4887</v>
      </c>
      <c r="C1175" s="110">
        <v>2041</v>
      </c>
      <c r="D1175" s="687" t="s">
        <v>5024</v>
      </c>
      <c r="E1175" s="688">
        <v>2.7011336375571876E-2</v>
      </c>
      <c r="F1175" s="310">
        <v>2.2310327603208818E-3</v>
      </c>
      <c r="G1175" s="311">
        <v>1.8718811337271775E-2</v>
      </c>
      <c r="H1175" s="311">
        <v>5.1870937864843033E-4</v>
      </c>
      <c r="I1175" s="394">
        <v>5.6329020172163314E-4</v>
      </c>
      <c r="J1175" s="689">
        <v>2.0145064699187215E-5</v>
      </c>
      <c r="K1175" s="690">
        <v>2.1055937342913073E-5</v>
      </c>
    </row>
    <row r="1176" spans="2:11" ht="15.75" x14ac:dyDescent="0.25">
      <c r="B1176" s="816" t="s">
        <v>4887</v>
      </c>
      <c r="C1176" s="110">
        <v>2042</v>
      </c>
      <c r="D1176" s="687" t="s">
        <v>5025</v>
      </c>
      <c r="E1176" s="688">
        <v>2.6863368339148416E-2</v>
      </c>
      <c r="F1176" s="310">
        <v>2.139412933387604E-3</v>
      </c>
      <c r="G1176" s="311">
        <v>1.8462239906178731E-2</v>
      </c>
      <c r="H1176" s="311">
        <v>5.0574364387636402E-4</v>
      </c>
      <c r="I1176" s="394">
        <v>5.4920588504718353E-4</v>
      </c>
      <c r="J1176" s="689">
        <v>1.97415456928762E-5</v>
      </c>
      <c r="K1176" s="690">
        <v>2.063416796955219E-5</v>
      </c>
    </row>
    <row r="1177" spans="2:11" ht="15.75" x14ac:dyDescent="0.25">
      <c r="B1177" s="816" t="s">
        <v>4887</v>
      </c>
      <c r="C1177" s="110">
        <v>2043</v>
      </c>
      <c r="D1177" s="687" t="s">
        <v>5026</v>
      </c>
      <c r="E1177" s="688">
        <v>2.6738733679096897E-2</v>
      </c>
      <c r="F1177" s="310">
        <v>2.0695073008488553E-3</v>
      </c>
      <c r="G1177" s="311">
        <v>1.8270411256584254E-2</v>
      </c>
      <c r="H1177" s="311">
        <v>4.9489253080314908E-4</v>
      </c>
      <c r="I1177" s="394">
        <v>5.3741866806633284E-4</v>
      </c>
      <c r="J1177" s="689">
        <v>1.9408077201824656E-5</v>
      </c>
      <c r="K1177" s="690">
        <v>2.0285623493912275E-5</v>
      </c>
    </row>
    <row r="1178" spans="2:11" ht="15.75" x14ac:dyDescent="0.25">
      <c r="B1178" s="816" t="s">
        <v>4887</v>
      </c>
      <c r="C1178" s="110">
        <v>2044</v>
      </c>
      <c r="D1178" s="687" t="s">
        <v>5027</v>
      </c>
      <c r="E1178" s="688">
        <v>2.6632375063915973E-2</v>
      </c>
      <c r="F1178" s="310">
        <v>2.0175330820984198E-3</v>
      </c>
      <c r="G1178" s="311">
        <v>1.8120305979958649E-2</v>
      </c>
      <c r="H1178" s="311">
        <v>4.8584987060791123E-4</v>
      </c>
      <c r="I1178" s="394">
        <v>5.2759449687056459E-4</v>
      </c>
      <c r="J1178" s="689">
        <v>1.9146222316036158E-5</v>
      </c>
      <c r="K1178" s="690">
        <v>2.0011927584925416E-5</v>
      </c>
    </row>
    <row r="1179" spans="2:11" ht="15.75" x14ac:dyDescent="0.25">
      <c r="B1179" s="816" t="s">
        <v>4887</v>
      </c>
      <c r="C1179" s="110">
        <v>2045</v>
      </c>
      <c r="D1179" s="687" t="s">
        <v>5028</v>
      </c>
      <c r="E1179" s="688">
        <v>2.6540241160241788E-2</v>
      </c>
      <c r="F1179" s="310">
        <v>1.9819031248857334E-3</v>
      </c>
      <c r="G1179" s="311">
        <v>1.8018287975500674E-2</v>
      </c>
      <c r="H1179" s="311">
        <v>4.7830589846095423E-4</v>
      </c>
      <c r="I1179" s="394">
        <v>5.193986529796349E-4</v>
      </c>
      <c r="J1179" s="689">
        <v>1.8934799597180048E-5</v>
      </c>
      <c r="K1179" s="690">
        <v>1.9790952742084267E-5</v>
      </c>
    </row>
    <row r="1180" spans="2:11" ht="15.75" x14ac:dyDescent="0.25">
      <c r="B1180" s="816" t="s">
        <v>4887</v>
      </c>
      <c r="C1180" s="110">
        <v>2046</v>
      </c>
      <c r="D1180" s="687" t="s">
        <v>5029</v>
      </c>
      <c r="E1180" s="688">
        <v>2.6460790046001822E-2</v>
      </c>
      <c r="F1180" s="310">
        <v>1.9506268428281692E-3</v>
      </c>
      <c r="G1180" s="311">
        <v>1.7931472358615398E-2</v>
      </c>
      <c r="H1180" s="311">
        <v>4.7206232598985342E-4</v>
      </c>
      <c r="I1180" s="394">
        <v>5.126158839916852E-4</v>
      </c>
      <c r="J1180" s="689">
        <v>1.8765370434998327E-5</v>
      </c>
      <c r="K1180" s="690">
        <v>1.9613861854023011E-5</v>
      </c>
    </row>
    <row r="1181" spans="2:11" ht="15.75" x14ac:dyDescent="0.25">
      <c r="B1181" s="816" t="s">
        <v>4887</v>
      </c>
      <c r="C1181" s="110">
        <v>2047</v>
      </c>
      <c r="D1181" s="687" t="s">
        <v>5030</v>
      </c>
      <c r="E1181" s="688">
        <v>2.6394974360878148E-2</v>
      </c>
      <c r="F1181" s="310">
        <v>1.9223940657408876E-3</v>
      </c>
      <c r="G1181" s="311">
        <v>1.7846966315609922E-2</v>
      </c>
      <c r="H1181" s="311">
        <v>4.6690529976066122E-4</v>
      </c>
      <c r="I1181" s="394">
        <v>5.0701355077963322E-4</v>
      </c>
      <c r="J1181" s="689">
        <v>1.8615554581452959E-5</v>
      </c>
      <c r="K1181" s="690">
        <v>1.9457268999858965E-5</v>
      </c>
    </row>
    <row r="1182" spans="2:11" ht="15.75" x14ac:dyDescent="0.25">
      <c r="B1182" s="816" t="s">
        <v>4887</v>
      </c>
      <c r="C1182" s="110">
        <v>2048</v>
      </c>
      <c r="D1182" s="687" t="s">
        <v>5031</v>
      </c>
      <c r="E1182" s="688">
        <v>2.6339079895134013E-2</v>
      </c>
      <c r="F1182" s="310">
        <v>1.899900363455853E-3</v>
      </c>
      <c r="G1182" s="311">
        <v>1.7779100048441396E-2</v>
      </c>
      <c r="H1182" s="311">
        <v>4.626538603046102E-4</v>
      </c>
      <c r="I1182" s="394">
        <v>5.0239517740068495E-4</v>
      </c>
      <c r="J1182" s="689">
        <v>1.8472604243838316E-5</v>
      </c>
      <c r="K1182" s="690">
        <v>1.9307854552757953E-5</v>
      </c>
    </row>
    <row r="1183" spans="2:11" ht="15.75" x14ac:dyDescent="0.25">
      <c r="B1183" s="816" t="s">
        <v>4887</v>
      </c>
      <c r="C1183" s="110">
        <v>2049</v>
      </c>
      <c r="D1183" s="687" t="s">
        <v>5032</v>
      </c>
      <c r="E1183" s="688">
        <v>2.6291495592407722E-2</v>
      </c>
      <c r="F1183" s="310">
        <v>1.890921271592231E-3</v>
      </c>
      <c r="G1183" s="311">
        <v>1.7787158247556001E-2</v>
      </c>
      <c r="H1183" s="311">
        <v>4.5987469187327247E-4</v>
      </c>
      <c r="I1183" s="394">
        <v>4.9937740584762283E-4</v>
      </c>
      <c r="J1183" s="689">
        <v>1.8377102234671148E-5</v>
      </c>
      <c r="K1183" s="690">
        <v>1.9208035629102112E-5</v>
      </c>
    </row>
    <row r="1184" spans="2:11" ht="15.75" x14ac:dyDescent="0.25">
      <c r="B1184" s="816" t="s">
        <v>4887</v>
      </c>
      <c r="C1184" s="110">
        <v>2050</v>
      </c>
      <c r="D1184" s="687" t="s">
        <v>4997</v>
      </c>
      <c r="E1184" s="688">
        <v>2.6253659916288447E-2</v>
      </c>
      <c r="F1184" s="310">
        <v>1.8837221136598396E-3</v>
      </c>
      <c r="G1184" s="311">
        <v>1.7795793816237679E-2</v>
      </c>
      <c r="H1184" s="311">
        <v>4.5764110729220133E-4</v>
      </c>
      <c r="I1184" s="394">
        <v>4.9695208445204155E-4</v>
      </c>
      <c r="J1184" s="689">
        <v>1.8281700991388729E-5</v>
      </c>
      <c r="K1184" s="690">
        <v>1.9108316322142041E-5</v>
      </c>
    </row>
    <row r="1185" spans="2:11" ht="15.75" x14ac:dyDescent="0.25">
      <c r="B1185" s="704" t="s">
        <v>4888</v>
      </c>
      <c r="C1185" s="110">
        <v>2015</v>
      </c>
      <c r="D1185" s="687" t="s">
        <v>4961</v>
      </c>
      <c r="E1185" s="688">
        <v>4.7545265082334302E-2</v>
      </c>
      <c r="F1185" s="310">
        <v>4.4939073413074869E-2</v>
      </c>
      <c r="G1185" s="311">
        <v>0.17956397057777357</v>
      </c>
      <c r="H1185" s="311">
        <v>1.6920778660236349E-3</v>
      </c>
      <c r="I1185" s="394">
        <v>1.8292129772784847E-3</v>
      </c>
      <c r="J1185" s="689">
        <v>1.7925427250611997E-4</v>
      </c>
      <c r="K1185" s="690">
        <v>1.8735935155288712E-4</v>
      </c>
    </row>
    <row r="1186" spans="2:11" ht="15.75" x14ac:dyDescent="0.25">
      <c r="B1186" s="816" t="s">
        <v>4888</v>
      </c>
      <c r="C1186" s="110">
        <v>2016</v>
      </c>
      <c r="D1186" s="687" t="s">
        <v>4962</v>
      </c>
      <c r="E1186" s="688">
        <v>4.6617217350661731E-2</v>
      </c>
      <c r="F1186" s="310">
        <v>3.663541572626456E-2</v>
      </c>
      <c r="G1186" s="311">
        <v>0.15217156352719935</v>
      </c>
      <c r="H1186" s="311">
        <v>1.5996426941322672E-3</v>
      </c>
      <c r="I1186" s="394">
        <v>1.7311484018446603E-3</v>
      </c>
      <c r="J1186" s="689">
        <v>1.4747857807093234E-4</v>
      </c>
      <c r="K1186" s="690">
        <v>1.5414690167456167E-4</v>
      </c>
    </row>
    <row r="1187" spans="2:11" ht="15.75" x14ac:dyDescent="0.25">
      <c r="B1187" s="816" t="s">
        <v>4888</v>
      </c>
      <c r="C1187" s="110">
        <v>2017</v>
      </c>
      <c r="D1187" s="687" t="s">
        <v>4963</v>
      </c>
      <c r="E1187" s="688">
        <v>4.5531205998372209E-2</v>
      </c>
      <c r="F1187" s="310">
        <v>3.0270780929643953E-2</v>
      </c>
      <c r="G1187" s="311">
        <v>0.12987762961711474</v>
      </c>
      <c r="H1187" s="311">
        <v>1.5685208496423139E-3</v>
      </c>
      <c r="I1187" s="394">
        <v>1.6987000768849939E-3</v>
      </c>
      <c r="J1187" s="689">
        <v>1.3367137723156188E-4</v>
      </c>
      <c r="K1187" s="690">
        <v>1.3971540416813266E-4</v>
      </c>
    </row>
    <row r="1188" spans="2:11" ht="15.75" x14ac:dyDescent="0.25">
      <c r="B1188" s="816" t="s">
        <v>4888</v>
      </c>
      <c r="C1188" s="110">
        <v>2018</v>
      </c>
      <c r="D1188" s="687" t="s">
        <v>4964</v>
      </c>
      <c r="E1188" s="688">
        <v>4.4378781435001367E-2</v>
      </c>
      <c r="F1188" s="310">
        <v>2.4917120137623081E-2</v>
      </c>
      <c r="G1188" s="311">
        <v>0.11080581136109049</v>
      </c>
      <c r="H1188" s="311">
        <v>1.5639982985902608E-3</v>
      </c>
      <c r="I1188" s="394">
        <v>1.6949044566558905E-3</v>
      </c>
      <c r="J1188" s="689">
        <v>1.2228042012450856E-4</v>
      </c>
      <c r="K1188" s="690">
        <v>1.2780939900357315E-4</v>
      </c>
    </row>
    <row r="1189" spans="2:11" ht="15.75" x14ac:dyDescent="0.25">
      <c r="B1189" s="816" t="s">
        <v>4888</v>
      </c>
      <c r="C1189" s="110">
        <v>2019</v>
      </c>
      <c r="D1189" s="687" t="s">
        <v>4965</v>
      </c>
      <c r="E1189" s="688">
        <v>4.3185628866076825E-2</v>
      </c>
      <c r="F1189" s="310">
        <v>2.077194303149545E-2</v>
      </c>
      <c r="G1189" s="311">
        <v>9.4997960482154559E-2</v>
      </c>
      <c r="H1189" s="311">
        <v>1.5753671303152244E-3</v>
      </c>
      <c r="I1189" s="394">
        <v>1.7081123616542919E-3</v>
      </c>
      <c r="J1189" s="689">
        <v>1.1246241571887356E-4</v>
      </c>
      <c r="K1189" s="690">
        <v>1.1754746536856785E-4</v>
      </c>
    </row>
    <row r="1190" spans="2:11" ht="15.75" x14ac:dyDescent="0.25">
      <c r="B1190" s="816" t="s">
        <v>4888</v>
      </c>
      <c r="C1190" s="110">
        <v>2020</v>
      </c>
      <c r="D1190" s="687" t="s">
        <v>4966</v>
      </c>
      <c r="E1190" s="688">
        <v>4.1969227548211897E-2</v>
      </c>
      <c r="F1190" s="310">
        <v>1.7510770319978535E-2</v>
      </c>
      <c r="G1190" s="311">
        <v>8.1700095118597035E-2</v>
      </c>
      <c r="H1190" s="311">
        <v>1.5417206568883706E-3</v>
      </c>
      <c r="I1190" s="394">
        <v>1.6720692065599842E-3</v>
      </c>
      <c r="J1190" s="689">
        <v>1.0375300218213493E-4</v>
      </c>
      <c r="K1190" s="690">
        <v>1.084442576306735E-4</v>
      </c>
    </row>
    <row r="1191" spans="2:11" ht="15.75" x14ac:dyDescent="0.25">
      <c r="B1191" s="816" t="s">
        <v>4888</v>
      </c>
      <c r="C1191" s="110">
        <v>2021</v>
      </c>
      <c r="D1191" s="687" t="s">
        <v>4967</v>
      </c>
      <c r="E1191" s="688">
        <v>4.0690504257958039E-2</v>
      </c>
      <c r="F1191" s="310">
        <v>1.4963640102226179E-2</v>
      </c>
      <c r="G1191" s="311">
        <v>7.0619932635399882E-2</v>
      </c>
      <c r="H1191" s="311">
        <v>1.4687933550801204E-3</v>
      </c>
      <c r="I1191" s="394">
        <v>1.5932249549400379E-3</v>
      </c>
      <c r="J1191" s="689">
        <v>9.4880901032546453E-5</v>
      </c>
      <c r="K1191" s="690">
        <v>9.917098764592777E-5</v>
      </c>
    </row>
    <row r="1192" spans="2:11" ht="15.75" x14ac:dyDescent="0.25">
      <c r="B1192" s="816" t="s">
        <v>4888</v>
      </c>
      <c r="C1192" s="110">
        <v>2022</v>
      </c>
      <c r="D1192" s="687" t="s">
        <v>4968</v>
      </c>
      <c r="E1192" s="688">
        <v>3.9477534352177178E-2</v>
      </c>
      <c r="F1192" s="310">
        <v>1.2561682149171496E-2</v>
      </c>
      <c r="G1192" s="311">
        <v>6.1050041300305675E-2</v>
      </c>
      <c r="H1192" s="311">
        <v>1.3982509552199925E-3</v>
      </c>
      <c r="I1192" s="394">
        <v>1.5170081083493267E-3</v>
      </c>
      <c r="J1192" s="689">
        <v>8.6537025551427661E-5</v>
      </c>
      <c r="K1192" s="690">
        <v>9.0449852555625558E-5</v>
      </c>
    </row>
    <row r="1193" spans="2:11" ht="15.75" x14ac:dyDescent="0.25">
      <c r="B1193" s="816" t="s">
        <v>4888</v>
      </c>
      <c r="C1193" s="110">
        <v>2023</v>
      </c>
      <c r="D1193" s="687" t="s">
        <v>4969</v>
      </c>
      <c r="E1193" s="688">
        <v>3.8274229123071768E-2</v>
      </c>
      <c r="F1193" s="310">
        <v>1.0896227667140521E-2</v>
      </c>
      <c r="G1193" s="311">
        <v>5.3410335714581501E-2</v>
      </c>
      <c r="H1193" s="311">
        <v>1.3349724533526161E-3</v>
      </c>
      <c r="I1193" s="394">
        <v>1.4485490282749184E-3</v>
      </c>
      <c r="J1193" s="689">
        <v>7.8540530293752232E-5</v>
      </c>
      <c r="K1193" s="690">
        <v>8.2091787121230388E-5</v>
      </c>
    </row>
    <row r="1194" spans="2:11" ht="15.75" x14ac:dyDescent="0.25">
      <c r="B1194" s="816" t="s">
        <v>4888</v>
      </c>
      <c r="C1194" s="110">
        <v>2024</v>
      </c>
      <c r="D1194" s="687" t="s">
        <v>4970</v>
      </c>
      <c r="E1194" s="688">
        <v>3.7085780253289159E-2</v>
      </c>
      <c r="F1194" s="310">
        <v>9.476898466286781E-3</v>
      </c>
      <c r="G1194" s="311">
        <v>4.7066667955164877E-2</v>
      </c>
      <c r="H1194" s="311">
        <v>1.2772482535348274E-3</v>
      </c>
      <c r="I1194" s="394">
        <v>1.3861204473425931E-3</v>
      </c>
      <c r="J1194" s="689">
        <v>7.0741861654286746E-5</v>
      </c>
      <c r="K1194" s="690">
        <v>7.3940486379241882E-5</v>
      </c>
    </row>
    <row r="1195" spans="2:11" ht="15.75" x14ac:dyDescent="0.25">
      <c r="B1195" s="816" t="s">
        <v>4888</v>
      </c>
      <c r="C1195" s="110">
        <v>2025</v>
      </c>
      <c r="D1195" s="687" t="s">
        <v>4971</v>
      </c>
      <c r="E1195" s="688">
        <v>3.5915162759268579E-2</v>
      </c>
      <c r="F1195" s="310">
        <v>8.3368607468144763E-3</v>
      </c>
      <c r="G1195" s="311">
        <v>4.1964787017453355E-2</v>
      </c>
      <c r="H1195" s="311">
        <v>1.228004295488456E-3</v>
      </c>
      <c r="I1195" s="394">
        <v>1.3328341355287551E-3</v>
      </c>
      <c r="J1195" s="689">
        <v>6.4474546563052514E-5</v>
      </c>
      <c r="K1195" s="690">
        <v>6.7389790832416075E-5</v>
      </c>
    </row>
    <row r="1196" spans="2:11" ht="15.75" x14ac:dyDescent="0.25">
      <c r="B1196" s="816" t="s">
        <v>4888</v>
      </c>
      <c r="C1196" s="110">
        <v>2026</v>
      </c>
      <c r="D1196" s="687" t="s">
        <v>4972</v>
      </c>
      <c r="E1196" s="688">
        <v>3.4753926705203476E-2</v>
      </c>
      <c r="F1196" s="310">
        <v>7.3932019634552881E-3</v>
      </c>
      <c r="G1196" s="311">
        <v>3.7839175629508094E-2</v>
      </c>
      <c r="H1196" s="311">
        <v>1.1738748941738152E-3</v>
      </c>
      <c r="I1196" s="394">
        <v>1.2742289801063525E-3</v>
      </c>
      <c r="J1196" s="689">
        <v>5.8223274580370141E-5</v>
      </c>
      <c r="K1196" s="690">
        <v>6.0855870888556331E-5</v>
      </c>
    </row>
    <row r="1197" spans="2:11" ht="15.75" x14ac:dyDescent="0.25">
      <c r="B1197" s="816" t="s">
        <v>4888</v>
      </c>
      <c r="C1197" s="110">
        <v>2027</v>
      </c>
      <c r="D1197" s="687" t="s">
        <v>4973</v>
      </c>
      <c r="E1197" s="688">
        <v>3.3756499470987057E-2</v>
      </c>
      <c r="F1197" s="310">
        <v>6.5926619893666013E-3</v>
      </c>
      <c r="G1197" s="311">
        <v>3.4400265539519373E-2</v>
      </c>
      <c r="H1197" s="311">
        <v>1.1092373039014087E-3</v>
      </c>
      <c r="I1197" s="394">
        <v>1.2042566533701014E-3</v>
      </c>
      <c r="J1197" s="689">
        <v>5.050760406506847E-5</v>
      </c>
      <c r="K1197" s="690">
        <v>5.2791333073950117E-5</v>
      </c>
    </row>
    <row r="1198" spans="2:11" ht="15.75" x14ac:dyDescent="0.25">
      <c r="B1198" s="816" t="s">
        <v>4888</v>
      </c>
      <c r="C1198" s="110">
        <v>2028</v>
      </c>
      <c r="D1198" s="687" t="s">
        <v>4974</v>
      </c>
      <c r="E1198" s="688">
        <v>3.284678350794977E-2</v>
      </c>
      <c r="F1198" s="310">
        <v>5.9123400854626381E-3</v>
      </c>
      <c r="G1198" s="311">
        <v>3.1550418537000399E-2</v>
      </c>
      <c r="H1198" s="311">
        <v>1.038421625741382E-3</v>
      </c>
      <c r="I1198" s="394">
        <v>1.127491673632425E-3</v>
      </c>
      <c r="J1198" s="689">
        <v>4.451359001263151E-5</v>
      </c>
      <c r="K1198" s="690">
        <v>4.6526297109812842E-5</v>
      </c>
    </row>
    <row r="1199" spans="2:11" ht="15.75" x14ac:dyDescent="0.25">
      <c r="B1199" s="816" t="s">
        <v>4888</v>
      </c>
      <c r="C1199" s="110">
        <v>2029</v>
      </c>
      <c r="D1199" s="687" t="s">
        <v>4975</v>
      </c>
      <c r="E1199" s="688">
        <v>3.2021621496837759E-2</v>
      </c>
      <c r="F1199" s="310">
        <v>5.3217954194070055E-3</v>
      </c>
      <c r="G1199" s="311">
        <v>2.916137930487557E-2</v>
      </c>
      <c r="H1199" s="311">
        <v>9.7117656655741223E-4</v>
      </c>
      <c r="I1199" s="394">
        <v>1.0545585462605161E-3</v>
      </c>
      <c r="J1199" s="689">
        <v>3.9756612616317467E-5</v>
      </c>
      <c r="K1199" s="690">
        <v>4.1554229717026897E-5</v>
      </c>
    </row>
    <row r="1200" spans="2:11" ht="15.75" x14ac:dyDescent="0.25">
      <c r="B1200" s="816" t="s">
        <v>4888</v>
      </c>
      <c r="C1200" s="110">
        <v>2030</v>
      </c>
      <c r="D1200" s="687" t="s">
        <v>4976</v>
      </c>
      <c r="E1200" s="688">
        <v>3.1277598038601979E-2</v>
      </c>
      <c r="F1200" s="310">
        <v>4.8260041412428152E-3</v>
      </c>
      <c r="G1200" s="311">
        <v>2.7191355643564685E-2</v>
      </c>
      <c r="H1200" s="311">
        <v>9.0810480775069258E-4</v>
      </c>
      <c r="I1200" s="394">
        <v>9.8614392957788633E-4</v>
      </c>
      <c r="J1200" s="689">
        <v>3.5468123265036131E-5</v>
      </c>
      <c r="K1200" s="690">
        <v>3.7071836587315093E-5</v>
      </c>
    </row>
    <row r="1201" spans="2:11" ht="15.75" x14ac:dyDescent="0.25">
      <c r="B1201" s="816" t="s">
        <v>4888</v>
      </c>
      <c r="C1201" s="110">
        <v>2031</v>
      </c>
      <c r="D1201" s="687" t="s">
        <v>4977</v>
      </c>
      <c r="E1201" s="688">
        <v>3.0609746181944484E-2</v>
      </c>
      <c r="F1201" s="310">
        <v>4.3976374746688245E-3</v>
      </c>
      <c r="G1201" s="311">
        <v>2.5544337161095956E-2</v>
      </c>
      <c r="H1201" s="311">
        <v>8.5058277740067683E-4</v>
      </c>
      <c r="I1201" s="394">
        <v>9.237031744751753E-4</v>
      </c>
      <c r="J1201" s="689">
        <v>3.2648673168738102E-5</v>
      </c>
      <c r="K1201" s="690">
        <v>3.4124902270982145E-5</v>
      </c>
    </row>
    <row r="1202" spans="2:11" ht="15.75" x14ac:dyDescent="0.25">
      <c r="B1202" s="816" t="s">
        <v>4888</v>
      </c>
      <c r="C1202" s="110">
        <v>2032</v>
      </c>
      <c r="D1202" s="687" t="s">
        <v>4978</v>
      </c>
      <c r="E1202" s="688">
        <v>3.0012786862883615E-2</v>
      </c>
      <c r="F1202" s="310">
        <v>4.0248354491813822E-3</v>
      </c>
      <c r="G1202" s="311">
        <v>2.4180809053235566E-2</v>
      </c>
      <c r="H1202" s="311">
        <v>7.9728919874741606E-4</v>
      </c>
      <c r="I1202" s="394">
        <v>8.658571606185001E-4</v>
      </c>
      <c r="J1202" s="689">
        <v>2.9922344483136294E-5</v>
      </c>
      <c r="K1202" s="690">
        <v>3.127530324352884E-5</v>
      </c>
    </row>
    <row r="1203" spans="2:11" ht="15.75" x14ac:dyDescent="0.25">
      <c r="B1203" s="816" t="s">
        <v>4888</v>
      </c>
      <c r="C1203" s="110">
        <v>2033</v>
      </c>
      <c r="D1203" s="687" t="s">
        <v>4979</v>
      </c>
      <c r="E1203" s="688">
        <v>2.9480728038849907E-2</v>
      </c>
      <c r="F1203" s="310">
        <v>3.707338071035906E-3</v>
      </c>
      <c r="G1203" s="311">
        <v>2.307573365945164E-2</v>
      </c>
      <c r="H1203" s="311">
        <v>7.4943322757900163E-4</v>
      </c>
      <c r="I1203" s="394">
        <v>8.1388389941480332E-4</v>
      </c>
      <c r="J1203" s="689">
        <v>2.8156575640271231E-5</v>
      </c>
      <c r="K1203" s="690">
        <v>2.9429683295026262E-5</v>
      </c>
    </row>
    <row r="1204" spans="2:11" ht="15.75" x14ac:dyDescent="0.25">
      <c r="B1204" s="816" t="s">
        <v>4888</v>
      </c>
      <c r="C1204" s="110">
        <v>2034</v>
      </c>
      <c r="D1204" s="687" t="s">
        <v>4980</v>
      </c>
      <c r="E1204" s="688">
        <v>2.9008623429829895E-2</v>
      </c>
      <c r="F1204" s="310">
        <v>3.424917676206566E-3</v>
      </c>
      <c r="G1204" s="311">
        <v>2.2143505842269724E-2</v>
      </c>
      <c r="H1204" s="311">
        <v>7.0577318518761343E-4</v>
      </c>
      <c r="I1204" s="394">
        <v>7.6646414903743432E-4</v>
      </c>
      <c r="J1204" s="689">
        <v>2.6624272554427264E-5</v>
      </c>
      <c r="K1204" s="690">
        <v>2.7828093480682696E-5</v>
      </c>
    </row>
    <row r="1205" spans="2:11" ht="15.75" x14ac:dyDescent="0.25">
      <c r="B1205" s="816" t="s">
        <v>4888</v>
      </c>
      <c r="C1205" s="110">
        <v>2035</v>
      </c>
      <c r="D1205" s="687" t="s">
        <v>4981</v>
      </c>
      <c r="E1205" s="688">
        <v>2.8590643425783258E-2</v>
      </c>
      <c r="F1205" s="310">
        <v>3.1781135147236294E-3</v>
      </c>
      <c r="G1205" s="311">
        <v>2.1374753190283775E-2</v>
      </c>
      <c r="H1205" s="311">
        <v>6.6630772787321926E-4</v>
      </c>
      <c r="I1205" s="394">
        <v>7.2360227023307556E-4</v>
      </c>
      <c r="J1205" s="689">
        <v>2.5215034011008885E-5</v>
      </c>
      <c r="K1205" s="690">
        <v>2.635514893368277E-5</v>
      </c>
    </row>
    <row r="1206" spans="2:11" ht="15.75" x14ac:dyDescent="0.25">
      <c r="B1206" s="816" t="s">
        <v>4888</v>
      </c>
      <c r="C1206" s="110">
        <v>2036</v>
      </c>
      <c r="D1206" s="687" t="s">
        <v>4982</v>
      </c>
      <c r="E1206" s="688">
        <v>2.8222897649610345E-2</v>
      </c>
      <c r="F1206" s="310">
        <v>2.9630630861378592E-3</v>
      </c>
      <c r="G1206" s="311">
        <v>2.0732961526328114E-2</v>
      </c>
      <c r="H1206" s="311">
        <v>6.3216806641358189E-4</v>
      </c>
      <c r="I1206" s="394">
        <v>6.8652448024969146E-4</v>
      </c>
      <c r="J1206" s="689">
        <v>2.3982578687485983E-5</v>
      </c>
      <c r="K1206" s="690">
        <v>2.506696832107052E-5</v>
      </c>
    </row>
    <row r="1207" spans="2:11" ht="15.75" x14ac:dyDescent="0.25">
      <c r="B1207" s="816" t="s">
        <v>4888</v>
      </c>
      <c r="C1207" s="110">
        <v>2037</v>
      </c>
      <c r="D1207" s="687" t="s">
        <v>4983</v>
      </c>
      <c r="E1207" s="688">
        <v>2.7903709704029032E-2</v>
      </c>
      <c r="F1207" s="310">
        <v>2.7801488772084973E-3</v>
      </c>
      <c r="G1207" s="311">
        <v>2.0211857503286797E-2</v>
      </c>
      <c r="H1207" s="311">
        <v>6.0213905385519766E-4</v>
      </c>
      <c r="I1207" s="394">
        <v>6.5391419385423433E-4</v>
      </c>
      <c r="J1207" s="689">
        <v>2.2809610760003182E-5</v>
      </c>
      <c r="K1207" s="690">
        <v>2.3840963794120076E-5</v>
      </c>
    </row>
    <row r="1208" spans="2:11" ht="15.75" x14ac:dyDescent="0.25">
      <c r="B1208" s="816" t="s">
        <v>4888</v>
      </c>
      <c r="C1208" s="110">
        <v>2038</v>
      </c>
      <c r="D1208" s="687" t="s">
        <v>4984</v>
      </c>
      <c r="E1208" s="688">
        <v>2.7627606737478636E-2</v>
      </c>
      <c r="F1208" s="310">
        <v>2.6181313172912606E-3</v>
      </c>
      <c r="G1208" s="311">
        <v>1.9759379540181664E-2</v>
      </c>
      <c r="H1208" s="311">
        <v>5.7611381381373673E-4</v>
      </c>
      <c r="I1208" s="394">
        <v>6.2564582385477247E-4</v>
      </c>
      <c r="J1208" s="689">
        <v>2.1955639927917022E-5</v>
      </c>
      <c r="K1208" s="690">
        <v>2.2948372829232989E-5</v>
      </c>
    </row>
    <row r="1209" spans="2:11" ht="15.75" x14ac:dyDescent="0.25">
      <c r="B1209" s="816" t="s">
        <v>4888</v>
      </c>
      <c r="C1209" s="110">
        <v>2039</v>
      </c>
      <c r="D1209" s="687" t="s">
        <v>4985</v>
      </c>
      <c r="E1209" s="688">
        <v>2.7388860440286576E-2</v>
      </c>
      <c r="F1209" s="310">
        <v>2.4695496450564307E-3</v>
      </c>
      <c r="G1209" s="311">
        <v>1.934750696278973E-2</v>
      </c>
      <c r="H1209" s="311">
        <v>5.5354974477177439E-4</v>
      </c>
      <c r="I1209" s="394">
        <v>6.0113510607666008E-4</v>
      </c>
      <c r="J1209" s="689">
        <v>2.1252980589446044E-5</v>
      </c>
      <c r="K1209" s="690">
        <v>2.2213943305176981E-5</v>
      </c>
    </row>
    <row r="1210" spans="2:11" ht="15.75" x14ac:dyDescent="0.25">
      <c r="B1210" s="816" t="s">
        <v>4888</v>
      </c>
      <c r="C1210" s="110">
        <v>2040</v>
      </c>
      <c r="D1210" s="687" t="s">
        <v>4986</v>
      </c>
      <c r="E1210" s="688">
        <v>2.7184148230630128E-2</v>
      </c>
      <c r="F1210" s="310">
        <v>2.3360790631669786E-3</v>
      </c>
      <c r="G1210" s="311">
        <v>1.8995366725634157E-2</v>
      </c>
      <c r="H1210" s="311">
        <v>5.3406282733558478E-4</v>
      </c>
      <c r="I1210" s="394">
        <v>5.799668053171925E-4</v>
      </c>
      <c r="J1210" s="689">
        <v>2.0644261080728432E-5</v>
      </c>
      <c r="K1210" s="690">
        <v>2.1577698512415895E-5</v>
      </c>
    </row>
    <row r="1211" spans="2:11" ht="15.75" x14ac:dyDescent="0.25">
      <c r="B1211" s="816" t="s">
        <v>4888</v>
      </c>
      <c r="C1211" s="110">
        <v>2041</v>
      </c>
      <c r="D1211" s="687" t="s">
        <v>4987</v>
      </c>
      <c r="E1211" s="688">
        <v>2.7011336375571876E-2</v>
      </c>
      <c r="F1211" s="310">
        <v>2.2310327603208818E-3</v>
      </c>
      <c r="G1211" s="311">
        <v>1.8718811337271775E-2</v>
      </c>
      <c r="H1211" s="311">
        <v>5.1870937864843033E-4</v>
      </c>
      <c r="I1211" s="394">
        <v>5.6329020172163314E-4</v>
      </c>
      <c r="J1211" s="689">
        <v>2.0145064699187215E-5</v>
      </c>
      <c r="K1211" s="690">
        <v>2.1055937342913073E-5</v>
      </c>
    </row>
    <row r="1212" spans="2:11" ht="15.75" x14ac:dyDescent="0.25">
      <c r="B1212" s="816" t="s">
        <v>4888</v>
      </c>
      <c r="C1212" s="110">
        <v>2042</v>
      </c>
      <c r="D1212" s="687" t="s">
        <v>4988</v>
      </c>
      <c r="E1212" s="688">
        <v>2.6863368339148416E-2</v>
      </c>
      <c r="F1212" s="310">
        <v>2.139412933387604E-3</v>
      </c>
      <c r="G1212" s="311">
        <v>1.8462239906178731E-2</v>
      </c>
      <c r="H1212" s="311">
        <v>5.0574364387636402E-4</v>
      </c>
      <c r="I1212" s="394">
        <v>5.4920588504718353E-4</v>
      </c>
      <c r="J1212" s="689">
        <v>1.97415456928762E-5</v>
      </c>
      <c r="K1212" s="690">
        <v>2.063416796955219E-5</v>
      </c>
    </row>
    <row r="1213" spans="2:11" ht="15.75" x14ac:dyDescent="0.25">
      <c r="B1213" s="816" t="s">
        <v>4888</v>
      </c>
      <c r="C1213" s="110">
        <v>2043</v>
      </c>
      <c r="D1213" s="687" t="s">
        <v>4989</v>
      </c>
      <c r="E1213" s="688">
        <v>2.6738733679096897E-2</v>
      </c>
      <c r="F1213" s="310">
        <v>2.0695073008488553E-3</v>
      </c>
      <c r="G1213" s="311">
        <v>1.8270411256584254E-2</v>
      </c>
      <c r="H1213" s="311">
        <v>4.9489253080314908E-4</v>
      </c>
      <c r="I1213" s="394">
        <v>5.3741866806633284E-4</v>
      </c>
      <c r="J1213" s="689">
        <v>1.9408077201824656E-5</v>
      </c>
      <c r="K1213" s="690">
        <v>2.0285623493912275E-5</v>
      </c>
    </row>
    <row r="1214" spans="2:11" ht="15.75" x14ac:dyDescent="0.25">
      <c r="B1214" s="816" t="s">
        <v>4888</v>
      </c>
      <c r="C1214" s="110">
        <v>2044</v>
      </c>
      <c r="D1214" s="687" t="s">
        <v>4990</v>
      </c>
      <c r="E1214" s="688">
        <v>2.6632375063915973E-2</v>
      </c>
      <c r="F1214" s="310">
        <v>2.0175330820984198E-3</v>
      </c>
      <c r="G1214" s="311">
        <v>1.8120305979958649E-2</v>
      </c>
      <c r="H1214" s="311">
        <v>4.8584987060791123E-4</v>
      </c>
      <c r="I1214" s="394">
        <v>5.2759449687056459E-4</v>
      </c>
      <c r="J1214" s="689">
        <v>1.9146222316036158E-5</v>
      </c>
      <c r="K1214" s="690">
        <v>2.0011927584925416E-5</v>
      </c>
    </row>
    <row r="1215" spans="2:11" ht="15.75" x14ac:dyDescent="0.25">
      <c r="B1215" s="816" t="s">
        <v>4888</v>
      </c>
      <c r="C1215" s="110">
        <v>2045</v>
      </c>
      <c r="D1215" s="687" t="s">
        <v>4991</v>
      </c>
      <c r="E1215" s="688">
        <v>2.6540241160241788E-2</v>
      </c>
      <c r="F1215" s="310">
        <v>1.9819031248857334E-3</v>
      </c>
      <c r="G1215" s="311">
        <v>1.8018287975500674E-2</v>
      </c>
      <c r="H1215" s="311">
        <v>4.7830589846095423E-4</v>
      </c>
      <c r="I1215" s="394">
        <v>5.193986529796349E-4</v>
      </c>
      <c r="J1215" s="689">
        <v>1.8934799597180048E-5</v>
      </c>
      <c r="K1215" s="690">
        <v>1.9790952742084267E-5</v>
      </c>
    </row>
    <row r="1216" spans="2:11" ht="15.75" x14ac:dyDescent="0.25">
      <c r="B1216" s="816" t="s">
        <v>4888</v>
      </c>
      <c r="C1216" s="110">
        <v>2046</v>
      </c>
      <c r="D1216" s="687" t="s">
        <v>4992</v>
      </c>
      <c r="E1216" s="688">
        <v>2.6460790046001822E-2</v>
      </c>
      <c r="F1216" s="310">
        <v>1.9506268428281692E-3</v>
      </c>
      <c r="G1216" s="311">
        <v>1.7931472358615398E-2</v>
      </c>
      <c r="H1216" s="311">
        <v>4.7206232598985342E-4</v>
      </c>
      <c r="I1216" s="394">
        <v>5.126158839916852E-4</v>
      </c>
      <c r="J1216" s="689">
        <v>1.8765370434998327E-5</v>
      </c>
      <c r="K1216" s="690">
        <v>1.9613861854023011E-5</v>
      </c>
    </row>
    <row r="1217" spans="2:11" ht="15.75" x14ac:dyDescent="0.25">
      <c r="B1217" s="816" t="s">
        <v>4888</v>
      </c>
      <c r="C1217" s="110">
        <v>2047</v>
      </c>
      <c r="D1217" s="687" t="s">
        <v>4993</v>
      </c>
      <c r="E1217" s="688">
        <v>2.6394974360878148E-2</v>
      </c>
      <c r="F1217" s="310">
        <v>1.9223940657408876E-3</v>
      </c>
      <c r="G1217" s="311">
        <v>1.7846966315609922E-2</v>
      </c>
      <c r="H1217" s="311">
        <v>4.6690529976066122E-4</v>
      </c>
      <c r="I1217" s="394">
        <v>5.0701355077963322E-4</v>
      </c>
      <c r="J1217" s="689">
        <v>1.8615554581452959E-5</v>
      </c>
      <c r="K1217" s="690">
        <v>1.9457268999858965E-5</v>
      </c>
    </row>
    <row r="1218" spans="2:11" ht="15.75" x14ac:dyDescent="0.25">
      <c r="B1218" s="816" t="s">
        <v>4888</v>
      </c>
      <c r="C1218" s="110">
        <v>2048</v>
      </c>
      <c r="D1218" s="687" t="s">
        <v>4994</v>
      </c>
      <c r="E1218" s="688">
        <v>2.6339079895134013E-2</v>
      </c>
      <c r="F1218" s="310">
        <v>1.899900363455853E-3</v>
      </c>
      <c r="G1218" s="311">
        <v>1.7779100048441396E-2</v>
      </c>
      <c r="H1218" s="311">
        <v>4.626538603046102E-4</v>
      </c>
      <c r="I1218" s="394">
        <v>5.0239517740068495E-4</v>
      </c>
      <c r="J1218" s="689">
        <v>1.8472604243838316E-5</v>
      </c>
      <c r="K1218" s="690">
        <v>1.9307854552757953E-5</v>
      </c>
    </row>
    <row r="1219" spans="2:11" ht="15.75" x14ac:dyDescent="0.25">
      <c r="B1219" s="816" t="s">
        <v>4888</v>
      </c>
      <c r="C1219" s="110">
        <v>2049</v>
      </c>
      <c r="D1219" s="687" t="s">
        <v>4995</v>
      </c>
      <c r="E1219" s="688">
        <v>2.6291495592407722E-2</v>
      </c>
      <c r="F1219" s="310">
        <v>1.890921271592231E-3</v>
      </c>
      <c r="G1219" s="311">
        <v>1.7787158247556001E-2</v>
      </c>
      <c r="H1219" s="311">
        <v>4.5987469187327247E-4</v>
      </c>
      <c r="I1219" s="394">
        <v>4.9937740584762283E-4</v>
      </c>
      <c r="J1219" s="689">
        <v>1.8377102234671148E-5</v>
      </c>
      <c r="K1219" s="690">
        <v>1.9208035629102112E-5</v>
      </c>
    </row>
    <row r="1220" spans="2:11" ht="15.75" x14ac:dyDescent="0.25">
      <c r="B1220" s="816" t="s">
        <v>4888</v>
      </c>
      <c r="C1220" s="110">
        <v>2050</v>
      </c>
      <c r="D1220" s="687" t="s">
        <v>4996</v>
      </c>
      <c r="E1220" s="688">
        <v>2.6253659916288447E-2</v>
      </c>
      <c r="F1220" s="310">
        <v>1.8837221136598396E-3</v>
      </c>
      <c r="G1220" s="311">
        <v>1.7795793816237679E-2</v>
      </c>
      <c r="H1220" s="311">
        <v>4.5764110729220133E-4</v>
      </c>
      <c r="I1220" s="394">
        <v>4.9695208445204155E-4</v>
      </c>
      <c r="J1220" s="689">
        <v>1.8281700991388729E-5</v>
      </c>
      <c r="K1220" s="690">
        <v>1.9108316322142041E-5</v>
      </c>
    </row>
    <row r="1221" spans="2:11" ht="15.75" x14ac:dyDescent="0.25">
      <c r="B1221" s="667" t="s">
        <v>85</v>
      </c>
      <c r="C1221" s="110">
        <v>2015</v>
      </c>
      <c r="D1221" s="687" t="s">
        <v>263</v>
      </c>
      <c r="E1221" s="688">
        <v>4.5901134511664103E-2</v>
      </c>
      <c r="F1221" s="310">
        <v>0.12627469595873797</v>
      </c>
      <c r="G1221" s="311">
        <v>0.38495996595851445</v>
      </c>
      <c r="H1221" s="311">
        <v>3.7865724716169892E-3</v>
      </c>
      <c r="I1221" s="394">
        <v>4.0927749318727157E-3</v>
      </c>
      <c r="J1221" s="689">
        <v>3.3033051647831453E-4</v>
      </c>
      <c r="K1221" s="690">
        <v>3.4526660077346748E-4</v>
      </c>
    </row>
    <row r="1222" spans="2:11" ht="15.75" x14ac:dyDescent="0.25">
      <c r="B1222" s="667" t="s">
        <v>85</v>
      </c>
      <c r="C1222" s="110">
        <v>2016</v>
      </c>
      <c r="D1222" s="687" t="s">
        <v>264</v>
      </c>
      <c r="E1222" s="688">
        <v>4.511136773229573E-2</v>
      </c>
      <c r="F1222" s="310">
        <v>0.10968829045505137</v>
      </c>
      <c r="G1222" s="311">
        <v>0.34157488953729009</v>
      </c>
      <c r="H1222" s="311">
        <v>3.5346752877587284E-3</v>
      </c>
      <c r="I1222" s="394">
        <v>3.8221343684270207E-3</v>
      </c>
      <c r="J1222" s="689">
        <v>3.0757390954904958E-4</v>
      </c>
      <c r="K1222" s="690">
        <v>3.2148103683680984E-4</v>
      </c>
    </row>
    <row r="1223" spans="2:11" ht="15.75" x14ac:dyDescent="0.25">
      <c r="B1223" s="667" t="s">
        <v>85</v>
      </c>
      <c r="C1223" s="110">
        <v>2017</v>
      </c>
      <c r="D1223" s="687" t="s">
        <v>1794</v>
      </c>
      <c r="E1223" s="688">
        <v>4.4112569801788688E-2</v>
      </c>
      <c r="F1223" s="310">
        <v>9.2903583604309475E-2</v>
      </c>
      <c r="G1223" s="311">
        <v>0.29862801496347824</v>
      </c>
      <c r="H1223" s="311">
        <v>3.3105839377425765E-3</v>
      </c>
      <c r="I1223" s="394">
        <v>3.5819076350205991E-3</v>
      </c>
      <c r="J1223" s="689">
        <v>2.8285832950370685E-4</v>
      </c>
      <c r="K1223" s="690">
        <v>2.9564792220814254E-4</v>
      </c>
    </row>
    <row r="1224" spans="2:11" ht="15.75" x14ac:dyDescent="0.25">
      <c r="B1224" s="667" t="s">
        <v>85</v>
      </c>
      <c r="C1224" s="110">
        <v>2018</v>
      </c>
      <c r="D1224" s="687" t="s">
        <v>1795</v>
      </c>
      <c r="E1224" s="688">
        <v>4.3015336416927591E-2</v>
      </c>
      <c r="F1224" s="310">
        <v>7.8107393766649311E-2</v>
      </c>
      <c r="G1224" s="311">
        <v>0.25994442664042577</v>
      </c>
      <c r="H1224" s="311">
        <v>3.1395818354946555E-3</v>
      </c>
      <c r="I1224" s="394">
        <v>3.3988766161537403E-3</v>
      </c>
      <c r="J1224" s="689">
        <v>2.6092328561352099E-4</v>
      </c>
      <c r="K1224" s="690">
        <v>2.7272107553111724E-4</v>
      </c>
    </row>
    <row r="1225" spans="2:11" ht="15.75" x14ac:dyDescent="0.25">
      <c r="B1225" s="667" t="s">
        <v>85</v>
      </c>
      <c r="C1225" s="110">
        <v>2019</v>
      </c>
      <c r="D1225" s="687" t="s">
        <v>1796</v>
      </c>
      <c r="E1225" s="688">
        <v>4.1799062783319844E-2</v>
      </c>
      <c r="F1225" s="310">
        <v>6.5355145168895137E-2</v>
      </c>
      <c r="G1225" s="311">
        <v>0.22592552633191845</v>
      </c>
      <c r="H1225" s="311">
        <v>2.9988511068062057E-3</v>
      </c>
      <c r="I1225" s="394">
        <v>3.248287275472357E-3</v>
      </c>
      <c r="J1225" s="689">
        <v>2.4074655984543313E-4</v>
      </c>
      <c r="K1225" s="690">
        <v>2.5163204628978679E-4</v>
      </c>
    </row>
    <row r="1226" spans="2:11" ht="15.75" x14ac:dyDescent="0.25">
      <c r="B1226" s="667" t="s">
        <v>85</v>
      </c>
      <c r="C1226" s="110">
        <v>2020</v>
      </c>
      <c r="D1226" s="687" t="s">
        <v>1797</v>
      </c>
      <c r="E1226" s="688">
        <v>4.0618259065777276E-2</v>
      </c>
      <c r="F1226" s="310">
        <v>5.5344398579686302E-2</v>
      </c>
      <c r="G1226" s="311">
        <v>0.19662499299777808</v>
      </c>
      <c r="H1226" s="311">
        <v>2.8442391346589361E-3</v>
      </c>
      <c r="I1226" s="394">
        <v>3.0817823305379806E-3</v>
      </c>
      <c r="J1226" s="689">
        <v>2.2250402904482123E-4</v>
      </c>
      <c r="K1226" s="690">
        <v>2.3256467855806858E-4</v>
      </c>
    </row>
    <row r="1227" spans="2:11" ht="15.75" x14ac:dyDescent="0.25">
      <c r="B1227" s="667" t="s">
        <v>85</v>
      </c>
      <c r="C1227" s="110">
        <v>2021</v>
      </c>
      <c r="D1227" s="687" t="s">
        <v>1798</v>
      </c>
      <c r="E1227" s="688">
        <v>3.9411674126291617E-2</v>
      </c>
      <c r="F1227" s="310">
        <v>4.667340744295715E-2</v>
      </c>
      <c r="G1227" s="311">
        <v>0.16986329889484331</v>
      </c>
      <c r="H1227" s="311">
        <v>2.6530274192600139E-3</v>
      </c>
      <c r="I1227" s="394">
        <v>2.875259609020409E-3</v>
      </c>
      <c r="J1227" s="689">
        <v>2.0474116732498764E-4</v>
      </c>
      <c r="K1227" s="690">
        <v>2.1399866153001847E-4</v>
      </c>
    </row>
    <row r="1228" spans="2:11" ht="15.75" x14ac:dyDescent="0.25">
      <c r="B1228" s="667" t="s">
        <v>85</v>
      </c>
      <c r="C1228" s="110">
        <v>2022</v>
      </c>
      <c r="D1228" s="687" t="s">
        <v>1799</v>
      </c>
      <c r="E1228" s="688">
        <v>3.8208966336568853E-2</v>
      </c>
      <c r="F1228" s="310">
        <v>3.7252960379348297E-2</v>
      </c>
      <c r="G1228" s="311">
        <v>0.14511676863215009</v>
      </c>
      <c r="H1228" s="311">
        <v>2.4672399324055525E-3</v>
      </c>
      <c r="I1228" s="394">
        <v>2.6750950297367488E-3</v>
      </c>
      <c r="J1228" s="689">
        <v>1.8513109720720043E-4</v>
      </c>
      <c r="K1228" s="690">
        <v>1.9350190355089185E-4</v>
      </c>
    </row>
    <row r="1229" spans="2:11" ht="15.75" x14ac:dyDescent="0.25">
      <c r="B1229" s="667" t="s">
        <v>85</v>
      </c>
      <c r="C1229" s="110">
        <v>2023</v>
      </c>
      <c r="D1229" s="687" t="s">
        <v>1800</v>
      </c>
      <c r="E1229" s="688">
        <v>3.7014056811565194E-2</v>
      </c>
      <c r="F1229" s="310">
        <v>3.1931120534373587E-2</v>
      </c>
      <c r="G1229" s="311">
        <v>0.1259479665754033</v>
      </c>
      <c r="H1229" s="311">
        <v>2.2956537620805011E-3</v>
      </c>
      <c r="I1229" s="394">
        <v>2.4896201742530153E-3</v>
      </c>
      <c r="J1229" s="689">
        <v>1.6272512219426045E-4</v>
      </c>
      <c r="K1229" s="690">
        <v>1.7008282602962993E-4</v>
      </c>
    </row>
    <row r="1230" spans="2:11" ht="15.75" x14ac:dyDescent="0.25">
      <c r="B1230" s="667" t="s">
        <v>85</v>
      </c>
      <c r="C1230" s="110">
        <v>2024</v>
      </c>
      <c r="D1230" s="687" t="s">
        <v>1801</v>
      </c>
      <c r="E1230" s="688">
        <v>3.5831720708225032E-2</v>
      </c>
      <c r="F1230" s="310">
        <v>2.7410580674064881E-2</v>
      </c>
      <c r="G1230" s="311">
        <v>0.10968131309321918</v>
      </c>
      <c r="H1230" s="311">
        <v>2.1438436370955953E-3</v>
      </c>
      <c r="I1230" s="394">
        <v>2.3255381110936953E-3</v>
      </c>
      <c r="J1230" s="689">
        <v>1.4236902786168306E-4</v>
      </c>
      <c r="K1230" s="690">
        <v>1.4880632681382944E-4</v>
      </c>
    </row>
    <row r="1231" spans="2:11" ht="15.75" x14ac:dyDescent="0.25">
      <c r="B1231" s="667" t="s">
        <v>85</v>
      </c>
      <c r="C1231" s="110">
        <v>2025</v>
      </c>
      <c r="D1231" s="687" t="s">
        <v>1802</v>
      </c>
      <c r="E1231" s="688">
        <v>3.4670576250560158E-2</v>
      </c>
      <c r="F1231" s="310">
        <v>2.4076137596661183E-2</v>
      </c>
      <c r="G1231" s="311">
        <v>9.7214224790324363E-2</v>
      </c>
      <c r="H1231" s="311">
        <v>2.0279203088832071E-3</v>
      </c>
      <c r="I1231" s="394">
        <v>2.2002690798605075E-3</v>
      </c>
      <c r="J1231" s="689">
        <v>1.2434239113293775E-4</v>
      </c>
      <c r="K1231" s="690">
        <v>1.299646007346805E-4</v>
      </c>
    </row>
    <row r="1232" spans="2:11" ht="15.75" x14ac:dyDescent="0.25">
      <c r="B1232" s="667" t="s">
        <v>85</v>
      </c>
      <c r="C1232" s="110">
        <v>2026</v>
      </c>
      <c r="D1232" s="687" t="s">
        <v>1803</v>
      </c>
      <c r="E1232" s="688">
        <v>3.3599014692697035E-2</v>
      </c>
      <c r="F1232" s="310">
        <v>2.1194156233008358E-2</v>
      </c>
      <c r="G1232" s="311">
        <v>8.6714994935583961E-2</v>
      </c>
      <c r="H1232" s="311">
        <v>1.9230840873535769E-3</v>
      </c>
      <c r="I1232" s="394">
        <v>2.0868044073075521E-3</v>
      </c>
      <c r="J1232" s="689">
        <v>1.1146907661484766E-4</v>
      </c>
      <c r="K1232" s="690">
        <v>1.1650921217346005E-4</v>
      </c>
    </row>
    <row r="1233" spans="2:11" ht="15.75" x14ac:dyDescent="0.25">
      <c r="B1233" s="667" t="s">
        <v>85</v>
      </c>
      <c r="C1233" s="110">
        <v>2027</v>
      </c>
      <c r="D1233" s="687" t="s">
        <v>1804</v>
      </c>
      <c r="E1233" s="688">
        <v>3.2606519640201066E-2</v>
      </c>
      <c r="F1233" s="310">
        <v>1.8838925793943594E-2</v>
      </c>
      <c r="G1233" s="311">
        <v>7.7899004651559106E-2</v>
      </c>
      <c r="H1233" s="311">
        <v>1.8119753050742813E-3</v>
      </c>
      <c r="I1233" s="394">
        <v>1.9666575478151406E-3</v>
      </c>
      <c r="J1233" s="689">
        <v>9.511968324311063E-5</v>
      </c>
      <c r="K1233" s="690">
        <v>9.942057605201469E-5</v>
      </c>
    </row>
    <row r="1234" spans="2:11" ht="15.75" x14ac:dyDescent="0.25">
      <c r="B1234" s="667" t="s">
        <v>85</v>
      </c>
      <c r="C1234" s="110">
        <v>2028</v>
      </c>
      <c r="D1234" s="687" t="s">
        <v>1805</v>
      </c>
      <c r="E1234" s="688">
        <v>3.169990097525778E-2</v>
      </c>
      <c r="F1234" s="310">
        <v>1.6795358795453196E-2</v>
      </c>
      <c r="G1234" s="311">
        <v>7.0275388662935354E-2</v>
      </c>
      <c r="H1234" s="311">
        <v>1.6902668801336983E-3</v>
      </c>
      <c r="I1234" s="394">
        <v>1.8351383873744585E-3</v>
      </c>
      <c r="J1234" s="689">
        <v>7.5069652322780179E-5</v>
      </c>
      <c r="K1234" s="690">
        <v>7.8463965377322675E-5</v>
      </c>
    </row>
    <row r="1235" spans="2:11" ht="15.75" x14ac:dyDescent="0.25">
      <c r="B1235" s="667" t="s">
        <v>85</v>
      </c>
      <c r="C1235" s="110">
        <v>2029</v>
      </c>
      <c r="D1235" s="687" t="s">
        <v>1806</v>
      </c>
      <c r="E1235" s="688">
        <v>3.0875268836161009E-2</v>
      </c>
      <c r="F1235" s="310">
        <v>1.4819143510044501E-2</v>
      </c>
      <c r="G1235" s="311">
        <v>6.317473253796807E-2</v>
      </c>
      <c r="H1235" s="311">
        <v>1.5776609446685162E-3</v>
      </c>
      <c r="I1235" s="394">
        <v>1.7131272237045855E-3</v>
      </c>
      <c r="J1235" s="689">
        <v>6.4259938942414334E-5</v>
      </c>
      <c r="K1235" s="690">
        <v>6.7165484713633405E-5</v>
      </c>
    </row>
    <row r="1236" spans="2:11" ht="15.75" x14ac:dyDescent="0.25">
      <c r="B1236" s="667" t="s">
        <v>85</v>
      </c>
      <c r="C1236" s="110">
        <v>2030</v>
      </c>
      <c r="D1236" s="687" t="s">
        <v>1807</v>
      </c>
      <c r="E1236" s="688">
        <v>3.0130029472070257E-2</v>
      </c>
      <c r="F1236" s="310">
        <v>1.3241544706536127E-2</v>
      </c>
      <c r="G1236" s="311">
        <v>5.719872404102519E-2</v>
      </c>
      <c r="H1236" s="311">
        <v>1.476304780317931E-3</v>
      </c>
      <c r="I1236" s="394">
        <v>1.6030858925930188E-3</v>
      </c>
      <c r="J1236" s="689">
        <v>5.9706286880541079E-5</v>
      </c>
      <c r="K1236" s="690">
        <v>6.2405937045334416E-5</v>
      </c>
    </row>
    <row r="1237" spans="2:11" ht="15.75" x14ac:dyDescent="0.25">
      <c r="B1237" s="667" t="s">
        <v>85</v>
      </c>
      <c r="C1237" s="110">
        <v>2031</v>
      </c>
      <c r="D1237" s="687" t="s">
        <v>1808</v>
      </c>
      <c r="E1237" s="688">
        <v>2.9460292958503883E-2</v>
      </c>
      <c r="F1237" s="310">
        <v>1.1789358440702159E-2</v>
      </c>
      <c r="G1237" s="311">
        <v>5.1777403023950917E-2</v>
      </c>
      <c r="H1237" s="311">
        <v>1.3768343443932361E-3</v>
      </c>
      <c r="I1237" s="394">
        <v>1.4951657759678884E-3</v>
      </c>
      <c r="J1237" s="689">
        <v>5.350610173848584E-5</v>
      </c>
      <c r="K1237" s="690">
        <v>5.5925407172077932E-5</v>
      </c>
    </row>
    <row r="1238" spans="2:11" ht="15.75" x14ac:dyDescent="0.25">
      <c r="B1238" s="667" t="s">
        <v>85</v>
      </c>
      <c r="C1238" s="110">
        <v>2032</v>
      </c>
      <c r="D1238" s="687" t="s">
        <v>1809</v>
      </c>
      <c r="E1238" s="688">
        <v>2.8863987316443129E-2</v>
      </c>
      <c r="F1238" s="310">
        <v>1.0547406568833104E-2</v>
      </c>
      <c r="G1238" s="311">
        <v>4.7302277135622926E-2</v>
      </c>
      <c r="H1238" s="311">
        <v>1.286544629760214E-3</v>
      </c>
      <c r="I1238" s="394">
        <v>1.397193926460095E-3</v>
      </c>
      <c r="J1238" s="689">
        <v>4.8150816348591426E-5</v>
      </c>
      <c r="K1238" s="690">
        <v>5.0327986639739779E-5</v>
      </c>
    </row>
    <row r="1239" spans="2:11" ht="15.75" x14ac:dyDescent="0.25">
      <c r="B1239" s="667" t="s">
        <v>85</v>
      </c>
      <c r="C1239" s="110">
        <v>2033</v>
      </c>
      <c r="D1239" s="687" t="s">
        <v>1810</v>
      </c>
      <c r="E1239" s="688">
        <v>2.8334196339155796E-2</v>
      </c>
      <c r="F1239" s="310">
        <v>9.4029336597032092E-3</v>
      </c>
      <c r="G1239" s="311">
        <v>4.3220924690681069E-2</v>
      </c>
      <c r="H1239" s="311">
        <v>1.2023372409963266E-3</v>
      </c>
      <c r="I1239" s="394">
        <v>1.3057452327170764E-3</v>
      </c>
      <c r="J1239" s="689">
        <v>4.4997753233125127E-5</v>
      </c>
      <c r="K1239" s="690">
        <v>4.7032354812940157E-5</v>
      </c>
    </row>
    <row r="1240" spans="2:11" ht="15.75" x14ac:dyDescent="0.25">
      <c r="B1240" s="667" t="s">
        <v>85</v>
      </c>
      <c r="C1240" s="110">
        <v>2034</v>
      </c>
      <c r="D1240" s="687" t="s">
        <v>1811</v>
      </c>
      <c r="E1240" s="688">
        <v>2.7864312565871754E-2</v>
      </c>
      <c r="F1240" s="310">
        <v>8.3746938653153479E-3</v>
      </c>
      <c r="G1240" s="311">
        <v>3.9697180240955011E-2</v>
      </c>
      <c r="H1240" s="311">
        <v>1.124976317399246E-3</v>
      </c>
      <c r="I1240" s="394">
        <v>1.2217290539021204E-3</v>
      </c>
      <c r="J1240" s="689">
        <v>4.212627919213768E-5</v>
      </c>
      <c r="K1240" s="690">
        <v>4.4031043322256162E-5</v>
      </c>
    </row>
    <row r="1241" spans="2:11" ht="15.75" x14ac:dyDescent="0.25">
      <c r="B1241" s="667" t="s">
        <v>85</v>
      </c>
      <c r="C1241" s="110">
        <v>2035</v>
      </c>
      <c r="D1241" s="687" t="s">
        <v>1812</v>
      </c>
      <c r="E1241" s="688">
        <v>2.7451326178160138E-2</v>
      </c>
      <c r="F1241" s="310">
        <v>7.4539144190944517E-3</v>
      </c>
      <c r="G1241" s="311">
        <v>3.6668917886039688E-2</v>
      </c>
      <c r="H1241" s="311">
        <v>1.0525396098280421E-3</v>
      </c>
      <c r="I1241" s="394">
        <v>1.1430783464536226E-3</v>
      </c>
      <c r="J1241" s="689">
        <v>3.904632842012192E-5</v>
      </c>
      <c r="K1241" s="690">
        <v>4.0811828375023279E-5</v>
      </c>
    </row>
    <row r="1242" spans="2:11" ht="15.75" x14ac:dyDescent="0.25">
      <c r="B1242" s="667" t="s">
        <v>85</v>
      </c>
      <c r="C1242" s="110">
        <v>2036</v>
      </c>
      <c r="D1242" s="687" t="s">
        <v>1813</v>
      </c>
      <c r="E1242" s="688">
        <v>2.7091226497041661E-2</v>
      </c>
      <c r="F1242" s="310">
        <v>6.6930228967013172E-3</v>
      </c>
      <c r="G1242" s="311">
        <v>3.4181255097098961E-2</v>
      </c>
      <c r="H1242" s="311">
        <v>9.9376906915528787E-4</v>
      </c>
      <c r="I1242" s="394">
        <v>1.0792765973936995E-3</v>
      </c>
      <c r="J1242" s="689">
        <v>3.6301814418868774E-5</v>
      </c>
      <c r="K1242" s="690">
        <v>3.7943226567556578E-5</v>
      </c>
    </row>
    <row r="1243" spans="2:11" ht="15.75" x14ac:dyDescent="0.25">
      <c r="B1243" s="667" t="s">
        <v>85</v>
      </c>
      <c r="C1243" s="110">
        <v>2037</v>
      </c>
      <c r="D1243" s="687" t="s">
        <v>1814</v>
      </c>
      <c r="E1243" s="688">
        <v>2.6778605394695322E-2</v>
      </c>
      <c r="F1243" s="310">
        <v>6.0157924172194151E-3</v>
      </c>
      <c r="G1243" s="311">
        <v>3.2021959489912939E-2</v>
      </c>
      <c r="H1243" s="311">
        <v>9.4058948498468482E-4</v>
      </c>
      <c r="I1243" s="394">
        <v>1.0215395548051739E-3</v>
      </c>
      <c r="J1243" s="689">
        <v>3.3920198095656063E-5</v>
      </c>
      <c r="K1243" s="690">
        <v>3.5453915573976959E-5</v>
      </c>
    </row>
    <row r="1244" spans="2:11" ht="15.75" x14ac:dyDescent="0.25">
      <c r="B1244" s="667" t="s">
        <v>85</v>
      </c>
      <c r="C1244" s="110">
        <v>2038</v>
      </c>
      <c r="D1244" s="687" t="s">
        <v>1815</v>
      </c>
      <c r="E1244" s="688">
        <v>2.6509886757861739E-2</v>
      </c>
      <c r="F1244" s="310">
        <v>5.3835567471773047E-3</v>
      </c>
      <c r="G1244" s="311">
        <v>2.9999364864148604E-2</v>
      </c>
      <c r="H1244" s="311">
        <v>8.9244648542764283E-4</v>
      </c>
      <c r="I1244" s="394">
        <v>9.6925111061828338E-4</v>
      </c>
      <c r="J1244" s="689">
        <v>3.2228896587211955E-5</v>
      </c>
      <c r="K1244" s="690">
        <v>3.3686143284854104E-5</v>
      </c>
    </row>
    <row r="1245" spans="2:11" ht="15.75" x14ac:dyDescent="0.25">
      <c r="B1245" s="667" t="s">
        <v>85</v>
      </c>
      <c r="C1245" s="110">
        <v>2039</v>
      </c>
      <c r="D1245" s="687" t="s">
        <v>1816</v>
      </c>
      <c r="E1245" s="688">
        <v>2.6277590373886321E-2</v>
      </c>
      <c r="F1245" s="310">
        <v>4.7971614300207147E-3</v>
      </c>
      <c r="G1245" s="311">
        <v>2.8142876354071557E-2</v>
      </c>
      <c r="H1245" s="311">
        <v>8.4922038257360965E-4</v>
      </c>
      <c r="I1245" s="394">
        <v>9.2230129152190041E-4</v>
      </c>
      <c r="J1245" s="689">
        <v>3.0756116939590222E-5</v>
      </c>
      <c r="K1245" s="690">
        <v>3.2146768698173189E-5</v>
      </c>
    </row>
    <row r="1246" spans="2:11" ht="15.75" x14ac:dyDescent="0.25">
      <c r="B1246" s="667" t="s">
        <v>85</v>
      </c>
      <c r="C1246" s="110">
        <v>2040</v>
      </c>
      <c r="D1246" s="687" t="s">
        <v>1817</v>
      </c>
      <c r="E1246" s="688">
        <v>2.607762447419262E-2</v>
      </c>
      <c r="F1246" s="310">
        <v>4.2796123825140494E-3</v>
      </c>
      <c r="G1246" s="311">
        <v>2.6598117465847677E-2</v>
      </c>
      <c r="H1246" s="311">
        <v>8.1014197202209693E-4</v>
      </c>
      <c r="I1246" s="394">
        <v>8.7985958202436878E-4</v>
      </c>
      <c r="J1246" s="689">
        <v>2.935488031248126E-5</v>
      </c>
      <c r="K1246" s="690">
        <v>3.0682179575587143E-5</v>
      </c>
    </row>
    <row r="1247" spans="2:11" ht="15.75" x14ac:dyDescent="0.25">
      <c r="B1247" s="667" t="s">
        <v>85</v>
      </c>
      <c r="C1247" s="110">
        <v>2041</v>
      </c>
      <c r="D1247" s="687" t="s">
        <v>1818</v>
      </c>
      <c r="E1247" s="688">
        <v>2.5908517905986597E-2</v>
      </c>
      <c r="F1247" s="310">
        <v>3.9034379951736779E-3</v>
      </c>
      <c r="G1247" s="311">
        <v>2.5383097154921267E-2</v>
      </c>
      <c r="H1247" s="311">
        <v>7.8166217235512965E-4</v>
      </c>
      <c r="I1247" s="394">
        <v>8.4893943454335892E-4</v>
      </c>
      <c r="J1247" s="689">
        <v>2.8074084604240513E-5</v>
      </c>
      <c r="K1247" s="690">
        <v>2.9343466684560046E-5</v>
      </c>
    </row>
    <row r="1248" spans="2:11" ht="15.75" x14ac:dyDescent="0.25">
      <c r="B1248" s="667" t="s">
        <v>85</v>
      </c>
      <c r="C1248" s="110">
        <v>2042</v>
      </c>
      <c r="D1248" s="687" t="s">
        <v>1819</v>
      </c>
      <c r="E1248" s="688">
        <v>2.5761994318423447E-2</v>
      </c>
      <c r="F1248" s="310">
        <v>3.5841560439187469E-3</v>
      </c>
      <c r="G1248" s="311">
        <v>2.4287329329421559E-2</v>
      </c>
      <c r="H1248" s="311">
        <v>7.564964804747217E-4</v>
      </c>
      <c r="I1248" s="394">
        <v>8.2162659111665432E-4</v>
      </c>
      <c r="J1248" s="689">
        <v>2.6718538326817978E-5</v>
      </c>
      <c r="K1248" s="690">
        <v>2.7926627227235523E-5</v>
      </c>
    </row>
    <row r="1249" spans="2:11" ht="15.75" x14ac:dyDescent="0.25">
      <c r="B1249" s="667" t="s">
        <v>85</v>
      </c>
      <c r="C1249" s="110">
        <v>2043</v>
      </c>
      <c r="D1249" s="687" t="s">
        <v>1820</v>
      </c>
      <c r="E1249" s="688">
        <v>2.5636808958859968E-2</v>
      </c>
      <c r="F1249" s="310">
        <v>3.337680962563623E-3</v>
      </c>
      <c r="G1249" s="311">
        <v>2.3434587452081553E-2</v>
      </c>
      <c r="H1249" s="311">
        <v>7.3484047905828529E-4</v>
      </c>
      <c r="I1249" s="394">
        <v>7.9811303565509046E-4</v>
      </c>
      <c r="J1249" s="689">
        <v>2.5790829455955311E-5</v>
      </c>
      <c r="K1249" s="690">
        <v>2.6956980835124577E-5</v>
      </c>
    </row>
    <row r="1250" spans="2:11" ht="15.75" x14ac:dyDescent="0.25">
      <c r="B1250" s="667" t="s">
        <v>85</v>
      </c>
      <c r="C1250" s="110">
        <v>2044</v>
      </c>
      <c r="D1250" s="687" t="s">
        <v>1821</v>
      </c>
      <c r="E1250" s="688">
        <v>2.5527776608023169E-2</v>
      </c>
      <c r="F1250" s="310">
        <v>3.1544480680940523E-3</v>
      </c>
      <c r="G1250" s="311">
        <v>2.276756169059211E-2</v>
      </c>
      <c r="H1250" s="311">
        <v>7.1612463761242732E-4</v>
      </c>
      <c r="I1250" s="394">
        <v>7.7779043971061123E-4</v>
      </c>
      <c r="J1250" s="689">
        <v>2.5023122004331074E-5</v>
      </c>
      <c r="K1250" s="690">
        <v>2.6154556424310027E-5</v>
      </c>
    </row>
    <row r="1251" spans="2:11" ht="15.75" x14ac:dyDescent="0.25">
      <c r="B1251" s="667" t="s">
        <v>85</v>
      </c>
      <c r="C1251" s="110">
        <v>2045</v>
      </c>
      <c r="D1251" s="687" t="s">
        <v>1822</v>
      </c>
      <c r="E1251" s="688">
        <v>2.5431716392364124E-2</v>
      </c>
      <c r="F1251" s="310">
        <v>3.0386542632602105E-3</v>
      </c>
      <c r="G1251" s="311">
        <v>2.2350579938739453E-2</v>
      </c>
      <c r="H1251" s="311">
        <v>7.0019236864362038E-4</v>
      </c>
      <c r="I1251" s="394">
        <v>7.6048620850242496E-4</v>
      </c>
      <c r="J1251" s="689">
        <v>2.4462003661493499E-5</v>
      </c>
      <c r="K1251" s="690">
        <v>2.5568063574579666E-5</v>
      </c>
    </row>
    <row r="1252" spans="2:11" ht="15.75" x14ac:dyDescent="0.25">
      <c r="B1252" s="667" t="s">
        <v>85</v>
      </c>
      <c r="C1252" s="110">
        <v>2046</v>
      </c>
      <c r="D1252" s="687" t="s">
        <v>1823</v>
      </c>
      <c r="E1252" s="688">
        <v>2.5348530724092693E-2</v>
      </c>
      <c r="F1252" s="310">
        <v>2.9292068383157443E-3</v>
      </c>
      <c r="G1252" s="311">
        <v>2.1964068815700948E-2</v>
      </c>
      <c r="H1252" s="311">
        <v>6.8609037201530765E-4</v>
      </c>
      <c r="I1252" s="394">
        <v>7.4517882901255553E-4</v>
      </c>
      <c r="J1252" s="689">
        <v>2.3767992065339286E-5</v>
      </c>
      <c r="K1252" s="690">
        <v>2.4842674349504416E-5</v>
      </c>
    </row>
    <row r="1253" spans="2:11" ht="15.75" x14ac:dyDescent="0.25">
      <c r="B1253" s="667" t="s">
        <v>85</v>
      </c>
      <c r="C1253" s="110">
        <v>2047</v>
      </c>
      <c r="D1253" s="687" t="s">
        <v>1824</v>
      </c>
      <c r="E1253" s="688">
        <v>2.5276851191059661E-2</v>
      </c>
      <c r="F1253" s="310">
        <v>2.8368877762735144E-3</v>
      </c>
      <c r="G1253" s="311">
        <v>2.1637577301548992E-2</v>
      </c>
      <c r="H1253" s="311">
        <v>6.7432387073215381E-4</v>
      </c>
      <c r="I1253" s="394">
        <v>7.3239931582447866E-4</v>
      </c>
      <c r="J1253" s="689">
        <v>2.3345649034345373E-5</v>
      </c>
      <c r="K1253" s="690">
        <v>2.4401228143214128E-5</v>
      </c>
    </row>
    <row r="1254" spans="2:11" ht="15.75" x14ac:dyDescent="0.25">
      <c r="B1254" s="667" t="s">
        <v>85</v>
      </c>
      <c r="C1254" s="110">
        <v>2048</v>
      </c>
      <c r="D1254" s="687" t="s">
        <v>1825</v>
      </c>
      <c r="E1254" s="688">
        <v>2.5215263240846955E-2</v>
      </c>
      <c r="F1254" s="310">
        <v>2.7602651996096236E-3</v>
      </c>
      <c r="G1254" s="311">
        <v>2.1353812972599726E-2</v>
      </c>
      <c r="H1254" s="311">
        <v>6.6401347426897888E-4</v>
      </c>
      <c r="I1254" s="394">
        <v>7.212143377698058E-4</v>
      </c>
      <c r="J1254" s="689">
        <v>2.2674060654798811E-5</v>
      </c>
      <c r="K1254" s="690">
        <v>2.369928767519233E-5</v>
      </c>
    </row>
    <row r="1255" spans="2:11" ht="15.75" x14ac:dyDescent="0.25">
      <c r="B1255" s="667" t="s">
        <v>85</v>
      </c>
      <c r="C1255" s="110">
        <v>2049</v>
      </c>
      <c r="D1255" s="687" t="s">
        <v>1826</v>
      </c>
      <c r="E1255" s="688">
        <v>2.5162118841573253E-2</v>
      </c>
      <c r="F1255" s="310">
        <v>2.7345016595066995E-3</v>
      </c>
      <c r="G1255" s="311">
        <v>2.1334373244807876E-2</v>
      </c>
      <c r="H1255" s="311">
        <v>6.5806284429856764E-4</v>
      </c>
      <c r="I1255" s="394">
        <v>7.1475639407378628E-4</v>
      </c>
      <c r="J1255" s="689">
        <v>2.2336744574582428E-5</v>
      </c>
      <c r="K1255" s="690">
        <v>2.3346718384746814E-5</v>
      </c>
    </row>
    <row r="1256" spans="2:11" ht="15.75" x14ac:dyDescent="0.25">
      <c r="B1256" s="667" t="s">
        <v>85</v>
      </c>
      <c r="C1256" s="110">
        <v>2050</v>
      </c>
      <c r="D1256" s="687" t="s">
        <v>1827</v>
      </c>
      <c r="E1256" s="688">
        <v>2.5116166641311451E-2</v>
      </c>
      <c r="F1256" s="310">
        <v>2.7125412173091053E-3</v>
      </c>
      <c r="G1256" s="311">
        <v>2.1318345251057587E-2</v>
      </c>
      <c r="H1256" s="311">
        <v>6.5314018461994387E-4</v>
      </c>
      <c r="I1256" s="394">
        <v>7.0941703145042858E-4</v>
      </c>
      <c r="J1256" s="689">
        <v>2.2004683599942306E-5</v>
      </c>
      <c r="K1256" s="690">
        <v>2.299964140354893E-5</v>
      </c>
    </row>
    <row r="1257" spans="2:11" ht="15.75" x14ac:dyDescent="0.25">
      <c r="B1257" s="667" t="s">
        <v>265</v>
      </c>
      <c r="C1257" s="110">
        <v>2015</v>
      </c>
      <c r="D1257" s="687" t="s">
        <v>266</v>
      </c>
      <c r="E1257" s="688">
        <v>4.2766053783953518E-2</v>
      </c>
      <c r="F1257" s="310">
        <v>4.4100768237014511E-2</v>
      </c>
      <c r="G1257" s="311">
        <v>0.17143861298895169</v>
      </c>
      <c r="H1257" s="311">
        <v>1.6048158218603529E-3</v>
      </c>
      <c r="I1257" s="394">
        <v>1.7372532731392202E-3</v>
      </c>
      <c r="J1257" s="689">
        <v>1.1206847422658291E-4</v>
      </c>
      <c r="K1257" s="690">
        <v>1.1713571665827489E-4</v>
      </c>
    </row>
    <row r="1258" spans="2:11" ht="15.75" x14ac:dyDescent="0.25">
      <c r="B1258" s="667" t="s">
        <v>265</v>
      </c>
      <c r="C1258" s="110">
        <v>2016</v>
      </c>
      <c r="D1258" s="687" t="s">
        <v>267</v>
      </c>
      <c r="E1258" s="688">
        <v>4.1930314831698644E-2</v>
      </c>
      <c r="F1258" s="310">
        <v>3.6694989310677543E-2</v>
      </c>
      <c r="G1258" s="311">
        <v>0.14670374739326955</v>
      </c>
      <c r="H1258" s="311">
        <v>1.5430491758289338E-3</v>
      </c>
      <c r="I1258" s="394">
        <v>1.6716802803437702E-3</v>
      </c>
      <c r="J1258" s="689">
        <v>9.7833021073997511E-5</v>
      </c>
      <c r="K1258" s="690">
        <v>1.0225659572066513E-4</v>
      </c>
    </row>
    <row r="1259" spans="2:11" ht="15.75" x14ac:dyDescent="0.25">
      <c r="B1259" s="667" t="s">
        <v>265</v>
      </c>
      <c r="C1259" s="110">
        <v>2017</v>
      </c>
      <c r="D1259" s="687" t="s">
        <v>1828</v>
      </c>
      <c r="E1259" s="688">
        <v>4.0879477167176229E-2</v>
      </c>
      <c r="F1259" s="310">
        <v>3.0349392084192132E-2</v>
      </c>
      <c r="G1259" s="311">
        <v>0.12513402626789277</v>
      </c>
      <c r="H1259" s="311">
        <v>1.5181910142801072E-3</v>
      </c>
      <c r="I1259" s="394">
        <v>1.6458297817280065E-3</v>
      </c>
      <c r="J1259" s="689">
        <v>8.9658204885771544E-5</v>
      </c>
      <c r="K1259" s="690">
        <v>9.3712152607089292E-5</v>
      </c>
    </row>
    <row r="1260" spans="2:11" ht="15.75" x14ac:dyDescent="0.25">
      <c r="B1260" s="667" t="s">
        <v>265</v>
      </c>
      <c r="C1260" s="110">
        <v>2018</v>
      </c>
      <c r="D1260" s="687" t="s">
        <v>1829</v>
      </c>
      <c r="E1260" s="688">
        <v>3.9789468713426139E-2</v>
      </c>
      <c r="F1260" s="310">
        <v>2.5018883986363861E-2</v>
      </c>
      <c r="G1260" s="311">
        <v>0.10675931664438738</v>
      </c>
      <c r="H1260" s="311">
        <v>1.517384248965204E-3</v>
      </c>
      <c r="I1260" s="394">
        <v>1.6458738502897767E-3</v>
      </c>
      <c r="J1260" s="689">
        <v>8.3444514380383756E-5</v>
      </c>
      <c r="K1260" s="690">
        <v>8.7217507197942989E-5</v>
      </c>
    </row>
    <row r="1261" spans="2:11" ht="15.75" x14ac:dyDescent="0.25">
      <c r="B1261" s="667" t="s">
        <v>265</v>
      </c>
      <c r="C1261" s="110">
        <v>2019</v>
      </c>
      <c r="D1261" s="687" t="s">
        <v>1830</v>
      </c>
      <c r="E1261" s="688">
        <v>3.8670100590269527E-2</v>
      </c>
      <c r="F1261" s="310">
        <v>2.0755307463466866E-2</v>
      </c>
      <c r="G1261" s="311">
        <v>9.1436498949387338E-2</v>
      </c>
      <c r="H1261" s="311">
        <v>1.522483987338541E-3</v>
      </c>
      <c r="I1261" s="394">
        <v>1.6521180434678484E-3</v>
      </c>
      <c r="J1261" s="689">
        <v>7.7758189377316573E-5</v>
      </c>
      <c r="K1261" s="690">
        <v>8.1274067044791005E-5</v>
      </c>
    </row>
    <row r="1262" spans="2:11" ht="15.75" x14ac:dyDescent="0.25">
      <c r="B1262" s="667" t="s">
        <v>265</v>
      </c>
      <c r="C1262" s="110">
        <v>2020</v>
      </c>
      <c r="D1262" s="687" t="s">
        <v>1831</v>
      </c>
      <c r="E1262" s="688">
        <v>3.7534339079016134E-2</v>
      </c>
      <c r="F1262" s="310">
        <v>1.7610301842053245E-2</v>
      </c>
      <c r="G1262" s="311">
        <v>7.8890869826662172E-2</v>
      </c>
      <c r="H1262" s="311">
        <v>1.4905602303783775E-3</v>
      </c>
      <c r="I1262" s="394">
        <v>1.617749522736188E-3</v>
      </c>
      <c r="J1262" s="689">
        <v>7.315761085972495E-5</v>
      </c>
      <c r="K1262" s="690">
        <v>7.646547498734734E-5</v>
      </c>
    </row>
    <row r="1263" spans="2:11" ht="15.75" x14ac:dyDescent="0.25">
      <c r="B1263" s="667" t="s">
        <v>265</v>
      </c>
      <c r="C1263" s="110">
        <v>2021</v>
      </c>
      <c r="D1263" s="687" t="s">
        <v>1832</v>
      </c>
      <c r="E1263" s="688">
        <v>3.6386463879793447E-2</v>
      </c>
      <c r="F1263" s="310">
        <v>1.5142235904636448E-2</v>
      </c>
      <c r="G1263" s="311">
        <v>6.8381276852950021E-2</v>
      </c>
      <c r="H1263" s="311">
        <v>1.4197347758638562E-3</v>
      </c>
      <c r="I1263" s="394">
        <v>1.5410367141598937E-3</v>
      </c>
      <c r="J1263" s="689">
        <v>6.7839657555246376E-5</v>
      </c>
      <c r="K1263" s="690">
        <v>7.0907063168035097E-5</v>
      </c>
    </row>
    <row r="1264" spans="2:11" ht="15.75" x14ac:dyDescent="0.25">
      <c r="B1264" s="667" t="s">
        <v>265</v>
      </c>
      <c r="C1264" s="110">
        <v>2022</v>
      </c>
      <c r="D1264" s="687" t="s">
        <v>1833</v>
      </c>
      <c r="E1264" s="688">
        <v>3.5257780439273051E-2</v>
      </c>
      <c r="F1264" s="310">
        <v>1.2856383833041317E-2</v>
      </c>
      <c r="G1264" s="311">
        <v>5.9373634688536361E-2</v>
      </c>
      <c r="H1264" s="311">
        <v>1.3453891591922271E-3</v>
      </c>
      <c r="I1264" s="394">
        <v>1.4605230218691962E-3</v>
      </c>
      <c r="J1264" s="689">
        <v>6.2751770707420229E-5</v>
      </c>
      <c r="K1264" s="690">
        <v>6.5589128748614727E-5</v>
      </c>
    </row>
    <row r="1265" spans="2:11" ht="15.75" x14ac:dyDescent="0.25">
      <c r="B1265" s="667" t="s">
        <v>265</v>
      </c>
      <c r="C1265" s="110">
        <v>2023</v>
      </c>
      <c r="D1265" s="687" t="s">
        <v>1834</v>
      </c>
      <c r="E1265" s="688">
        <v>3.4139241887284628E-2</v>
      </c>
      <c r="F1265" s="310">
        <v>1.1191548761160897E-2</v>
      </c>
      <c r="G1265" s="311">
        <v>5.2121348014019728E-2</v>
      </c>
      <c r="H1265" s="311">
        <v>1.2786485209734129E-3</v>
      </c>
      <c r="I1265" s="394">
        <v>1.3881782024556082E-3</v>
      </c>
      <c r="J1265" s="689">
        <v>5.7602377679441786E-5</v>
      </c>
      <c r="K1265" s="690">
        <v>6.020690358601518E-5</v>
      </c>
    </row>
    <row r="1266" spans="2:11" ht="15.75" x14ac:dyDescent="0.25">
      <c r="B1266" s="667" t="s">
        <v>265</v>
      </c>
      <c r="C1266" s="110">
        <v>2024</v>
      </c>
      <c r="D1266" s="687" t="s">
        <v>1835</v>
      </c>
      <c r="E1266" s="688">
        <v>3.3039139369314109E-2</v>
      </c>
      <c r="F1266" s="310">
        <v>9.9107359494055216E-3</v>
      </c>
      <c r="G1266" s="311">
        <v>4.6175957109843964E-2</v>
      </c>
      <c r="H1266" s="311">
        <v>1.2336074885272183E-3</v>
      </c>
      <c r="I1266" s="394">
        <v>1.3394647033206678E-3</v>
      </c>
      <c r="J1266" s="689">
        <v>5.1653596690419434E-5</v>
      </c>
      <c r="K1266" s="690">
        <v>5.3989137124750954E-5</v>
      </c>
    </row>
    <row r="1267" spans="2:11" ht="15.75" x14ac:dyDescent="0.25">
      <c r="B1267" s="667" t="s">
        <v>265</v>
      </c>
      <c r="C1267" s="110">
        <v>2025</v>
      </c>
      <c r="D1267" s="687" t="s">
        <v>1836</v>
      </c>
      <c r="E1267" s="688">
        <v>3.1955256354807386E-2</v>
      </c>
      <c r="F1267" s="310">
        <v>8.7356520267637076E-3</v>
      </c>
      <c r="G1267" s="311">
        <v>4.1295162183243174E-2</v>
      </c>
      <c r="H1267" s="311">
        <v>1.1832956804114371E-3</v>
      </c>
      <c r="I1267" s="394">
        <v>1.2849382124260767E-3</v>
      </c>
      <c r="J1267" s="689">
        <v>4.7249625951493845E-5</v>
      </c>
      <c r="K1267" s="690">
        <v>4.9386040230497798E-5</v>
      </c>
    </row>
    <row r="1268" spans="2:11" ht="15.75" x14ac:dyDescent="0.25">
      <c r="B1268" s="667" t="s">
        <v>265</v>
      </c>
      <c r="C1268" s="110">
        <v>2026</v>
      </c>
      <c r="D1268" s="687" t="s">
        <v>1837</v>
      </c>
      <c r="E1268" s="688">
        <v>3.0966193509538831E-2</v>
      </c>
      <c r="F1268" s="310">
        <v>7.7555290754777089E-3</v>
      </c>
      <c r="G1268" s="311">
        <v>3.7331415625703947E-2</v>
      </c>
      <c r="H1268" s="311">
        <v>1.1299172949032783E-3</v>
      </c>
      <c r="I1268" s="394">
        <v>1.2270945871789582E-3</v>
      </c>
      <c r="J1268" s="689">
        <v>4.2321906551552926E-5</v>
      </c>
      <c r="K1268" s="690">
        <v>4.4235515832305709E-5</v>
      </c>
    </row>
    <row r="1269" spans="2:11" ht="15.75" x14ac:dyDescent="0.25">
      <c r="B1269" s="667" t="s">
        <v>265</v>
      </c>
      <c r="C1269" s="110">
        <v>2027</v>
      </c>
      <c r="D1269" s="687" t="s">
        <v>1838</v>
      </c>
      <c r="E1269" s="688">
        <v>3.0061651573565801E-2</v>
      </c>
      <c r="F1269" s="310">
        <v>6.9221003260555962E-3</v>
      </c>
      <c r="G1269" s="311">
        <v>3.4018459116845541E-2</v>
      </c>
      <c r="H1269" s="311">
        <v>1.0689301201194739E-3</v>
      </c>
      <c r="I1269" s="394">
        <v>1.1609730670626968E-3</v>
      </c>
      <c r="J1269" s="689">
        <v>3.7423405774710467E-5</v>
      </c>
      <c r="K1269" s="690">
        <v>3.9115529964565309E-5</v>
      </c>
    </row>
    <row r="1270" spans="2:11" ht="15.75" x14ac:dyDescent="0.25">
      <c r="B1270" s="667" t="s">
        <v>265</v>
      </c>
      <c r="C1270" s="110">
        <v>2028</v>
      </c>
      <c r="D1270" s="687" t="s">
        <v>1839</v>
      </c>
      <c r="E1270" s="688">
        <v>2.924541285756399E-2</v>
      </c>
      <c r="F1270" s="310">
        <v>6.229475372358486E-3</v>
      </c>
      <c r="G1270" s="311">
        <v>3.1292116210461275E-2</v>
      </c>
      <c r="H1270" s="311">
        <v>1.0023611407709422E-3</v>
      </c>
      <c r="I1270" s="394">
        <v>1.0887442692773508E-3</v>
      </c>
      <c r="J1270" s="689">
        <v>3.3402868001517426E-5</v>
      </c>
      <c r="K1270" s="690">
        <v>3.4913192976746917E-5</v>
      </c>
    </row>
    <row r="1271" spans="2:11" ht="15.75" x14ac:dyDescent="0.25">
      <c r="B1271" s="667" t="s">
        <v>265</v>
      </c>
      <c r="C1271" s="110">
        <v>2029</v>
      </c>
      <c r="D1271" s="687" t="s">
        <v>1840</v>
      </c>
      <c r="E1271" s="688">
        <v>2.8512895790003049E-2</v>
      </c>
      <c r="F1271" s="310">
        <v>5.6241206965250371E-3</v>
      </c>
      <c r="G1271" s="311">
        <v>2.898037506421812E-2</v>
      </c>
      <c r="H1271" s="311">
        <v>9.3937056804568072E-4</v>
      </c>
      <c r="I1271" s="394">
        <v>1.0203615297526619E-3</v>
      </c>
      <c r="J1271" s="689">
        <v>3.043710983309535E-5</v>
      </c>
      <c r="K1271" s="690">
        <v>3.1813340340607823E-5</v>
      </c>
    </row>
    <row r="1272" spans="2:11" ht="15.75" x14ac:dyDescent="0.25">
      <c r="B1272" s="667" t="s">
        <v>265</v>
      </c>
      <c r="C1272" s="110">
        <v>2030</v>
      </c>
      <c r="D1272" s="687" t="s">
        <v>1841</v>
      </c>
      <c r="E1272" s="688">
        <v>2.7860297800954184E-2</v>
      </c>
      <c r="F1272" s="310">
        <v>5.1152766895478452E-3</v>
      </c>
      <c r="G1272" s="311">
        <v>2.7070041491551403E-2</v>
      </c>
      <c r="H1272" s="311">
        <v>8.8086711189684001E-4</v>
      </c>
      <c r="I1272" s="394">
        <v>9.5684482030836712E-4</v>
      </c>
      <c r="J1272" s="689">
        <v>2.7811626795539318E-5</v>
      </c>
      <c r="K1272" s="690">
        <v>2.9069142386269156E-5</v>
      </c>
    </row>
    <row r="1273" spans="2:11" ht="15.75" x14ac:dyDescent="0.25">
      <c r="B1273" s="667" t="s">
        <v>265</v>
      </c>
      <c r="C1273" s="110">
        <v>2031</v>
      </c>
      <c r="D1273" s="687" t="s">
        <v>1842</v>
      </c>
      <c r="E1273" s="688">
        <v>2.7281368352087287E-2</v>
      </c>
      <c r="F1273" s="310">
        <v>4.7514577824592993E-3</v>
      </c>
      <c r="G1273" s="311">
        <v>2.5512071058986698E-2</v>
      </c>
      <c r="H1273" s="311">
        <v>8.398864011672848E-4</v>
      </c>
      <c r="I1273" s="394">
        <v>9.1233005408449517E-4</v>
      </c>
      <c r="J1273" s="689">
        <v>2.6502169557424475E-5</v>
      </c>
      <c r="K1273" s="690">
        <v>2.7700482812310787E-5</v>
      </c>
    </row>
    <row r="1274" spans="2:11" ht="15.75" x14ac:dyDescent="0.25">
      <c r="B1274" s="667" t="s">
        <v>265</v>
      </c>
      <c r="C1274" s="110">
        <v>2032</v>
      </c>
      <c r="D1274" s="687" t="s">
        <v>1843</v>
      </c>
      <c r="E1274" s="688">
        <v>2.6769754039953089E-2</v>
      </c>
      <c r="F1274" s="310">
        <v>4.358150306807921E-3</v>
      </c>
      <c r="G1274" s="311">
        <v>2.4146458540550045E-2</v>
      </c>
      <c r="H1274" s="311">
        <v>7.8970353999682221E-4</v>
      </c>
      <c r="I1274" s="394">
        <v>8.5782387041810236E-4</v>
      </c>
      <c r="J1274" s="689">
        <v>2.4799315356732384E-5</v>
      </c>
      <c r="K1274" s="690">
        <v>2.5920637804707055E-5</v>
      </c>
    </row>
    <row r="1275" spans="2:11" ht="15.75" x14ac:dyDescent="0.25">
      <c r="B1275" s="667" t="s">
        <v>265</v>
      </c>
      <c r="C1275" s="110">
        <v>2033</v>
      </c>
      <c r="D1275" s="687" t="s">
        <v>1844</v>
      </c>
      <c r="E1275" s="688">
        <v>2.6320424871346403E-2</v>
      </c>
      <c r="F1275" s="310">
        <v>4.0113290274493216E-3</v>
      </c>
      <c r="G1275" s="311">
        <v>2.2988771630268256E-2</v>
      </c>
      <c r="H1275" s="311">
        <v>7.4398915583756922E-4</v>
      </c>
      <c r="I1275" s="394">
        <v>8.0815352528447622E-4</v>
      </c>
      <c r="J1275" s="689">
        <v>2.3652869254490616E-5</v>
      </c>
      <c r="K1275" s="690">
        <v>2.4722349094841838E-5</v>
      </c>
    </row>
    <row r="1276" spans="2:11" ht="15.75" x14ac:dyDescent="0.25">
      <c r="B1276" s="667" t="s">
        <v>265</v>
      </c>
      <c r="C1276" s="110">
        <v>2034</v>
      </c>
      <c r="D1276" s="687" t="s">
        <v>1845</v>
      </c>
      <c r="E1276" s="688">
        <v>2.5926873686305064E-2</v>
      </c>
      <c r="F1276" s="310">
        <v>3.6985672715188693E-3</v>
      </c>
      <c r="G1276" s="311">
        <v>2.1996392356484994E-2</v>
      </c>
      <c r="H1276" s="311">
        <v>7.0190825612320424E-4</v>
      </c>
      <c r="I1276" s="394">
        <v>7.6243258755398968E-4</v>
      </c>
      <c r="J1276" s="689">
        <v>2.2580270090438344E-5</v>
      </c>
      <c r="K1276" s="690">
        <v>2.3601252774750861E-5</v>
      </c>
    </row>
    <row r="1277" spans="2:11" ht="15.75" x14ac:dyDescent="0.25">
      <c r="B1277" s="667" t="s">
        <v>265</v>
      </c>
      <c r="C1277" s="110">
        <v>2035</v>
      </c>
      <c r="D1277" s="687" t="s">
        <v>1846</v>
      </c>
      <c r="E1277" s="688">
        <v>2.5585164832253003E-2</v>
      </c>
      <c r="F1277" s="310">
        <v>3.422879236353117E-3</v>
      </c>
      <c r="G1277" s="311">
        <v>2.117099312944588E-2</v>
      </c>
      <c r="H1277" s="311">
        <v>6.6368668067024784E-4</v>
      </c>
      <c r="I1277" s="394">
        <v>7.2090468213002789E-4</v>
      </c>
      <c r="J1277" s="689">
        <v>2.159510834823197E-5</v>
      </c>
      <c r="K1277" s="690">
        <v>2.2571538846335087E-5</v>
      </c>
    </row>
    <row r="1278" spans="2:11" ht="15.75" x14ac:dyDescent="0.25">
      <c r="B1278" s="667" t="s">
        <v>265</v>
      </c>
      <c r="C1278" s="110">
        <v>2036</v>
      </c>
      <c r="D1278" s="687" t="s">
        <v>1847</v>
      </c>
      <c r="E1278" s="688">
        <v>2.5290911864450639E-2</v>
      </c>
      <c r="F1278" s="310">
        <v>3.1816419127314918E-3</v>
      </c>
      <c r="G1278" s="311">
        <v>2.047819836097288E-2</v>
      </c>
      <c r="H1278" s="311">
        <v>6.3043814251086865E-4</v>
      </c>
      <c r="I1278" s="394">
        <v>6.8478190970671759E-4</v>
      </c>
      <c r="J1278" s="689">
        <v>2.0703775535695076E-5</v>
      </c>
      <c r="K1278" s="690">
        <v>2.1639903936723878E-5</v>
      </c>
    </row>
    <row r="1279" spans="2:11" ht="15.75" x14ac:dyDescent="0.25">
      <c r="B1279" s="667" t="s">
        <v>265</v>
      </c>
      <c r="C1279" s="110">
        <v>2037</v>
      </c>
      <c r="D1279" s="687" t="s">
        <v>1848</v>
      </c>
      <c r="E1279" s="688">
        <v>2.5040205516384122E-2</v>
      </c>
      <c r="F1279" s="310">
        <v>2.9742385027171116E-3</v>
      </c>
      <c r="G1279" s="311">
        <v>1.990709249139859E-2</v>
      </c>
      <c r="H1279" s="311">
        <v>6.0083200645980809E-4</v>
      </c>
      <c r="I1279" s="394">
        <v>6.5261696226040164E-4</v>
      </c>
      <c r="J1279" s="689">
        <v>1.9881047102461679E-5</v>
      </c>
      <c r="K1279" s="690">
        <v>2.0779984874391611E-5</v>
      </c>
    </row>
    <row r="1280" spans="2:11" ht="15.75" x14ac:dyDescent="0.25">
      <c r="B1280" s="667" t="s">
        <v>265</v>
      </c>
      <c r="C1280" s="110">
        <v>2038</v>
      </c>
      <c r="D1280" s="687" t="s">
        <v>1849</v>
      </c>
      <c r="E1280" s="688">
        <v>2.4828341706045084E-2</v>
      </c>
      <c r="F1280" s="310">
        <v>2.7840161470026985E-3</v>
      </c>
      <c r="G1280" s="311">
        <v>1.9383261681947768E-2</v>
      </c>
      <c r="H1280" s="311">
        <v>5.7457634713904639E-4</v>
      </c>
      <c r="I1280" s="394">
        <v>6.2408949361885205E-4</v>
      </c>
      <c r="J1280" s="689">
        <v>1.922622227308192E-5</v>
      </c>
      <c r="K1280" s="690">
        <v>2.0095544518616757E-5</v>
      </c>
    </row>
    <row r="1281" spans="2:11" ht="15.75" x14ac:dyDescent="0.25">
      <c r="B1281" s="667" t="s">
        <v>265</v>
      </c>
      <c r="C1281" s="110">
        <v>2039</v>
      </c>
      <c r="D1281" s="687" t="s">
        <v>1850</v>
      </c>
      <c r="E1281" s="688">
        <v>2.4650409103865858E-2</v>
      </c>
      <c r="F1281" s="310">
        <v>2.6058497419044796E-3</v>
      </c>
      <c r="G1281" s="311">
        <v>1.8896106666948895E-2</v>
      </c>
      <c r="H1281" s="311">
        <v>5.5143190605583844E-4</v>
      </c>
      <c r="I1281" s="394">
        <v>5.9894133787065569E-4</v>
      </c>
      <c r="J1281" s="689">
        <v>1.8669485292483469E-5</v>
      </c>
      <c r="K1281" s="690">
        <v>1.9513634077447718E-5</v>
      </c>
    </row>
    <row r="1282" spans="2:11" ht="15.75" x14ac:dyDescent="0.25">
      <c r="B1282" s="667" t="s">
        <v>265</v>
      </c>
      <c r="C1282" s="110">
        <v>2040</v>
      </c>
      <c r="D1282" s="687" t="s">
        <v>1851</v>
      </c>
      <c r="E1282" s="688">
        <v>2.4500598222676893E-2</v>
      </c>
      <c r="F1282" s="310">
        <v>2.4463991224754097E-3</v>
      </c>
      <c r="G1282" s="311">
        <v>1.8486706078222934E-2</v>
      </c>
      <c r="H1282" s="311">
        <v>5.3127481653660643E-4</v>
      </c>
      <c r="I1282" s="394">
        <v>5.7703950184663044E-4</v>
      </c>
      <c r="J1282" s="689">
        <v>1.8191760239675797E-5</v>
      </c>
      <c r="K1282" s="690">
        <v>1.9014306810814467E-5</v>
      </c>
    </row>
    <row r="1283" spans="2:11" ht="15.75" x14ac:dyDescent="0.25">
      <c r="B1283" s="667" t="s">
        <v>265</v>
      </c>
      <c r="C1283" s="110">
        <v>2041</v>
      </c>
      <c r="D1283" s="687" t="s">
        <v>1852</v>
      </c>
      <c r="E1283" s="688">
        <v>2.4378240617827472E-2</v>
      </c>
      <c r="F1283" s="310">
        <v>2.3206145367653313E-3</v>
      </c>
      <c r="G1283" s="311">
        <v>1.8161208726967901E-2</v>
      </c>
      <c r="H1283" s="311">
        <v>5.1545342437210649E-4</v>
      </c>
      <c r="I1283" s="394">
        <v>5.5984833428308932E-4</v>
      </c>
      <c r="J1283" s="689">
        <v>1.7797295444553116E-5</v>
      </c>
      <c r="K1283" s="690">
        <v>1.8602006369369021E-5</v>
      </c>
    </row>
    <row r="1284" spans="2:11" ht="15.75" x14ac:dyDescent="0.25">
      <c r="B1284" s="667" t="s">
        <v>265</v>
      </c>
      <c r="C1284" s="110">
        <v>2042</v>
      </c>
      <c r="D1284" s="687" t="s">
        <v>1853</v>
      </c>
      <c r="E1284" s="688">
        <v>2.4277597773112912E-2</v>
      </c>
      <c r="F1284" s="310">
        <v>2.2109842494725334E-3</v>
      </c>
      <c r="G1284" s="311">
        <v>1.7857783361421201E-2</v>
      </c>
      <c r="H1284" s="311">
        <v>5.0199742108503068E-4</v>
      </c>
      <c r="I1284" s="394">
        <v>5.4522707294913297E-4</v>
      </c>
      <c r="J1284" s="689">
        <v>1.747716954739112E-5</v>
      </c>
      <c r="K1284" s="690">
        <v>1.8267408623644547E-5</v>
      </c>
    </row>
    <row r="1285" spans="2:11" ht="15.75" x14ac:dyDescent="0.25">
      <c r="B1285" s="667" t="s">
        <v>265</v>
      </c>
      <c r="C1285" s="110">
        <v>2043</v>
      </c>
      <c r="D1285" s="687" t="s">
        <v>1854</v>
      </c>
      <c r="E1285" s="688">
        <v>2.4194924909471741E-2</v>
      </c>
      <c r="F1285" s="310">
        <v>2.1259869407868185E-3</v>
      </c>
      <c r="G1285" s="311">
        <v>1.7623226878344209E-2</v>
      </c>
      <c r="H1285" s="311">
        <v>4.9062032555894513E-4</v>
      </c>
      <c r="I1285" s="394">
        <v>5.328643404055633E-4</v>
      </c>
      <c r="J1285" s="689">
        <v>1.722047920089954E-5</v>
      </c>
      <c r="K1285" s="690">
        <v>1.7999110707119068E-5</v>
      </c>
    </row>
    <row r="1286" spans="2:11" ht="15.75" x14ac:dyDescent="0.25">
      <c r="B1286" s="667" t="s">
        <v>265</v>
      </c>
      <c r="C1286" s="110">
        <v>2044</v>
      </c>
      <c r="D1286" s="687" t="s">
        <v>1855</v>
      </c>
      <c r="E1286" s="688">
        <v>2.4126888706405069E-2</v>
      </c>
      <c r="F1286" s="310">
        <v>2.0623555666533415E-3</v>
      </c>
      <c r="G1286" s="311">
        <v>1.7435233348394672E-2</v>
      </c>
      <c r="H1286" s="311">
        <v>4.8101997045224868E-4</v>
      </c>
      <c r="I1286" s="394">
        <v>5.2243133464432599E-4</v>
      </c>
      <c r="J1286" s="689">
        <v>1.701981564691397E-5</v>
      </c>
      <c r="K1286" s="690">
        <v>1.7789376945589297E-5</v>
      </c>
    </row>
    <row r="1287" spans="2:11" ht="15.75" x14ac:dyDescent="0.25">
      <c r="B1287" s="667" t="s">
        <v>265</v>
      </c>
      <c r="C1287" s="110">
        <v>2045</v>
      </c>
      <c r="D1287" s="687" t="s">
        <v>1856</v>
      </c>
      <c r="E1287" s="688">
        <v>2.4069257876353715E-2</v>
      </c>
      <c r="F1287" s="310">
        <v>2.0192095656414574E-3</v>
      </c>
      <c r="G1287" s="311">
        <v>1.7305859303972448E-2</v>
      </c>
      <c r="H1287" s="311">
        <v>4.7291881448525925E-4</v>
      </c>
      <c r="I1287" s="394">
        <v>5.1362788860836615E-4</v>
      </c>
      <c r="J1287" s="689">
        <v>1.6864685163466219E-5</v>
      </c>
      <c r="K1287" s="690">
        <v>1.7627228806537904E-5</v>
      </c>
    </row>
    <row r="1288" spans="2:11" ht="15.75" x14ac:dyDescent="0.25">
      <c r="B1288" s="667" t="s">
        <v>265</v>
      </c>
      <c r="C1288" s="110">
        <v>2046</v>
      </c>
      <c r="D1288" s="687" t="s">
        <v>1857</v>
      </c>
      <c r="E1288" s="688">
        <v>2.4021675321925343E-2</v>
      </c>
      <c r="F1288" s="310">
        <v>1.9816722201357094E-3</v>
      </c>
      <c r="G1288" s="311">
        <v>1.719872012558386E-2</v>
      </c>
      <c r="H1288" s="311">
        <v>4.6618817524727045E-4</v>
      </c>
      <c r="I1288" s="394">
        <v>5.0631248766652172E-4</v>
      </c>
      <c r="J1288" s="689">
        <v>1.6743386104492581E-5</v>
      </c>
      <c r="K1288" s="690">
        <v>1.7500444055850123E-5</v>
      </c>
    </row>
    <row r="1289" spans="2:11" ht="15.75" x14ac:dyDescent="0.25">
      <c r="B1289" s="667" t="s">
        <v>265</v>
      </c>
      <c r="C1289" s="110">
        <v>2047</v>
      </c>
      <c r="D1289" s="687" t="s">
        <v>1858</v>
      </c>
      <c r="E1289" s="688">
        <v>2.3981861871451883E-2</v>
      </c>
      <c r="F1289" s="310">
        <v>1.9476284858554202E-3</v>
      </c>
      <c r="G1289" s="311">
        <v>1.7094969052399173E-2</v>
      </c>
      <c r="H1289" s="311">
        <v>4.6060293806821746E-4</v>
      </c>
      <c r="I1289" s="394">
        <v>5.0024253840263652E-4</v>
      </c>
      <c r="J1289" s="689">
        <v>1.6644912872309413E-5</v>
      </c>
      <c r="K1289" s="690">
        <v>1.7397518657145159E-5</v>
      </c>
    </row>
    <row r="1290" spans="2:11" ht="15.75" x14ac:dyDescent="0.25">
      <c r="B1290" s="667" t="s">
        <v>265</v>
      </c>
      <c r="C1290" s="110">
        <v>2048</v>
      </c>
      <c r="D1290" s="687" t="s">
        <v>1859</v>
      </c>
      <c r="E1290" s="688">
        <v>2.3949401579102681E-2</v>
      </c>
      <c r="F1290" s="310">
        <v>1.9189716100067736E-3</v>
      </c>
      <c r="G1290" s="311">
        <v>1.7003248000104713E-2</v>
      </c>
      <c r="H1290" s="311">
        <v>4.5595631333367176E-4</v>
      </c>
      <c r="I1290" s="394">
        <v>4.9519234226197179E-4</v>
      </c>
      <c r="J1290" s="689">
        <v>1.65636493525513E-5</v>
      </c>
      <c r="K1290" s="690">
        <v>1.7312581797853204E-5</v>
      </c>
    </row>
    <row r="1291" spans="2:11" ht="15.75" x14ac:dyDescent="0.25">
      <c r="B1291" s="667" t="s">
        <v>265</v>
      </c>
      <c r="C1291" s="110">
        <v>2049</v>
      </c>
      <c r="D1291" s="687" t="s">
        <v>1860</v>
      </c>
      <c r="E1291" s="688">
        <v>2.3922030657843308E-2</v>
      </c>
      <c r="F1291" s="310">
        <v>1.908576109251272E-3</v>
      </c>
      <c r="G1291" s="311">
        <v>1.7011661840239698E-2</v>
      </c>
      <c r="H1291" s="311">
        <v>4.5304043845844272E-4</v>
      </c>
      <c r="I1291" s="394">
        <v>4.9202311529554477E-4</v>
      </c>
      <c r="J1291" s="689">
        <v>1.6508514595940802E-5</v>
      </c>
      <c r="K1291" s="690">
        <v>1.7254965647652543E-5</v>
      </c>
    </row>
    <row r="1292" spans="2:11" ht="15.75" x14ac:dyDescent="0.25">
      <c r="B1292" s="667" t="s">
        <v>265</v>
      </c>
      <c r="C1292" s="110">
        <v>2050</v>
      </c>
      <c r="D1292" s="687" t="s">
        <v>1861</v>
      </c>
      <c r="E1292" s="688">
        <v>2.3900485726010411E-2</v>
      </c>
      <c r="F1292" s="310">
        <v>1.9004105139608827E-3</v>
      </c>
      <c r="G1292" s="311">
        <v>1.7022238402222726E-2</v>
      </c>
      <c r="H1292" s="311">
        <v>4.5068424842581152E-4</v>
      </c>
      <c r="I1292" s="394">
        <v>4.8946291510847367E-4</v>
      </c>
      <c r="J1292" s="689">
        <v>1.6449944792684579E-5</v>
      </c>
      <c r="K1292" s="690">
        <v>1.7193742177472839E-5</v>
      </c>
    </row>
    <row r="1293" spans="2:11" ht="15.75" x14ac:dyDescent="0.25">
      <c r="B1293" s="667" t="s">
        <v>86</v>
      </c>
      <c r="C1293" s="110">
        <v>2015</v>
      </c>
      <c r="D1293" s="687" t="s">
        <v>269</v>
      </c>
      <c r="E1293" s="688">
        <v>4.560671128122095E-2</v>
      </c>
      <c r="F1293" s="310">
        <v>4.8788609043185632E-2</v>
      </c>
      <c r="G1293" s="311">
        <v>0.19040453844581165</v>
      </c>
      <c r="H1293" s="311">
        <v>1.8301305668918207E-3</v>
      </c>
      <c r="I1293" s="394">
        <v>1.9815398029067594E-3</v>
      </c>
      <c r="J1293" s="689">
        <v>1.4932936991560506E-4</v>
      </c>
      <c r="K1293" s="690">
        <v>1.5608138365411119E-4</v>
      </c>
    </row>
    <row r="1294" spans="2:11" ht="15.75" x14ac:dyDescent="0.25">
      <c r="B1294" s="667" t="s">
        <v>86</v>
      </c>
      <c r="C1294" s="110">
        <v>2016</v>
      </c>
      <c r="D1294" s="687" t="s">
        <v>270</v>
      </c>
      <c r="E1294" s="688">
        <v>4.4858562186045316E-2</v>
      </c>
      <c r="F1294" s="310">
        <v>4.0549117701585986E-2</v>
      </c>
      <c r="G1294" s="311">
        <v>0.16103316909903564</v>
      </c>
      <c r="H1294" s="311">
        <v>1.7122269961617473E-3</v>
      </c>
      <c r="I1294" s="394">
        <v>1.8550118381841884E-3</v>
      </c>
      <c r="J1294" s="689">
        <v>1.2748656125410933E-4</v>
      </c>
      <c r="K1294" s="690">
        <v>1.3325093688144828E-4</v>
      </c>
    </row>
    <row r="1295" spans="2:11" ht="15.75" x14ac:dyDescent="0.25">
      <c r="B1295" s="667" t="s">
        <v>86</v>
      </c>
      <c r="C1295" s="110">
        <v>2017</v>
      </c>
      <c r="D1295" s="687" t="s">
        <v>1898</v>
      </c>
      <c r="E1295" s="688">
        <v>4.3905655904712043E-2</v>
      </c>
      <c r="F1295" s="310">
        <v>3.3823084037696051E-2</v>
      </c>
      <c r="G1295" s="311">
        <v>0.1370976436127633</v>
      </c>
      <c r="H1295" s="311">
        <v>1.6580453660268836E-3</v>
      </c>
      <c r="I1295" s="394">
        <v>1.7972576543939392E-3</v>
      </c>
      <c r="J1295" s="689">
        <v>1.143091918500165E-4</v>
      </c>
      <c r="K1295" s="690">
        <v>1.1947774719262629E-4</v>
      </c>
    </row>
    <row r="1296" spans="2:11" ht="15.75" x14ac:dyDescent="0.25">
      <c r="B1296" s="667" t="s">
        <v>86</v>
      </c>
      <c r="C1296" s="110">
        <v>2018</v>
      </c>
      <c r="D1296" s="687" t="s">
        <v>1899</v>
      </c>
      <c r="E1296" s="688">
        <v>4.2882566665423789E-2</v>
      </c>
      <c r="F1296" s="310">
        <v>2.8136468704187369E-2</v>
      </c>
      <c r="G1296" s="311">
        <v>0.11653951670114382</v>
      </c>
      <c r="H1296" s="311">
        <v>1.638146028222292E-3</v>
      </c>
      <c r="I1296" s="394">
        <v>1.7765265985293355E-3</v>
      </c>
      <c r="J1296" s="689">
        <v>1.0361167223378724E-4</v>
      </c>
      <c r="K1296" s="690">
        <v>1.0829653175333499E-4</v>
      </c>
    </row>
    <row r="1297" spans="2:11" ht="15.75" x14ac:dyDescent="0.25">
      <c r="B1297" s="667" t="s">
        <v>86</v>
      </c>
      <c r="C1297" s="110">
        <v>2019</v>
      </c>
      <c r="D1297" s="687" t="s">
        <v>1900</v>
      </c>
      <c r="E1297" s="688">
        <v>4.1800242699364762E-2</v>
      </c>
      <c r="F1297" s="310">
        <v>2.3264265757434691E-2</v>
      </c>
      <c r="G1297" s="311">
        <v>9.8949628596845779E-2</v>
      </c>
      <c r="H1297" s="311">
        <v>1.6190632890796704E-3</v>
      </c>
      <c r="I1297" s="394">
        <v>1.7565183627310124E-3</v>
      </c>
      <c r="J1297" s="689">
        <v>9.3660037038904896E-5</v>
      </c>
      <c r="K1297" s="690">
        <v>9.7894930023806537E-5</v>
      </c>
    </row>
    <row r="1298" spans="2:11" ht="15.75" x14ac:dyDescent="0.25">
      <c r="B1298" s="667" t="s">
        <v>86</v>
      </c>
      <c r="C1298" s="110">
        <v>2020</v>
      </c>
      <c r="D1298" s="687" t="s">
        <v>1901</v>
      </c>
      <c r="E1298" s="688">
        <v>4.0676359611331134E-2</v>
      </c>
      <c r="F1298" s="310">
        <v>1.9526150338735847E-2</v>
      </c>
      <c r="G1298" s="311">
        <v>8.44519515972222E-2</v>
      </c>
      <c r="H1298" s="311">
        <v>1.5870688776878814E-3</v>
      </c>
      <c r="I1298" s="394">
        <v>1.7221899003394756E-3</v>
      </c>
      <c r="J1298" s="689">
        <v>8.6227116630688031E-5</v>
      </c>
      <c r="K1298" s="690">
        <v>9.0125927288545261E-5</v>
      </c>
    </row>
    <row r="1299" spans="2:11" ht="15.75" x14ac:dyDescent="0.25">
      <c r="B1299" s="667" t="s">
        <v>86</v>
      </c>
      <c r="C1299" s="110">
        <v>2021</v>
      </c>
      <c r="D1299" s="687" t="s">
        <v>1902</v>
      </c>
      <c r="E1299" s="688">
        <v>3.9519704760786423E-2</v>
      </c>
      <c r="F1299" s="310">
        <v>1.6599466505876143E-2</v>
      </c>
      <c r="G1299" s="311">
        <v>7.2455776487889229E-2</v>
      </c>
      <c r="H1299" s="311">
        <v>1.5216383563281287E-3</v>
      </c>
      <c r="I1299" s="394">
        <v>1.6514334387488564E-3</v>
      </c>
      <c r="J1299" s="689">
        <v>7.8342542600349949E-5</v>
      </c>
      <c r="K1299" s="690">
        <v>8.1884844435897743E-5</v>
      </c>
    </row>
    <row r="1300" spans="2:11" ht="15.75" x14ac:dyDescent="0.25">
      <c r="B1300" s="667" t="s">
        <v>86</v>
      </c>
      <c r="C1300" s="110">
        <v>2022</v>
      </c>
      <c r="D1300" s="687" t="s">
        <v>1903</v>
      </c>
      <c r="E1300" s="688">
        <v>3.8357960541052234E-2</v>
      </c>
      <c r="F1300" s="310">
        <v>1.3902273163227714E-2</v>
      </c>
      <c r="G1300" s="311">
        <v>6.2182733111160328E-2</v>
      </c>
      <c r="H1300" s="311">
        <v>1.4533901593000418E-3</v>
      </c>
      <c r="I1300" s="394">
        <v>1.5776396513551717E-3</v>
      </c>
      <c r="J1300" s="689">
        <v>7.120635203236632E-5</v>
      </c>
      <c r="K1300" s="690">
        <v>7.4425991141953781E-5</v>
      </c>
    </row>
    <row r="1301" spans="2:11" ht="15.75" x14ac:dyDescent="0.25">
      <c r="B1301" s="667" t="s">
        <v>86</v>
      </c>
      <c r="C1301" s="110">
        <v>2023</v>
      </c>
      <c r="D1301" s="687" t="s">
        <v>1904</v>
      </c>
      <c r="E1301" s="688">
        <v>3.7200115781196447E-2</v>
      </c>
      <c r="F1301" s="310">
        <v>1.1976445488785289E-2</v>
      </c>
      <c r="G1301" s="311">
        <v>5.4041244439651415E-2</v>
      </c>
      <c r="H1301" s="311">
        <v>1.3908927287340173E-3</v>
      </c>
      <c r="I1301" s="394">
        <v>1.5099734598501531E-3</v>
      </c>
      <c r="J1301" s="689">
        <v>6.4383481326019484E-5</v>
      </c>
      <c r="K1301" s="690">
        <v>6.7294622715318665E-5</v>
      </c>
    </row>
    <row r="1302" spans="2:11" ht="15.75" x14ac:dyDescent="0.25">
      <c r="B1302" s="667" t="s">
        <v>86</v>
      </c>
      <c r="C1302" s="110">
        <v>2024</v>
      </c>
      <c r="D1302" s="687" t="s">
        <v>1905</v>
      </c>
      <c r="E1302" s="688">
        <v>3.6050533152509584E-2</v>
      </c>
      <c r="F1302" s="310">
        <v>1.038652812217389E-2</v>
      </c>
      <c r="G1302" s="311">
        <v>4.7388978539916346E-2</v>
      </c>
      <c r="H1302" s="311">
        <v>1.3341309223483314E-3</v>
      </c>
      <c r="I1302" s="394">
        <v>1.4485156605846142E-3</v>
      </c>
      <c r="J1302" s="689">
        <v>5.8131983152834598E-5</v>
      </c>
      <c r="K1302" s="690">
        <v>6.0760450571950932E-5</v>
      </c>
    </row>
    <row r="1303" spans="2:11" ht="15.75" x14ac:dyDescent="0.25">
      <c r="B1303" s="667" t="s">
        <v>86</v>
      </c>
      <c r="C1303" s="110">
        <v>2025</v>
      </c>
      <c r="D1303" s="687" t="s">
        <v>1906</v>
      </c>
      <c r="E1303" s="688">
        <v>3.4914641664636689E-2</v>
      </c>
      <c r="F1303" s="310">
        <v>9.0404440838522775E-3</v>
      </c>
      <c r="G1303" s="311">
        <v>4.1908905315412387E-2</v>
      </c>
      <c r="H1303" s="311">
        <v>1.2826412543201805E-3</v>
      </c>
      <c r="I1303" s="394">
        <v>1.3927504123496222E-3</v>
      </c>
      <c r="J1303" s="689">
        <v>5.2804804754604763E-5</v>
      </c>
      <c r="K1303" s="690">
        <v>5.5192397478220567E-5</v>
      </c>
    </row>
    <row r="1304" spans="2:11" ht="15.75" x14ac:dyDescent="0.25">
      <c r="B1304" s="667" t="s">
        <v>86</v>
      </c>
      <c r="C1304" s="110">
        <v>2026</v>
      </c>
      <c r="D1304" s="687" t="s">
        <v>1907</v>
      </c>
      <c r="E1304" s="688">
        <v>3.3852906651378745E-2</v>
      </c>
      <c r="F1304" s="310">
        <v>7.9667094359527971E-3</v>
      </c>
      <c r="G1304" s="311">
        <v>3.7596902329982515E-2</v>
      </c>
      <c r="H1304" s="311">
        <v>1.229526185291545E-3</v>
      </c>
      <c r="I1304" s="394">
        <v>1.3351838006878483E-3</v>
      </c>
      <c r="J1304" s="689">
        <v>4.8102737678319892E-5</v>
      </c>
      <c r="K1304" s="690">
        <v>5.0277728863829602E-5</v>
      </c>
    </row>
    <row r="1305" spans="2:11" ht="15.75" x14ac:dyDescent="0.25">
      <c r="B1305" s="667" t="s">
        <v>86</v>
      </c>
      <c r="C1305" s="110">
        <v>2027</v>
      </c>
      <c r="D1305" s="687" t="s">
        <v>1908</v>
      </c>
      <c r="E1305" s="688">
        <v>3.2856972524548292E-2</v>
      </c>
      <c r="F1305" s="310">
        <v>7.0647783503763146E-3</v>
      </c>
      <c r="G1305" s="311">
        <v>3.4045417701662431E-2</v>
      </c>
      <c r="H1305" s="311">
        <v>1.1674661478371417E-3</v>
      </c>
      <c r="I1305" s="394">
        <v>1.2679332683492846E-3</v>
      </c>
      <c r="J1305" s="689">
        <v>4.2298347387044085E-5</v>
      </c>
      <c r="K1305" s="690">
        <v>4.421088857085358E-5</v>
      </c>
    </row>
    <row r="1306" spans="2:11" ht="15.75" x14ac:dyDescent="0.25">
      <c r="B1306" s="667" t="s">
        <v>86</v>
      </c>
      <c r="C1306" s="110">
        <v>2028</v>
      </c>
      <c r="D1306" s="687" t="s">
        <v>1909</v>
      </c>
      <c r="E1306" s="688">
        <v>3.1937820180069139E-2</v>
      </c>
      <c r="F1306" s="310">
        <v>6.3160788377950557E-3</v>
      </c>
      <c r="G1306" s="311">
        <v>3.116775802089581E-2</v>
      </c>
      <c r="H1306" s="311">
        <v>1.099505252558019E-3</v>
      </c>
      <c r="I1306" s="394">
        <v>1.1941998312168564E-3</v>
      </c>
      <c r="J1306" s="689">
        <v>3.8047072275069823E-5</v>
      </c>
      <c r="K1306" s="690">
        <v>3.9767385462166303E-5</v>
      </c>
    </row>
    <row r="1307" spans="2:11" ht="15.75" x14ac:dyDescent="0.25">
      <c r="B1307" s="667" t="s">
        <v>86</v>
      </c>
      <c r="C1307" s="110">
        <v>2029</v>
      </c>
      <c r="D1307" s="687" t="s">
        <v>1910</v>
      </c>
      <c r="E1307" s="688">
        <v>3.1093259265042982E-2</v>
      </c>
      <c r="F1307" s="310">
        <v>5.6752996859335868E-3</v>
      </c>
      <c r="G1307" s="311">
        <v>2.8791962416904675E-2</v>
      </c>
      <c r="H1307" s="311">
        <v>1.0328629548891921E-3</v>
      </c>
      <c r="I1307" s="394">
        <v>1.1218668338008931E-3</v>
      </c>
      <c r="J1307" s="689">
        <v>3.4596203507061895E-5</v>
      </c>
      <c r="K1307" s="690">
        <v>3.6160496529820453E-5</v>
      </c>
    </row>
    <row r="1308" spans="2:11" ht="15.75" x14ac:dyDescent="0.25">
      <c r="B1308" s="667" t="s">
        <v>86</v>
      </c>
      <c r="C1308" s="110">
        <v>2030</v>
      </c>
      <c r="D1308" s="687" t="s">
        <v>1911</v>
      </c>
      <c r="E1308" s="688">
        <v>3.0320716886216213E-2</v>
      </c>
      <c r="F1308" s="310">
        <v>5.1378243712448864E-3</v>
      </c>
      <c r="G1308" s="311">
        <v>2.6862320274429252E-2</v>
      </c>
      <c r="H1308" s="311">
        <v>9.6944563750414028E-4</v>
      </c>
      <c r="I1308" s="394">
        <v>1.0530131306821422E-3</v>
      </c>
      <c r="J1308" s="689">
        <v>3.1787970861887953E-5</v>
      </c>
      <c r="K1308" s="690">
        <v>3.3225283655635907E-5</v>
      </c>
    </row>
    <row r="1309" spans="2:11" ht="15.75" x14ac:dyDescent="0.25">
      <c r="B1309" s="667" t="s">
        <v>86</v>
      </c>
      <c r="C1309" s="110">
        <v>2031</v>
      </c>
      <c r="D1309" s="687" t="s">
        <v>1912</v>
      </c>
      <c r="E1309" s="688">
        <v>2.9617461071422643E-2</v>
      </c>
      <c r="F1309" s="310">
        <v>4.6710980011774317E-3</v>
      </c>
      <c r="G1309" s="311">
        <v>2.5253914885637298E-2</v>
      </c>
      <c r="H1309" s="311">
        <v>9.0977458198608326E-4</v>
      </c>
      <c r="I1309" s="394">
        <v>9.8821217400333955E-4</v>
      </c>
      <c r="J1309" s="689">
        <v>2.9514460428033118E-5</v>
      </c>
      <c r="K1309" s="690">
        <v>3.084897611059595E-5</v>
      </c>
    </row>
    <row r="1310" spans="2:11" ht="15.75" x14ac:dyDescent="0.25">
      <c r="B1310" s="667" t="s">
        <v>86</v>
      </c>
      <c r="C1310" s="110">
        <v>2032</v>
      </c>
      <c r="D1310" s="687" t="s">
        <v>1913</v>
      </c>
      <c r="E1310" s="688">
        <v>2.8984775130422746E-2</v>
      </c>
      <c r="F1310" s="310">
        <v>4.2655276763053996E-3</v>
      </c>
      <c r="G1310" s="311">
        <v>2.3930558148973144E-2</v>
      </c>
      <c r="H1310" s="311">
        <v>8.5395784405931042E-4</v>
      </c>
      <c r="I1310" s="394">
        <v>9.2759331615702113E-4</v>
      </c>
      <c r="J1310" s="689">
        <v>2.746977149391224E-5</v>
      </c>
      <c r="K1310" s="690">
        <v>2.8711833454210937E-5</v>
      </c>
    </row>
    <row r="1311" spans="2:11" ht="15.75" x14ac:dyDescent="0.25">
      <c r="B1311" s="667" t="s">
        <v>86</v>
      </c>
      <c r="C1311" s="110">
        <v>2033</v>
      </c>
      <c r="D1311" s="687" t="s">
        <v>1914</v>
      </c>
      <c r="E1311" s="688">
        <v>2.8415955978894406E-2</v>
      </c>
      <c r="F1311" s="310">
        <v>3.9157524065081151E-3</v>
      </c>
      <c r="G1311" s="311">
        <v>2.2853219204407384E-2</v>
      </c>
      <c r="H1311" s="311">
        <v>8.0267894252099693E-4</v>
      </c>
      <c r="I1311" s="394">
        <v>8.7189064348770068E-4</v>
      </c>
      <c r="J1311" s="689">
        <v>2.5871622691543436E-5</v>
      </c>
      <c r="K1311" s="690">
        <v>2.7041417936542488E-5</v>
      </c>
    </row>
    <row r="1312" spans="2:11" ht="15.75" x14ac:dyDescent="0.25">
      <c r="B1312" s="667" t="s">
        <v>86</v>
      </c>
      <c r="C1312" s="110">
        <v>2034</v>
      </c>
      <c r="D1312" s="687" t="s">
        <v>1915</v>
      </c>
      <c r="E1312" s="688">
        <v>2.7904578378136986E-2</v>
      </c>
      <c r="F1312" s="310">
        <v>3.6040027633405503E-3</v>
      </c>
      <c r="G1312" s="311">
        <v>2.194334287935967E-2</v>
      </c>
      <c r="H1312" s="311">
        <v>7.5545819193724906E-4</v>
      </c>
      <c r="I1312" s="394">
        <v>8.2059369252036733E-4</v>
      </c>
      <c r="J1312" s="689">
        <v>2.4449598336227345E-5</v>
      </c>
      <c r="K1312" s="690">
        <v>2.5555100893740176E-5</v>
      </c>
    </row>
    <row r="1313" spans="2:11" ht="15.75" x14ac:dyDescent="0.25">
      <c r="B1313" s="667" t="s">
        <v>86</v>
      </c>
      <c r="C1313" s="110">
        <v>2035</v>
      </c>
      <c r="D1313" s="687" t="s">
        <v>1916</v>
      </c>
      <c r="E1313" s="688">
        <v>2.7451087886058764E-2</v>
      </c>
      <c r="F1313" s="310">
        <v>3.3323026404907105E-3</v>
      </c>
      <c r="G1313" s="311">
        <v>2.119597963953598E-2</v>
      </c>
      <c r="H1313" s="311">
        <v>7.1254889269750188E-4</v>
      </c>
      <c r="I1313" s="394">
        <v>7.739799740339473E-4</v>
      </c>
      <c r="J1313" s="689">
        <v>2.3180476479862664E-5</v>
      </c>
      <c r="K1313" s="690">
        <v>2.4228591129357841E-5</v>
      </c>
    </row>
    <row r="1314" spans="2:11" ht="15.75" x14ac:dyDescent="0.25">
      <c r="B1314" s="667" t="s">
        <v>86</v>
      </c>
      <c r="C1314" s="110">
        <v>2036</v>
      </c>
      <c r="D1314" s="687" t="s">
        <v>1917</v>
      </c>
      <c r="E1314" s="688">
        <v>2.7050217725773294E-2</v>
      </c>
      <c r="F1314" s="310">
        <v>3.0960036816250064E-3</v>
      </c>
      <c r="G1314" s="311">
        <v>2.0577744952427587E-2</v>
      </c>
      <c r="H1314" s="311">
        <v>6.7466349406456448E-4</v>
      </c>
      <c r="I1314" s="394">
        <v>7.3281940813214972E-4</v>
      </c>
      <c r="J1314" s="689">
        <v>2.2139022239758154E-5</v>
      </c>
      <c r="K1314" s="690">
        <v>2.3140049791363939E-5</v>
      </c>
    </row>
    <row r="1315" spans="2:11" ht="15.75" x14ac:dyDescent="0.25">
      <c r="B1315" s="667" t="s">
        <v>86</v>
      </c>
      <c r="C1315" s="110">
        <v>2037</v>
      </c>
      <c r="D1315" s="687" t="s">
        <v>1918</v>
      </c>
      <c r="E1315" s="688">
        <v>2.669935563243165E-2</v>
      </c>
      <c r="F1315" s="310">
        <v>2.8926329152273063E-3</v>
      </c>
      <c r="G1315" s="311">
        <v>2.0071436758457295E-2</v>
      </c>
      <c r="H1315" s="311">
        <v>6.409759732091256E-4</v>
      </c>
      <c r="I1315" s="394">
        <v>6.9622177697964492E-4</v>
      </c>
      <c r="J1315" s="689">
        <v>2.1180865260841878E-5</v>
      </c>
      <c r="K1315" s="690">
        <v>2.2138567990712935E-5</v>
      </c>
    </row>
    <row r="1316" spans="2:11" ht="15.75" x14ac:dyDescent="0.25">
      <c r="B1316" s="667" t="s">
        <v>86</v>
      </c>
      <c r="C1316" s="110">
        <v>2038</v>
      </c>
      <c r="D1316" s="687" t="s">
        <v>1919</v>
      </c>
      <c r="E1316" s="688">
        <v>2.6394087879635562E-2</v>
      </c>
      <c r="F1316" s="310">
        <v>2.7157953520757856E-3</v>
      </c>
      <c r="G1316" s="311">
        <v>1.9643979985903372E-2</v>
      </c>
      <c r="H1316" s="311">
        <v>6.1142935364032224E-4</v>
      </c>
      <c r="I1316" s="394">
        <v>6.6412010373665255E-4</v>
      </c>
      <c r="J1316" s="689">
        <v>2.0414175289241257E-5</v>
      </c>
      <c r="K1316" s="690">
        <v>2.1337212084927524E-5</v>
      </c>
    </row>
    <row r="1317" spans="2:11" ht="15.75" x14ac:dyDescent="0.25">
      <c r="B1317" s="667" t="s">
        <v>86</v>
      </c>
      <c r="C1317" s="110">
        <v>2039</v>
      </c>
      <c r="D1317" s="687" t="s">
        <v>1920</v>
      </c>
      <c r="E1317" s="688">
        <v>2.6127722250344539E-2</v>
      </c>
      <c r="F1317" s="310">
        <v>2.5500843360090303E-3</v>
      </c>
      <c r="G1317" s="311">
        <v>1.9241075491397339E-2</v>
      </c>
      <c r="H1317" s="311">
        <v>5.8549999369799288E-4</v>
      </c>
      <c r="I1317" s="394">
        <v>6.3594687614754923E-4</v>
      </c>
      <c r="J1317" s="689">
        <v>1.977118300635837E-5</v>
      </c>
      <c r="K1317" s="690">
        <v>2.0665148842974675E-5</v>
      </c>
    </row>
    <row r="1318" spans="2:11" ht="15.75" x14ac:dyDescent="0.25">
      <c r="B1318" s="667" t="s">
        <v>86</v>
      </c>
      <c r="C1318" s="110">
        <v>2040</v>
      </c>
      <c r="D1318" s="687" t="s">
        <v>1921</v>
      </c>
      <c r="E1318" s="688">
        <v>2.5896908145194412E-2</v>
      </c>
      <c r="F1318" s="310">
        <v>2.4120144649386233E-3</v>
      </c>
      <c r="G1318" s="311">
        <v>1.8928849206659888E-2</v>
      </c>
      <c r="H1318" s="311">
        <v>5.6325165390865906E-4</v>
      </c>
      <c r="I1318" s="394">
        <v>6.1177240391651548E-4</v>
      </c>
      <c r="J1318" s="689">
        <v>1.9223552879190731E-5</v>
      </c>
      <c r="K1318" s="690">
        <v>2.0092758617930542E-5</v>
      </c>
    </row>
    <row r="1319" spans="2:11" ht="15.75" x14ac:dyDescent="0.25">
      <c r="B1319" s="667" t="s">
        <v>86</v>
      </c>
      <c r="C1319" s="110">
        <v>2041</v>
      </c>
      <c r="D1319" s="687" t="s">
        <v>1922</v>
      </c>
      <c r="E1319" s="688">
        <v>2.5699960668562772E-2</v>
      </c>
      <c r="F1319" s="310">
        <v>2.3058814984510362E-3</v>
      </c>
      <c r="G1319" s="311">
        <v>1.8688634201830461E-2</v>
      </c>
      <c r="H1319" s="311">
        <v>5.4515712331065867E-4</v>
      </c>
      <c r="I1319" s="394">
        <v>5.9211233652404485E-4</v>
      </c>
      <c r="J1319" s="689">
        <v>1.8772933411648903E-5</v>
      </c>
      <c r="K1319" s="690">
        <v>1.9621762348282694E-5</v>
      </c>
    </row>
    <row r="1320" spans="2:11" ht="15.75" x14ac:dyDescent="0.25">
      <c r="B1320" s="667" t="s">
        <v>86</v>
      </c>
      <c r="C1320" s="110">
        <v>2042</v>
      </c>
      <c r="D1320" s="687" t="s">
        <v>1923</v>
      </c>
      <c r="E1320" s="688">
        <v>2.552754090170286E-2</v>
      </c>
      <c r="F1320" s="310">
        <v>2.2168738407328742E-3</v>
      </c>
      <c r="G1320" s="311">
        <v>1.8473159744965849E-2</v>
      </c>
      <c r="H1320" s="311">
        <v>5.2987022182432984E-4</v>
      </c>
      <c r="I1320" s="394">
        <v>5.7550256771320195E-4</v>
      </c>
      <c r="J1320" s="689">
        <v>1.8402480952450948E-5</v>
      </c>
      <c r="K1320" s="690">
        <v>1.923455528056721E-5</v>
      </c>
    </row>
    <row r="1321" spans="2:11" ht="15.75" x14ac:dyDescent="0.25">
      <c r="B1321" s="667" t="s">
        <v>86</v>
      </c>
      <c r="C1321" s="110">
        <v>2043</v>
      </c>
      <c r="D1321" s="687" t="s">
        <v>1924</v>
      </c>
      <c r="E1321" s="688">
        <v>2.5378992551891685E-2</v>
      </c>
      <c r="F1321" s="310">
        <v>2.1493407541634374E-3</v>
      </c>
      <c r="G1321" s="311">
        <v>1.8314302218820005E-2</v>
      </c>
      <c r="H1321" s="311">
        <v>5.1711121943271603E-4</v>
      </c>
      <c r="I1321" s="394">
        <v>5.616387262969225E-4</v>
      </c>
      <c r="J1321" s="689">
        <v>1.8109675081352651E-5</v>
      </c>
      <c r="K1321" s="690">
        <v>1.8928507889156569E-5</v>
      </c>
    </row>
    <row r="1322" spans="2:11" ht="15.75" x14ac:dyDescent="0.25">
      <c r="B1322" s="667" t="s">
        <v>86</v>
      </c>
      <c r="C1322" s="110">
        <v>2044</v>
      </c>
      <c r="D1322" s="687" t="s">
        <v>1925</v>
      </c>
      <c r="E1322" s="688">
        <v>2.5246606366893465E-2</v>
      </c>
      <c r="F1322" s="310">
        <v>2.096631998938725E-3</v>
      </c>
      <c r="G1322" s="311">
        <v>1.8180453521260694E-2</v>
      </c>
      <c r="H1322" s="311">
        <v>5.0649540891365102E-4</v>
      </c>
      <c r="I1322" s="394">
        <v>5.5010278432582934E-4</v>
      </c>
      <c r="J1322" s="689">
        <v>1.7878279693325287E-5</v>
      </c>
      <c r="K1322" s="690">
        <v>1.8686653285429341E-5</v>
      </c>
    </row>
    <row r="1323" spans="2:11" ht="15.75" x14ac:dyDescent="0.25">
      <c r="B1323" s="667" t="s">
        <v>86</v>
      </c>
      <c r="C1323" s="110">
        <v>2045</v>
      </c>
      <c r="D1323" s="687" t="s">
        <v>1926</v>
      </c>
      <c r="E1323" s="688">
        <v>2.5128490184267969E-2</v>
      </c>
      <c r="F1323" s="310">
        <v>2.0587114572460556E-3</v>
      </c>
      <c r="G1323" s="311">
        <v>1.8087310921080228E-2</v>
      </c>
      <c r="H1323" s="311">
        <v>4.9774743469145274E-4</v>
      </c>
      <c r="I1323" s="394">
        <v>5.4059539282037025E-4</v>
      </c>
      <c r="J1323" s="689">
        <v>1.7701257937881675E-5</v>
      </c>
      <c r="K1323" s="690">
        <v>1.8501628587571383E-5</v>
      </c>
    </row>
    <row r="1324" spans="2:11" ht="15.75" x14ac:dyDescent="0.25">
      <c r="B1324" s="667" t="s">
        <v>86</v>
      </c>
      <c r="C1324" s="110">
        <v>2046</v>
      </c>
      <c r="D1324" s="687" t="s">
        <v>1927</v>
      </c>
      <c r="E1324" s="688">
        <v>2.5026160099421369E-2</v>
      </c>
      <c r="F1324" s="310">
        <v>2.0259908224841074E-3</v>
      </c>
      <c r="G1324" s="311">
        <v>1.8009113713656488E-2</v>
      </c>
      <c r="H1324" s="311">
        <v>4.9060884186554073E-4</v>
      </c>
      <c r="I1324" s="394">
        <v>5.328382408895107E-4</v>
      </c>
      <c r="J1324" s="689">
        <v>1.7562527958131476E-5</v>
      </c>
      <c r="K1324" s="690">
        <v>1.8356626320062686E-5</v>
      </c>
    </row>
    <row r="1325" spans="2:11" ht="15.75" x14ac:dyDescent="0.25">
      <c r="B1325" s="667" t="s">
        <v>86</v>
      </c>
      <c r="C1325" s="110">
        <v>2047</v>
      </c>
      <c r="D1325" s="687" t="s">
        <v>1928</v>
      </c>
      <c r="E1325" s="688">
        <v>2.4936457608797136E-2</v>
      </c>
      <c r="F1325" s="310">
        <v>1.9967567131317712E-3</v>
      </c>
      <c r="G1325" s="311">
        <v>1.7932294719543537E-2</v>
      </c>
      <c r="H1325" s="311">
        <v>4.8482702787842099E-4</v>
      </c>
      <c r="I1325" s="394">
        <v>5.2655449755302703E-4</v>
      </c>
      <c r="J1325" s="689">
        <v>1.7452537000328859E-5</v>
      </c>
      <c r="K1325" s="690">
        <v>1.8241656438969494E-5</v>
      </c>
    </row>
    <row r="1326" spans="2:11" ht="15.75" x14ac:dyDescent="0.25">
      <c r="B1326" s="667" t="s">
        <v>86</v>
      </c>
      <c r="C1326" s="110">
        <v>2048</v>
      </c>
      <c r="D1326" s="687" t="s">
        <v>1929</v>
      </c>
      <c r="E1326" s="688">
        <v>2.4859563019592992E-2</v>
      </c>
      <c r="F1326" s="310">
        <v>1.9741362225704526E-3</v>
      </c>
      <c r="G1326" s="311">
        <v>1.78741008598002E-2</v>
      </c>
      <c r="H1326" s="311">
        <v>4.802088832486509E-4</v>
      </c>
      <c r="I1326" s="394">
        <v>5.2153509496429148E-4</v>
      </c>
      <c r="J1326" s="689">
        <v>1.7368554996038846E-5</v>
      </c>
      <c r="K1326" s="690">
        <v>1.815387911361062E-5</v>
      </c>
    </row>
    <row r="1327" spans="2:11" ht="15.75" x14ac:dyDescent="0.25">
      <c r="B1327" s="667" t="s">
        <v>86</v>
      </c>
      <c r="C1327" s="110">
        <v>2049</v>
      </c>
      <c r="D1327" s="687" t="s">
        <v>1930</v>
      </c>
      <c r="E1327" s="688">
        <v>2.4791220655657305E-2</v>
      </c>
      <c r="F1327" s="310">
        <v>1.9647137509569055E-3</v>
      </c>
      <c r="G1327" s="311">
        <v>1.7883033077482145E-2</v>
      </c>
      <c r="H1327" s="311">
        <v>4.770893681796796E-4</v>
      </c>
      <c r="I1327" s="394">
        <v>5.1814496866299672E-4</v>
      </c>
      <c r="J1327" s="689">
        <v>1.7306906544578195E-5</v>
      </c>
      <c r="K1327" s="690">
        <v>1.8089446015888904E-5</v>
      </c>
    </row>
    <row r="1328" spans="2:11" ht="15.75" x14ac:dyDescent="0.25">
      <c r="B1328" s="667" t="s">
        <v>86</v>
      </c>
      <c r="C1328" s="110">
        <v>2050</v>
      </c>
      <c r="D1328" s="687" t="s">
        <v>1931</v>
      </c>
      <c r="E1328" s="688">
        <v>2.4732610713939746E-2</v>
      </c>
      <c r="F1328" s="310">
        <v>1.9572523060286651E-3</v>
      </c>
      <c r="G1328" s="311">
        <v>1.7892062278163017E-2</v>
      </c>
      <c r="H1328" s="311">
        <v>4.7463127186609327E-4</v>
      </c>
      <c r="I1328" s="394">
        <v>5.1547364545746082E-4</v>
      </c>
      <c r="J1328" s="689">
        <v>1.7251240309008723E-5</v>
      </c>
      <c r="K1328" s="690">
        <v>1.8031262275908156E-5</v>
      </c>
    </row>
    <row r="1329" spans="2:11" ht="15.75" x14ac:dyDescent="0.25">
      <c r="B1329" s="667" t="s">
        <v>87</v>
      </c>
      <c r="C1329" s="110">
        <v>2015</v>
      </c>
      <c r="D1329" s="687" t="s">
        <v>272</v>
      </c>
      <c r="E1329" s="688">
        <v>4.6570336280070221E-2</v>
      </c>
      <c r="F1329" s="310">
        <v>5.4008106722493295E-2</v>
      </c>
      <c r="G1329" s="311">
        <v>0.22952391414862641</v>
      </c>
      <c r="H1329" s="311">
        <v>1.9362466974551383E-3</v>
      </c>
      <c r="I1329" s="394">
        <v>2.0941268124959507E-3</v>
      </c>
      <c r="J1329" s="689">
        <v>1.9576702807560167E-4</v>
      </c>
      <c r="K1329" s="690">
        <v>2.0461873748923727E-4</v>
      </c>
    </row>
    <row r="1330" spans="2:11" ht="15.75" x14ac:dyDescent="0.25">
      <c r="B1330" s="667" t="s">
        <v>87</v>
      </c>
      <c r="C1330" s="110">
        <v>2016</v>
      </c>
      <c r="D1330" s="687" t="s">
        <v>273</v>
      </c>
      <c r="E1330" s="688">
        <v>4.5673256900856843E-2</v>
      </c>
      <c r="F1330" s="310">
        <v>4.4082032851495444E-2</v>
      </c>
      <c r="G1330" s="311">
        <v>0.19288666057524184</v>
      </c>
      <c r="H1330" s="311">
        <v>1.7916677832464916E-3</v>
      </c>
      <c r="I1330" s="394">
        <v>1.9393647143429486E-3</v>
      </c>
      <c r="J1330" s="689">
        <v>1.6524991749704605E-4</v>
      </c>
      <c r="K1330" s="690">
        <v>1.7272178775240397E-4</v>
      </c>
    </row>
    <row r="1331" spans="2:11" ht="15.75" x14ac:dyDescent="0.25">
      <c r="B1331" s="667" t="s">
        <v>87</v>
      </c>
      <c r="C1331" s="110">
        <v>2017</v>
      </c>
      <c r="D1331" s="687" t="s">
        <v>1968</v>
      </c>
      <c r="E1331" s="688">
        <v>4.4594328801265772E-2</v>
      </c>
      <c r="F1331" s="310">
        <v>3.6126340952576247E-2</v>
      </c>
      <c r="G1331" s="311">
        <v>0.16262166232986502</v>
      </c>
      <c r="H1331" s="311">
        <v>1.7176032729685532E-3</v>
      </c>
      <c r="I1331" s="394">
        <v>1.8603139560106001E-3</v>
      </c>
      <c r="J1331" s="689">
        <v>1.5043996174857646E-4</v>
      </c>
      <c r="K1331" s="690">
        <v>1.572421846281282E-4</v>
      </c>
    </row>
    <row r="1332" spans="2:11" ht="15.75" x14ac:dyDescent="0.25">
      <c r="B1332" s="667" t="s">
        <v>87</v>
      </c>
      <c r="C1332" s="110">
        <v>2018</v>
      </c>
      <c r="D1332" s="687" t="s">
        <v>1969</v>
      </c>
      <c r="E1332" s="688">
        <v>4.3455276241070123E-2</v>
      </c>
      <c r="F1332" s="310">
        <v>2.9488726832371685E-2</v>
      </c>
      <c r="G1332" s="311">
        <v>0.13675171581308293</v>
      </c>
      <c r="H1332" s="311">
        <v>1.678824193027897E-3</v>
      </c>
      <c r="I1332" s="394">
        <v>1.819306313539327E-3</v>
      </c>
      <c r="J1332" s="689">
        <v>1.3821787321337348E-4</v>
      </c>
      <c r="K1332" s="690">
        <v>1.4446747289652211E-4</v>
      </c>
    </row>
    <row r="1333" spans="2:11" ht="15.75" x14ac:dyDescent="0.25">
      <c r="B1333" s="667" t="s">
        <v>87</v>
      </c>
      <c r="C1333" s="110">
        <v>2019</v>
      </c>
      <c r="D1333" s="687" t="s">
        <v>1970</v>
      </c>
      <c r="E1333" s="688">
        <v>4.227871428291944E-2</v>
      </c>
      <c r="F1333" s="310">
        <v>2.4012084449542292E-2</v>
      </c>
      <c r="G1333" s="311">
        <v>0.11504380789418042</v>
      </c>
      <c r="H1333" s="311">
        <v>1.6525334139123849E-3</v>
      </c>
      <c r="I1333" s="394">
        <v>1.7916905324002056E-3</v>
      </c>
      <c r="J1333" s="689">
        <v>1.2611868667284843E-4</v>
      </c>
      <c r="K1333" s="690">
        <v>1.3182121672982011E-4</v>
      </c>
    </row>
    <row r="1334" spans="2:11" ht="15.75" x14ac:dyDescent="0.25">
      <c r="B1334" s="667" t="s">
        <v>87</v>
      </c>
      <c r="C1334" s="110">
        <v>2020</v>
      </c>
      <c r="D1334" s="687" t="s">
        <v>1971</v>
      </c>
      <c r="E1334" s="688">
        <v>4.1081112582827518E-2</v>
      </c>
      <c r="F1334" s="310">
        <v>2.005886003758222E-2</v>
      </c>
      <c r="G1334" s="311">
        <v>9.7162029004515343E-2</v>
      </c>
      <c r="H1334" s="311">
        <v>1.6073860693473852E-3</v>
      </c>
      <c r="I1334" s="394">
        <v>1.7430795015518667E-3</v>
      </c>
      <c r="J1334" s="689">
        <v>1.1710867903246157E-4</v>
      </c>
      <c r="K1334" s="690">
        <v>1.2240380967007999E-4</v>
      </c>
    </row>
    <row r="1335" spans="2:11" ht="15.75" x14ac:dyDescent="0.25">
      <c r="B1335" s="667" t="s">
        <v>87</v>
      </c>
      <c r="C1335" s="110">
        <v>2021</v>
      </c>
      <c r="D1335" s="687" t="s">
        <v>1972</v>
      </c>
      <c r="E1335" s="688">
        <v>3.9874917631042256E-2</v>
      </c>
      <c r="F1335" s="310">
        <v>1.7356203017893115E-2</v>
      </c>
      <c r="G1335" s="311">
        <v>8.297845455827417E-2</v>
      </c>
      <c r="H1335" s="311">
        <v>1.5593848436231217E-3</v>
      </c>
      <c r="I1335" s="394">
        <v>1.6912571571503212E-3</v>
      </c>
      <c r="J1335" s="689">
        <v>1.0894461943851019E-4</v>
      </c>
      <c r="K1335" s="690">
        <v>1.1387061053602994E-4</v>
      </c>
    </row>
    <row r="1336" spans="2:11" ht="15.75" x14ac:dyDescent="0.25">
      <c r="B1336" s="667" t="s">
        <v>87</v>
      </c>
      <c r="C1336" s="110">
        <v>2022</v>
      </c>
      <c r="D1336" s="687" t="s">
        <v>1973</v>
      </c>
      <c r="E1336" s="688">
        <v>3.8681601513941469E-2</v>
      </c>
      <c r="F1336" s="310">
        <v>1.4730807561874285E-2</v>
      </c>
      <c r="G1336" s="311">
        <v>7.0985921643169872E-2</v>
      </c>
      <c r="H1336" s="311">
        <v>1.4832433687570691E-3</v>
      </c>
      <c r="I1336" s="394">
        <v>1.6088676612792483E-3</v>
      </c>
      <c r="J1336" s="689">
        <v>1.0029758171183031E-4</v>
      </c>
      <c r="K1336" s="690">
        <v>1.0483259581510171E-4</v>
      </c>
    </row>
    <row r="1337" spans="2:11" ht="15.75" x14ac:dyDescent="0.25">
      <c r="B1337" s="667" t="s">
        <v>87</v>
      </c>
      <c r="C1337" s="110">
        <v>2023</v>
      </c>
      <c r="D1337" s="687" t="s">
        <v>1974</v>
      </c>
      <c r="E1337" s="688">
        <v>3.7498807721349191E-2</v>
      </c>
      <c r="F1337" s="310">
        <v>1.2579121698333799E-2</v>
      </c>
      <c r="G1337" s="311">
        <v>6.1001196396246127E-2</v>
      </c>
      <c r="H1337" s="311">
        <v>1.4087004806897555E-3</v>
      </c>
      <c r="I1337" s="394">
        <v>1.5283080138848088E-3</v>
      </c>
      <c r="J1337" s="689">
        <v>8.8739844976442025E-5</v>
      </c>
      <c r="K1337" s="690">
        <v>9.2752270254783364E-5</v>
      </c>
    </row>
    <row r="1338" spans="2:11" ht="15.75" x14ac:dyDescent="0.25">
      <c r="B1338" s="667" t="s">
        <v>87</v>
      </c>
      <c r="C1338" s="110">
        <v>2024</v>
      </c>
      <c r="D1338" s="687" t="s">
        <v>1975</v>
      </c>
      <c r="E1338" s="688">
        <v>3.6332772531656059E-2</v>
      </c>
      <c r="F1338" s="310">
        <v>1.0818326645959631E-2</v>
      </c>
      <c r="G1338" s="311">
        <v>5.2895189393639928E-2</v>
      </c>
      <c r="H1338" s="311">
        <v>1.3426881840778737E-3</v>
      </c>
      <c r="I1338" s="394">
        <v>1.4569670955476939E-3</v>
      </c>
      <c r="J1338" s="689">
        <v>7.843997900352606E-5</v>
      </c>
      <c r="K1338" s="690">
        <v>8.1986689748045854E-5</v>
      </c>
    </row>
    <row r="1339" spans="2:11" ht="15.75" x14ac:dyDescent="0.25">
      <c r="B1339" s="667" t="s">
        <v>87</v>
      </c>
      <c r="C1339" s="110">
        <v>2025</v>
      </c>
      <c r="D1339" s="687" t="s">
        <v>1976</v>
      </c>
      <c r="E1339" s="688">
        <v>3.5185126526642539E-2</v>
      </c>
      <c r="F1339" s="310">
        <v>9.3924117746395884E-3</v>
      </c>
      <c r="G1339" s="311">
        <v>4.640403873410133E-2</v>
      </c>
      <c r="H1339" s="311">
        <v>1.287986953221358E-3</v>
      </c>
      <c r="I1339" s="394">
        <v>1.3977746740157896E-3</v>
      </c>
      <c r="J1339" s="689">
        <v>7.1450844798428127E-5</v>
      </c>
      <c r="K1339" s="690">
        <v>7.4681537689173864E-5</v>
      </c>
    </row>
    <row r="1340" spans="2:11" ht="15.75" x14ac:dyDescent="0.25">
      <c r="B1340" s="667" t="s">
        <v>87</v>
      </c>
      <c r="C1340" s="110">
        <v>2026</v>
      </c>
      <c r="D1340" s="687" t="s">
        <v>1977</v>
      </c>
      <c r="E1340" s="688">
        <v>3.4074721905973437E-2</v>
      </c>
      <c r="F1340" s="310">
        <v>8.1674600712913267E-3</v>
      </c>
      <c r="G1340" s="311">
        <v>4.1137504131429838E-2</v>
      </c>
      <c r="H1340" s="311">
        <v>1.2238368945828733E-3</v>
      </c>
      <c r="I1340" s="394">
        <v>1.3283101616725554E-3</v>
      </c>
      <c r="J1340" s="689">
        <v>6.4278663788347541E-5</v>
      </c>
      <c r="K1340" s="690">
        <v>6.7185064808114741E-5</v>
      </c>
    </row>
    <row r="1341" spans="2:11" ht="15.75" x14ac:dyDescent="0.25">
      <c r="B1341" s="667" t="s">
        <v>87</v>
      </c>
      <c r="C1341" s="110">
        <v>2027</v>
      </c>
      <c r="D1341" s="687" t="s">
        <v>1978</v>
      </c>
      <c r="E1341" s="688">
        <v>3.3097259967923523E-2</v>
      </c>
      <c r="F1341" s="310">
        <v>7.2054132620188284E-3</v>
      </c>
      <c r="G1341" s="311">
        <v>3.6885821696013579E-2</v>
      </c>
      <c r="H1341" s="311">
        <v>1.1589683945876143E-3</v>
      </c>
      <c r="I1341" s="394">
        <v>1.2581788411388586E-3</v>
      </c>
      <c r="J1341" s="689">
        <v>5.4390628503566871E-5</v>
      </c>
      <c r="K1341" s="690">
        <v>5.6849937287037721E-5</v>
      </c>
    </row>
    <row r="1342" spans="2:11" ht="15.75" x14ac:dyDescent="0.25">
      <c r="B1342" s="667" t="s">
        <v>87</v>
      </c>
      <c r="C1342" s="110">
        <v>2028</v>
      </c>
      <c r="D1342" s="687" t="s">
        <v>1979</v>
      </c>
      <c r="E1342" s="688">
        <v>3.2206304333074975E-2</v>
      </c>
      <c r="F1342" s="310">
        <v>6.4195210514485148E-3</v>
      </c>
      <c r="G1342" s="311">
        <v>3.3487878297199479E-2</v>
      </c>
      <c r="H1342" s="311">
        <v>1.0911344138876541E-3</v>
      </c>
      <c r="I1342" s="394">
        <v>1.184708968550796E-3</v>
      </c>
      <c r="J1342" s="689">
        <v>4.718997579231516E-5</v>
      </c>
      <c r="K1342" s="690">
        <v>4.9323690565885144E-5</v>
      </c>
    </row>
    <row r="1343" spans="2:11" ht="15.75" x14ac:dyDescent="0.25">
      <c r="B1343" s="667" t="s">
        <v>87</v>
      </c>
      <c r="C1343" s="110">
        <v>2029</v>
      </c>
      <c r="D1343" s="687" t="s">
        <v>1980</v>
      </c>
      <c r="E1343" s="688">
        <v>3.1397686438933273E-2</v>
      </c>
      <c r="F1343" s="310">
        <v>5.7565997965875722E-3</v>
      </c>
      <c r="G1343" s="311">
        <v>3.0711113135154559E-2</v>
      </c>
      <c r="H1343" s="311">
        <v>1.0275234192368605E-3</v>
      </c>
      <c r="I1343" s="394">
        <v>1.1156879276703342E-3</v>
      </c>
      <c r="J1343" s="689">
        <v>4.337451744600493E-5</v>
      </c>
      <c r="K1343" s="690">
        <v>4.5335723488546097E-5</v>
      </c>
    </row>
    <row r="1344" spans="2:11" ht="15.75" x14ac:dyDescent="0.25">
      <c r="B1344" s="667" t="s">
        <v>87</v>
      </c>
      <c r="C1344" s="110">
        <v>2030</v>
      </c>
      <c r="D1344" s="687" t="s">
        <v>1981</v>
      </c>
      <c r="E1344" s="688">
        <v>3.0669460759957148E-2</v>
      </c>
      <c r="F1344" s="310">
        <v>5.1960958296898641E-3</v>
      </c>
      <c r="G1344" s="311">
        <v>2.8436406347929873E-2</v>
      </c>
      <c r="H1344" s="311">
        <v>9.6495044840416635E-4</v>
      </c>
      <c r="I1344" s="394">
        <v>1.0478516797029238E-3</v>
      </c>
      <c r="J1344" s="689">
        <v>3.8239684861378252E-5</v>
      </c>
      <c r="K1344" s="690">
        <v>3.9968712080083667E-5</v>
      </c>
    </row>
    <row r="1345" spans="2:11" ht="15.75" x14ac:dyDescent="0.25">
      <c r="B1345" s="667" t="s">
        <v>87</v>
      </c>
      <c r="C1345" s="110">
        <v>2031</v>
      </c>
      <c r="D1345" s="687" t="s">
        <v>1982</v>
      </c>
      <c r="E1345" s="688">
        <v>3.001598282708896E-2</v>
      </c>
      <c r="F1345" s="310">
        <v>4.7262940265708079E-3</v>
      </c>
      <c r="G1345" s="311">
        <v>2.6605459389781424E-2</v>
      </c>
      <c r="H1345" s="311">
        <v>9.0758826287142078E-4</v>
      </c>
      <c r="I1345" s="394">
        <v>9.8561132214728818E-4</v>
      </c>
      <c r="J1345" s="689">
        <v>3.4765684507850192E-5</v>
      </c>
      <c r="K1345" s="690">
        <v>3.6337635625718124E-5</v>
      </c>
    </row>
    <row r="1346" spans="2:11" ht="15.75" x14ac:dyDescent="0.25">
      <c r="B1346" s="667" t="s">
        <v>87</v>
      </c>
      <c r="C1346" s="110">
        <v>2032</v>
      </c>
      <c r="D1346" s="687" t="s">
        <v>1983</v>
      </c>
      <c r="E1346" s="688">
        <v>2.943243165838141E-2</v>
      </c>
      <c r="F1346" s="310">
        <v>4.3149829532275214E-3</v>
      </c>
      <c r="G1346" s="311">
        <v>2.5088852368660243E-2</v>
      </c>
      <c r="H1346" s="311">
        <v>8.535264984124532E-4</v>
      </c>
      <c r="I1346" s="394">
        <v>9.2695122526535788E-4</v>
      </c>
      <c r="J1346" s="689">
        <v>3.1536152168168912E-5</v>
      </c>
      <c r="K1346" s="690">
        <v>3.2962074058553215E-5</v>
      </c>
    </row>
    <row r="1347" spans="2:11" ht="15.75" x14ac:dyDescent="0.25">
      <c r="B1347" s="667" t="s">
        <v>87</v>
      </c>
      <c r="C1347" s="110">
        <v>2033</v>
      </c>
      <c r="D1347" s="687" t="s">
        <v>1984</v>
      </c>
      <c r="E1347" s="688">
        <v>2.8913406996985105E-2</v>
      </c>
      <c r="F1347" s="310">
        <v>3.9628972982400324E-3</v>
      </c>
      <c r="G1347" s="311">
        <v>2.3857858703360373E-2</v>
      </c>
      <c r="H1347" s="311">
        <v>8.0419579025437112E-4</v>
      </c>
      <c r="I1347" s="394">
        <v>8.7338828374353421E-4</v>
      </c>
      <c r="J1347" s="689">
        <v>2.9460512939634417E-5</v>
      </c>
      <c r="K1347" s="690">
        <v>3.0792587293477365E-5</v>
      </c>
    </row>
    <row r="1348" spans="2:11" ht="15.75" x14ac:dyDescent="0.25">
      <c r="B1348" s="667" t="s">
        <v>87</v>
      </c>
      <c r="C1348" s="110">
        <v>2034</v>
      </c>
      <c r="D1348" s="687" t="s">
        <v>1985</v>
      </c>
      <c r="E1348" s="688">
        <v>2.8453027390336817E-2</v>
      </c>
      <c r="F1348" s="310">
        <v>3.6499122289013926E-3</v>
      </c>
      <c r="G1348" s="311">
        <v>2.2830142633995316E-2</v>
      </c>
      <c r="H1348" s="311">
        <v>7.5815009734315629E-4</v>
      </c>
      <c r="I1348" s="394">
        <v>8.2338536331446959E-4</v>
      </c>
      <c r="J1348" s="689">
        <v>2.765257278156035E-5</v>
      </c>
      <c r="K1348" s="690">
        <v>2.8902899894965621E-5</v>
      </c>
    </row>
    <row r="1349" spans="2:11" ht="15.75" x14ac:dyDescent="0.25">
      <c r="B1349" s="667" t="s">
        <v>87</v>
      </c>
      <c r="C1349" s="110">
        <v>2035</v>
      </c>
      <c r="D1349" s="687" t="s">
        <v>1986</v>
      </c>
      <c r="E1349" s="688">
        <v>2.8046643965099396E-2</v>
      </c>
      <c r="F1349" s="310">
        <v>3.3690646140059188E-3</v>
      </c>
      <c r="G1349" s="311">
        <v>2.1967090612158069E-2</v>
      </c>
      <c r="H1349" s="311">
        <v>7.1522671996616255E-4</v>
      </c>
      <c r="I1349" s="394">
        <v>7.76772310584942E-4</v>
      </c>
      <c r="J1349" s="689">
        <v>2.600100905337021E-5</v>
      </c>
      <c r="K1349" s="690">
        <v>2.7176663608679965E-5</v>
      </c>
    </row>
    <row r="1350" spans="2:11" ht="15.75" x14ac:dyDescent="0.25">
      <c r="B1350" s="667" t="s">
        <v>87</v>
      </c>
      <c r="C1350" s="110">
        <v>2036</v>
      </c>
      <c r="D1350" s="687" t="s">
        <v>1987</v>
      </c>
      <c r="E1350" s="688">
        <v>2.76898729613415E-2</v>
      </c>
      <c r="F1350" s="310">
        <v>3.1234638573593093E-3</v>
      </c>
      <c r="G1350" s="311">
        <v>2.1253659670992679E-2</v>
      </c>
      <c r="H1350" s="311">
        <v>6.7722267339842838E-4</v>
      </c>
      <c r="I1350" s="394">
        <v>7.3550990626547225E-4</v>
      </c>
      <c r="J1350" s="689">
        <v>2.4334285253100364E-5</v>
      </c>
      <c r="K1350" s="690">
        <v>2.5434570398438037E-5</v>
      </c>
    </row>
    <row r="1351" spans="2:11" ht="15.75" x14ac:dyDescent="0.25">
      <c r="B1351" s="667" t="s">
        <v>87</v>
      </c>
      <c r="C1351" s="110">
        <v>2037</v>
      </c>
      <c r="D1351" s="687" t="s">
        <v>1988</v>
      </c>
      <c r="E1351" s="688">
        <v>2.7380638271553799E-2</v>
      </c>
      <c r="F1351" s="310">
        <v>2.9123777708948708E-3</v>
      </c>
      <c r="G1351" s="311">
        <v>2.067663262408051E-2</v>
      </c>
      <c r="H1351" s="311">
        <v>6.4306273530550075E-4</v>
      </c>
      <c r="I1351" s="394">
        <v>6.9841881145499426E-4</v>
      </c>
      <c r="J1351" s="689">
        <v>2.2894348432640804E-5</v>
      </c>
      <c r="K1351" s="690">
        <v>2.3929533599455502E-5</v>
      </c>
    </row>
    <row r="1352" spans="2:11" ht="15.75" x14ac:dyDescent="0.25">
      <c r="B1352" s="667" t="s">
        <v>87</v>
      </c>
      <c r="C1352" s="110">
        <v>2038</v>
      </c>
      <c r="D1352" s="687" t="s">
        <v>1989</v>
      </c>
      <c r="E1352" s="688">
        <v>2.7113608704974063E-2</v>
      </c>
      <c r="F1352" s="310">
        <v>2.7242672113293683E-3</v>
      </c>
      <c r="G1352" s="311">
        <v>2.0179928599487768E-2</v>
      </c>
      <c r="H1352" s="311">
        <v>6.1266793909357808E-4</v>
      </c>
      <c r="I1352" s="394">
        <v>6.654082011749255E-4</v>
      </c>
      <c r="J1352" s="689">
        <v>2.1794223569452907E-5</v>
      </c>
      <c r="K1352" s="690">
        <v>2.2779660124837625E-5</v>
      </c>
    </row>
    <row r="1353" spans="2:11" ht="15.75" x14ac:dyDescent="0.25">
      <c r="B1353" s="667" t="s">
        <v>87</v>
      </c>
      <c r="C1353" s="110">
        <v>2039</v>
      </c>
      <c r="D1353" s="687" t="s">
        <v>1990</v>
      </c>
      <c r="E1353" s="688">
        <v>2.6883435715116966E-2</v>
      </c>
      <c r="F1353" s="310">
        <v>2.5471439752470983E-3</v>
      </c>
      <c r="G1353" s="311">
        <v>1.97165726113347E-2</v>
      </c>
      <c r="H1353" s="311">
        <v>5.8557609040670901E-4</v>
      </c>
      <c r="I1353" s="394">
        <v>6.3598436581526635E-4</v>
      </c>
      <c r="J1353" s="689">
        <v>2.0833768756470789E-5</v>
      </c>
      <c r="K1353" s="690">
        <v>2.1775774584854174E-5</v>
      </c>
    </row>
    <row r="1354" spans="2:11" ht="15.75" x14ac:dyDescent="0.25">
      <c r="B1354" s="667" t="s">
        <v>87</v>
      </c>
      <c r="C1354" s="110">
        <v>2040</v>
      </c>
      <c r="D1354" s="687" t="s">
        <v>1991</v>
      </c>
      <c r="E1354" s="688">
        <v>2.668635552226049E-2</v>
      </c>
      <c r="F1354" s="310">
        <v>2.3880701646781942E-3</v>
      </c>
      <c r="G1354" s="311">
        <v>1.9327774122211826E-2</v>
      </c>
      <c r="H1354" s="311">
        <v>5.6172462914733372E-4</v>
      </c>
      <c r="I1354" s="394">
        <v>6.1007729308214264E-4</v>
      </c>
      <c r="J1354" s="689">
        <v>2.0046347771441972E-5</v>
      </c>
      <c r="K1354" s="690">
        <v>2.0952750958959868E-5</v>
      </c>
    </row>
    <row r="1355" spans="2:11" ht="15.75" x14ac:dyDescent="0.25">
      <c r="B1355" s="667" t="s">
        <v>87</v>
      </c>
      <c r="C1355" s="110">
        <v>2041</v>
      </c>
      <c r="D1355" s="687" t="s">
        <v>1992</v>
      </c>
      <c r="E1355" s="688">
        <v>2.6520089684295974E-2</v>
      </c>
      <c r="F1355" s="310">
        <v>2.2550135267694052E-3</v>
      </c>
      <c r="G1355" s="311">
        <v>1.9013762996805808E-2</v>
      </c>
      <c r="H1355" s="311">
        <v>5.4251555813537335E-4</v>
      </c>
      <c r="I1355" s="394">
        <v>5.8921467698242196E-4</v>
      </c>
      <c r="J1355" s="689">
        <v>1.9366535975114064E-5</v>
      </c>
      <c r="K1355" s="690">
        <v>2.024220452256329E-5</v>
      </c>
    </row>
    <row r="1356" spans="2:11" ht="15.75" x14ac:dyDescent="0.25">
      <c r="B1356" s="667" t="s">
        <v>87</v>
      </c>
      <c r="C1356" s="110">
        <v>2042</v>
      </c>
      <c r="D1356" s="687" t="s">
        <v>1993</v>
      </c>
      <c r="E1356" s="688">
        <v>2.6377778084098073E-2</v>
      </c>
      <c r="F1356" s="310">
        <v>2.1403446647509069E-3</v>
      </c>
      <c r="G1356" s="311">
        <v>1.8736530001898507E-2</v>
      </c>
      <c r="H1356" s="311">
        <v>5.2603930001285588E-4</v>
      </c>
      <c r="I1356" s="394">
        <v>5.7131951643718461E-4</v>
      </c>
      <c r="J1356" s="689">
        <v>1.8798699634781118E-5</v>
      </c>
      <c r="K1356" s="690">
        <v>1.9648695720921244E-5</v>
      </c>
    </row>
    <row r="1357" spans="2:11" ht="15.75" x14ac:dyDescent="0.25">
      <c r="B1357" s="667" t="s">
        <v>87</v>
      </c>
      <c r="C1357" s="110">
        <v>2043</v>
      </c>
      <c r="D1357" s="687" t="s">
        <v>1994</v>
      </c>
      <c r="E1357" s="688">
        <v>2.6258155853205813E-2</v>
      </c>
      <c r="F1357" s="310">
        <v>2.0545518179778733E-3</v>
      </c>
      <c r="G1357" s="311">
        <v>1.8536463138971341E-2</v>
      </c>
      <c r="H1357" s="311">
        <v>5.1202012811393371E-4</v>
      </c>
      <c r="I1357" s="394">
        <v>5.5609234018410485E-4</v>
      </c>
      <c r="J1357" s="689">
        <v>1.8330098673146957E-5</v>
      </c>
      <c r="K1357" s="690">
        <v>1.9158908720790092E-5</v>
      </c>
    </row>
    <row r="1358" spans="2:11" ht="15.75" x14ac:dyDescent="0.25">
      <c r="B1358" s="667" t="s">
        <v>87</v>
      </c>
      <c r="C1358" s="110">
        <v>2044</v>
      </c>
      <c r="D1358" s="687" t="s">
        <v>1995</v>
      </c>
      <c r="E1358" s="688">
        <v>2.6156492886605209E-2</v>
      </c>
      <c r="F1358" s="310">
        <v>1.9940111359815294E-3</v>
      </c>
      <c r="G1358" s="311">
        <v>1.8400390989547166E-2</v>
      </c>
      <c r="H1358" s="311">
        <v>5.0018056013846721E-4</v>
      </c>
      <c r="I1358" s="394">
        <v>5.432327556632241E-4</v>
      </c>
      <c r="J1358" s="689">
        <v>1.7918319350456517E-5</v>
      </c>
      <c r="K1358" s="690">
        <v>1.8728508924456638E-5</v>
      </c>
    </row>
    <row r="1359" spans="2:11" ht="15.75" x14ac:dyDescent="0.25">
      <c r="B1359" s="667" t="s">
        <v>87</v>
      </c>
      <c r="C1359" s="110">
        <v>2045</v>
      </c>
      <c r="D1359" s="687" t="s">
        <v>1996</v>
      </c>
      <c r="E1359" s="688">
        <v>2.6068311986896735E-2</v>
      </c>
      <c r="F1359" s="310">
        <v>1.9567523836008993E-3</v>
      </c>
      <c r="G1359" s="311">
        <v>1.832881853030869E-2</v>
      </c>
      <c r="H1359" s="311">
        <v>4.9034525050514852E-4</v>
      </c>
      <c r="I1359" s="394">
        <v>5.3254774188643767E-4</v>
      </c>
      <c r="J1359" s="689">
        <v>1.7651584145980963E-5</v>
      </c>
      <c r="K1359" s="690">
        <v>1.8449713216695595E-5</v>
      </c>
    </row>
    <row r="1360" spans="2:11" ht="15.75" x14ac:dyDescent="0.25">
      <c r="B1360" s="667" t="s">
        <v>87</v>
      </c>
      <c r="C1360" s="110">
        <v>2046</v>
      </c>
      <c r="D1360" s="687" t="s">
        <v>1997</v>
      </c>
      <c r="E1360" s="688">
        <v>2.599251306868422E-2</v>
      </c>
      <c r="F1360" s="310">
        <v>1.9255379183705378E-3</v>
      </c>
      <c r="G1360" s="311">
        <v>1.8271337528683006E-2</v>
      </c>
      <c r="H1360" s="311">
        <v>4.8216832906090493E-4</v>
      </c>
      <c r="I1360" s="394">
        <v>5.2366444748543181E-4</v>
      </c>
      <c r="J1360" s="689">
        <v>1.7405640741758506E-5</v>
      </c>
      <c r="K1360" s="690">
        <v>1.8192647495389721E-5</v>
      </c>
    </row>
    <row r="1361" spans="2:11" ht="15.75" x14ac:dyDescent="0.25">
      <c r="B1361" s="667" t="s">
        <v>87</v>
      </c>
      <c r="C1361" s="110">
        <v>2047</v>
      </c>
      <c r="D1361" s="687" t="s">
        <v>1998</v>
      </c>
      <c r="E1361" s="688">
        <v>2.5929842380306017E-2</v>
      </c>
      <c r="F1361" s="310">
        <v>1.8999643472000856E-3</v>
      </c>
      <c r="G1361" s="311">
        <v>1.8224803335100903E-2</v>
      </c>
      <c r="H1361" s="311">
        <v>4.7548080478688586E-4</v>
      </c>
      <c r="I1361" s="394">
        <v>5.1640049447914077E-4</v>
      </c>
      <c r="J1361" s="689">
        <v>1.7170719396741386E-5</v>
      </c>
      <c r="K1361" s="690">
        <v>1.7947095783670528E-5</v>
      </c>
    </row>
    <row r="1362" spans="2:11" ht="15.75" x14ac:dyDescent="0.25">
      <c r="B1362" s="667" t="s">
        <v>87</v>
      </c>
      <c r="C1362" s="110">
        <v>2048</v>
      </c>
      <c r="D1362" s="687" t="s">
        <v>1999</v>
      </c>
      <c r="E1362" s="688">
        <v>2.5877127347133634E-2</v>
      </c>
      <c r="F1362" s="310">
        <v>1.8801916942212797E-3</v>
      </c>
      <c r="G1362" s="311">
        <v>1.8192057817767445E-2</v>
      </c>
      <c r="H1362" s="311">
        <v>4.7006219606569589E-4</v>
      </c>
      <c r="I1362" s="394">
        <v>5.1051695128594013E-4</v>
      </c>
      <c r="J1362" s="689">
        <v>1.6955728903292416E-5</v>
      </c>
      <c r="K1362" s="690">
        <v>1.7722390620963585E-5</v>
      </c>
    </row>
    <row r="1363" spans="2:11" ht="15.75" x14ac:dyDescent="0.25">
      <c r="B1363" s="667" t="s">
        <v>87</v>
      </c>
      <c r="C1363" s="110">
        <v>2049</v>
      </c>
      <c r="D1363" s="687" t="s">
        <v>2000</v>
      </c>
      <c r="E1363" s="688">
        <v>2.5832013580301214E-2</v>
      </c>
      <c r="F1363" s="310">
        <v>1.8708943021429692E-3</v>
      </c>
      <c r="G1363" s="311">
        <v>1.8211250260123976E-2</v>
      </c>
      <c r="H1363" s="311">
        <v>4.663658143230028E-4</v>
      </c>
      <c r="I1363" s="394">
        <v>5.0650162214011408E-4</v>
      </c>
      <c r="J1363" s="689">
        <v>1.6843190805370803E-5</v>
      </c>
      <c r="K1363" s="690">
        <v>1.7604757621468995E-5</v>
      </c>
    </row>
    <row r="1364" spans="2:11" ht="15.75" x14ac:dyDescent="0.25">
      <c r="B1364" s="667" t="s">
        <v>87</v>
      </c>
      <c r="C1364" s="110">
        <v>2050</v>
      </c>
      <c r="D1364" s="687" t="s">
        <v>2001</v>
      </c>
      <c r="E1364" s="688">
        <v>2.5795992311868448E-2</v>
      </c>
      <c r="F1364" s="310">
        <v>1.8635832320299691E-3</v>
      </c>
      <c r="G1364" s="311">
        <v>1.8228823249386066E-2</v>
      </c>
      <c r="H1364" s="311">
        <v>4.6344636151376473E-4</v>
      </c>
      <c r="I1364" s="394">
        <v>5.0333201643250585E-4</v>
      </c>
      <c r="J1364" s="689">
        <v>1.6721068117648042E-5</v>
      </c>
      <c r="K1364" s="690">
        <v>1.7477118834724876E-5</v>
      </c>
    </row>
    <row r="1365" spans="2:11" ht="15.75" x14ac:dyDescent="0.25">
      <c r="B1365" s="667" t="s">
        <v>274</v>
      </c>
      <c r="C1365" s="110">
        <v>2015</v>
      </c>
      <c r="D1365" s="687" t="s">
        <v>275</v>
      </c>
      <c r="E1365" s="688">
        <v>4.6251531514556625E-2</v>
      </c>
      <c r="F1365" s="310">
        <v>5.0667315553370784E-2</v>
      </c>
      <c r="G1365" s="311">
        <v>0.19249024415386345</v>
      </c>
      <c r="H1365" s="311">
        <v>1.7887906180706035E-3</v>
      </c>
      <c r="I1365" s="394">
        <v>1.9368151089167876E-3</v>
      </c>
      <c r="J1365" s="689">
        <v>1.1546152858667149E-4</v>
      </c>
      <c r="K1365" s="690">
        <v>1.2068218650555431E-4</v>
      </c>
    </row>
    <row r="1366" spans="2:11" ht="15.75" x14ac:dyDescent="0.25">
      <c r="B1366" s="667" t="s">
        <v>274</v>
      </c>
      <c r="C1366" s="110">
        <v>2016</v>
      </c>
      <c r="D1366" s="687" t="s">
        <v>276</v>
      </c>
      <c r="E1366" s="688">
        <v>4.5434103373794291E-2</v>
      </c>
      <c r="F1366" s="310">
        <v>4.1843373656335565E-2</v>
      </c>
      <c r="G1366" s="311">
        <v>0.16400161497091775</v>
      </c>
      <c r="H1366" s="311">
        <v>1.6951215882528463E-3</v>
      </c>
      <c r="I1366" s="394">
        <v>1.8367943786237577E-3</v>
      </c>
      <c r="J1366" s="689">
        <v>9.9613445435502349E-5</v>
      </c>
      <c r="K1366" s="690">
        <v>1.0411752259720872E-4</v>
      </c>
    </row>
    <row r="1367" spans="2:11" ht="15.75" x14ac:dyDescent="0.25">
      <c r="B1367" s="667" t="s">
        <v>274</v>
      </c>
      <c r="C1367" s="110">
        <v>2017</v>
      </c>
      <c r="D1367" s="687" t="s">
        <v>2002</v>
      </c>
      <c r="E1367" s="688">
        <v>4.4426908733121863E-2</v>
      </c>
      <c r="F1367" s="310">
        <v>3.4733976521139631E-2</v>
      </c>
      <c r="G1367" s="311">
        <v>0.13990607138838665</v>
      </c>
      <c r="H1367" s="311">
        <v>1.6509178318590224E-3</v>
      </c>
      <c r="I1367" s="394">
        <v>1.7899497530470332E-3</v>
      </c>
      <c r="J1367" s="689">
        <v>9.0735535532039712E-5</v>
      </c>
      <c r="K1367" s="690">
        <v>9.4838195184734493E-5</v>
      </c>
    </row>
    <row r="1368" spans="2:11" ht="15.75" x14ac:dyDescent="0.25">
      <c r="B1368" s="667" t="s">
        <v>274</v>
      </c>
      <c r="C1368" s="110">
        <v>2018</v>
      </c>
      <c r="D1368" s="687" t="s">
        <v>2003</v>
      </c>
      <c r="E1368" s="688">
        <v>4.3351846070796826E-2</v>
      </c>
      <c r="F1368" s="310">
        <v>2.8597075809692209E-2</v>
      </c>
      <c r="G1368" s="311">
        <v>0.11914598324037461</v>
      </c>
      <c r="H1368" s="311">
        <v>1.6343193947425539E-3</v>
      </c>
      <c r="I1368" s="394">
        <v>1.7729006371457257E-3</v>
      </c>
      <c r="J1368" s="689">
        <v>8.3908701903546458E-5</v>
      </c>
      <c r="K1368" s="690">
        <v>8.7702683826828748E-5</v>
      </c>
    </row>
    <row r="1369" spans="2:11" ht="15.75" x14ac:dyDescent="0.25">
      <c r="B1369" s="667" t="s">
        <v>274</v>
      </c>
      <c r="C1369" s="110">
        <v>2019</v>
      </c>
      <c r="D1369" s="687" t="s">
        <v>2004</v>
      </c>
      <c r="E1369" s="688">
        <v>4.2221821996479329E-2</v>
      </c>
      <c r="F1369" s="310">
        <v>2.3409743966763982E-2</v>
      </c>
      <c r="G1369" s="311">
        <v>0.10159454588294453</v>
      </c>
      <c r="H1369" s="311">
        <v>1.6083218720619006E-3</v>
      </c>
      <c r="I1369" s="394">
        <v>1.7453866584034609E-3</v>
      </c>
      <c r="J1369" s="689">
        <v>7.7583442906164387E-5</v>
      </c>
      <c r="K1369" s="690">
        <v>8.1091417022098521E-5</v>
      </c>
    </row>
    <row r="1370" spans="2:11" ht="15.75" x14ac:dyDescent="0.25">
      <c r="B1370" s="667" t="s">
        <v>274</v>
      </c>
      <c r="C1370" s="110">
        <v>2020</v>
      </c>
      <c r="D1370" s="687" t="s">
        <v>2005</v>
      </c>
      <c r="E1370" s="688">
        <v>4.1058461650947897E-2</v>
      </c>
      <c r="F1370" s="310">
        <v>1.9754397789092441E-2</v>
      </c>
      <c r="G1370" s="311">
        <v>8.731201150956848E-2</v>
      </c>
      <c r="H1370" s="311">
        <v>1.5686806449658453E-3</v>
      </c>
      <c r="I1370" s="394">
        <v>1.7026466434356328E-3</v>
      </c>
      <c r="J1370" s="689">
        <v>7.3241597703551677E-5</v>
      </c>
      <c r="K1370" s="690">
        <v>7.6553259460331662E-5</v>
      </c>
    </row>
    <row r="1371" spans="2:11" ht="15.75" x14ac:dyDescent="0.25">
      <c r="B1371" s="667" t="s">
        <v>274</v>
      </c>
      <c r="C1371" s="110">
        <v>2021</v>
      </c>
      <c r="D1371" s="687" t="s">
        <v>2006</v>
      </c>
      <c r="E1371" s="688">
        <v>3.9865267180318263E-2</v>
      </c>
      <c r="F1371" s="310">
        <v>1.7025215112027741E-2</v>
      </c>
      <c r="G1371" s="311">
        <v>7.5465194088117804E-2</v>
      </c>
      <c r="H1371" s="311">
        <v>1.5036142312372608E-3</v>
      </c>
      <c r="I1371" s="394">
        <v>1.6322109588323567E-3</v>
      </c>
      <c r="J1371" s="689">
        <v>6.7861741648018599E-5</v>
      </c>
      <c r="K1371" s="690">
        <v>7.0930147149866809E-5</v>
      </c>
    </row>
    <row r="1372" spans="2:11" ht="15.75" x14ac:dyDescent="0.25">
      <c r="B1372" s="667" t="s">
        <v>274</v>
      </c>
      <c r="C1372" s="110">
        <v>2022</v>
      </c>
      <c r="D1372" s="687" t="s">
        <v>2007</v>
      </c>
      <c r="E1372" s="688">
        <v>3.8675546200384693E-2</v>
      </c>
      <c r="F1372" s="310">
        <v>1.4304732952070036E-2</v>
      </c>
      <c r="G1372" s="311">
        <v>6.5140557065695118E-2</v>
      </c>
      <c r="H1372" s="311">
        <v>1.424836609913768E-3</v>
      </c>
      <c r="I1372" s="394">
        <v>1.5469148531850406E-3</v>
      </c>
      <c r="J1372" s="689">
        <v>6.2793287127729016E-5</v>
      </c>
      <c r="K1372" s="690">
        <v>6.5632521578014351E-5</v>
      </c>
    </row>
    <row r="1373" spans="2:11" ht="15.75" x14ac:dyDescent="0.25">
      <c r="B1373" s="667" t="s">
        <v>274</v>
      </c>
      <c r="C1373" s="110">
        <v>2023</v>
      </c>
      <c r="D1373" s="687" t="s">
        <v>2008</v>
      </c>
      <c r="E1373" s="688">
        <v>3.7489910554870817E-2</v>
      </c>
      <c r="F1373" s="310">
        <v>1.2377310476556201E-2</v>
      </c>
      <c r="G1373" s="311">
        <v>5.6888835974073203E-2</v>
      </c>
      <c r="H1373" s="311">
        <v>1.3539775079458678E-3</v>
      </c>
      <c r="I1373" s="394">
        <v>1.4700986506289001E-3</v>
      </c>
      <c r="J1373" s="689">
        <v>5.7575141526191879E-5</v>
      </c>
      <c r="K1373" s="690">
        <v>6.0178434273874591E-5</v>
      </c>
    </row>
    <row r="1374" spans="2:11" ht="15.75" x14ac:dyDescent="0.25">
      <c r="B1374" s="667" t="s">
        <v>274</v>
      </c>
      <c r="C1374" s="110">
        <v>2024</v>
      </c>
      <c r="D1374" s="687" t="s">
        <v>2009</v>
      </c>
      <c r="E1374" s="688">
        <v>3.6317207686506599E-2</v>
      </c>
      <c r="F1374" s="310">
        <v>1.094140515296373E-2</v>
      </c>
      <c r="G1374" s="311">
        <v>5.0176000565411737E-2</v>
      </c>
      <c r="H1374" s="311">
        <v>1.3137252177227144E-3</v>
      </c>
      <c r="I1374" s="394">
        <v>1.4265755256503939E-3</v>
      </c>
      <c r="J1374" s="689">
        <v>5.2149548362141866E-5</v>
      </c>
      <c r="K1374" s="690">
        <v>5.4507515305158175E-5</v>
      </c>
    </row>
    <row r="1375" spans="2:11" ht="15.75" x14ac:dyDescent="0.25">
      <c r="B1375" s="667" t="s">
        <v>274</v>
      </c>
      <c r="C1375" s="110">
        <v>2025</v>
      </c>
      <c r="D1375" s="687" t="s">
        <v>2010</v>
      </c>
      <c r="E1375" s="688">
        <v>3.5164276161777253E-2</v>
      </c>
      <c r="F1375" s="310">
        <v>9.5892350141380603E-3</v>
      </c>
      <c r="G1375" s="311">
        <v>4.463935174973066E-2</v>
      </c>
      <c r="H1375" s="311">
        <v>1.2600260843241753E-3</v>
      </c>
      <c r="I1375" s="394">
        <v>1.3683676352785976E-3</v>
      </c>
      <c r="J1375" s="689">
        <v>4.7769189073618899E-5</v>
      </c>
      <c r="K1375" s="690">
        <v>4.9929095840661636E-5</v>
      </c>
    </row>
    <row r="1376" spans="2:11" ht="15.75" x14ac:dyDescent="0.25">
      <c r="B1376" s="667" t="s">
        <v>274</v>
      </c>
      <c r="C1376" s="110">
        <v>2026</v>
      </c>
      <c r="D1376" s="687" t="s">
        <v>2011</v>
      </c>
      <c r="E1376" s="688">
        <v>3.409070011004782E-2</v>
      </c>
      <c r="F1376" s="310">
        <v>8.486082378548452E-3</v>
      </c>
      <c r="G1376" s="311">
        <v>4.0201780217120876E-2</v>
      </c>
      <c r="H1376" s="311">
        <v>1.2044444551441292E-3</v>
      </c>
      <c r="I1376" s="394">
        <v>1.308107136081639E-3</v>
      </c>
      <c r="J1376" s="689">
        <v>4.3324457687490779E-5</v>
      </c>
      <c r="K1376" s="690">
        <v>4.5283392936925205E-5</v>
      </c>
    </row>
    <row r="1377" spans="2:11" ht="15.75" x14ac:dyDescent="0.25">
      <c r="B1377" s="667" t="s">
        <v>274</v>
      </c>
      <c r="C1377" s="110">
        <v>2027</v>
      </c>
      <c r="D1377" s="687" t="s">
        <v>2012</v>
      </c>
      <c r="E1377" s="688">
        <v>3.3104293615048283E-2</v>
      </c>
      <c r="F1377" s="310">
        <v>7.5435768784200274E-3</v>
      </c>
      <c r="G1377" s="311">
        <v>3.6475023262284446E-2</v>
      </c>
      <c r="H1377" s="311">
        <v>1.1396964948331742E-3</v>
      </c>
      <c r="I1377" s="394">
        <v>1.2379282620267572E-3</v>
      </c>
      <c r="J1377" s="689">
        <v>3.765234911256008E-5</v>
      </c>
      <c r="K1377" s="690">
        <v>3.9354819276367135E-5</v>
      </c>
    </row>
    <row r="1378" spans="2:11" ht="15.75" x14ac:dyDescent="0.25">
      <c r="B1378" s="667" t="s">
        <v>274</v>
      </c>
      <c r="C1378" s="110">
        <v>2028</v>
      </c>
      <c r="D1378" s="687" t="s">
        <v>2013</v>
      </c>
      <c r="E1378" s="688">
        <v>3.2202351156422747E-2</v>
      </c>
      <c r="F1378" s="310">
        <v>6.7556864125444521E-3</v>
      </c>
      <c r="G1378" s="311">
        <v>3.3398382907259619E-2</v>
      </c>
      <c r="H1378" s="311">
        <v>1.069821316876039E-3</v>
      </c>
      <c r="I1378" s="394">
        <v>1.1621015242873603E-3</v>
      </c>
      <c r="J1378" s="689">
        <v>3.3667745564637908E-5</v>
      </c>
      <c r="K1378" s="690">
        <v>3.5190048859568274E-5</v>
      </c>
    </row>
    <row r="1379" spans="2:11" ht="15.75" x14ac:dyDescent="0.25">
      <c r="B1379" s="667" t="s">
        <v>274</v>
      </c>
      <c r="C1379" s="110">
        <v>2029</v>
      </c>
      <c r="D1379" s="687" t="s">
        <v>2014</v>
      </c>
      <c r="E1379" s="688">
        <v>3.1380952351740043E-2</v>
      </c>
      <c r="F1379" s="310">
        <v>6.0688395292723858E-3</v>
      </c>
      <c r="G1379" s="311">
        <v>3.0780734238455929E-2</v>
      </c>
      <c r="H1379" s="311">
        <v>1.0029944083432311E-3</v>
      </c>
      <c r="I1379" s="394">
        <v>1.0895587711428443E-3</v>
      </c>
      <c r="J1379" s="689">
        <v>3.0413335009273898E-5</v>
      </c>
      <c r="K1379" s="690">
        <v>3.1788491772766953E-5</v>
      </c>
    </row>
    <row r="1380" spans="2:11" ht="15.75" x14ac:dyDescent="0.25">
      <c r="B1380" s="667" t="s">
        <v>274</v>
      </c>
      <c r="C1380" s="110">
        <v>2030</v>
      </c>
      <c r="D1380" s="687" t="s">
        <v>2015</v>
      </c>
      <c r="E1380" s="688">
        <v>3.063542960248548E-2</v>
      </c>
      <c r="F1380" s="310">
        <v>5.4943770290695236E-3</v>
      </c>
      <c r="G1380" s="311">
        <v>2.8618624669771681E-2</v>
      </c>
      <c r="H1380" s="311">
        <v>9.4083624818230209E-4</v>
      </c>
      <c r="I1380" s="394">
        <v>1.0220659338525302E-3</v>
      </c>
      <c r="J1380" s="689">
        <v>2.7829970925696088E-5</v>
      </c>
      <c r="K1380" s="690">
        <v>2.9088318864116853E-5</v>
      </c>
    </row>
    <row r="1381" spans="2:11" ht="15.75" x14ac:dyDescent="0.25">
      <c r="B1381" s="667" t="s">
        <v>274</v>
      </c>
      <c r="C1381" s="110">
        <v>2031</v>
      </c>
      <c r="D1381" s="687" t="s">
        <v>2016</v>
      </c>
      <c r="E1381" s="688">
        <v>2.9961827366705777E-2</v>
      </c>
      <c r="F1381" s="310">
        <v>5.0343272315718831E-3</v>
      </c>
      <c r="G1381" s="311">
        <v>2.6808247201922555E-2</v>
      </c>
      <c r="H1381" s="311">
        <v>8.9039303005253106E-4</v>
      </c>
      <c r="I1381" s="394">
        <v>9.6726898046998479E-4</v>
      </c>
      <c r="J1381" s="689">
        <v>2.6305101101473483E-5</v>
      </c>
      <c r="K1381" s="690">
        <v>2.7494511132611776E-5</v>
      </c>
    </row>
    <row r="1382" spans="2:11" ht="15.75" x14ac:dyDescent="0.25">
      <c r="B1382" s="667" t="s">
        <v>274</v>
      </c>
      <c r="C1382" s="110">
        <v>2032</v>
      </c>
      <c r="D1382" s="687" t="s">
        <v>2017</v>
      </c>
      <c r="E1382" s="688">
        <v>2.9357544582911572E-2</v>
      </c>
      <c r="F1382" s="310">
        <v>4.5988343859265065E-3</v>
      </c>
      <c r="G1382" s="311">
        <v>2.5275931437430395E-2</v>
      </c>
      <c r="H1382" s="311">
        <v>8.3693484147150837E-4</v>
      </c>
      <c r="I1382" s="394">
        <v>9.0919624969330144E-4</v>
      </c>
      <c r="J1382" s="689">
        <v>2.469752318776044E-5</v>
      </c>
      <c r="K1382" s="690">
        <v>2.5814233697093775E-5</v>
      </c>
    </row>
    <row r="1383" spans="2:11" ht="15.75" x14ac:dyDescent="0.25">
      <c r="B1383" s="667" t="s">
        <v>274</v>
      </c>
      <c r="C1383" s="110">
        <v>2033</v>
      </c>
      <c r="D1383" s="687" t="s">
        <v>2018</v>
      </c>
      <c r="E1383" s="688">
        <v>2.8818385797641878E-2</v>
      </c>
      <c r="F1383" s="310">
        <v>4.2153851479363362E-3</v>
      </c>
      <c r="G1383" s="311">
        <v>2.3975134652876651E-2</v>
      </c>
      <c r="H1383" s="311">
        <v>7.8786773106109386E-4</v>
      </c>
      <c r="I1383" s="394">
        <v>8.5587857008659362E-4</v>
      </c>
      <c r="J1383" s="689">
        <v>2.3592853416686204E-5</v>
      </c>
      <c r="K1383" s="690">
        <v>2.4659616406254895E-5</v>
      </c>
    </row>
    <row r="1384" spans="2:11" ht="15.75" x14ac:dyDescent="0.25">
      <c r="B1384" s="667" t="s">
        <v>274</v>
      </c>
      <c r="C1384" s="110">
        <v>2034</v>
      </c>
      <c r="D1384" s="687" t="s">
        <v>2019</v>
      </c>
      <c r="E1384" s="688">
        <v>2.8336626045271093E-2</v>
      </c>
      <c r="F1384" s="310">
        <v>3.8710935034384588E-3</v>
      </c>
      <c r="G1384" s="311">
        <v>2.285985161612885E-2</v>
      </c>
      <c r="H1384" s="311">
        <v>7.4250647272891014E-4</v>
      </c>
      <c r="I1384" s="394">
        <v>8.0658871724870998E-4</v>
      </c>
      <c r="J1384" s="689">
        <v>2.2535957337093524E-5</v>
      </c>
      <c r="K1384" s="690">
        <v>2.3554929931301243E-5</v>
      </c>
    </row>
    <row r="1385" spans="2:11" ht="15.75" x14ac:dyDescent="0.25">
      <c r="B1385" s="667" t="s">
        <v>274</v>
      </c>
      <c r="C1385" s="110">
        <v>2035</v>
      </c>
      <c r="D1385" s="687" t="s">
        <v>2020</v>
      </c>
      <c r="E1385" s="688">
        <v>2.7910964161820571E-2</v>
      </c>
      <c r="F1385" s="310">
        <v>3.5713473744892481E-3</v>
      </c>
      <c r="G1385" s="311">
        <v>2.1943839181602094E-2</v>
      </c>
      <c r="H1385" s="311">
        <v>7.0124895639801018E-4</v>
      </c>
      <c r="I1385" s="394">
        <v>7.6175872990874799E-4</v>
      </c>
      <c r="J1385" s="689">
        <v>2.1554542488081211E-5</v>
      </c>
      <c r="K1385" s="690">
        <v>2.2529143404491861E-5</v>
      </c>
    </row>
    <row r="1386" spans="2:11" ht="15.75" x14ac:dyDescent="0.25">
      <c r="B1386" s="667" t="s">
        <v>274</v>
      </c>
      <c r="C1386" s="110">
        <v>2036</v>
      </c>
      <c r="D1386" s="687" t="s">
        <v>2021</v>
      </c>
      <c r="E1386" s="688">
        <v>2.7535538578785723E-2</v>
      </c>
      <c r="F1386" s="310">
        <v>3.3067929456903275E-3</v>
      </c>
      <c r="G1386" s="311">
        <v>2.1164444897618536E-2</v>
      </c>
      <c r="H1386" s="311">
        <v>6.6515904573167162E-4</v>
      </c>
      <c r="I1386" s="394">
        <v>7.2254568127705214E-4</v>
      </c>
      <c r="J1386" s="689">
        <v>2.0654361934319174E-5</v>
      </c>
      <c r="K1386" s="690">
        <v>2.1588263824293118E-5</v>
      </c>
    </row>
    <row r="1387" spans="2:11" ht="15.75" x14ac:dyDescent="0.25">
      <c r="B1387" s="667" t="s">
        <v>274</v>
      </c>
      <c r="C1387" s="110">
        <v>2037</v>
      </c>
      <c r="D1387" s="687" t="s">
        <v>2022</v>
      </c>
      <c r="E1387" s="688">
        <v>2.7209609948574399E-2</v>
      </c>
      <c r="F1387" s="310">
        <v>3.078742658050828E-3</v>
      </c>
      <c r="G1387" s="311">
        <v>2.0516499559393407E-2</v>
      </c>
      <c r="H1387" s="311">
        <v>6.3300681798970806E-4</v>
      </c>
      <c r="I1387" s="394">
        <v>6.8761090843764473E-4</v>
      </c>
      <c r="J1387" s="689">
        <v>1.9863378522738333E-5</v>
      </c>
      <c r="K1387" s="690">
        <v>2.0761516924198145E-5</v>
      </c>
    </row>
    <row r="1388" spans="2:11" ht="15.75" x14ac:dyDescent="0.25">
      <c r="B1388" s="667" t="s">
        <v>274</v>
      </c>
      <c r="C1388" s="110">
        <v>2038</v>
      </c>
      <c r="D1388" s="687" t="s">
        <v>2023</v>
      </c>
      <c r="E1388" s="688">
        <v>2.692700924453701E-2</v>
      </c>
      <c r="F1388" s="310">
        <v>2.8731523995665525E-3</v>
      </c>
      <c r="G1388" s="311">
        <v>1.9935467987276443E-2</v>
      </c>
      <c r="H1388" s="311">
        <v>6.0452785756421657E-4</v>
      </c>
      <c r="I1388" s="394">
        <v>6.5666550553583408E-4</v>
      </c>
      <c r="J1388" s="689">
        <v>1.9210567199566185E-5</v>
      </c>
      <c r="K1388" s="690">
        <v>2.0079184088935514E-5</v>
      </c>
    </row>
    <row r="1389" spans="2:11" ht="15.75" x14ac:dyDescent="0.25">
      <c r="B1389" s="667" t="s">
        <v>274</v>
      </c>
      <c r="C1389" s="110">
        <v>2039</v>
      </c>
      <c r="D1389" s="687" t="s">
        <v>2024</v>
      </c>
      <c r="E1389" s="688">
        <v>2.668255507101764E-2</v>
      </c>
      <c r="F1389" s="310">
        <v>2.679655555327625E-3</v>
      </c>
      <c r="G1389" s="311">
        <v>1.9391024302529508E-2</v>
      </c>
      <c r="H1389" s="311">
        <v>5.7938191507584476E-4</v>
      </c>
      <c r="I1389" s="394">
        <v>6.2934118410662779E-4</v>
      </c>
      <c r="J1389" s="689">
        <v>1.8637006755129911E-5</v>
      </c>
      <c r="K1389" s="690">
        <v>1.9479693362592833E-5</v>
      </c>
    </row>
    <row r="1390" spans="2:11" ht="15.75" x14ac:dyDescent="0.25">
      <c r="B1390" s="667" t="s">
        <v>274</v>
      </c>
      <c r="C1390" s="110">
        <v>2040</v>
      </c>
      <c r="D1390" s="687" t="s">
        <v>2025</v>
      </c>
      <c r="E1390" s="688">
        <v>2.6472164767552046E-2</v>
      </c>
      <c r="F1390" s="310">
        <v>2.5100151062697963E-3</v>
      </c>
      <c r="G1390" s="311">
        <v>1.8942860437647372E-2</v>
      </c>
      <c r="H1390" s="311">
        <v>5.57555423940462E-4</v>
      </c>
      <c r="I1390" s="394">
        <v>6.0562307392926376E-4</v>
      </c>
      <c r="J1390" s="689">
        <v>1.8144574637296037E-5</v>
      </c>
      <c r="K1390" s="690">
        <v>1.896499299870984E-5</v>
      </c>
    </row>
    <row r="1391" spans="2:11" ht="15.75" x14ac:dyDescent="0.25">
      <c r="B1391" s="667" t="s">
        <v>274</v>
      </c>
      <c r="C1391" s="110">
        <v>2041</v>
      </c>
      <c r="D1391" s="687" t="s">
        <v>2026</v>
      </c>
      <c r="E1391" s="688">
        <v>2.6294093990838006E-2</v>
      </c>
      <c r="F1391" s="310">
        <v>2.3813039985930689E-3</v>
      </c>
      <c r="G1391" s="311">
        <v>1.859970943964926E-2</v>
      </c>
      <c r="H1391" s="311">
        <v>5.4039265066986965E-4</v>
      </c>
      <c r="I1391" s="394">
        <v>5.8697497567921123E-4</v>
      </c>
      <c r="J1391" s="689">
        <v>1.7736142930118103E-5</v>
      </c>
      <c r="K1391" s="690">
        <v>1.8538092341108926E-5</v>
      </c>
    </row>
    <row r="1392" spans="2:11" ht="15.75" x14ac:dyDescent="0.25">
      <c r="B1392" s="667" t="s">
        <v>274</v>
      </c>
      <c r="C1392" s="110">
        <v>2042</v>
      </c>
      <c r="D1392" s="687" t="s">
        <v>2027</v>
      </c>
      <c r="E1392" s="688">
        <v>2.6140497371367425E-2</v>
      </c>
      <c r="F1392" s="310">
        <v>2.2695156892320197E-3</v>
      </c>
      <c r="G1392" s="311">
        <v>1.82772996259273E-2</v>
      </c>
      <c r="H1392" s="311">
        <v>5.2583991291184958E-4</v>
      </c>
      <c r="I1392" s="394">
        <v>5.7116170583975615E-4</v>
      </c>
      <c r="J1392" s="689">
        <v>1.7406741223676654E-5</v>
      </c>
      <c r="K1392" s="690">
        <v>1.8193795390083848E-5</v>
      </c>
    </row>
    <row r="1393" spans="2:11" ht="15.75" x14ac:dyDescent="0.25">
      <c r="B1393" s="667" t="s">
        <v>274</v>
      </c>
      <c r="C1393" s="110">
        <v>2043</v>
      </c>
      <c r="D1393" s="687" t="s">
        <v>2028</v>
      </c>
      <c r="E1393" s="688">
        <v>2.6010564391197817E-2</v>
      </c>
      <c r="F1393" s="310">
        <v>2.184791786820542E-3</v>
      </c>
      <c r="G1393" s="311">
        <v>1.8035885617733099E-2</v>
      </c>
      <c r="H1393" s="311">
        <v>5.1360583451104164E-4</v>
      </c>
      <c r="I1393" s="394">
        <v>5.5786659979135836E-4</v>
      </c>
      <c r="J1393" s="689">
        <v>1.7145381404784182E-5</v>
      </c>
      <c r="K1393" s="690">
        <v>1.792061474822751E-5</v>
      </c>
    </row>
    <row r="1394" spans="2:11" ht="15.75" x14ac:dyDescent="0.25">
      <c r="B1394" s="667" t="s">
        <v>274</v>
      </c>
      <c r="C1394" s="110">
        <v>2044</v>
      </c>
      <c r="D1394" s="687" t="s">
        <v>2029</v>
      </c>
      <c r="E1394" s="688">
        <v>2.5900403531509179E-2</v>
      </c>
      <c r="F1394" s="310">
        <v>2.1197374687840905E-3</v>
      </c>
      <c r="G1394" s="311">
        <v>1.7834120940775793E-2</v>
      </c>
      <c r="H1394" s="311">
        <v>5.0331280650830416E-4</v>
      </c>
      <c r="I1394" s="394">
        <v>5.4668082986468849E-4</v>
      </c>
      <c r="J1394" s="689">
        <v>1.693170367168531E-5</v>
      </c>
      <c r="K1394" s="690">
        <v>1.7697283810219365E-5</v>
      </c>
    </row>
    <row r="1395" spans="2:11" ht="15.75" x14ac:dyDescent="0.25">
      <c r="B1395" s="667" t="s">
        <v>274</v>
      </c>
      <c r="C1395" s="110">
        <v>2045</v>
      </c>
      <c r="D1395" s="687" t="s">
        <v>2030</v>
      </c>
      <c r="E1395" s="688">
        <v>2.5803767744538676E-2</v>
      </c>
      <c r="F1395" s="310">
        <v>2.0750693253797818E-3</v>
      </c>
      <c r="G1395" s="311">
        <v>1.7696784669929671E-2</v>
      </c>
      <c r="H1395" s="311">
        <v>4.947145441568017E-4</v>
      </c>
      <c r="I1395" s="394">
        <v>5.3733636849500428E-4</v>
      </c>
      <c r="J1395" s="689">
        <v>1.6770385632836872E-5</v>
      </c>
      <c r="K1395" s="690">
        <v>1.752865967607884E-5</v>
      </c>
    </row>
    <row r="1396" spans="2:11" ht="15.75" x14ac:dyDescent="0.25">
      <c r="B1396" s="667" t="s">
        <v>274</v>
      </c>
      <c r="C1396" s="110">
        <v>2046</v>
      </c>
      <c r="D1396" s="687" t="s">
        <v>2031</v>
      </c>
      <c r="E1396" s="688">
        <v>2.5722132253061424E-2</v>
      </c>
      <c r="F1396" s="310">
        <v>2.0366901363886767E-3</v>
      </c>
      <c r="G1396" s="311">
        <v>1.7585231586651342E-2</v>
      </c>
      <c r="H1396" s="311">
        <v>4.8762061290672914E-4</v>
      </c>
      <c r="I1396" s="394">
        <v>5.2962607053157933E-4</v>
      </c>
      <c r="J1396" s="689">
        <v>1.6640019086004305E-5</v>
      </c>
      <c r="K1396" s="690">
        <v>1.7392410223376751E-5</v>
      </c>
    </row>
    <row r="1397" spans="2:11" ht="15.75" x14ac:dyDescent="0.25">
      <c r="B1397" s="667" t="s">
        <v>274</v>
      </c>
      <c r="C1397" s="110">
        <v>2047</v>
      </c>
      <c r="D1397" s="687" t="s">
        <v>2032</v>
      </c>
      <c r="E1397" s="688">
        <v>2.565292275898199E-2</v>
      </c>
      <c r="F1397" s="310">
        <v>2.0020796564827535E-3</v>
      </c>
      <c r="G1397" s="311">
        <v>1.7477722755354277E-2</v>
      </c>
      <c r="H1397" s="311">
        <v>4.817883810593003E-4</v>
      </c>
      <c r="I1397" s="394">
        <v>5.2328802182508623E-4</v>
      </c>
      <c r="J1397" s="689">
        <v>1.6538978376162329E-5</v>
      </c>
      <c r="K1397" s="690">
        <v>1.7286798709974085E-5</v>
      </c>
    </row>
    <row r="1398" spans="2:11" ht="15.75" x14ac:dyDescent="0.25">
      <c r="B1398" s="667" t="s">
        <v>274</v>
      </c>
      <c r="C1398" s="110">
        <v>2048</v>
      </c>
      <c r="D1398" s="687" t="s">
        <v>2033</v>
      </c>
      <c r="E1398" s="688">
        <v>2.5593985458523788E-2</v>
      </c>
      <c r="F1398" s="310">
        <v>1.9735823509960614E-3</v>
      </c>
      <c r="G1398" s="311">
        <v>1.7385693338903326E-2</v>
      </c>
      <c r="H1398" s="311">
        <v>4.7698890808861724E-4</v>
      </c>
      <c r="I1398" s="394">
        <v>5.1807197431884213E-4</v>
      </c>
      <c r="J1398" s="689">
        <v>1.6451304654332827E-5</v>
      </c>
      <c r="K1398" s="690">
        <v>1.7195158074315424E-5</v>
      </c>
    </row>
    <row r="1399" spans="2:11" ht="15.75" x14ac:dyDescent="0.25">
      <c r="B1399" s="667" t="s">
        <v>274</v>
      </c>
      <c r="C1399" s="110">
        <v>2049</v>
      </c>
      <c r="D1399" s="687" t="s">
        <v>2034</v>
      </c>
      <c r="E1399" s="688">
        <v>2.5543414429396852E-2</v>
      </c>
      <c r="F1399" s="310">
        <v>1.9629832861767726E-3</v>
      </c>
      <c r="G1399" s="311">
        <v>1.7388575478465774E-2</v>
      </c>
      <c r="H1399" s="311">
        <v>4.7392385168398273E-4</v>
      </c>
      <c r="I1399" s="394">
        <v>5.1474057819660764E-4</v>
      </c>
      <c r="J1399" s="689">
        <v>1.6385911691306674E-5</v>
      </c>
      <c r="K1399" s="690">
        <v>1.7126801956496505E-5</v>
      </c>
    </row>
    <row r="1400" spans="2:11" ht="15.75" x14ac:dyDescent="0.25">
      <c r="B1400" s="667" t="s">
        <v>274</v>
      </c>
      <c r="C1400" s="110">
        <v>2050</v>
      </c>
      <c r="D1400" s="687" t="s">
        <v>2035</v>
      </c>
      <c r="E1400" s="688">
        <v>2.5501804824678832E-2</v>
      </c>
      <c r="F1400" s="310">
        <v>1.9546580942569605E-3</v>
      </c>
      <c r="G1400" s="311">
        <v>1.739381186953395E-2</v>
      </c>
      <c r="H1400" s="311">
        <v>4.7147165277957665E-4</v>
      </c>
      <c r="I1400" s="394">
        <v>5.1207656029128796E-4</v>
      </c>
      <c r="J1400" s="689">
        <v>1.6326643557091155E-5</v>
      </c>
      <c r="K1400" s="690">
        <v>1.7064862643662897E-5</v>
      </c>
    </row>
    <row r="1401" spans="2:11" ht="15.75" x14ac:dyDescent="0.25">
      <c r="B1401" s="667" t="s">
        <v>88</v>
      </c>
      <c r="C1401" s="110">
        <v>2015</v>
      </c>
      <c r="D1401" s="687" t="s">
        <v>278</v>
      </c>
      <c r="E1401" s="688">
        <v>4.8300995672682076E-2</v>
      </c>
      <c r="F1401" s="310">
        <v>4.3577524297083031E-2</v>
      </c>
      <c r="G1401" s="311">
        <v>0.16384107301584919</v>
      </c>
      <c r="H1401" s="311">
        <v>1.7919358750129266E-3</v>
      </c>
      <c r="I1401" s="394">
        <v>1.9393378550252194E-3</v>
      </c>
      <c r="J1401" s="689">
        <v>1.585483496907653E-4</v>
      </c>
      <c r="K1401" s="690">
        <v>1.6571719762669131E-4</v>
      </c>
    </row>
    <row r="1402" spans="2:11" ht="15.75" x14ac:dyDescent="0.25">
      <c r="B1402" s="667" t="s">
        <v>88</v>
      </c>
      <c r="C1402" s="110">
        <v>2016</v>
      </c>
      <c r="D1402" s="687" t="s">
        <v>279</v>
      </c>
      <c r="E1402" s="688">
        <v>4.7389717618855562E-2</v>
      </c>
      <c r="F1402" s="310">
        <v>3.6246820052449183E-2</v>
      </c>
      <c r="G1402" s="311">
        <v>0.13976161797703487</v>
      </c>
      <c r="H1402" s="311">
        <v>1.7240288078710351E-3</v>
      </c>
      <c r="I1402" s="394">
        <v>1.8672948511490467E-3</v>
      </c>
      <c r="J1402" s="689">
        <v>1.3695155728484242E-4</v>
      </c>
      <c r="K1402" s="690">
        <v>1.4314389530780972E-4</v>
      </c>
    </row>
    <row r="1403" spans="2:11" ht="15.75" x14ac:dyDescent="0.25">
      <c r="B1403" s="667" t="s">
        <v>88</v>
      </c>
      <c r="C1403" s="110">
        <v>2017</v>
      </c>
      <c r="D1403" s="687" t="s">
        <v>2072</v>
      </c>
      <c r="E1403" s="688">
        <v>4.6251626457771859E-2</v>
      </c>
      <c r="F1403" s="310">
        <v>3.0239007121928767E-2</v>
      </c>
      <c r="G1403" s="311">
        <v>0.11924646341627188</v>
      </c>
      <c r="H1403" s="311">
        <v>1.7002580370331646E-3</v>
      </c>
      <c r="I1403" s="394">
        <v>1.8426587070331174E-3</v>
      </c>
      <c r="J1403" s="689">
        <v>1.2371874319558977E-4</v>
      </c>
      <c r="K1403" s="690">
        <v>1.293127576733216E-4</v>
      </c>
    </row>
    <row r="1404" spans="2:11" ht="15.75" x14ac:dyDescent="0.25">
      <c r="B1404" s="667" t="s">
        <v>88</v>
      </c>
      <c r="C1404" s="110">
        <v>2018</v>
      </c>
      <c r="D1404" s="687" t="s">
        <v>2073</v>
      </c>
      <c r="E1404" s="688">
        <v>4.5072678191934397E-2</v>
      </c>
      <c r="F1404" s="310">
        <v>2.5113338490153386E-2</v>
      </c>
      <c r="G1404" s="311">
        <v>0.10165287590719763</v>
      </c>
      <c r="H1404" s="311">
        <v>1.7035545791888593E-3</v>
      </c>
      <c r="I1404" s="394">
        <v>1.8472349370467571E-3</v>
      </c>
      <c r="J1404" s="689">
        <v>1.1278933988767762E-4</v>
      </c>
      <c r="K1404" s="690">
        <v>1.1788916847100936E-4</v>
      </c>
    </row>
    <row r="1405" spans="2:11" ht="15.75" x14ac:dyDescent="0.25">
      <c r="B1405" s="667" t="s">
        <v>88</v>
      </c>
      <c r="C1405" s="110">
        <v>2019</v>
      </c>
      <c r="D1405" s="687" t="s">
        <v>2074</v>
      </c>
      <c r="E1405" s="688">
        <v>4.3842199661519268E-2</v>
      </c>
      <c r="F1405" s="310">
        <v>2.0877220169370436E-2</v>
      </c>
      <c r="G1405" s="311">
        <v>8.6906610547000399E-2</v>
      </c>
      <c r="H1405" s="311">
        <v>1.7094454058286645E-3</v>
      </c>
      <c r="I1405" s="394">
        <v>1.8544417860168738E-3</v>
      </c>
      <c r="J1405" s="689">
        <v>1.0307738838402274E-4</v>
      </c>
      <c r="K1405" s="690">
        <v>1.0773809073660096E-4</v>
      </c>
    </row>
    <row r="1406" spans="2:11" ht="15.75" x14ac:dyDescent="0.25">
      <c r="B1406" s="667" t="s">
        <v>88</v>
      </c>
      <c r="C1406" s="110">
        <v>2020</v>
      </c>
      <c r="D1406" s="687" t="s">
        <v>2075</v>
      </c>
      <c r="E1406" s="688">
        <v>4.2588061170798483E-2</v>
      </c>
      <c r="F1406" s="310">
        <v>1.7724325509344985E-2</v>
      </c>
      <c r="G1406" s="311">
        <v>7.4820577423199378E-2</v>
      </c>
      <c r="H1406" s="311">
        <v>1.6743987801388378E-3</v>
      </c>
      <c r="I1406" s="394">
        <v>1.816798772925336E-3</v>
      </c>
      <c r="J1406" s="689">
        <v>9.5221085029971008E-5</v>
      </c>
      <c r="K1406" s="690">
        <v>9.9526561664925719E-5</v>
      </c>
    </row>
    <row r="1407" spans="2:11" ht="15.75" x14ac:dyDescent="0.25">
      <c r="B1407" s="667" t="s">
        <v>88</v>
      </c>
      <c r="C1407" s="110">
        <v>2021</v>
      </c>
      <c r="D1407" s="687" t="s">
        <v>2076</v>
      </c>
      <c r="E1407" s="688">
        <v>4.1314240583857784E-2</v>
      </c>
      <c r="F1407" s="310">
        <v>1.540430087223674E-2</v>
      </c>
      <c r="G1407" s="311">
        <v>6.4848495951904991E-2</v>
      </c>
      <c r="H1407" s="311">
        <v>1.6097921421151819E-3</v>
      </c>
      <c r="I1407" s="394">
        <v>1.7469662987496272E-3</v>
      </c>
      <c r="J1407" s="689">
        <v>8.6703387084307573E-5</v>
      </c>
      <c r="K1407" s="690">
        <v>9.0623724326633045E-5</v>
      </c>
    </row>
    <row r="1408" spans="2:11" ht="15.75" x14ac:dyDescent="0.25">
      <c r="B1408" s="667" t="s">
        <v>88</v>
      </c>
      <c r="C1408" s="110">
        <v>2022</v>
      </c>
      <c r="D1408" s="687" t="s">
        <v>2077</v>
      </c>
      <c r="E1408" s="688">
        <v>4.0044323485534918E-2</v>
      </c>
      <c r="F1408" s="310">
        <v>1.3112943979192625E-2</v>
      </c>
      <c r="G1408" s="311">
        <v>5.6325773413730892E-2</v>
      </c>
      <c r="H1408" s="311">
        <v>1.5320142771967627E-3</v>
      </c>
      <c r="I1408" s="394">
        <v>1.6628271069872628E-3</v>
      </c>
      <c r="J1408" s="689">
        <v>7.8726050730124086E-5</v>
      </c>
      <c r="K1408" s="690">
        <v>8.2285695789515714E-5</v>
      </c>
    </row>
    <row r="1409" spans="2:11" ht="15.75" x14ac:dyDescent="0.25">
      <c r="B1409" s="667" t="s">
        <v>88</v>
      </c>
      <c r="C1409" s="110">
        <v>2023</v>
      </c>
      <c r="D1409" s="687" t="s">
        <v>2078</v>
      </c>
      <c r="E1409" s="688">
        <v>3.8792241019137627E-2</v>
      </c>
      <c r="F1409" s="310">
        <v>1.1426779057941329E-2</v>
      </c>
      <c r="G1409" s="311">
        <v>4.9476065175761884E-2</v>
      </c>
      <c r="H1409" s="311">
        <v>1.4634831728472973E-3</v>
      </c>
      <c r="I1409" s="394">
        <v>1.5886572685044243E-3</v>
      </c>
      <c r="J1409" s="689">
        <v>7.0599650983137871E-5</v>
      </c>
      <c r="K1409" s="690">
        <v>7.379184637538697E-5</v>
      </c>
    </row>
    <row r="1410" spans="2:11" ht="15.75" x14ac:dyDescent="0.25">
      <c r="B1410" s="667" t="s">
        <v>88</v>
      </c>
      <c r="C1410" s="110">
        <v>2024</v>
      </c>
      <c r="D1410" s="687" t="s">
        <v>2079</v>
      </c>
      <c r="E1410" s="688">
        <v>3.7560006165120285E-2</v>
      </c>
      <c r="F1410" s="310">
        <v>1.000992880256352E-2</v>
      </c>
      <c r="G1410" s="311">
        <v>4.38433325305711E-2</v>
      </c>
      <c r="H1410" s="311">
        <v>1.4026705392406547E-3</v>
      </c>
      <c r="I1410" s="394">
        <v>1.5228637971426756E-3</v>
      </c>
      <c r="J1410" s="689">
        <v>6.2827355209684827E-5</v>
      </c>
      <c r="K1410" s="690">
        <v>6.5668129046258551E-5</v>
      </c>
    </row>
    <row r="1411" spans="2:11" ht="15.75" x14ac:dyDescent="0.25">
      <c r="B1411" s="667" t="s">
        <v>88</v>
      </c>
      <c r="C1411" s="110">
        <v>2025</v>
      </c>
      <c r="D1411" s="687" t="s">
        <v>2080</v>
      </c>
      <c r="E1411" s="688">
        <v>3.6353883815801298E-2</v>
      </c>
      <c r="F1411" s="310">
        <v>8.8333205095306767E-3</v>
      </c>
      <c r="G1411" s="311">
        <v>3.9290843527275701E-2</v>
      </c>
      <c r="H1411" s="311">
        <v>1.3498162676515329E-3</v>
      </c>
      <c r="I1411" s="394">
        <v>1.4656534149496013E-3</v>
      </c>
      <c r="J1411" s="689">
        <v>5.650804705134752E-5</v>
      </c>
      <c r="K1411" s="690">
        <v>5.9063086889131408E-5</v>
      </c>
    </row>
    <row r="1412" spans="2:11" ht="15.75" x14ac:dyDescent="0.25">
      <c r="B1412" s="667" t="s">
        <v>88</v>
      </c>
      <c r="C1412" s="110">
        <v>2026</v>
      </c>
      <c r="D1412" s="687" t="s">
        <v>2081</v>
      </c>
      <c r="E1412" s="688">
        <v>3.5253093407672867E-2</v>
      </c>
      <c r="F1412" s="310">
        <v>7.8560143237252234E-3</v>
      </c>
      <c r="G1412" s="311">
        <v>3.5612191093060408E-2</v>
      </c>
      <c r="H1412" s="311">
        <v>1.2906064820572916E-3</v>
      </c>
      <c r="I1412" s="394">
        <v>1.4015247467070993E-3</v>
      </c>
      <c r="J1412" s="689">
        <v>5.019125477369847E-5</v>
      </c>
      <c r="K1412" s="690">
        <v>5.2460680521098324E-5</v>
      </c>
    </row>
    <row r="1413" spans="2:11" ht="15.75" x14ac:dyDescent="0.25">
      <c r="B1413" s="667" t="s">
        <v>88</v>
      </c>
      <c r="C1413" s="110">
        <v>2027</v>
      </c>
      <c r="D1413" s="687" t="s">
        <v>2082</v>
      </c>
      <c r="E1413" s="688">
        <v>3.4242990421461172E-2</v>
      </c>
      <c r="F1413" s="310">
        <v>7.0185391826210241E-3</v>
      </c>
      <c r="G1413" s="311">
        <v>3.2527441614965874E-2</v>
      </c>
      <c r="H1413" s="311">
        <v>1.2200601709617238E-3</v>
      </c>
      <c r="I1413" s="394">
        <v>1.32508809485768E-3</v>
      </c>
      <c r="J1413" s="689">
        <v>4.3390041173832562E-5</v>
      </c>
      <c r="K1413" s="690">
        <v>4.5351947242080008E-5</v>
      </c>
    </row>
    <row r="1414" spans="2:11" ht="15.75" x14ac:dyDescent="0.25">
      <c r="B1414" s="667" t="s">
        <v>88</v>
      </c>
      <c r="C1414" s="110">
        <v>2028</v>
      </c>
      <c r="D1414" s="687" t="s">
        <v>2083</v>
      </c>
      <c r="E1414" s="688">
        <v>3.3328614981324715E-2</v>
      </c>
      <c r="F1414" s="310">
        <v>6.3154224165177138E-3</v>
      </c>
      <c r="G1414" s="311">
        <v>2.997965594817141E-2</v>
      </c>
      <c r="H1414" s="311">
        <v>1.1419123945559655E-3</v>
      </c>
      <c r="I1414" s="394">
        <v>1.2403275833664184E-3</v>
      </c>
      <c r="J1414" s="689">
        <v>3.7908777240299245E-5</v>
      </c>
      <c r="K1414" s="690">
        <v>3.9622843311983194E-5</v>
      </c>
    </row>
    <row r="1415" spans="2:11" ht="15.75" x14ac:dyDescent="0.25">
      <c r="B1415" s="667" t="s">
        <v>88</v>
      </c>
      <c r="C1415" s="110">
        <v>2029</v>
      </c>
      <c r="D1415" s="687" t="s">
        <v>2084</v>
      </c>
      <c r="E1415" s="688">
        <v>3.2501080037755786E-2</v>
      </c>
      <c r="F1415" s="310">
        <v>5.7009482982978586E-3</v>
      </c>
      <c r="G1415" s="311">
        <v>2.7819121384018153E-2</v>
      </c>
      <c r="H1415" s="311">
        <v>1.0679865883941192E-3</v>
      </c>
      <c r="I1415" s="394">
        <v>1.1601005265757943E-3</v>
      </c>
      <c r="J1415" s="689">
        <v>3.3799697972910377E-5</v>
      </c>
      <c r="K1415" s="690">
        <v>3.5327965077213642E-5</v>
      </c>
    </row>
    <row r="1416" spans="2:11" ht="15.75" x14ac:dyDescent="0.25">
      <c r="B1416" s="667" t="s">
        <v>88</v>
      </c>
      <c r="C1416" s="110">
        <v>2030</v>
      </c>
      <c r="D1416" s="687" t="s">
        <v>2085</v>
      </c>
      <c r="E1416" s="688">
        <v>3.1756747512711229E-2</v>
      </c>
      <c r="F1416" s="310">
        <v>5.1766183297666411E-3</v>
      </c>
      <c r="G1416" s="311">
        <v>2.6006331917431097E-2</v>
      </c>
      <c r="H1416" s="311">
        <v>9.9919591943665401E-4</v>
      </c>
      <c r="I1416" s="394">
        <v>1.0854283889448323E-3</v>
      </c>
      <c r="J1416" s="689">
        <v>3.0392914926522503E-5</v>
      </c>
      <c r="K1416" s="690">
        <v>3.1767146718761485E-5</v>
      </c>
    </row>
    <row r="1417" spans="2:11" ht="15.75" x14ac:dyDescent="0.25">
      <c r="B1417" s="667" t="s">
        <v>88</v>
      </c>
      <c r="C1417" s="110">
        <v>2031</v>
      </c>
      <c r="D1417" s="687" t="s">
        <v>2086</v>
      </c>
      <c r="E1417" s="688">
        <v>3.109019208984793E-2</v>
      </c>
      <c r="F1417" s="310">
        <v>4.715661605025465E-3</v>
      </c>
      <c r="G1417" s="311">
        <v>2.4450326897430909E-2</v>
      </c>
      <c r="H1417" s="311">
        <v>9.3578731450345441E-4</v>
      </c>
      <c r="I1417" s="394">
        <v>1.0165687587117833E-3</v>
      </c>
      <c r="J1417" s="689">
        <v>2.7977627112235581E-5</v>
      </c>
      <c r="K1417" s="690">
        <v>2.9242652621593403E-5</v>
      </c>
    </row>
    <row r="1418" spans="2:11" ht="15.75" x14ac:dyDescent="0.25">
      <c r="B1418" s="667" t="s">
        <v>88</v>
      </c>
      <c r="C1418" s="110">
        <v>2032</v>
      </c>
      <c r="D1418" s="687" t="s">
        <v>2087</v>
      </c>
      <c r="E1418" s="688">
        <v>3.0497287439948128E-2</v>
      </c>
      <c r="F1418" s="310">
        <v>4.3146898590752485E-3</v>
      </c>
      <c r="G1418" s="311">
        <v>2.3152871648811753E-2</v>
      </c>
      <c r="H1418" s="311">
        <v>8.7728456714533665E-4</v>
      </c>
      <c r="I1418" s="394">
        <v>9.5303277586756229E-4</v>
      </c>
      <c r="J1418" s="689">
        <v>2.581271371421788E-5</v>
      </c>
      <c r="K1418" s="690">
        <v>2.6979844750613563E-5</v>
      </c>
    </row>
    <row r="1419" spans="2:11" ht="15.75" x14ac:dyDescent="0.25">
      <c r="B1419" s="667" t="s">
        <v>88</v>
      </c>
      <c r="C1419" s="110">
        <v>2033</v>
      </c>
      <c r="D1419" s="687" t="s">
        <v>2088</v>
      </c>
      <c r="E1419" s="688">
        <v>2.9970478234882209E-2</v>
      </c>
      <c r="F1419" s="310">
        <v>3.9668308972897921E-3</v>
      </c>
      <c r="G1419" s="311">
        <v>2.2078198550826121E-2</v>
      </c>
      <c r="H1419" s="311">
        <v>8.2408297429717523E-4</v>
      </c>
      <c r="I1419" s="394">
        <v>8.9523942072727131E-4</v>
      </c>
      <c r="J1419" s="689">
        <v>2.4226505907590859E-5</v>
      </c>
      <c r="K1419" s="690">
        <v>2.5321922604529233E-5</v>
      </c>
    </row>
    <row r="1420" spans="2:11" ht="15.75" x14ac:dyDescent="0.25">
      <c r="B1420" s="667" t="s">
        <v>88</v>
      </c>
      <c r="C1420" s="110">
        <v>2034</v>
      </c>
      <c r="D1420" s="687" t="s">
        <v>2089</v>
      </c>
      <c r="E1420" s="688">
        <v>2.950467415513355E-2</v>
      </c>
      <c r="F1420" s="310">
        <v>3.6579414748704169E-3</v>
      </c>
      <c r="G1420" s="311">
        <v>2.1175686789655219E-2</v>
      </c>
      <c r="H1420" s="311">
        <v>7.7549321097674631E-4</v>
      </c>
      <c r="I1420" s="394">
        <v>8.4245208012053178E-4</v>
      </c>
      <c r="J1420" s="689">
        <v>2.2826683828811422E-5</v>
      </c>
      <c r="K1420" s="690">
        <v>2.3858807064261176E-5</v>
      </c>
    </row>
    <row r="1421" spans="2:11" ht="15.75" x14ac:dyDescent="0.25">
      <c r="B1421" s="667" t="s">
        <v>88</v>
      </c>
      <c r="C1421" s="110">
        <v>2035</v>
      </c>
      <c r="D1421" s="687" t="s">
        <v>2090</v>
      </c>
      <c r="E1421" s="688">
        <v>2.9095618082408965E-2</v>
      </c>
      <c r="F1421" s="310">
        <v>3.3910515909265208E-3</v>
      </c>
      <c r="G1421" s="311">
        <v>2.0447915203042601E-2</v>
      </c>
      <c r="H1421" s="311">
        <v>7.3179641426972665E-4</v>
      </c>
      <c r="I1421" s="394">
        <v>7.9497974895322997E-4</v>
      </c>
      <c r="J1421" s="689">
        <v>2.1596572376088571E-5</v>
      </c>
      <c r="K1421" s="690">
        <v>2.2573068630889236E-5</v>
      </c>
    </row>
    <row r="1422" spans="2:11" ht="15.75" x14ac:dyDescent="0.25">
      <c r="B1422" s="667" t="s">
        <v>88</v>
      </c>
      <c r="C1422" s="110">
        <v>2036</v>
      </c>
      <c r="D1422" s="687" t="s">
        <v>2091</v>
      </c>
      <c r="E1422" s="688">
        <v>2.8739468259891654E-2</v>
      </c>
      <c r="F1422" s="310">
        <v>3.1570461466330704E-3</v>
      </c>
      <c r="G1422" s="311">
        <v>1.9831827579868334E-2</v>
      </c>
      <c r="H1422" s="311">
        <v>6.9377498280151094E-4</v>
      </c>
      <c r="I1422" s="394">
        <v>7.5367457770662122E-4</v>
      </c>
      <c r="J1422" s="689">
        <v>2.049744424241645E-5</v>
      </c>
      <c r="K1422" s="690">
        <v>2.1424253080222577E-5</v>
      </c>
    </row>
    <row r="1423" spans="2:11" ht="15.75" x14ac:dyDescent="0.25">
      <c r="B1423" s="667" t="s">
        <v>88</v>
      </c>
      <c r="C1423" s="110">
        <v>2037</v>
      </c>
      <c r="D1423" s="687" t="s">
        <v>2092</v>
      </c>
      <c r="E1423" s="688">
        <v>2.8431004449211518E-2</v>
      </c>
      <c r="F1423" s="310">
        <v>2.9589653756959986E-3</v>
      </c>
      <c r="G1423" s="311">
        <v>1.9335046739108193E-2</v>
      </c>
      <c r="H1423" s="311">
        <v>6.6047315092078495E-4</v>
      </c>
      <c r="I1423" s="394">
        <v>7.1749589904631544E-4</v>
      </c>
      <c r="J1423" s="689">
        <v>1.9554024738311917E-5</v>
      </c>
      <c r="K1423" s="690">
        <v>2.0438171941774217E-5</v>
      </c>
    </row>
    <row r="1424" spans="2:11" ht="15.75" x14ac:dyDescent="0.25">
      <c r="B1424" s="667" t="s">
        <v>88</v>
      </c>
      <c r="C1424" s="110">
        <v>2038</v>
      </c>
      <c r="D1424" s="687" t="s">
        <v>2093</v>
      </c>
      <c r="E1424" s="688">
        <v>2.8166894167233954E-2</v>
      </c>
      <c r="F1424" s="310">
        <v>2.7797141200153141E-3</v>
      </c>
      <c r="G1424" s="311">
        <v>1.8881852543837917E-2</v>
      </c>
      <c r="H1424" s="311">
        <v>6.3147779759777892E-4</v>
      </c>
      <c r="I1424" s="394">
        <v>6.8599252768726808E-4</v>
      </c>
      <c r="J1424" s="689">
        <v>1.8812325579587042E-5</v>
      </c>
      <c r="K1424" s="690">
        <v>1.9662936780998146E-5</v>
      </c>
    </row>
    <row r="1425" spans="2:11" ht="15.75" x14ac:dyDescent="0.25">
      <c r="B1425" s="667" t="s">
        <v>88</v>
      </c>
      <c r="C1425" s="110">
        <v>2039</v>
      </c>
      <c r="D1425" s="687" t="s">
        <v>2094</v>
      </c>
      <c r="E1425" s="688">
        <v>2.7939987711290082E-2</v>
      </c>
      <c r="F1425" s="310">
        <v>2.6173459836942191E-3</v>
      </c>
      <c r="G1425" s="311">
        <v>1.8476024925414163E-2</v>
      </c>
      <c r="H1425" s="311">
        <v>6.0646761052526681E-4</v>
      </c>
      <c r="I1425" s="394">
        <v>6.5881754319031555E-4</v>
      </c>
      <c r="J1425" s="689">
        <v>1.8194999339704768E-5</v>
      </c>
      <c r="K1425" s="690">
        <v>1.9017698661125042E-5</v>
      </c>
    </row>
    <row r="1426" spans="2:11" ht="15.75" x14ac:dyDescent="0.25">
      <c r="B1426" s="667" t="s">
        <v>88</v>
      </c>
      <c r="C1426" s="110">
        <v>2040</v>
      </c>
      <c r="D1426" s="687" t="s">
        <v>2095</v>
      </c>
      <c r="E1426" s="688">
        <v>2.7746957547728313E-2</v>
      </c>
      <c r="F1426" s="310">
        <v>2.4743284338437704E-3</v>
      </c>
      <c r="G1426" s="311">
        <v>1.8138105675827149E-2</v>
      </c>
      <c r="H1426" s="311">
        <v>5.8512522336613107E-4</v>
      </c>
      <c r="I1426" s="394">
        <v>6.3562828447497229E-4</v>
      </c>
      <c r="J1426" s="689">
        <v>1.7679609794690012E-5</v>
      </c>
      <c r="K1426" s="690">
        <v>1.8479006019115606E-5</v>
      </c>
    </row>
    <row r="1427" spans="2:11" ht="15.75" x14ac:dyDescent="0.25">
      <c r="B1427" s="667" t="s">
        <v>88</v>
      </c>
      <c r="C1427" s="110">
        <v>2041</v>
      </c>
      <c r="D1427" s="687" t="s">
        <v>2096</v>
      </c>
      <c r="E1427" s="688">
        <v>2.7586146622974188E-2</v>
      </c>
      <c r="F1427" s="310">
        <v>2.3609621545093592E-3</v>
      </c>
      <c r="G1427" s="311">
        <v>1.7869127323268397E-2</v>
      </c>
      <c r="H1427" s="311">
        <v>5.6839152289161034E-4</v>
      </c>
      <c r="I1427" s="394">
        <v>6.1744617028299431E-4</v>
      </c>
      <c r="J1427" s="689">
        <v>1.7261641822601623E-5</v>
      </c>
      <c r="K1427" s="690">
        <v>1.8042134197021911E-5</v>
      </c>
    </row>
    <row r="1428" spans="2:11" ht="15.75" x14ac:dyDescent="0.25">
      <c r="B1428" s="667" t="s">
        <v>88</v>
      </c>
      <c r="C1428" s="110">
        <v>2042</v>
      </c>
      <c r="D1428" s="687" t="s">
        <v>2097</v>
      </c>
      <c r="E1428" s="688">
        <v>2.7449062607135765E-2</v>
      </c>
      <c r="F1428" s="310">
        <v>2.2647850132124963E-3</v>
      </c>
      <c r="G1428" s="311">
        <v>1.7624044043060585E-2</v>
      </c>
      <c r="H1428" s="311">
        <v>5.5439242262251707E-4</v>
      </c>
      <c r="I1428" s="394">
        <v>6.0223581323166323E-4</v>
      </c>
      <c r="J1428" s="689">
        <v>1.6920707909080324E-5</v>
      </c>
      <c r="K1428" s="690">
        <v>1.7685790031974649E-5</v>
      </c>
    </row>
    <row r="1429" spans="2:11" ht="15.75" x14ac:dyDescent="0.25">
      <c r="B1429" s="667" t="s">
        <v>88</v>
      </c>
      <c r="C1429" s="110">
        <v>2043</v>
      </c>
      <c r="D1429" s="687" t="s">
        <v>2098</v>
      </c>
      <c r="E1429" s="688">
        <v>2.7333936477594929E-2</v>
      </c>
      <c r="F1429" s="310">
        <v>2.1903374047111362E-3</v>
      </c>
      <c r="G1429" s="311">
        <v>1.7432906803988499E-2</v>
      </c>
      <c r="H1429" s="311">
        <v>5.4277835463326465E-4</v>
      </c>
      <c r="I1429" s="394">
        <v>5.8961530641371551E-4</v>
      </c>
      <c r="J1429" s="689">
        <v>1.6655235758331229E-5</v>
      </c>
      <c r="K1429" s="690">
        <v>1.7408310955284034E-5</v>
      </c>
    </row>
    <row r="1430" spans="2:11" ht="15.75" x14ac:dyDescent="0.25">
      <c r="B1430" s="667" t="s">
        <v>88</v>
      </c>
      <c r="C1430" s="110">
        <v>2044</v>
      </c>
      <c r="D1430" s="687" t="s">
        <v>2099</v>
      </c>
      <c r="E1430" s="688">
        <v>2.7236153948297925E-2</v>
      </c>
      <c r="F1430" s="310">
        <v>2.1370830033092241E-3</v>
      </c>
      <c r="G1430" s="311">
        <v>1.7291044030007335E-2</v>
      </c>
      <c r="H1430" s="311">
        <v>5.3320663499910955E-4</v>
      </c>
      <c r="I1430" s="394">
        <v>5.7921418757535194E-4</v>
      </c>
      <c r="J1430" s="689">
        <v>1.6445959936997664E-5</v>
      </c>
      <c r="K1430" s="690">
        <v>1.7189573626921202E-5</v>
      </c>
    </row>
    <row r="1431" spans="2:11" ht="15.75" x14ac:dyDescent="0.25">
      <c r="B1431" s="667" t="s">
        <v>88</v>
      </c>
      <c r="C1431" s="110">
        <v>2045</v>
      </c>
      <c r="D1431" s="687" t="s">
        <v>2100</v>
      </c>
      <c r="E1431" s="688">
        <v>2.7151376362140992E-2</v>
      </c>
      <c r="F1431" s="310">
        <v>2.101483679538886E-3</v>
      </c>
      <c r="G1431" s="311">
        <v>1.7194456691269715E-2</v>
      </c>
      <c r="H1431" s="311">
        <v>5.2530127281142573E-4</v>
      </c>
      <c r="I1431" s="394">
        <v>5.7062321030325444E-4</v>
      </c>
      <c r="J1431" s="689">
        <v>1.6284983429371312E-5</v>
      </c>
      <c r="K1431" s="690">
        <v>1.7021314881272368E-5</v>
      </c>
    </row>
    <row r="1432" spans="2:11" ht="15.75" x14ac:dyDescent="0.25">
      <c r="B1432" s="667" t="s">
        <v>88</v>
      </c>
      <c r="C1432" s="110">
        <v>2046</v>
      </c>
      <c r="D1432" s="687" t="s">
        <v>2101</v>
      </c>
      <c r="E1432" s="688">
        <v>2.7079002185859111E-2</v>
      </c>
      <c r="F1432" s="310">
        <v>2.0718875018530167E-3</v>
      </c>
      <c r="G1432" s="311">
        <v>1.7118333168254712E-2</v>
      </c>
      <c r="H1432" s="311">
        <v>5.188861361484678E-4</v>
      </c>
      <c r="I1432" s="394">
        <v>5.6365123799153748E-4</v>
      </c>
      <c r="J1432" s="689">
        <v>1.6157177986932601E-5</v>
      </c>
      <c r="K1432" s="690">
        <v>1.6887726273932209E-5</v>
      </c>
    </row>
    <row r="1433" spans="2:11" ht="15.75" x14ac:dyDescent="0.25">
      <c r="B1433" s="667" t="s">
        <v>88</v>
      </c>
      <c r="C1433" s="110">
        <v>2047</v>
      </c>
      <c r="D1433" s="687" t="s">
        <v>2102</v>
      </c>
      <c r="E1433" s="688">
        <v>2.7018766059748595E-2</v>
      </c>
      <c r="F1433" s="310">
        <v>2.0453395538611507E-3</v>
      </c>
      <c r="G1433" s="311">
        <v>1.7044327464808762E-2</v>
      </c>
      <c r="H1433" s="311">
        <v>5.1366465097598768E-4</v>
      </c>
      <c r="I1433" s="394">
        <v>5.579771066142634E-4</v>
      </c>
      <c r="J1433" s="689">
        <v>1.6055168348408481E-5</v>
      </c>
      <c r="K1433" s="690">
        <v>1.6781115699367348E-5</v>
      </c>
    </row>
    <row r="1434" spans="2:11" ht="15.75" x14ac:dyDescent="0.25">
      <c r="B1434" s="667" t="s">
        <v>88</v>
      </c>
      <c r="C1434" s="110">
        <v>2048</v>
      </c>
      <c r="D1434" s="687" t="s">
        <v>2103</v>
      </c>
      <c r="E1434" s="688">
        <v>2.6968001135792855E-2</v>
      </c>
      <c r="F1434" s="310">
        <v>2.023656245563922E-3</v>
      </c>
      <c r="G1434" s="311">
        <v>1.6981131065035879E-2</v>
      </c>
      <c r="H1434" s="311">
        <v>5.0942275972957606E-4</v>
      </c>
      <c r="I1434" s="394">
        <v>5.5336675108278355E-4</v>
      </c>
      <c r="J1434" s="689">
        <v>1.5969790034401718E-5</v>
      </c>
      <c r="K1434" s="690">
        <v>1.6691870463795814E-5</v>
      </c>
    </row>
    <row r="1435" spans="2:11" ht="15.75" x14ac:dyDescent="0.25">
      <c r="B1435" s="667" t="s">
        <v>88</v>
      </c>
      <c r="C1435" s="110">
        <v>2049</v>
      </c>
      <c r="D1435" s="687" t="s">
        <v>2104</v>
      </c>
      <c r="E1435" s="688">
        <v>2.6923936393412957E-2</v>
      </c>
      <c r="F1435" s="310">
        <v>2.015083750896686E-3</v>
      </c>
      <c r="G1435" s="311">
        <v>1.698645201993473E-2</v>
      </c>
      <c r="H1435" s="311">
        <v>5.0665126702696488E-4</v>
      </c>
      <c r="I1435" s="394">
        <v>5.5035589767122434E-4</v>
      </c>
      <c r="J1435" s="689">
        <v>1.5902746765160703E-5</v>
      </c>
      <c r="K1435" s="690">
        <v>1.662180047117192E-5</v>
      </c>
    </row>
    <row r="1436" spans="2:11" ht="15.75" x14ac:dyDescent="0.25">
      <c r="B1436" s="667" t="s">
        <v>88</v>
      </c>
      <c r="C1436" s="110">
        <v>2050</v>
      </c>
      <c r="D1436" s="687" t="s">
        <v>2105</v>
      </c>
      <c r="E1436" s="688">
        <v>2.6886990041584929E-2</v>
      </c>
      <c r="F1436" s="310">
        <v>2.0083386783862137E-3</v>
      </c>
      <c r="G1436" s="311">
        <v>1.6992886378092618E-2</v>
      </c>
      <c r="H1436" s="311">
        <v>5.0444000050067046E-4</v>
      </c>
      <c r="I1436" s="394">
        <v>5.479532698565541E-4</v>
      </c>
      <c r="J1436" s="689">
        <v>1.584024415469183E-5</v>
      </c>
      <c r="K1436" s="690">
        <v>1.6556472631973406E-5</v>
      </c>
    </row>
    <row r="1437" spans="2:11" ht="15.75" x14ac:dyDescent="0.25">
      <c r="B1437" s="667" t="s">
        <v>89</v>
      </c>
      <c r="C1437" s="110">
        <v>2015</v>
      </c>
      <c r="D1437" s="687" t="s">
        <v>281</v>
      </c>
      <c r="E1437" s="688">
        <v>4.2889089084498282E-2</v>
      </c>
      <c r="F1437" s="310">
        <v>4.3764573715693318E-2</v>
      </c>
      <c r="G1437" s="311">
        <v>0.14416834694273409</v>
      </c>
      <c r="H1437" s="311">
        <v>2.0294511104289076E-3</v>
      </c>
      <c r="I1437" s="394">
        <v>2.1959257298246816E-3</v>
      </c>
      <c r="J1437" s="689">
        <v>2.1059642821439088E-4</v>
      </c>
      <c r="K1437" s="690">
        <v>2.2011865989674502E-4</v>
      </c>
    </row>
    <row r="1438" spans="2:11" ht="15.75" x14ac:dyDescent="0.25">
      <c r="B1438" s="667" t="s">
        <v>89</v>
      </c>
      <c r="C1438" s="110">
        <v>2016</v>
      </c>
      <c r="D1438" s="687" t="s">
        <v>282</v>
      </c>
      <c r="E1438" s="688">
        <v>4.2002041215806384E-2</v>
      </c>
      <c r="F1438" s="310">
        <v>3.5957190106842764E-2</v>
      </c>
      <c r="G1438" s="311">
        <v>0.12174482731930313</v>
      </c>
      <c r="H1438" s="311">
        <v>1.9710311925499385E-3</v>
      </c>
      <c r="I1438" s="394">
        <v>2.1347180926161472E-3</v>
      </c>
      <c r="J1438" s="689">
        <v>1.7523350800090017E-4</v>
      </c>
      <c r="K1438" s="690">
        <v>1.8315679625961555E-4</v>
      </c>
    </row>
    <row r="1439" spans="2:11" ht="15.75" x14ac:dyDescent="0.25">
      <c r="B1439" s="667" t="s">
        <v>89</v>
      </c>
      <c r="C1439" s="110">
        <v>2017</v>
      </c>
      <c r="D1439" s="687" t="s">
        <v>2142</v>
      </c>
      <c r="E1439" s="688">
        <v>4.1004422749356242E-2</v>
      </c>
      <c r="F1439" s="310">
        <v>2.9588031005400944E-2</v>
      </c>
      <c r="G1439" s="311">
        <v>0.10256858094835887</v>
      </c>
      <c r="H1439" s="311">
        <v>1.9711368276266682E-3</v>
      </c>
      <c r="I1439" s="394">
        <v>2.1361167725103278E-3</v>
      </c>
      <c r="J1439" s="689">
        <v>1.5826091818657538E-4</v>
      </c>
      <c r="K1439" s="690">
        <v>1.6541677343576789E-4</v>
      </c>
    </row>
    <row r="1440" spans="2:11" ht="15.75" x14ac:dyDescent="0.25">
      <c r="B1440" s="667" t="s">
        <v>89</v>
      </c>
      <c r="C1440" s="110">
        <v>2018</v>
      </c>
      <c r="D1440" s="687" t="s">
        <v>2143</v>
      </c>
      <c r="E1440" s="688">
        <v>3.9968223552220072E-2</v>
      </c>
      <c r="F1440" s="310">
        <v>2.4380145037153394E-2</v>
      </c>
      <c r="G1440" s="311">
        <v>8.6681796969362235E-2</v>
      </c>
      <c r="H1440" s="311">
        <v>2.0040396844750313E-3</v>
      </c>
      <c r="I1440" s="394">
        <v>2.1729073092300747E-3</v>
      </c>
      <c r="J1440" s="689">
        <v>1.4444603940942682E-4</v>
      </c>
      <c r="K1440" s="690">
        <v>1.5097725042032399E-4</v>
      </c>
    </row>
    <row r="1441" spans="2:11" ht="15.75" x14ac:dyDescent="0.25">
      <c r="B1441" s="667" t="s">
        <v>89</v>
      </c>
      <c r="C1441" s="110">
        <v>2019</v>
      </c>
      <c r="D1441" s="687" t="s">
        <v>2144</v>
      </c>
      <c r="E1441" s="688">
        <v>3.9016144240633759E-2</v>
      </c>
      <c r="F1441" s="310">
        <v>2.0089544943012912E-2</v>
      </c>
      <c r="G1441" s="311">
        <v>7.3661847875017658E-2</v>
      </c>
      <c r="H1441" s="311">
        <v>2.0344423872180519E-3</v>
      </c>
      <c r="I1441" s="394">
        <v>2.2067885791475393E-3</v>
      </c>
      <c r="J1441" s="689">
        <v>1.3291435841813708E-4</v>
      </c>
      <c r="K1441" s="690">
        <v>1.3892415781361947E-4</v>
      </c>
    </row>
    <row r="1442" spans="2:11" ht="15.75" x14ac:dyDescent="0.25">
      <c r="B1442" s="667" t="s">
        <v>89</v>
      </c>
      <c r="C1442" s="110">
        <v>2020</v>
      </c>
      <c r="D1442" s="687" t="s">
        <v>2145</v>
      </c>
      <c r="E1442" s="688">
        <v>3.7924793328489248E-2</v>
      </c>
      <c r="F1442" s="310">
        <v>1.6993225325124345E-2</v>
      </c>
      <c r="G1442" s="311">
        <v>6.3231640607924341E-2</v>
      </c>
      <c r="H1442" s="311">
        <v>2.0029763951857939E-3</v>
      </c>
      <c r="I1442" s="394">
        <v>2.1731078982893102E-3</v>
      </c>
      <c r="J1442" s="689">
        <v>1.2243645458931499E-4</v>
      </c>
      <c r="K1442" s="690">
        <v>1.2797248160835217E-4</v>
      </c>
    </row>
    <row r="1443" spans="2:11" ht="15.75" x14ac:dyDescent="0.25">
      <c r="B1443" s="667" t="s">
        <v>89</v>
      </c>
      <c r="C1443" s="110">
        <v>2021</v>
      </c>
      <c r="D1443" s="687" t="s">
        <v>2146</v>
      </c>
      <c r="E1443" s="688">
        <v>3.6842433431018527E-2</v>
      </c>
      <c r="F1443" s="310">
        <v>1.4601009504783817E-2</v>
      </c>
      <c r="G1443" s="311">
        <v>5.4832661892662199E-2</v>
      </c>
      <c r="H1443" s="311">
        <v>1.9051292614486036E-3</v>
      </c>
      <c r="I1443" s="394">
        <v>2.0672234208316096E-3</v>
      </c>
      <c r="J1443" s="689">
        <v>1.1080802034096326E-4</v>
      </c>
      <c r="K1443" s="690">
        <v>1.1581827096384597E-4</v>
      </c>
    </row>
    <row r="1444" spans="2:11" ht="15.75" x14ac:dyDescent="0.25">
      <c r="B1444" s="667" t="s">
        <v>89</v>
      </c>
      <c r="C1444" s="110">
        <v>2022</v>
      </c>
      <c r="D1444" s="687" t="s">
        <v>2147</v>
      </c>
      <c r="E1444" s="688">
        <v>3.5754276339765322E-2</v>
      </c>
      <c r="F1444" s="310">
        <v>1.2587874993431804E-2</v>
      </c>
      <c r="G1444" s="311">
        <v>4.7992464588563329E-2</v>
      </c>
      <c r="H1444" s="311">
        <v>1.8101601970341847E-3</v>
      </c>
      <c r="I1444" s="394">
        <v>1.9644500639864368E-3</v>
      </c>
      <c r="J1444" s="689">
        <v>9.9860926692847915E-5</v>
      </c>
      <c r="K1444" s="690">
        <v>1.0437620056772591E-4</v>
      </c>
    </row>
    <row r="1445" spans="2:11" ht="15.75" x14ac:dyDescent="0.25">
      <c r="B1445" s="667" t="s">
        <v>89</v>
      </c>
      <c r="C1445" s="110">
        <v>2023</v>
      </c>
      <c r="D1445" s="687" t="s">
        <v>2148</v>
      </c>
      <c r="E1445" s="688">
        <v>3.4672815227844968E-2</v>
      </c>
      <c r="F1445" s="310">
        <v>1.0988464144337498E-2</v>
      </c>
      <c r="G1445" s="311">
        <v>4.2416823409707552E-2</v>
      </c>
      <c r="H1445" s="311">
        <v>1.724798181578926E-3</v>
      </c>
      <c r="I1445" s="394">
        <v>1.872097791107661E-3</v>
      </c>
      <c r="J1445" s="689">
        <v>8.8720789099171508E-5</v>
      </c>
      <c r="K1445" s="690">
        <v>9.2732346590930102E-5</v>
      </c>
    </row>
    <row r="1446" spans="2:11" ht="15.75" x14ac:dyDescent="0.25">
      <c r="B1446" s="667" t="s">
        <v>89</v>
      </c>
      <c r="C1446" s="110">
        <v>2024</v>
      </c>
      <c r="D1446" s="687" t="s">
        <v>2149</v>
      </c>
      <c r="E1446" s="688">
        <v>3.3638520867632866E-2</v>
      </c>
      <c r="F1446" s="310">
        <v>9.6468781248751218E-3</v>
      </c>
      <c r="G1446" s="311">
        <v>3.7856919148102457E-2</v>
      </c>
      <c r="H1446" s="311">
        <v>1.6492669259251E-3</v>
      </c>
      <c r="I1446" s="394">
        <v>1.7903924805971023E-3</v>
      </c>
      <c r="J1446" s="689">
        <v>7.8645754095559478E-5</v>
      </c>
      <c r="K1446" s="690">
        <v>8.2201766744073324E-5</v>
      </c>
    </row>
    <row r="1447" spans="2:11" ht="15.75" x14ac:dyDescent="0.25">
      <c r="B1447" s="667" t="s">
        <v>89</v>
      </c>
      <c r="C1447" s="110">
        <v>2025</v>
      </c>
      <c r="D1447" s="687" t="s">
        <v>2150</v>
      </c>
      <c r="E1447" s="688">
        <v>3.257398379003773E-2</v>
      </c>
      <c r="F1447" s="310">
        <v>8.5500450037678082E-3</v>
      </c>
      <c r="G1447" s="311">
        <v>3.4238445963519597E-2</v>
      </c>
      <c r="H1447" s="311">
        <v>1.5843149443702956E-3</v>
      </c>
      <c r="I1447" s="394">
        <v>1.7200759025230705E-3</v>
      </c>
      <c r="J1447" s="689">
        <v>7.1044439245607286E-5</v>
      </c>
      <c r="K1447" s="690">
        <v>7.4256763609105393E-5</v>
      </c>
    </row>
    <row r="1448" spans="2:11" ht="15.75" x14ac:dyDescent="0.25">
      <c r="B1448" s="667" t="s">
        <v>89</v>
      </c>
      <c r="C1448" s="110">
        <v>2026</v>
      </c>
      <c r="D1448" s="687" t="s">
        <v>2151</v>
      </c>
      <c r="E1448" s="688">
        <v>3.1621859077178141E-2</v>
      </c>
      <c r="F1448" s="310">
        <v>7.6395659982240807E-3</v>
      </c>
      <c r="G1448" s="311">
        <v>3.1340430473691595E-2</v>
      </c>
      <c r="H1448" s="311">
        <v>1.5105112279111357E-3</v>
      </c>
      <c r="I1448" s="394">
        <v>1.6401623849629367E-3</v>
      </c>
      <c r="J1448" s="689">
        <v>6.2684121334265658E-5</v>
      </c>
      <c r="K1448" s="690">
        <v>6.5518408473489196E-5</v>
      </c>
    </row>
    <row r="1449" spans="2:11" ht="15.75" x14ac:dyDescent="0.25">
      <c r="B1449" s="667" t="s">
        <v>89</v>
      </c>
      <c r="C1449" s="110">
        <v>2027</v>
      </c>
      <c r="D1449" s="687" t="s">
        <v>2152</v>
      </c>
      <c r="E1449" s="688">
        <v>3.0767481715067928E-2</v>
      </c>
      <c r="F1449" s="310">
        <v>6.8639260200106366E-3</v>
      </c>
      <c r="G1449" s="311">
        <v>2.8944388428425734E-2</v>
      </c>
      <c r="H1449" s="311">
        <v>1.4231343304719846E-3</v>
      </c>
      <c r="I1449" s="394">
        <v>1.5454979223501915E-3</v>
      </c>
      <c r="J1449" s="689">
        <v>5.4039208497874844E-5</v>
      </c>
      <c r="K1449" s="690">
        <v>5.6482619882432879E-5</v>
      </c>
    </row>
    <row r="1450" spans="2:11" ht="15.75" x14ac:dyDescent="0.25">
      <c r="B1450" s="667" t="s">
        <v>89</v>
      </c>
      <c r="C1450" s="110">
        <v>2028</v>
      </c>
      <c r="D1450" s="687" t="s">
        <v>2153</v>
      </c>
      <c r="E1450" s="688">
        <v>3.0008455233380461E-2</v>
      </c>
      <c r="F1450" s="310">
        <v>6.209246218023423E-3</v>
      </c>
      <c r="G1450" s="311">
        <v>2.6989753326207226E-2</v>
      </c>
      <c r="H1450" s="311">
        <v>1.3268247398463733E-3</v>
      </c>
      <c r="I1450" s="394">
        <v>1.4410432005383127E-3</v>
      </c>
      <c r="J1450" s="689">
        <v>4.7199469197418548E-5</v>
      </c>
      <c r="K1450" s="690">
        <v>4.9333619307239846E-5</v>
      </c>
    </row>
    <row r="1451" spans="2:11" ht="15.75" x14ac:dyDescent="0.25">
      <c r="B1451" s="667" t="s">
        <v>89</v>
      </c>
      <c r="C1451" s="110">
        <v>2029</v>
      </c>
      <c r="D1451" s="687" t="s">
        <v>2154</v>
      </c>
      <c r="E1451" s="688">
        <v>2.9333505084710523E-2</v>
      </c>
      <c r="F1451" s="310">
        <v>5.6467095796338086E-3</v>
      </c>
      <c r="G1451" s="311">
        <v>2.5368701545105874E-2</v>
      </c>
      <c r="H1451" s="311">
        <v>1.2361517179907955E-3</v>
      </c>
      <c r="I1451" s="394">
        <v>1.3426703755778774E-3</v>
      </c>
      <c r="J1451" s="689">
        <v>4.1467648528650143E-5</v>
      </c>
      <c r="K1451" s="690">
        <v>4.3342629418560342E-5</v>
      </c>
    </row>
    <row r="1452" spans="2:11" ht="15.75" x14ac:dyDescent="0.25">
      <c r="B1452" s="667" t="s">
        <v>89</v>
      </c>
      <c r="C1452" s="110">
        <v>2030</v>
      </c>
      <c r="D1452" s="687" t="s">
        <v>2155</v>
      </c>
      <c r="E1452" s="688">
        <v>2.8735785944942492E-2</v>
      </c>
      <c r="F1452" s="310">
        <v>5.1729818519856896E-3</v>
      </c>
      <c r="G1452" s="311">
        <v>2.4061154886794927E-2</v>
      </c>
      <c r="H1452" s="311">
        <v>1.1531260614729417E-3</v>
      </c>
      <c r="I1452" s="394">
        <v>1.252568392913028E-3</v>
      </c>
      <c r="J1452" s="689">
        <v>3.6850733687068911E-5</v>
      </c>
      <c r="K1452" s="690">
        <v>3.8516964321485574E-5</v>
      </c>
    </row>
    <row r="1453" spans="2:11" ht="15.75" x14ac:dyDescent="0.25">
      <c r="B1453" s="667" t="s">
        <v>89</v>
      </c>
      <c r="C1453" s="110">
        <v>2031</v>
      </c>
      <c r="D1453" s="687" t="s">
        <v>2156</v>
      </c>
      <c r="E1453" s="688">
        <v>2.8163752297418906E-2</v>
      </c>
      <c r="F1453" s="310">
        <v>4.7592309285472926E-3</v>
      </c>
      <c r="G1453" s="311">
        <v>2.2960631187663536E-2</v>
      </c>
      <c r="H1453" s="311">
        <v>1.0782742596336953E-3</v>
      </c>
      <c r="I1453" s="394">
        <v>1.1712802794577595E-3</v>
      </c>
      <c r="J1453" s="689">
        <v>3.40183025333924E-5</v>
      </c>
      <c r="K1453" s="690">
        <v>3.555646641958033E-5</v>
      </c>
    </row>
    <row r="1454" spans="2:11" ht="15.75" x14ac:dyDescent="0.25">
      <c r="B1454" s="667" t="s">
        <v>89</v>
      </c>
      <c r="C1454" s="110">
        <v>2032</v>
      </c>
      <c r="D1454" s="687" t="s">
        <v>2157</v>
      </c>
      <c r="E1454" s="688">
        <v>2.7700809587872147E-2</v>
      </c>
      <c r="F1454" s="310">
        <v>4.3996430568247705E-3</v>
      </c>
      <c r="G1454" s="311">
        <v>2.2057087028475603E-2</v>
      </c>
      <c r="H1454" s="311">
        <v>1.0097217822268001E-3</v>
      </c>
      <c r="I1454" s="394">
        <v>1.096844467691148E-3</v>
      </c>
      <c r="J1454" s="689">
        <v>3.1155710708460334E-5</v>
      </c>
      <c r="K1454" s="690">
        <v>3.25644322039727E-5</v>
      </c>
    </row>
    <row r="1455" spans="2:11" ht="15.75" x14ac:dyDescent="0.25">
      <c r="B1455" s="667" t="s">
        <v>89</v>
      </c>
      <c r="C1455" s="110">
        <v>2033</v>
      </c>
      <c r="D1455" s="687" t="s">
        <v>2158</v>
      </c>
      <c r="E1455" s="688">
        <v>2.7296430162831391E-2</v>
      </c>
      <c r="F1455" s="310">
        <v>4.0894016422871066E-3</v>
      </c>
      <c r="G1455" s="311">
        <v>2.1322656159472479E-2</v>
      </c>
      <c r="H1455" s="311">
        <v>9.4839458696407562E-4</v>
      </c>
      <c r="I1455" s="394">
        <v>1.0302304911085547E-3</v>
      </c>
      <c r="J1455" s="689">
        <v>2.9152876215267024E-5</v>
      </c>
      <c r="K1455" s="690">
        <v>3.0471039568408039E-5</v>
      </c>
    </row>
    <row r="1456" spans="2:11" ht="15.75" x14ac:dyDescent="0.25">
      <c r="B1456" s="667" t="s">
        <v>89</v>
      </c>
      <c r="C1456" s="110">
        <v>2034</v>
      </c>
      <c r="D1456" s="687" t="s">
        <v>2159</v>
      </c>
      <c r="E1456" s="688">
        <v>2.6944638170446011E-2</v>
      </c>
      <c r="F1456" s="310">
        <v>3.8189118371743398E-3</v>
      </c>
      <c r="G1456" s="311">
        <v>2.0723694400972093E-2</v>
      </c>
      <c r="H1456" s="311">
        <v>8.9335264818924602E-4</v>
      </c>
      <c r="I1456" s="394">
        <v>9.7044160655025669E-4</v>
      </c>
      <c r="J1456" s="689">
        <v>2.7384602258047128E-5</v>
      </c>
      <c r="K1456" s="690">
        <v>2.8622817037917629E-5</v>
      </c>
    </row>
    <row r="1457" spans="2:11" ht="15.75" x14ac:dyDescent="0.25">
      <c r="B1457" s="667" t="s">
        <v>89</v>
      </c>
      <c r="C1457" s="110">
        <v>2035</v>
      </c>
      <c r="D1457" s="687" t="s">
        <v>2160</v>
      </c>
      <c r="E1457" s="688">
        <v>2.6641674563279021E-2</v>
      </c>
      <c r="F1457" s="310">
        <v>3.5812501117302715E-3</v>
      </c>
      <c r="G1457" s="311">
        <v>2.022804157314435E-2</v>
      </c>
      <c r="H1457" s="311">
        <v>8.442874593684763E-4</v>
      </c>
      <c r="I1457" s="394">
        <v>9.1714199758708835E-4</v>
      </c>
      <c r="J1457" s="689">
        <v>2.5903491206894664E-5</v>
      </c>
      <c r="K1457" s="690">
        <v>2.7074732304540729E-5</v>
      </c>
    </row>
    <row r="1458" spans="2:11" ht="15.75" x14ac:dyDescent="0.25">
      <c r="B1458" s="667" t="s">
        <v>89</v>
      </c>
      <c r="C1458" s="110">
        <v>2036</v>
      </c>
      <c r="D1458" s="687" t="s">
        <v>2161</v>
      </c>
      <c r="E1458" s="688">
        <v>2.6382252550291297E-2</v>
      </c>
      <c r="F1458" s="310">
        <v>3.3738068386903104E-3</v>
      </c>
      <c r="G1458" s="311">
        <v>1.9816011002506743E-2</v>
      </c>
      <c r="H1458" s="311">
        <v>8.0198634212259997E-4</v>
      </c>
      <c r="I1458" s="394">
        <v>8.711898048534987E-4</v>
      </c>
      <c r="J1458" s="689">
        <v>2.4623557979746925E-5</v>
      </c>
      <c r="K1458" s="690">
        <v>2.5736931397065772E-5</v>
      </c>
    </row>
    <row r="1459" spans="2:11" ht="15.75" x14ac:dyDescent="0.25">
      <c r="B1459" s="667" t="s">
        <v>89</v>
      </c>
      <c r="C1459" s="110">
        <v>2037</v>
      </c>
      <c r="D1459" s="687" t="s">
        <v>2162</v>
      </c>
      <c r="E1459" s="688">
        <v>2.6162199893589585E-2</v>
      </c>
      <c r="F1459" s="310">
        <v>3.2004905166901376E-3</v>
      </c>
      <c r="G1459" s="311">
        <v>1.9497172121433166E-2</v>
      </c>
      <c r="H1459" s="311">
        <v>7.6534982884930128E-4</v>
      </c>
      <c r="I1459" s="394">
        <v>8.313906463158409E-4</v>
      </c>
      <c r="J1459" s="689">
        <v>2.3542026553551576E-5</v>
      </c>
      <c r="K1459" s="690">
        <v>2.4606493416725895E-5</v>
      </c>
    </row>
    <row r="1460" spans="2:11" ht="15.75" x14ac:dyDescent="0.25">
      <c r="B1460" s="667" t="s">
        <v>89</v>
      </c>
      <c r="C1460" s="110">
        <v>2038</v>
      </c>
      <c r="D1460" s="687" t="s">
        <v>2163</v>
      </c>
      <c r="E1460" s="688">
        <v>2.5976743389226866E-2</v>
      </c>
      <c r="F1460" s="310">
        <v>3.0472135993530373E-3</v>
      </c>
      <c r="G1460" s="311">
        <v>1.9214155235254889E-2</v>
      </c>
      <c r="H1460" s="311">
        <v>7.3382301567760785E-4</v>
      </c>
      <c r="I1460" s="394">
        <v>7.971390174993507E-4</v>
      </c>
      <c r="J1460" s="689">
        <v>2.2663030835932094E-5</v>
      </c>
      <c r="K1460" s="690">
        <v>2.3687753872359282E-5</v>
      </c>
    </row>
    <row r="1461" spans="2:11" ht="15.75" x14ac:dyDescent="0.25">
      <c r="B1461" s="667" t="s">
        <v>89</v>
      </c>
      <c r="C1461" s="110">
        <v>2039</v>
      </c>
      <c r="D1461" s="687" t="s">
        <v>2164</v>
      </c>
      <c r="E1461" s="688">
        <v>2.5821440460321237E-2</v>
      </c>
      <c r="F1461" s="310">
        <v>2.9132779970131818E-3</v>
      </c>
      <c r="G1461" s="311">
        <v>1.8975818927760981E-2</v>
      </c>
      <c r="H1461" s="311">
        <v>7.0696659153465704E-4</v>
      </c>
      <c r="I1461" s="394">
        <v>7.6796066863280173E-4</v>
      </c>
      <c r="J1461" s="689">
        <v>2.1943648956663777E-5</v>
      </c>
      <c r="K1461" s="690">
        <v>2.2935848241277236E-5</v>
      </c>
    </row>
    <row r="1462" spans="2:11" ht="15.75" x14ac:dyDescent="0.25">
      <c r="B1462" s="667" t="s">
        <v>89</v>
      </c>
      <c r="C1462" s="110">
        <v>2040</v>
      </c>
      <c r="D1462" s="687" t="s">
        <v>2165</v>
      </c>
      <c r="E1462" s="688">
        <v>2.5692257874805464E-2</v>
      </c>
      <c r="F1462" s="310">
        <v>2.7925298740605945E-3</v>
      </c>
      <c r="G1462" s="311">
        <v>1.8769962707905308E-2</v>
      </c>
      <c r="H1462" s="311">
        <v>6.8416071848638688E-4</v>
      </c>
      <c r="I1462" s="394">
        <v>7.4318264395571991E-4</v>
      </c>
      <c r="J1462" s="689">
        <v>2.1338467955696174E-5</v>
      </c>
      <c r="K1462" s="690">
        <v>2.2303303298030249E-5</v>
      </c>
    </row>
    <row r="1463" spans="2:11" ht="15.75" x14ac:dyDescent="0.25">
      <c r="B1463" s="667" t="s">
        <v>89</v>
      </c>
      <c r="C1463" s="110">
        <v>2041</v>
      </c>
      <c r="D1463" s="687" t="s">
        <v>2166</v>
      </c>
      <c r="E1463" s="688">
        <v>2.5586589679428087E-2</v>
      </c>
      <c r="F1463" s="310">
        <v>2.6942074967214085E-3</v>
      </c>
      <c r="G1463" s="311">
        <v>1.8604053680669481E-2</v>
      </c>
      <c r="H1463" s="311">
        <v>6.6606877792748916E-4</v>
      </c>
      <c r="I1463" s="394">
        <v>7.235271822715832E-4</v>
      </c>
      <c r="J1463" s="689">
        <v>2.0844667399849421E-5</v>
      </c>
      <c r="K1463" s="690">
        <v>2.1787176280094264E-5</v>
      </c>
    </row>
    <row r="1464" spans="2:11" ht="15.75" x14ac:dyDescent="0.25">
      <c r="B1464" s="667" t="s">
        <v>89</v>
      </c>
      <c r="C1464" s="110">
        <v>2042</v>
      </c>
      <c r="D1464" s="687" t="s">
        <v>2167</v>
      </c>
      <c r="E1464" s="688">
        <v>2.5499190769890115E-2</v>
      </c>
      <c r="F1464" s="310">
        <v>2.6111540799488913E-3</v>
      </c>
      <c r="G1464" s="311">
        <v>1.8454435057086584E-2</v>
      </c>
      <c r="H1464" s="311">
        <v>6.510897692871716E-4</v>
      </c>
      <c r="I1464" s="394">
        <v>7.0725230937319168E-4</v>
      </c>
      <c r="J1464" s="689">
        <v>2.0463435958356828E-5</v>
      </c>
      <c r="K1464" s="690">
        <v>2.1388704330233082E-5</v>
      </c>
    </row>
    <row r="1465" spans="2:11" ht="15.75" x14ac:dyDescent="0.25">
      <c r="B1465" s="667" t="s">
        <v>89</v>
      </c>
      <c r="C1465" s="110">
        <v>2043</v>
      </c>
      <c r="D1465" s="687" t="s">
        <v>2168</v>
      </c>
      <c r="E1465" s="688">
        <v>2.5428026303324979E-2</v>
      </c>
      <c r="F1465" s="310">
        <v>2.5482678660345274E-3</v>
      </c>
      <c r="G1465" s="311">
        <v>1.8344378675049584E-2</v>
      </c>
      <c r="H1465" s="311">
        <v>6.387378908849613E-4</v>
      </c>
      <c r="I1465" s="394">
        <v>6.9383177733153378E-4</v>
      </c>
      <c r="J1465" s="689">
        <v>2.0150636436477455E-5</v>
      </c>
      <c r="K1465" s="690">
        <v>2.1061756638711433E-5</v>
      </c>
    </row>
    <row r="1466" spans="2:11" ht="15.75" x14ac:dyDescent="0.25">
      <c r="B1466" s="667" t="s">
        <v>89</v>
      </c>
      <c r="C1466" s="110">
        <v>2044</v>
      </c>
      <c r="D1466" s="687" t="s">
        <v>2169</v>
      </c>
      <c r="E1466" s="688">
        <v>2.5369368169309806E-2</v>
      </c>
      <c r="F1466" s="310">
        <v>2.5031283771707589E-3</v>
      </c>
      <c r="G1466" s="311">
        <v>1.8265675662731021E-2</v>
      </c>
      <c r="H1466" s="311">
        <v>6.2860160431388388E-4</v>
      </c>
      <c r="I1466" s="394">
        <v>6.8281805691083365E-4</v>
      </c>
      <c r="J1466" s="689">
        <v>1.9900188663286578E-5</v>
      </c>
      <c r="K1466" s="690">
        <v>2.0799989954938586E-5</v>
      </c>
    </row>
    <row r="1467" spans="2:11" ht="15.75" x14ac:dyDescent="0.25">
      <c r="B1467" s="667" t="s">
        <v>89</v>
      </c>
      <c r="C1467" s="110">
        <v>2045</v>
      </c>
      <c r="D1467" s="687" t="s">
        <v>2170</v>
      </c>
      <c r="E1467" s="688">
        <v>2.5319893045921152E-2</v>
      </c>
      <c r="F1467" s="310">
        <v>2.4735149702062235E-3</v>
      </c>
      <c r="G1467" s="311">
        <v>1.8217514543251316E-2</v>
      </c>
      <c r="H1467" s="311">
        <v>6.2030540407463923E-4</v>
      </c>
      <c r="I1467" s="394">
        <v>6.7380339740533742E-4</v>
      </c>
      <c r="J1467" s="689">
        <v>1.9702822365218558E-5</v>
      </c>
      <c r="K1467" s="690">
        <v>2.0593697193037431E-5</v>
      </c>
    </row>
    <row r="1468" spans="2:11" ht="15.75" x14ac:dyDescent="0.25">
      <c r="B1468" s="667" t="s">
        <v>89</v>
      </c>
      <c r="C1468" s="110">
        <v>2046</v>
      </c>
      <c r="D1468" s="687" t="s">
        <v>2171</v>
      </c>
      <c r="E1468" s="688">
        <v>2.5279032926888587E-2</v>
      </c>
      <c r="F1468" s="310">
        <v>2.4493201182088529E-3</v>
      </c>
      <c r="G1468" s="311">
        <v>1.8180247079761652E-2</v>
      </c>
      <c r="H1468" s="311">
        <v>6.1358329824141768E-4</v>
      </c>
      <c r="I1468" s="394">
        <v>6.6649979511998404E-4</v>
      </c>
      <c r="J1468" s="689">
        <v>1.95424235774417E-5</v>
      </c>
      <c r="K1468" s="690">
        <v>2.0426043223294261E-5</v>
      </c>
    </row>
    <row r="1469" spans="2:11" ht="15.75" x14ac:dyDescent="0.25">
      <c r="B1469" s="667" t="s">
        <v>89</v>
      </c>
      <c r="C1469" s="110">
        <v>2047</v>
      </c>
      <c r="D1469" s="687" t="s">
        <v>2172</v>
      </c>
      <c r="E1469" s="688">
        <v>2.5244714752291432E-2</v>
      </c>
      <c r="F1469" s="310">
        <v>2.4279680614392929E-3</v>
      </c>
      <c r="G1469" s="311">
        <v>1.8142768080684119E-2</v>
      </c>
      <c r="H1469" s="311">
        <v>6.0815424713364804E-4</v>
      </c>
      <c r="I1469" s="394">
        <v>6.6060034692869086E-4</v>
      </c>
      <c r="J1469" s="689">
        <v>1.9413908313066416E-5</v>
      </c>
      <c r="K1469" s="690">
        <v>2.0291715314258404E-5</v>
      </c>
    </row>
    <row r="1470" spans="2:11" ht="15.75" x14ac:dyDescent="0.25">
      <c r="B1470" s="667" t="s">
        <v>89</v>
      </c>
      <c r="C1470" s="110">
        <v>2048</v>
      </c>
      <c r="D1470" s="687" t="s">
        <v>2173</v>
      </c>
      <c r="E1470" s="688">
        <v>2.5215633075345679E-2</v>
      </c>
      <c r="F1470" s="310">
        <v>2.4114391246421404E-3</v>
      </c>
      <c r="G1470" s="311">
        <v>1.811479064548796E-2</v>
      </c>
      <c r="H1470" s="311">
        <v>6.0378232177647068E-4</v>
      </c>
      <c r="I1470" s="394">
        <v>6.558504209893363E-4</v>
      </c>
      <c r="J1470" s="689">
        <v>1.9303750702649154E-5</v>
      </c>
      <c r="K1470" s="690">
        <v>2.017658336969744E-5</v>
      </c>
    </row>
    <row r="1471" spans="2:11" ht="15.75" x14ac:dyDescent="0.25">
      <c r="B1471" s="667" t="s">
        <v>89</v>
      </c>
      <c r="C1471" s="110">
        <v>2049</v>
      </c>
      <c r="D1471" s="687" t="s">
        <v>2174</v>
      </c>
      <c r="E1471" s="688">
        <v>2.5191094469408065E-2</v>
      </c>
      <c r="F1471" s="310">
        <v>2.4034955380274055E-3</v>
      </c>
      <c r="G1471" s="311">
        <v>1.8123622594591791E-2</v>
      </c>
      <c r="H1471" s="311">
        <v>6.0069523389016455E-4</v>
      </c>
      <c r="I1471" s="394">
        <v>6.5249668757351757E-4</v>
      </c>
      <c r="J1471" s="689">
        <v>1.9213224635026811E-5</v>
      </c>
      <c r="K1471" s="690">
        <v>2.0081963570279349E-5</v>
      </c>
    </row>
    <row r="1472" spans="2:11" ht="15.75" x14ac:dyDescent="0.25">
      <c r="B1472" s="667" t="s">
        <v>89</v>
      </c>
      <c r="C1472" s="110">
        <v>2050</v>
      </c>
      <c r="D1472" s="687" t="s">
        <v>2175</v>
      </c>
      <c r="E1472" s="688">
        <v>2.5172032381081101E-2</v>
      </c>
      <c r="F1472" s="310">
        <v>2.3970513972027888E-3</v>
      </c>
      <c r="G1472" s="311">
        <v>1.8131351538206393E-2</v>
      </c>
      <c r="H1472" s="311">
        <v>5.9822423734120426E-4</v>
      </c>
      <c r="I1472" s="394">
        <v>6.4981275330934073E-4</v>
      </c>
      <c r="J1472" s="689">
        <v>1.9133989293216382E-5</v>
      </c>
      <c r="K1472" s="690">
        <v>1.9999147189590492E-5</v>
      </c>
    </row>
    <row r="1473" spans="2:11" ht="15.75" x14ac:dyDescent="0.25">
      <c r="B1473" s="667" t="s">
        <v>90</v>
      </c>
      <c r="C1473" s="110">
        <v>2015</v>
      </c>
      <c r="D1473" s="687" t="s">
        <v>284</v>
      </c>
      <c r="E1473" s="688">
        <v>4.3697041139731115E-2</v>
      </c>
      <c r="F1473" s="310">
        <v>4.8957670829500297E-2</v>
      </c>
      <c r="G1473" s="311">
        <v>0.20517971780819216</v>
      </c>
      <c r="H1473" s="311">
        <v>1.7333377795441069E-3</v>
      </c>
      <c r="I1473" s="394">
        <v>1.8773220889461931E-3</v>
      </c>
      <c r="J1473" s="689">
        <v>1.1265301940178523E-4</v>
      </c>
      <c r="K1473" s="690">
        <v>1.1774669176600907E-4</v>
      </c>
    </row>
    <row r="1474" spans="2:11" ht="15.75" x14ac:dyDescent="0.25">
      <c r="B1474" s="667" t="s">
        <v>90</v>
      </c>
      <c r="C1474" s="110">
        <v>2016</v>
      </c>
      <c r="D1474" s="687" t="s">
        <v>285</v>
      </c>
      <c r="E1474" s="688">
        <v>4.281138622758715E-2</v>
      </c>
      <c r="F1474" s="310">
        <v>4.0067530300748E-2</v>
      </c>
      <c r="G1474" s="311">
        <v>0.17231653883166936</v>
      </c>
      <c r="H1474" s="311">
        <v>1.6150321526038061E-3</v>
      </c>
      <c r="I1474" s="394">
        <v>1.7503200561580312E-3</v>
      </c>
      <c r="J1474" s="689">
        <v>9.689154033357399E-5</v>
      </c>
      <c r="K1474" s="690">
        <v>1.0127254661417373E-4</v>
      </c>
    </row>
    <row r="1475" spans="2:11" ht="15.75" x14ac:dyDescent="0.25">
      <c r="B1475" s="667" t="s">
        <v>90</v>
      </c>
      <c r="C1475" s="110">
        <v>2017</v>
      </c>
      <c r="D1475" s="687" t="s">
        <v>2212</v>
      </c>
      <c r="E1475" s="688">
        <v>4.1847789296430751E-2</v>
      </c>
      <c r="F1475" s="310">
        <v>3.2830758932328154E-2</v>
      </c>
      <c r="G1475" s="311">
        <v>0.14530033789065838</v>
      </c>
      <c r="H1475" s="311">
        <v>1.5567014834396264E-3</v>
      </c>
      <c r="I1475" s="394">
        <v>1.688078250722234E-3</v>
      </c>
      <c r="J1475" s="689">
        <v>8.7307214056283396E-5</v>
      </c>
      <c r="K1475" s="690">
        <v>9.1254857255659841E-5</v>
      </c>
    </row>
    <row r="1476" spans="2:11" ht="15.75" x14ac:dyDescent="0.25">
      <c r="B1476" s="667" t="s">
        <v>90</v>
      </c>
      <c r="C1476" s="110">
        <v>2018</v>
      </c>
      <c r="D1476" s="687" t="s">
        <v>2213</v>
      </c>
      <c r="E1476" s="688">
        <v>4.0793663067056035E-2</v>
      </c>
      <c r="F1476" s="310">
        <v>2.6829822707060566E-2</v>
      </c>
      <c r="G1476" s="311">
        <v>0.1221422583238409</v>
      </c>
      <c r="H1476" s="311">
        <v>1.5286828981555727E-3</v>
      </c>
      <c r="I1476" s="394">
        <v>1.6584878381330464E-3</v>
      </c>
      <c r="J1476" s="689">
        <v>7.9686305460416234E-5</v>
      </c>
      <c r="K1476" s="690">
        <v>8.328936107982741E-5</v>
      </c>
    </row>
    <row r="1477" spans="2:11" ht="15.75" x14ac:dyDescent="0.25">
      <c r="B1477" s="667" t="s">
        <v>90</v>
      </c>
      <c r="C1477" s="110">
        <v>2019</v>
      </c>
      <c r="D1477" s="687" t="s">
        <v>2214</v>
      </c>
      <c r="E1477" s="688">
        <v>3.9657560924861432E-2</v>
      </c>
      <c r="F1477" s="310">
        <v>2.2047961296834378E-2</v>
      </c>
      <c r="G1477" s="311">
        <v>0.10300694094531868</v>
      </c>
      <c r="H1477" s="311">
        <v>1.5168651526096192E-3</v>
      </c>
      <c r="I1477" s="394">
        <v>1.6462757585533612E-3</v>
      </c>
      <c r="J1477" s="689">
        <v>7.3023195590172648E-5</v>
      </c>
      <c r="K1477" s="690">
        <v>7.6324979926901406E-5</v>
      </c>
    </row>
    <row r="1478" spans="2:11" ht="15.75" x14ac:dyDescent="0.25">
      <c r="B1478" s="667" t="s">
        <v>90</v>
      </c>
      <c r="C1478" s="110">
        <v>2020</v>
      </c>
      <c r="D1478" s="687" t="s">
        <v>2215</v>
      </c>
      <c r="E1478" s="688">
        <v>3.8537007346307307E-2</v>
      </c>
      <c r="F1478" s="310">
        <v>1.8327245261970469E-2</v>
      </c>
      <c r="G1478" s="311">
        <v>8.7154044511627296E-2</v>
      </c>
      <c r="H1478" s="311">
        <v>1.4823349355541867E-3</v>
      </c>
      <c r="I1478" s="394">
        <v>1.6090738611883306E-3</v>
      </c>
      <c r="J1478" s="689">
        <v>6.8218409082686376E-5</v>
      </c>
      <c r="K1478" s="690">
        <v>7.1302941498714253E-5</v>
      </c>
    </row>
    <row r="1479" spans="2:11" ht="15.75" x14ac:dyDescent="0.25">
      <c r="B1479" s="667" t="s">
        <v>90</v>
      </c>
      <c r="C1479" s="110">
        <v>2021</v>
      </c>
      <c r="D1479" s="687" t="s">
        <v>2216</v>
      </c>
      <c r="E1479" s="688">
        <v>3.739653356666911E-2</v>
      </c>
      <c r="F1479" s="310">
        <v>1.5424564093913091E-2</v>
      </c>
      <c r="G1479" s="311">
        <v>7.3986679033486186E-2</v>
      </c>
      <c r="H1479" s="311">
        <v>1.4125514553045551E-3</v>
      </c>
      <c r="I1479" s="394">
        <v>1.5334779881342427E-3</v>
      </c>
      <c r="J1479" s="689">
        <v>6.2710135485355019E-5</v>
      </c>
      <c r="K1479" s="690">
        <v>6.5545608935240742E-5</v>
      </c>
    </row>
    <row r="1480" spans="2:11" ht="15.75" x14ac:dyDescent="0.25">
      <c r="B1480" s="667" t="s">
        <v>90</v>
      </c>
      <c r="C1480" s="110">
        <v>2022</v>
      </c>
      <c r="D1480" s="687" t="s">
        <v>2217</v>
      </c>
      <c r="E1480" s="688">
        <v>3.6266008633990744E-2</v>
      </c>
      <c r="F1480" s="310">
        <v>1.2878902412607937E-2</v>
      </c>
      <c r="G1480" s="311">
        <v>6.3078420835052398E-2</v>
      </c>
      <c r="H1480" s="311">
        <v>1.3448004864818799E-3</v>
      </c>
      <c r="I1480" s="394">
        <v>1.4601011469862161E-3</v>
      </c>
      <c r="J1480" s="689">
        <v>5.7863019171382104E-5</v>
      </c>
      <c r="K1480" s="690">
        <v>6.0479330794521408E-5</v>
      </c>
    </row>
    <row r="1481" spans="2:11" ht="15.75" x14ac:dyDescent="0.25">
      <c r="B1481" s="667" t="s">
        <v>90</v>
      </c>
      <c r="C1481" s="110">
        <v>2023</v>
      </c>
      <c r="D1481" s="687" t="s">
        <v>2218</v>
      </c>
      <c r="E1481" s="688">
        <v>3.5140858764593746E-2</v>
      </c>
      <c r="F1481" s="310">
        <v>1.0987795176425156E-2</v>
      </c>
      <c r="G1481" s="311">
        <v>5.4329774635988544E-2</v>
      </c>
      <c r="H1481" s="311">
        <v>1.2823054898038254E-3</v>
      </c>
      <c r="I1481" s="394">
        <v>1.3923750115628702E-3</v>
      </c>
      <c r="J1481" s="689">
        <v>5.256629613886944E-5</v>
      </c>
      <c r="K1481" s="690">
        <v>5.4943110636303557E-5</v>
      </c>
    </row>
    <row r="1482" spans="2:11" ht="15.75" x14ac:dyDescent="0.25">
      <c r="B1482" s="667" t="s">
        <v>90</v>
      </c>
      <c r="C1482" s="110">
        <v>2024</v>
      </c>
      <c r="D1482" s="687" t="s">
        <v>2219</v>
      </c>
      <c r="E1482" s="688">
        <v>3.4026304492025927E-2</v>
      </c>
      <c r="F1482" s="310">
        <v>9.3814583648589092E-3</v>
      </c>
      <c r="G1482" s="311">
        <v>4.7080931041717219E-2</v>
      </c>
      <c r="H1482" s="311">
        <v>1.2209575703939824E-3</v>
      </c>
      <c r="I1482" s="394">
        <v>1.3258923081045574E-3</v>
      </c>
      <c r="J1482" s="689">
        <v>4.7315537807917554E-5</v>
      </c>
      <c r="K1482" s="690">
        <v>4.945494260123157E-5</v>
      </c>
    </row>
    <row r="1483" spans="2:11" ht="15.75" x14ac:dyDescent="0.25">
      <c r="B1483" s="667" t="s">
        <v>90</v>
      </c>
      <c r="C1483" s="110">
        <v>2025</v>
      </c>
      <c r="D1483" s="687" t="s">
        <v>2220</v>
      </c>
      <c r="E1483" s="688">
        <v>3.292193119364354E-2</v>
      </c>
      <c r="F1483" s="310">
        <v>8.1161300821867965E-3</v>
      </c>
      <c r="G1483" s="311">
        <v>4.1380687078538453E-2</v>
      </c>
      <c r="H1483" s="311">
        <v>1.1734534405857522E-3</v>
      </c>
      <c r="I1483" s="394">
        <v>1.274396206369302E-3</v>
      </c>
      <c r="J1483" s="689">
        <v>4.3433503349485711E-5</v>
      </c>
      <c r="K1483" s="690">
        <v>4.5397372324201112E-5</v>
      </c>
    </row>
    <row r="1484" spans="2:11" ht="15.75" x14ac:dyDescent="0.25">
      <c r="B1484" s="667" t="s">
        <v>90</v>
      </c>
      <c r="C1484" s="110">
        <v>2026</v>
      </c>
      <c r="D1484" s="687" t="s">
        <v>2221</v>
      </c>
      <c r="E1484" s="688">
        <v>3.1918894922969156E-2</v>
      </c>
      <c r="F1484" s="310">
        <v>7.1545536860468809E-3</v>
      </c>
      <c r="G1484" s="311">
        <v>3.6908082611724048E-2</v>
      </c>
      <c r="H1484" s="311">
        <v>1.133039306914801E-3</v>
      </c>
      <c r="I1484" s="394">
        <v>1.2305825347417117E-3</v>
      </c>
      <c r="J1484" s="689">
        <v>4.013559068687499E-5</v>
      </c>
      <c r="K1484" s="690">
        <v>4.1950346336207072E-5</v>
      </c>
    </row>
    <row r="1485" spans="2:11" ht="15.75" x14ac:dyDescent="0.25">
      <c r="B1485" s="667" t="s">
        <v>90</v>
      </c>
      <c r="C1485" s="110">
        <v>2027</v>
      </c>
      <c r="D1485" s="687" t="s">
        <v>2222</v>
      </c>
      <c r="E1485" s="688">
        <v>3.1005865962659331E-2</v>
      </c>
      <c r="F1485" s="310">
        <v>6.3026669092474223E-3</v>
      </c>
      <c r="G1485" s="311">
        <v>3.3237007988114062E-2</v>
      </c>
      <c r="H1485" s="311">
        <v>1.0759237429545418E-3</v>
      </c>
      <c r="I1485" s="394">
        <v>1.1686749326601884E-3</v>
      </c>
      <c r="J1485" s="689">
        <v>3.5168631663189453E-5</v>
      </c>
      <c r="K1485" s="690">
        <v>3.6758800898768626E-5</v>
      </c>
    </row>
    <row r="1486" spans="2:11" ht="15.75" x14ac:dyDescent="0.25">
      <c r="B1486" s="667" t="s">
        <v>90</v>
      </c>
      <c r="C1486" s="110">
        <v>2028</v>
      </c>
      <c r="D1486" s="687" t="s">
        <v>2223</v>
      </c>
      <c r="E1486" s="688">
        <v>3.0184689718460354E-2</v>
      </c>
      <c r="F1486" s="310">
        <v>5.6081027766643416E-3</v>
      </c>
      <c r="G1486" s="311">
        <v>3.0300504214318839E-2</v>
      </c>
      <c r="H1486" s="311">
        <v>1.0139540481960477E-3</v>
      </c>
      <c r="I1486" s="394">
        <v>1.1014254472498431E-3</v>
      </c>
      <c r="J1486" s="689">
        <v>3.1671535109095308E-5</v>
      </c>
      <c r="K1486" s="690">
        <v>3.3103581612650976E-5</v>
      </c>
    </row>
    <row r="1487" spans="2:11" ht="15.75" x14ac:dyDescent="0.25">
      <c r="B1487" s="667" t="s">
        <v>90</v>
      </c>
      <c r="C1487" s="110">
        <v>2029</v>
      </c>
      <c r="D1487" s="687" t="s">
        <v>2224</v>
      </c>
      <c r="E1487" s="688">
        <v>2.9450048059133288E-2</v>
      </c>
      <c r="F1487" s="310">
        <v>5.024964867419989E-3</v>
      </c>
      <c r="G1487" s="311">
        <v>2.7914733180543487E-2</v>
      </c>
      <c r="H1487" s="311">
        <v>9.5365646750948262E-4</v>
      </c>
      <c r="I1487" s="394">
        <v>1.0359654341507299E-3</v>
      </c>
      <c r="J1487" s="689">
        <v>2.8860180288253735E-5</v>
      </c>
      <c r="K1487" s="690">
        <v>3.0165113415752857E-5</v>
      </c>
    </row>
    <row r="1488" spans="2:11" ht="15.75" x14ac:dyDescent="0.25">
      <c r="B1488" s="667" t="s">
        <v>90</v>
      </c>
      <c r="C1488" s="110">
        <v>2030</v>
      </c>
      <c r="D1488" s="687" t="s">
        <v>2225</v>
      </c>
      <c r="E1488" s="688">
        <v>2.8797045806564045E-2</v>
      </c>
      <c r="F1488" s="310">
        <v>4.5420627843697371E-3</v>
      </c>
      <c r="G1488" s="311">
        <v>2.5996189685738132E-2</v>
      </c>
      <c r="H1488" s="311">
        <v>8.964705339189053E-4</v>
      </c>
      <c r="I1488" s="394">
        <v>9.7386499186090868E-4</v>
      </c>
      <c r="J1488" s="689">
        <v>2.6635348787653332E-5</v>
      </c>
      <c r="K1488" s="690">
        <v>2.7839681325027465E-5</v>
      </c>
    </row>
    <row r="1489" spans="2:11" ht="15.75" x14ac:dyDescent="0.25">
      <c r="B1489" s="667" t="s">
        <v>90</v>
      </c>
      <c r="C1489" s="110">
        <v>2031</v>
      </c>
      <c r="D1489" s="687" t="s">
        <v>2226</v>
      </c>
      <c r="E1489" s="688">
        <v>2.8220411201537683E-2</v>
      </c>
      <c r="F1489" s="310">
        <v>4.1281517000512913E-3</v>
      </c>
      <c r="G1489" s="311">
        <v>2.4404633834886884E-2</v>
      </c>
      <c r="H1489" s="311">
        <v>8.4280117217204486E-4</v>
      </c>
      <c r="I1489" s="394">
        <v>9.1555636018196486E-4</v>
      </c>
      <c r="J1489" s="689">
        <v>2.516672172740901E-5</v>
      </c>
      <c r="K1489" s="690">
        <v>2.6304653300790694E-5</v>
      </c>
    </row>
    <row r="1490" spans="2:11" ht="15.75" x14ac:dyDescent="0.25">
      <c r="B1490" s="667" t="s">
        <v>90</v>
      </c>
      <c r="C1490" s="110">
        <v>2032</v>
      </c>
      <c r="D1490" s="687" t="s">
        <v>2227</v>
      </c>
      <c r="E1490" s="688">
        <v>2.7714058350652125E-2</v>
      </c>
      <c r="F1490" s="310">
        <v>3.7771573684000589E-3</v>
      </c>
      <c r="G1490" s="311">
        <v>2.3129322547243581E-2</v>
      </c>
      <c r="H1490" s="311">
        <v>7.9280966002827282E-4</v>
      </c>
      <c r="I1490" s="394">
        <v>8.6124349992472643E-4</v>
      </c>
      <c r="J1490" s="689">
        <v>2.3825962237099085E-5</v>
      </c>
      <c r="K1490" s="690">
        <v>2.490326904146267E-5</v>
      </c>
    </row>
    <row r="1491" spans="2:11" ht="15.75" x14ac:dyDescent="0.25">
      <c r="B1491" s="667" t="s">
        <v>90</v>
      </c>
      <c r="C1491" s="110">
        <v>2033</v>
      </c>
      <c r="D1491" s="687" t="s">
        <v>2228</v>
      </c>
      <c r="E1491" s="688">
        <v>2.7272404728907559E-2</v>
      </c>
      <c r="F1491" s="310">
        <v>3.4715975118870435E-3</v>
      </c>
      <c r="G1491" s="311">
        <v>2.2073808269229875E-2</v>
      </c>
      <c r="H1491" s="311">
        <v>7.4636667575837042E-4</v>
      </c>
      <c r="I1491" s="394">
        <v>8.107812300161125E-4</v>
      </c>
      <c r="J1491" s="689">
        <v>2.2663810174161015E-5</v>
      </c>
      <c r="K1491" s="690">
        <v>2.3688566669873363E-5</v>
      </c>
    </row>
    <row r="1492" spans="2:11" ht="15.75" x14ac:dyDescent="0.25">
      <c r="B1492" s="667" t="s">
        <v>90</v>
      </c>
      <c r="C1492" s="110">
        <v>2034</v>
      </c>
      <c r="D1492" s="687" t="s">
        <v>2229</v>
      </c>
      <c r="E1492" s="688">
        <v>2.6889404570928283E-2</v>
      </c>
      <c r="F1492" s="310">
        <v>3.20466074644439E-3</v>
      </c>
      <c r="G1492" s="311">
        <v>2.1208424285547711E-2</v>
      </c>
      <c r="H1492" s="311">
        <v>7.034368653582358E-4</v>
      </c>
      <c r="I1492" s="394">
        <v>7.6413627386922927E-4</v>
      </c>
      <c r="J1492" s="689">
        <v>2.1603795336213145E-5</v>
      </c>
      <c r="K1492" s="690">
        <v>2.2580621598017505E-5</v>
      </c>
    </row>
    <row r="1493" spans="2:11" ht="15.75" x14ac:dyDescent="0.25">
      <c r="B1493" s="667" t="s">
        <v>90</v>
      </c>
      <c r="C1493" s="110">
        <v>2035</v>
      </c>
      <c r="D1493" s="687" t="s">
        <v>2230</v>
      </c>
      <c r="E1493" s="688">
        <v>2.6560301888536173E-2</v>
      </c>
      <c r="F1493" s="310">
        <v>2.9734135373012064E-3</v>
      </c>
      <c r="G1493" s="311">
        <v>2.0510648672932223E-2</v>
      </c>
      <c r="H1493" s="311">
        <v>6.6417011995138938E-4</v>
      </c>
      <c r="I1493" s="394">
        <v>7.2147150879981218E-4</v>
      </c>
      <c r="J1493" s="689">
        <v>2.0630467830789699E-5</v>
      </c>
      <c r="K1493" s="690">
        <v>2.1563290907489416E-5</v>
      </c>
    </row>
    <row r="1494" spans="2:11" ht="15.75" x14ac:dyDescent="0.25">
      <c r="B1494" s="667" t="s">
        <v>90</v>
      </c>
      <c r="C1494" s="110">
        <v>2036</v>
      </c>
      <c r="D1494" s="687" t="s">
        <v>2231</v>
      </c>
      <c r="E1494" s="688">
        <v>2.6278710394808027E-2</v>
      </c>
      <c r="F1494" s="310">
        <v>2.7732343624834776E-3</v>
      </c>
      <c r="G1494" s="311">
        <v>1.9945336179445317E-2</v>
      </c>
      <c r="H1494" s="311">
        <v>6.2928370705338677E-4</v>
      </c>
      <c r="I1494" s="394">
        <v>6.8356754413367198E-4</v>
      </c>
      <c r="J1494" s="689">
        <v>1.973239477614904E-5</v>
      </c>
      <c r="K1494" s="690">
        <v>2.0624604051691344E-5</v>
      </c>
    </row>
    <row r="1495" spans="2:11" ht="15.75" x14ac:dyDescent="0.25">
      <c r="B1495" s="667" t="s">
        <v>90</v>
      </c>
      <c r="C1495" s="110">
        <v>2037</v>
      </c>
      <c r="D1495" s="687" t="s">
        <v>2232</v>
      </c>
      <c r="E1495" s="688">
        <v>2.6040365951108483E-2</v>
      </c>
      <c r="F1495" s="310">
        <v>2.6026598086838671E-3</v>
      </c>
      <c r="G1495" s="311">
        <v>1.9495950058301618E-2</v>
      </c>
      <c r="H1495" s="311">
        <v>5.9810535489158642E-4</v>
      </c>
      <c r="I1495" s="394">
        <v>6.4969140968523906E-4</v>
      </c>
      <c r="J1495" s="689">
        <v>1.8931945747832877E-5</v>
      </c>
      <c r="K1495" s="690">
        <v>1.978796328765286E-5</v>
      </c>
    </row>
    <row r="1496" spans="2:11" ht="15.75" x14ac:dyDescent="0.25">
      <c r="B1496" s="667" t="s">
        <v>90</v>
      </c>
      <c r="C1496" s="110">
        <v>2038</v>
      </c>
      <c r="D1496" s="687" t="s">
        <v>2233</v>
      </c>
      <c r="E1496" s="688">
        <v>2.5840266855800743E-2</v>
      </c>
      <c r="F1496" s="310">
        <v>2.451014047112187E-3</v>
      </c>
      <c r="G1496" s="311">
        <v>1.9107858482011266E-2</v>
      </c>
      <c r="H1496" s="311">
        <v>5.7037692058339406E-4</v>
      </c>
      <c r="I1496" s="394">
        <v>6.1956370243269811E-4</v>
      </c>
      <c r="J1496" s="689">
        <v>1.8237450087941796E-5</v>
      </c>
      <c r="K1496" s="690">
        <v>1.9062064051229925E-5</v>
      </c>
    </row>
    <row r="1497" spans="2:11" ht="15.75" x14ac:dyDescent="0.25">
      <c r="B1497" s="667" t="s">
        <v>90</v>
      </c>
      <c r="C1497" s="110">
        <v>2039</v>
      </c>
      <c r="D1497" s="687" t="s">
        <v>2234</v>
      </c>
      <c r="E1497" s="688">
        <v>2.5672785285798756E-2</v>
      </c>
      <c r="F1497" s="310">
        <v>2.312990636385316E-3</v>
      </c>
      <c r="G1497" s="311">
        <v>1.8762453247778439E-2</v>
      </c>
      <c r="H1497" s="311">
        <v>5.4600442022695371E-4</v>
      </c>
      <c r="I1497" s="394">
        <v>5.9308126027165522E-4</v>
      </c>
      <c r="J1497" s="689">
        <v>1.7651449498348896E-5</v>
      </c>
      <c r="K1497" s="690">
        <v>1.8449574120466658E-5</v>
      </c>
    </row>
    <row r="1498" spans="2:11" ht="15.75" x14ac:dyDescent="0.25">
      <c r="B1498" s="667" t="s">
        <v>90</v>
      </c>
      <c r="C1498" s="110">
        <v>2040</v>
      </c>
      <c r="D1498" s="687" t="s">
        <v>2235</v>
      </c>
      <c r="E1498" s="688">
        <v>2.5533172002639676E-2</v>
      </c>
      <c r="F1498" s="310">
        <v>2.1942048348741641E-3</v>
      </c>
      <c r="G1498" s="311">
        <v>1.8489284777396447E-2</v>
      </c>
      <c r="H1498" s="311">
        <v>5.249259957039752E-4</v>
      </c>
      <c r="I1498" s="394">
        <v>5.70178740120912E-4</v>
      </c>
      <c r="J1498" s="689">
        <v>1.7148877252069915E-5</v>
      </c>
      <c r="K1498" s="690">
        <v>1.7924275158587328E-5</v>
      </c>
    </row>
    <row r="1499" spans="2:11" ht="15.75" x14ac:dyDescent="0.25">
      <c r="B1499" s="667" t="s">
        <v>90</v>
      </c>
      <c r="C1499" s="110">
        <v>2041</v>
      </c>
      <c r="D1499" s="687" t="s">
        <v>2236</v>
      </c>
      <c r="E1499" s="688">
        <v>2.5418447986142977E-2</v>
      </c>
      <c r="F1499" s="310">
        <v>2.1004299622018638E-3</v>
      </c>
      <c r="G1499" s="311">
        <v>1.8276538283013639E-2</v>
      </c>
      <c r="H1499" s="311">
        <v>5.0772138757795588E-4</v>
      </c>
      <c r="I1499" s="394">
        <v>5.5148426905734865E-4</v>
      </c>
      <c r="J1499" s="689">
        <v>1.6736836364803535E-5</v>
      </c>
      <c r="K1499" s="690">
        <v>1.7493600156419306E-5</v>
      </c>
    </row>
    <row r="1500" spans="2:11" ht="15.75" x14ac:dyDescent="0.25">
      <c r="B1500" s="667" t="s">
        <v>90</v>
      </c>
      <c r="C1500" s="110">
        <v>2042</v>
      </c>
      <c r="D1500" s="687" t="s">
        <v>2237</v>
      </c>
      <c r="E1500" s="688">
        <v>2.5323467224430303E-2</v>
      </c>
      <c r="F1500" s="310">
        <v>2.0208597710104355E-3</v>
      </c>
      <c r="G1500" s="311">
        <v>1.8084608889813156E-2</v>
      </c>
      <c r="H1500" s="311">
        <v>4.9312924927768229E-4</v>
      </c>
      <c r="I1500" s="394">
        <v>5.3562828890679716E-4</v>
      </c>
      <c r="J1500" s="689">
        <v>1.6404547883408798E-5</v>
      </c>
      <c r="K1500" s="690">
        <v>1.7146281298352092E-5</v>
      </c>
    </row>
    <row r="1501" spans="2:11" ht="15.75" x14ac:dyDescent="0.25">
      <c r="B1501" s="667" t="s">
        <v>90</v>
      </c>
      <c r="C1501" s="110">
        <v>2043</v>
      </c>
      <c r="D1501" s="687" t="s">
        <v>2238</v>
      </c>
      <c r="E1501" s="688">
        <v>2.5245821849977267E-2</v>
      </c>
      <c r="F1501" s="310">
        <v>1.9596550070264921E-3</v>
      </c>
      <c r="G1501" s="311">
        <v>1.794405806205469E-2</v>
      </c>
      <c r="H1501" s="311">
        <v>4.8090833721234615E-4</v>
      </c>
      <c r="I1501" s="394">
        <v>5.2234762869771112E-4</v>
      </c>
      <c r="J1501" s="689">
        <v>1.6137185882186022E-5</v>
      </c>
      <c r="K1501" s="690">
        <v>1.6866831303669369E-5</v>
      </c>
    </row>
    <row r="1502" spans="2:11" ht="15.75" x14ac:dyDescent="0.25">
      <c r="B1502" s="667" t="s">
        <v>90</v>
      </c>
      <c r="C1502" s="110">
        <v>2044</v>
      </c>
      <c r="D1502" s="687" t="s">
        <v>2239</v>
      </c>
      <c r="E1502" s="688">
        <v>2.5181734530848997E-2</v>
      </c>
      <c r="F1502" s="310">
        <v>1.9135044246797084E-3</v>
      </c>
      <c r="G1502" s="311">
        <v>1.7836282399775812E-2</v>
      </c>
      <c r="H1502" s="311">
        <v>4.7074608131198055E-4</v>
      </c>
      <c r="I1502" s="394">
        <v>5.1130429775124464E-4</v>
      </c>
      <c r="J1502" s="689">
        <v>1.5932381340943279E-5</v>
      </c>
      <c r="K1502" s="690">
        <v>1.6652774770176494E-5</v>
      </c>
    </row>
    <row r="1503" spans="2:11" ht="15.75" x14ac:dyDescent="0.25">
      <c r="B1503" s="667" t="s">
        <v>90</v>
      </c>
      <c r="C1503" s="110">
        <v>2045</v>
      </c>
      <c r="D1503" s="687" t="s">
        <v>2240</v>
      </c>
      <c r="E1503" s="688">
        <v>2.5127895959997537E-2</v>
      </c>
      <c r="F1503" s="310">
        <v>1.8811439856032297E-3</v>
      </c>
      <c r="G1503" s="311">
        <v>1.7769322525060777E-2</v>
      </c>
      <c r="H1503" s="311">
        <v>4.6233577017373384E-4</v>
      </c>
      <c r="I1503" s="394">
        <v>5.0216397979885937E-4</v>
      </c>
      <c r="J1503" s="689">
        <v>1.5772806771934046E-5</v>
      </c>
      <c r="K1503" s="690">
        <v>1.6485981776981509E-5</v>
      </c>
    </row>
    <row r="1504" spans="2:11" ht="15.75" x14ac:dyDescent="0.25">
      <c r="B1504" s="667" t="s">
        <v>90</v>
      </c>
      <c r="C1504" s="110">
        <v>2046</v>
      </c>
      <c r="D1504" s="687" t="s">
        <v>2241</v>
      </c>
      <c r="E1504" s="688">
        <v>2.5082802871367896E-2</v>
      </c>
      <c r="F1504" s="310">
        <v>1.8532382429103621E-3</v>
      </c>
      <c r="G1504" s="311">
        <v>1.7713754617556147E-2</v>
      </c>
      <c r="H1504" s="311">
        <v>4.5544701311746864E-4</v>
      </c>
      <c r="I1504" s="394">
        <v>4.9467705764694809E-4</v>
      </c>
      <c r="J1504" s="689">
        <v>1.5650855887866271E-5</v>
      </c>
      <c r="K1504" s="690">
        <v>1.6358517988134649E-5</v>
      </c>
    </row>
    <row r="1505" spans="2:11" ht="15.75" x14ac:dyDescent="0.25">
      <c r="B1505" s="667" t="s">
        <v>90</v>
      </c>
      <c r="C1505" s="110">
        <v>2047</v>
      </c>
      <c r="D1505" s="687" t="s">
        <v>2242</v>
      </c>
      <c r="E1505" s="688">
        <v>2.504502962005507E-2</v>
      </c>
      <c r="F1505" s="310">
        <v>1.8290434639678978E-3</v>
      </c>
      <c r="G1505" s="311">
        <v>1.7660582352615521E-2</v>
      </c>
      <c r="H1505" s="311">
        <v>4.4986101472567632E-4</v>
      </c>
      <c r="I1505" s="394">
        <v>4.8860573732776094E-4</v>
      </c>
      <c r="J1505" s="689">
        <v>1.5555301340026312E-5</v>
      </c>
      <c r="K1505" s="690">
        <v>1.6258641251292577E-5</v>
      </c>
    </row>
    <row r="1506" spans="2:11" ht="15.75" x14ac:dyDescent="0.25">
      <c r="B1506" s="667" t="s">
        <v>90</v>
      </c>
      <c r="C1506" s="110">
        <v>2048</v>
      </c>
      <c r="D1506" s="687" t="s">
        <v>2243</v>
      </c>
      <c r="E1506" s="688">
        <v>2.5013528329466746E-2</v>
      </c>
      <c r="F1506" s="310">
        <v>1.8099453577993428E-3</v>
      </c>
      <c r="G1506" s="311">
        <v>1.7618989451235054E-2</v>
      </c>
      <c r="H1506" s="311">
        <v>4.4536536941265284E-4</v>
      </c>
      <c r="I1506" s="394">
        <v>4.8371949559049103E-4</v>
      </c>
      <c r="J1506" s="689">
        <v>1.5479326304646123E-5</v>
      </c>
      <c r="K1506" s="690">
        <v>1.6179231816801004E-5</v>
      </c>
    </row>
    <row r="1507" spans="2:11" ht="15.75" x14ac:dyDescent="0.25">
      <c r="B1507" s="667" t="s">
        <v>90</v>
      </c>
      <c r="C1507" s="110">
        <v>2049</v>
      </c>
      <c r="D1507" s="687" t="s">
        <v>2244</v>
      </c>
      <c r="E1507" s="688">
        <v>2.4986888612959189E-2</v>
      </c>
      <c r="F1507" s="310">
        <v>1.8019351038549513E-3</v>
      </c>
      <c r="G1507" s="311">
        <v>1.763484850770676E-2</v>
      </c>
      <c r="H1507" s="311">
        <v>4.4226110089101483E-4</v>
      </c>
      <c r="I1507" s="394">
        <v>4.803454356059205E-4</v>
      </c>
      <c r="J1507" s="689">
        <v>1.5429343841153257E-5</v>
      </c>
      <c r="K1507" s="690">
        <v>1.6126988472267587E-5</v>
      </c>
    </row>
    <row r="1508" spans="2:11" ht="15.75" x14ac:dyDescent="0.25">
      <c r="B1508" s="667" t="s">
        <v>90</v>
      </c>
      <c r="C1508" s="110">
        <v>2050</v>
      </c>
      <c r="D1508" s="687" t="s">
        <v>2245</v>
      </c>
      <c r="E1508" s="688">
        <v>2.4964995467615138E-2</v>
      </c>
      <c r="F1508" s="310">
        <v>1.795739034088412E-3</v>
      </c>
      <c r="G1508" s="311">
        <v>1.7650280668665572E-2</v>
      </c>
      <c r="H1508" s="311">
        <v>4.3981999260871656E-4</v>
      </c>
      <c r="I1508" s="394">
        <v>4.7769278228339333E-4</v>
      </c>
      <c r="J1508" s="689">
        <v>1.5381063355511383E-5</v>
      </c>
      <c r="K1508" s="690">
        <v>1.6076529283344752E-5</v>
      </c>
    </row>
    <row r="1509" spans="2:11" ht="15.75" x14ac:dyDescent="0.25">
      <c r="B1509" s="667" t="s">
        <v>91</v>
      </c>
      <c r="C1509" s="110">
        <v>2015</v>
      </c>
      <c r="D1509" s="687" t="s">
        <v>286</v>
      </c>
      <c r="E1509" s="688">
        <v>4.9722632512361691E-2</v>
      </c>
      <c r="F1509" s="310">
        <v>5.3800894857995746E-2</v>
      </c>
      <c r="G1509" s="311">
        <v>0.2201202014575433</v>
      </c>
      <c r="H1509" s="311">
        <v>1.9454378849889503E-3</v>
      </c>
      <c r="I1509" s="394">
        <v>2.0999820149035803E-3</v>
      </c>
      <c r="J1509" s="689">
        <v>2.6525965518544138E-4</v>
      </c>
      <c r="K1509" s="690">
        <v>2.7725352508482115E-4</v>
      </c>
    </row>
    <row r="1510" spans="2:11" ht="15.75" x14ac:dyDescent="0.25">
      <c r="B1510" s="667" t="s">
        <v>91</v>
      </c>
      <c r="C1510" s="110">
        <v>2016</v>
      </c>
      <c r="D1510" s="687" t="s">
        <v>287</v>
      </c>
      <c r="E1510" s="688">
        <v>4.8886369454175328E-2</v>
      </c>
      <c r="F1510" s="310">
        <v>4.4163147501451068E-2</v>
      </c>
      <c r="G1510" s="311">
        <v>0.18782555918777866</v>
      </c>
      <c r="H1510" s="311">
        <v>1.8025275699455462E-3</v>
      </c>
      <c r="I1510" s="394">
        <v>1.9475246040077613E-3</v>
      </c>
      <c r="J1510" s="689">
        <v>2.3094216212791226E-4</v>
      </c>
      <c r="K1510" s="690">
        <v>2.4138433447011784E-4</v>
      </c>
    </row>
    <row r="1511" spans="2:11" ht="15.75" x14ac:dyDescent="0.25">
      <c r="B1511" s="667" t="s">
        <v>91</v>
      </c>
      <c r="C1511" s="110">
        <v>2017</v>
      </c>
      <c r="D1511" s="687" t="s">
        <v>2246</v>
      </c>
      <c r="E1511" s="688">
        <v>4.7722905473462085E-2</v>
      </c>
      <c r="F1511" s="310">
        <v>3.6493786953823444E-2</v>
      </c>
      <c r="G1511" s="311">
        <v>0.16058967364365395</v>
      </c>
      <c r="H1511" s="311">
        <v>1.7218940086160602E-3</v>
      </c>
      <c r="I1511" s="394">
        <v>1.8617583883913124E-3</v>
      </c>
      <c r="J1511" s="689">
        <v>2.1047722146245662E-4</v>
      </c>
      <c r="K1511" s="690">
        <v>2.1999406634115582E-4</v>
      </c>
    </row>
    <row r="1512" spans="2:11" ht="15.75" x14ac:dyDescent="0.25">
      <c r="B1512" s="667" t="s">
        <v>91</v>
      </c>
      <c r="C1512" s="110">
        <v>2018</v>
      </c>
      <c r="D1512" s="687" t="s">
        <v>2247</v>
      </c>
      <c r="E1512" s="688">
        <v>4.6524374994581327E-2</v>
      </c>
      <c r="F1512" s="310">
        <v>3.005921997353803E-2</v>
      </c>
      <c r="G1512" s="311">
        <v>0.13706078299714028</v>
      </c>
      <c r="H1512" s="311">
        <v>1.6758142657420359E-3</v>
      </c>
      <c r="I1512" s="394">
        <v>1.8132236260405923E-3</v>
      </c>
      <c r="J1512" s="689">
        <v>1.9229342555470384E-4</v>
      </c>
      <c r="K1512" s="690">
        <v>2.0098807368790629E-4</v>
      </c>
    </row>
    <row r="1513" spans="2:11" ht="15.75" x14ac:dyDescent="0.25">
      <c r="B1513" s="667" t="s">
        <v>91</v>
      </c>
      <c r="C1513" s="110">
        <v>2019</v>
      </c>
      <c r="D1513" s="687" t="s">
        <v>2248</v>
      </c>
      <c r="E1513" s="688">
        <v>4.5268948151033543E-2</v>
      </c>
      <c r="F1513" s="310">
        <v>2.4654212640797708E-2</v>
      </c>
      <c r="G1513" s="311">
        <v>0.11701897768035457</v>
      </c>
      <c r="H1513" s="311">
        <v>1.6449473095750853E-3</v>
      </c>
      <c r="I1513" s="394">
        <v>1.7809275227701411E-3</v>
      </c>
      <c r="J1513" s="689">
        <v>1.769267311887467E-4</v>
      </c>
      <c r="K1513" s="690">
        <v>1.849265693982853E-4</v>
      </c>
    </row>
    <row r="1514" spans="2:11" ht="15.75" x14ac:dyDescent="0.25">
      <c r="B1514" s="667" t="s">
        <v>91</v>
      </c>
      <c r="C1514" s="110">
        <v>2020</v>
      </c>
      <c r="D1514" s="687" t="s">
        <v>2249</v>
      </c>
      <c r="E1514" s="688">
        <v>4.3979312559521443E-2</v>
      </c>
      <c r="F1514" s="310">
        <v>2.0665265434157358E-2</v>
      </c>
      <c r="G1514" s="311">
        <v>0.10029601210299062</v>
      </c>
      <c r="H1514" s="311">
        <v>1.59440752831995E-3</v>
      </c>
      <c r="I1514" s="394">
        <v>1.7268461861260189E-3</v>
      </c>
      <c r="J1514" s="689">
        <v>1.6168985941654844E-4</v>
      </c>
      <c r="K1514" s="690">
        <v>1.6900075492681931E-4</v>
      </c>
    </row>
    <row r="1515" spans="2:11" ht="15.75" x14ac:dyDescent="0.25">
      <c r="B1515" s="667" t="s">
        <v>91</v>
      </c>
      <c r="C1515" s="110">
        <v>2021</v>
      </c>
      <c r="D1515" s="687" t="s">
        <v>2250</v>
      </c>
      <c r="E1515" s="688">
        <v>4.2656573752638711E-2</v>
      </c>
      <c r="F1515" s="310">
        <v>1.7617958886868228E-2</v>
      </c>
      <c r="G1515" s="311">
        <v>8.6346103938498037E-2</v>
      </c>
      <c r="H1515" s="311">
        <v>1.5165908631323754E-3</v>
      </c>
      <c r="I1515" s="394">
        <v>1.6429727253970596E-3</v>
      </c>
      <c r="J1515" s="689">
        <v>1.4657889837827216E-4</v>
      </c>
      <c r="K1515" s="690">
        <v>1.5320654548347796E-4</v>
      </c>
    </row>
    <row r="1516" spans="2:11" ht="15.75" x14ac:dyDescent="0.25">
      <c r="B1516" s="667" t="s">
        <v>91</v>
      </c>
      <c r="C1516" s="110">
        <v>2022</v>
      </c>
      <c r="D1516" s="687" t="s">
        <v>2251</v>
      </c>
      <c r="E1516" s="688">
        <v>4.1336773469673967E-2</v>
      </c>
      <c r="F1516" s="310">
        <v>1.4789663904629387E-2</v>
      </c>
      <c r="G1516" s="311">
        <v>7.4381808529699306E-2</v>
      </c>
      <c r="H1516" s="311">
        <v>1.4417616744603749E-3</v>
      </c>
      <c r="I1516" s="394">
        <v>1.5623138305834246E-3</v>
      </c>
      <c r="J1516" s="689">
        <v>1.3361493988256977E-4</v>
      </c>
      <c r="K1516" s="690">
        <v>1.3965641465712913E-4</v>
      </c>
    </row>
    <row r="1517" spans="2:11" ht="15.75" x14ac:dyDescent="0.25">
      <c r="B1517" s="667" t="s">
        <v>91</v>
      </c>
      <c r="C1517" s="110">
        <v>2023</v>
      </c>
      <c r="D1517" s="687" t="s">
        <v>2252</v>
      </c>
      <c r="E1517" s="688">
        <v>4.003152389108517E-2</v>
      </c>
      <c r="F1517" s="310">
        <v>1.2790360643997052E-2</v>
      </c>
      <c r="G1517" s="311">
        <v>6.4764127980826203E-2</v>
      </c>
      <c r="H1517" s="311">
        <v>1.3730438629273793E-3</v>
      </c>
      <c r="I1517" s="394">
        <v>1.488142559903373E-3</v>
      </c>
      <c r="J1517" s="689">
        <v>1.2097017348942781E-4</v>
      </c>
      <c r="K1517" s="690">
        <v>1.2643990328570388E-4</v>
      </c>
    </row>
    <row r="1518" spans="2:11" ht="15.75" x14ac:dyDescent="0.25">
      <c r="B1518" s="667" t="s">
        <v>91</v>
      </c>
      <c r="C1518" s="110">
        <v>2024</v>
      </c>
      <c r="D1518" s="687" t="s">
        <v>2253</v>
      </c>
      <c r="E1518" s="688">
        <v>3.8746715307914278E-2</v>
      </c>
      <c r="F1518" s="310">
        <v>1.1079203442822143E-2</v>
      </c>
      <c r="G1518" s="311">
        <v>5.6653000181921362E-2</v>
      </c>
      <c r="H1518" s="311">
        <v>1.3092522123282109E-3</v>
      </c>
      <c r="I1518" s="394">
        <v>1.4193284166285022E-3</v>
      </c>
      <c r="J1518" s="689">
        <v>1.0837696796912135E-4</v>
      </c>
      <c r="K1518" s="690">
        <v>1.1327728716062435E-4</v>
      </c>
    </row>
    <row r="1519" spans="2:11" ht="15.75" x14ac:dyDescent="0.25">
      <c r="B1519" s="667" t="s">
        <v>91</v>
      </c>
      <c r="C1519" s="110">
        <v>2025</v>
      </c>
      <c r="D1519" s="687" t="s">
        <v>2254</v>
      </c>
      <c r="E1519" s="688">
        <v>3.7497079134935857E-2</v>
      </c>
      <c r="F1519" s="310">
        <v>9.7108361538018276E-3</v>
      </c>
      <c r="G1519" s="311">
        <v>5.0186154302572075E-2</v>
      </c>
      <c r="H1519" s="311">
        <v>1.255396512795911E-3</v>
      </c>
      <c r="I1519" s="394">
        <v>1.3612243698217499E-3</v>
      </c>
      <c r="J1519" s="689">
        <v>9.7539706037297124E-5</v>
      </c>
      <c r="K1519" s="690">
        <v>1.0195001586691961E-4</v>
      </c>
    </row>
    <row r="1520" spans="2:11" ht="15.75" x14ac:dyDescent="0.25">
      <c r="B1520" s="667" t="s">
        <v>91</v>
      </c>
      <c r="C1520" s="110">
        <v>2026</v>
      </c>
      <c r="D1520" s="687" t="s">
        <v>2255</v>
      </c>
      <c r="E1520" s="688">
        <v>3.6342880665705998E-2</v>
      </c>
      <c r="F1520" s="310">
        <v>8.5752433654963569E-3</v>
      </c>
      <c r="G1520" s="311">
        <v>4.491853117953528E-2</v>
      </c>
      <c r="H1520" s="311">
        <v>1.199008090585166E-3</v>
      </c>
      <c r="I1520" s="394">
        <v>1.3003927379585754E-3</v>
      </c>
      <c r="J1520" s="689">
        <v>8.5831226362387763E-5</v>
      </c>
      <c r="K1520" s="690">
        <v>8.9712132525092853E-5</v>
      </c>
    </row>
    <row r="1521" spans="2:11" ht="15.75" x14ac:dyDescent="0.25">
      <c r="B1521" s="667" t="s">
        <v>91</v>
      </c>
      <c r="C1521" s="110">
        <v>2027</v>
      </c>
      <c r="D1521" s="687" t="s">
        <v>2256</v>
      </c>
      <c r="E1521" s="688">
        <v>3.5276483912835707E-2</v>
      </c>
      <c r="F1521" s="310">
        <v>7.6065579467706956E-3</v>
      </c>
      <c r="G1521" s="311">
        <v>4.0482422195449681E-2</v>
      </c>
      <c r="H1521" s="311">
        <v>1.1322280294607525E-3</v>
      </c>
      <c r="I1521" s="394">
        <v>1.2284013538429732E-3</v>
      </c>
      <c r="J1521" s="689">
        <v>7.0794484813199745E-5</v>
      </c>
      <c r="K1521" s="690">
        <v>7.3995497666555629E-5</v>
      </c>
    </row>
    <row r="1522" spans="2:11" ht="15.75" x14ac:dyDescent="0.25">
      <c r="B1522" s="667" t="s">
        <v>91</v>
      </c>
      <c r="C1522" s="110">
        <v>2028</v>
      </c>
      <c r="D1522" s="687" t="s">
        <v>2257</v>
      </c>
      <c r="E1522" s="688">
        <v>3.4299692358146387E-2</v>
      </c>
      <c r="F1522" s="310">
        <v>6.8058982755046732E-3</v>
      </c>
      <c r="G1522" s="311">
        <v>3.6837669554834987E-2</v>
      </c>
      <c r="H1522" s="311">
        <v>1.0626550449567068E-3</v>
      </c>
      <c r="I1522" s="394">
        <v>1.1532110166867493E-3</v>
      </c>
      <c r="J1522" s="689">
        <v>5.9545925965141118E-5</v>
      </c>
      <c r="K1522" s="690">
        <v>6.2238327917686639E-5</v>
      </c>
    </row>
    <row r="1523" spans="2:11" ht="15.75" x14ac:dyDescent="0.25">
      <c r="B1523" s="667" t="s">
        <v>91</v>
      </c>
      <c r="C1523" s="110">
        <v>2029</v>
      </c>
      <c r="D1523" s="687" t="s">
        <v>2258</v>
      </c>
      <c r="E1523" s="688">
        <v>3.3401870015901509E-2</v>
      </c>
      <c r="F1523" s="310">
        <v>6.0958913466390464E-3</v>
      </c>
      <c r="G1523" s="311">
        <v>3.3722229168003069E-2</v>
      </c>
      <c r="H1523" s="311">
        <v>9.967946976786944E-4</v>
      </c>
      <c r="I1523" s="394">
        <v>1.0819055392049322E-3</v>
      </c>
      <c r="J1523" s="689">
        <v>5.1906914160346414E-5</v>
      </c>
      <c r="K1523" s="690">
        <v>5.4253916833889513E-5</v>
      </c>
    </row>
    <row r="1524" spans="2:11" ht="15.75" x14ac:dyDescent="0.25">
      <c r="B1524" s="667" t="s">
        <v>91</v>
      </c>
      <c r="C1524" s="110">
        <v>2030</v>
      </c>
      <c r="D1524" s="687" t="s">
        <v>2259</v>
      </c>
      <c r="E1524" s="688">
        <v>3.2587337489369581E-2</v>
      </c>
      <c r="F1524" s="310">
        <v>5.5050557481876022E-3</v>
      </c>
      <c r="G1524" s="311">
        <v>3.1160069883585009E-2</v>
      </c>
      <c r="H1524" s="311">
        <v>9.3331553977823154E-4</v>
      </c>
      <c r="I1524" s="394">
        <v>1.0131828175108085E-3</v>
      </c>
      <c r="J1524" s="689">
        <v>4.4435327095888072E-5</v>
      </c>
      <c r="K1524" s="690">
        <v>4.6444494683663639E-5</v>
      </c>
    </row>
    <row r="1525" spans="2:11" ht="15.75" x14ac:dyDescent="0.25">
      <c r="B1525" s="667" t="s">
        <v>91</v>
      </c>
      <c r="C1525" s="110">
        <v>2031</v>
      </c>
      <c r="D1525" s="687" t="s">
        <v>2260</v>
      </c>
      <c r="E1525" s="688">
        <v>3.1850452991460408E-2</v>
      </c>
      <c r="F1525" s="310">
        <v>4.9831069345206841E-3</v>
      </c>
      <c r="G1525" s="311">
        <v>2.8949224581537897E-2</v>
      </c>
      <c r="H1525" s="311">
        <v>8.7534061312733921E-4</v>
      </c>
      <c r="I1525" s="394">
        <v>9.5031240197574677E-4</v>
      </c>
      <c r="J1525" s="689">
        <v>4.0127125261986937E-5</v>
      </c>
      <c r="K1525" s="690">
        <v>4.1941499807961854E-5</v>
      </c>
    </row>
    <row r="1526" spans="2:11" ht="15.75" x14ac:dyDescent="0.25">
      <c r="B1526" s="667" t="s">
        <v>91</v>
      </c>
      <c r="C1526" s="110">
        <v>2032</v>
      </c>
      <c r="D1526" s="687" t="s">
        <v>2261</v>
      </c>
      <c r="E1526" s="688">
        <v>3.1191059947847787E-2</v>
      </c>
      <c r="F1526" s="310">
        <v>4.5318843242863581E-3</v>
      </c>
      <c r="G1526" s="311">
        <v>2.7108376511409033E-2</v>
      </c>
      <c r="H1526" s="311">
        <v>8.2077953987684537E-4</v>
      </c>
      <c r="I1526" s="394">
        <v>8.9115261405546141E-4</v>
      </c>
      <c r="J1526" s="689">
        <v>3.5870763939837212E-5</v>
      </c>
      <c r="K1526" s="690">
        <v>3.7492676868029392E-5</v>
      </c>
    </row>
    <row r="1527" spans="2:11" ht="15.75" x14ac:dyDescent="0.25">
      <c r="B1527" s="667" t="s">
        <v>91</v>
      </c>
      <c r="C1527" s="110">
        <v>2033</v>
      </c>
      <c r="D1527" s="687" t="s">
        <v>2262</v>
      </c>
      <c r="E1527" s="688">
        <v>3.0599106039668658E-2</v>
      </c>
      <c r="F1527" s="310">
        <v>4.1430813698929599E-3</v>
      </c>
      <c r="G1527" s="311">
        <v>2.5596646152047344E-2</v>
      </c>
      <c r="H1527" s="311">
        <v>7.7137143791538763E-4</v>
      </c>
      <c r="I1527" s="394">
        <v>8.3753493787898446E-4</v>
      </c>
      <c r="J1527" s="689">
        <v>3.3076648383338149E-5</v>
      </c>
      <c r="K1527" s="690">
        <v>3.4572228631793938E-5</v>
      </c>
    </row>
    <row r="1528" spans="2:11" ht="15.75" x14ac:dyDescent="0.25">
      <c r="B1528" s="667" t="s">
        <v>91</v>
      </c>
      <c r="C1528" s="110">
        <v>2034</v>
      </c>
      <c r="D1528" s="687" t="s">
        <v>2263</v>
      </c>
      <c r="E1528" s="688">
        <v>3.0072066506401596E-2</v>
      </c>
      <c r="F1528" s="310">
        <v>3.7963117318722322E-3</v>
      </c>
      <c r="G1528" s="311">
        <v>2.4307756334975648E-2</v>
      </c>
      <c r="H1528" s="311">
        <v>7.2546074765792584E-4</v>
      </c>
      <c r="I1528" s="394">
        <v>7.8771548254449224E-4</v>
      </c>
      <c r="J1528" s="689">
        <v>3.0425510132820796E-5</v>
      </c>
      <c r="K1528" s="690">
        <v>3.1801216381900112E-5</v>
      </c>
    </row>
    <row r="1529" spans="2:11" ht="15.75" x14ac:dyDescent="0.25">
      <c r="B1529" s="667" t="s">
        <v>91</v>
      </c>
      <c r="C1529" s="110">
        <v>2035</v>
      </c>
      <c r="D1529" s="687" t="s">
        <v>2264</v>
      </c>
      <c r="E1529" s="688">
        <v>2.9604695979467521E-2</v>
      </c>
      <c r="F1529" s="310">
        <v>3.486524123725679E-3</v>
      </c>
      <c r="G1529" s="311">
        <v>2.3212133707519643E-2</v>
      </c>
      <c r="H1529" s="311">
        <v>6.831548886006676E-4</v>
      </c>
      <c r="I1529" s="394">
        <v>7.4180363438979653E-4</v>
      </c>
      <c r="J1529" s="689">
        <v>2.8057147873782463E-5</v>
      </c>
      <c r="K1529" s="690">
        <v>2.9325770670403875E-5</v>
      </c>
    </row>
    <row r="1530" spans="2:11" ht="15.75" x14ac:dyDescent="0.25">
      <c r="B1530" s="667" t="s">
        <v>91</v>
      </c>
      <c r="C1530" s="110">
        <v>2036</v>
      </c>
      <c r="D1530" s="687" t="s">
        <v>2265</v>
      </c>
      <c r="E1530" s="688">
        <v>2.9198296931408158E-2</v>
      </c>
      <c r="F1530" s="310">
        <v>3.2197934258992736E-3</v>
      </c>
      <c r="G1530" s="311">
        <v>2.2312174321552414E-2</v>
      </c>
      <c r="H1530" s="311">
        <v>6.4657705030246636E-4</v>
      </c>
      <c r="I1530" s="394">
        <v>7.0210711125621994E-4</v>
      </c>
      <c r="J1530" s="689">
        <v>2.6059709346567493E-5</v>
      </c>
      <c r="K1530" s="690">
        <v>2.7238012867694739E-5</v>
      </c>
    </row>
    <row r="1531" spans="2:11" ht="15.75" x14ac:dyDescent="0.25">
      <c r="B1531" s="667" t="s">
        <v>91</v>
      </c>
      <c r="C1531" s="110">
        <v>2037</v>
      </c>
      <c r="D1531" s="687" t="s">
        <v>2266</v>
      </c>
      <c r="E1531" s="688">
        <v>2.8842556275642472E-2</v>
      </c>
      <c r="F1531" s="310">
        <v>2.9912735835271424E-3</v>
      </c>
      <c r="G1531" s="311">
        <v>2.1579041628987675E-2</v>
      </c>
      <c r="H1531" s="311">
        <v>6.1407240906706355E-4</v>
      </c>
      <c r="I1531" s="394">
        <v>6.6682296159638517E-4</v>
      </c>
      <c r="J1531" s="689">
        <v>2.446727047736207E-5</v>
      </c>
      <c r="K1531" s="690">
        <v>2.557357493938719E-5</v>
      </c>
    </row>
    <row r="1532" spans="2:11" ht="15.75" x14ac:dyDescent="0.25">
      <c r="B1532" s="667" t="s">
        <v>91</v>
      </c>
      <c r="C1532" s="110">
        <v>2038</v>
      </c>
      <c r="D1532" s="687" t="s">
        <v>2267</v>
      </c>
      <c r="E1532" s="688">
        <v>2.8535303240747802E-2</v>
      </c>
      <c r="F1532" s="310">
        <v>2.7811129293260311E-3</v>
      </c>
      <c r="G1532" s="311">
        <v>2.0908000374770294E-2</v>
      </c>
      <c r="H1532" s="311">
        <v>5.8509029445370949E-4</v>
      </c>
      <c r="I1532" s="394">
        <v>6.3535972138364721E-4</v>
      </c>
      <c r="J1532" s="689">
        <v>2.3113189367548637E-5</v>
      </c>
      <c r="K1532" s="690">
        <v>2.4158262794353754E-5</v>
      </c>
    </row>
    <row r="1533" spans="2:11" ht="15.75" x14ac:dyDescent="0.25">
      <c r="B1533" s="667" t="s">
        <v>91</v>
      </c>
      <c r="C1533" s="110">
        <v>2039</v>
      </c>
      <c r="D1533" s="687" t="s">
        <v>2268</v>
      </c>
      <c r="E1533" s="688">
        <v>2.8269611180648753E-2</v>
      </c>
      <c r="F1533" s="310">
        <v>2.5768154427536659E-3</v>
      </c>
      <c r="G1533" s="311">
        <v>2.0247774765427617E-2</v>
      </c>
      <c r="H1533" s="311">
        <v>5.5930622519726814E-4</v>
      </c>
      <c r="I1533" s="394">
        <v>6.0736507568042667E-4</v>
      </c>
      <c r="J1533" s="689">
        <v>2.1974185759742359E-5</v>
      </c>
      <c r="K1533" s="690">
        <v>2.2967757412155623E-5</v>
      </c>
    </row>
    <row r="1534" spans="2:11" ht="15.75" x14ac:dyDescent="0.25">
      <c r="B1534" s="667" t="s">
        <v>91</v>
      </c>
      <c r="C1534" s="110">
        <v>2040</v>
      </c>
      <c r="D1534" s="687" t="s">
        <v>2269</v>
      </c>
      <c r="E1534" s="688">
        <v>2.803951738537263E-2</v>
      </c>
      <c r="F1534" s="310">
        <v>2.3981851398564755E-3</v>
      </c>
      <c r="G1534" s="311">
        <v>1.9712841638301823E-2</v>
      </c>
      <c r="H1534" s="311">
        <v>5.3672537804976841E-4</v>
      </c>
      <c r="I1534" s="394">
        <v>5.8284792193887415E-4</v>
      </c>
      <c r="J1534" s="689">
        <v>2.0994693398713233E-5</v>
      </c>
      <c r="K1534" s="690">
        <v>2.194398049077358E-5</v>
      </c>
    </row>
    <row r="1535" spans="2:11" ht="15.75" x14ac:dyDescent="0.25">
      <c r="B1535" s="667" t="s">
        <v>91</v>
      </c>
      <c r="C1535" s="110">
        <v>2041</v>
      </c>
      <c r="D1535" s="687" t="s">
        <v>2270</v>
      </c>
      <c r="E1535" s="688">
        <v>2.7844032482170676E-2</v>
      </c>
      <c r="F1535" s="310">
        <v>2.2622033004912334E-3</v>
      </c>
      <c r="G1535" s="311">
        <v>1.9296696172905629E-2</v>
      </c>
      <c r="H1535" s="311">
        <v>5.1904640953022451E-4</v>
      </c>
      <c r="I1535" s="394">
        <v>5.63655086377255E-4</v>
      </c>
      <c r="J1535" s="689">
        <v>2.0180070699870576E-5</v>
      </c>
      <c r="K1535" s="690">
        <v>2.1092528519445091E-5</v>
      </c>
    </row>
    <row r="1536" spans="2:11" ht="15.75" x14ac:dyDescent="0.25">
      <c r="B1536" s="667" t="s">
        <v>91</v>
      </c>
      <c r="C1536" s="110">
        <v>2042</v>
      </c>
      <c r="D1536" s="687" t="s">
        <v>2271</v>
      </c>
      <c r="E1536" s="688">
        <v>2.7674149530121043E-2</v>
      </c>
      <c r="F1536" s="310">
        <v>2.1453994311084017E-3</v>
      </c>
      <c r="G1536" s="311">
        <v>1.8918002678785746E-2</v>
      </c>
      <c r="H1536" s="311">
        <v>5.0391594363476989E-4</v>
      </c>
      <c r="I1536" s="394">
        <v>5.4722802149056321E-4</v>
      </c>
      <c r="J1536" s="689">
        <v>1.949637427263233E-5</v>
      </c>
      <c r="K1536" s="690">
        <v>2.0377912277780314E-5</v>
      </c>
    </row>
    <row r="1537" spans="2:11" ht="15.75" x14ac:dyDescent="0.25">
      <c r="B1537" s="667" t="s">
        <v>91</v>
      </c>
      <c r="C1537" s="110">
        <v>2043</v>
      </c>
      <c r="D1537" s="687" t="s">
        <v>2272</v>
      </c>
      <c r="E1537" s="688">
        <v>2.7528994293118485E-2</v>
      </c>
      <c r="F1537" s="310">
        <v>2.054210767330051E-3</v>
      </c>
      <c r="G1537" s="311">
        <v>1.8624965398360446E-2</v>
      </c>
      <c r="H1537" s="311">
        <v>4.9107752630185662E-4</v>
      </c>
      <c r="I1537" s="394">
        <v>5.3328749292422739E-4</v>
      </c>
      <c r="J1537" s="689">
        <v>1.8963621901683896E-5</v>
      </c>
      <c r="K1537" s="690">
        <v>1.9821074317058711E-5</v>
      </c>
    </row>
    <row r="1538" spans="2:11" ht="15.75" x14ac:dyDescent="0.25">
      <c r="B1538" s="667" t="s">
        <v>91</v>
      </c>
      <c r="C1538" s="110">
        <v>2044</v>
      </c>
      <c r="D1538" s="687" t="s">
        <v>2273</v>
      </c>
      <c r="E1538" s="688">
        <v>2.7403120124454502E-2</v>
      </c>
      <c r="F1538" s="310">
        <v>1.984314791585486E-3</v>
      </c>
      <c r="G1538" s="311">
        <v>1.8386201019022292E-2</v>
      </c>
      <c r="H1538" s="311">
        <v>4.8019889859983233E-4</v>
      </c>
      <c r="I1538" s="394">
        <v>5.2147447447073328E-4</v>
      </c>
      <c r="J1538" s="689">
        <v>1.8543565419201729E-5</v>
      </c>
      <c r="K1538" s="690">
        <v>1.9382026010879653E-5</v>
      </c>
    </row>
    <row r="1539" spans="2:11" ht="15.75" x14ac:dyDescent="0.25">
      <c r="B1539" s="667" t="s">
        <v>91</v>
      </c>
      <c r="C1539" s="110">
        <v>2045</v>
      </c>
      <c r="D1539" s="687" t="s">
        <v>2274</v>
      </c>
      <c r="E1539" s="688">
        <v>2.7293724656749372E-2</v>
      </c>
      <c r="F1539" s="310">
        <v>1.9359644243169491E-3</v>
      </c>
      <c r="G1539" s="311">
        <v>1.8221339949813977E-2</v>
      </c>
      <c r="H1539" s="311">
        <v>4.7098859279880005E-4</v>
      </c>
      <c r="I1539" s="394">
        <v>5.1147141258764688E-4</v>
      </c>
      <c r="J1539" s="689">
        <v>1.8210048134209214E-5</v>
      </c>
      <c r="K1539" s="690">
        <v>1.903342149399362E-5</v>
      </c>
    </row>
    <row r="1540" spans="2:11" ht="15.75" x14ac:dyDescent="0.25">
      <c r="B1540" s="667" t="s">
        <v>91</v>
      </c>
      <c r="C1540" s="110">
        <v>2046</v>
      </c>
      <c r="D1540" s="687" t="s">
        <v>2275</v>
      </c>
      <c r="E1540" s="688">
        <v>2.7195510428877849E-2</v>
      </c>
      <c r="F1540" s="310">
        <v>1.8929978156073334E-3</v>
      </c>
      <c r="G1540" s="311">
        <v>1.8081100257862019E-2</v>
      </c>
      <c r="H1540" s="311">
        <v>4.6322888757797113E-4</v>
      </c>
      <c r="I1540" s="394">
        <v>5.0304382655561866E-4</v>
      </c>
      <c r="J1540" s="689">
        <v>1.7933948446704562E-5</v>
      </c>
      <c r="K1540" s="690">
        <v>1.874484070300587E-5</v>
      </c>
    </row>
    <row r="1541" spans="2:11" ht="15.75" x14ac:dyDescent="0.25">
      <c r="B1541" s="667" t="s">
        <v>91</v>
      </c>
      <c r="C1541" s="110">
        <v>2047</v>
      </c>
      <c r="D1541" s="687" t="s">
        <v>2276</v>
      </c>
      <c r="E1541" s="688">
        <v>2.711301893574616E-2</v>
      </c>
      <c r="F1541" s="310">
        <v>1.8535396230899884E-3</v>
      </c>
      <c r="G1541" s="311">
        <v>1.7944500699758999E-2</v>
      </c>
      <c r="H1541" s="311">
        <v>4.5670961220499234E-4</v>
      </c>
      <c r="I1541" s="394">
        <v>4.9596412136858738E-4</v>
      </c>
      <c r="J1541" s="689">
        <v>1.768759467445732E-5</v>
      </c>
      <c r="K1541" s="690">
        <v>1.8487348520291651E-5</v>
      </c>
    </row>
    <row r="1542" spans="2:11" ht="15.75" x14ac:dyDescent="0.25">
      <c r="B1542" s="667" t="s">
        <v>91</v>
      </c>
      <c r="C1542" s="110">
        <v>2048</v>
      </c>
      <c r="D1542" s="687" t="s">
        <v>2277</v>
      </c>
      <c r="E1542" s="688">
        <v>2.7041709774882423E-2</v>
      </c>
      <c r="F1542" s="310">
        <v>1.8217432833028458E-3</v>
      </c>
      <c r="G1542" s="311">
        <v>1.7831477263814351E-2</v>
      </c>
      <c r="H1542" s="311">
        <v>4.5129656864653026E-4</v>
      </c>
      <c r="I1542" s="394">
        <v>4.900857600025685E-4</v>
      </c>
      <c r="J1542" s="689">
        <v>1.746741750664129E-5</v>
      </c>
      <c r="K1542" s="690">
        <v>1.8257218813359221E-5</v>
      </c>
    </row>
    <row r="1543" spans="2:11" ht="15.75" x14ac:dyDescent="0.25">
      <c r="B1543" s="667" t="s">
        <v>91</v>
      </c>
      <c r="C1543" s="110">
        <v>2049</v>
      </c>
      <c r="D1543" s="687" t="s">
        <v>2278</v>
      </c>
      <c r="E1543" s="688">
        <v>2.6981092071355975E-2</v>
      </c>
      <c r="F1543" s="310">
        <v>1.8099740892500477E-3</v>
      </c>
      <c r="G1543" s="311">
        <v>1.7836499776255267E-2</v>
      </c>
      <c r="H1543" s="311">
        <v>4.4787898304988148E-4</v>
      </c>
      <c r="I1543" s="394">
        <v>4.8637578052961516E-4</v>
      </c>
      <c r="J1543" s="689">
        <v>1.7319467076143192E-5</v>
      </c>
      <c r="K1543" s="690">
        <v>1.8102576292116005E-5</v>
      </c>
    </row>
    <row r="1544" spans="2:11" ht="15.75" x14ac:dyDescent="0.25">
      <c r="B1544" s="667" t="s">
        <v>91</v>
      </c>
      <c r="C1544" s="110">
        <v>2050</v>
      </c>
      <c r="D1544" s="687" t="s">
        <v>2279</v>
      </c>
      <c r="E1544" s="688">
        <v>2.6927403947120336E-2</v>
      </c>
      <c r="F1544" s="310">
        <v>1.800547442941445E-3</v>
      </c>
      <c r="G1544" s="311">
        <v>1.7842616241207955E-2</v>
      </c>
      <c r="H1544" s="311">
        <v>4.4508068638499001E-4</v>
      </c>
      <c r="I1544" s="394">
        <v>4.8333944228639506E-4</v>
      </c>
      <c r="J1544" s="689">
        <v>1.7145520282578545E-5</v>
      </c>
      <c r="K1544" s="690">
        <v>1.7920771109094391E-5</v>
      </c>
    </row>
    <row r="1545" spans="2:11" ht="15.75" x14ac:dyDescent="0.25">
      <c r="B1545" s="667" t="s">
        <v>92</v>
      </c>
      <c r="C1545" s="110">
        <v>2015</v>
      </c>
      <c r="D1545" s="687" t="s">
        <v>288</v>
      </c>
      <c r="E1545" s="688">
        <v>4.3121658217007156E-2</v>
      </c>
      <c r="F1545" s="310">
        <v>3.5957152013177548E-2</v>
      </c>
      <c r="G1545" s="311">
        <v>0.14870768687395336</v>
      </c>
      <c r="H1545" s="311">
        <v>1.6490385761501101E-3</v>
      </c>
      <c r="I1545" s="394">
        <v>1.7859963860973552E-3</v>
      </c>
      <c r="J1545" s="689">
        <v>1.3417124463835841E-4</v>
      </c>
      <c r="K1545" s="690">
        <v>1.4023786876264091E-4</v>
      </c>
    </row>
    <row r="1546" spans="2:11" ht="15.75" x14ac:dyDescent="0.25">
      <c r="B1546" s="667" t="s">
        <v>92</v>
      </c>
      <c r="C1546" s="110">
        <v>2016</v>
      </c>
      <c r="D1546" s="687" t="s">
        <v>289</v>
      </c>
      <c r="E1546" s="688">
        <v>4.221506794956064E-2</v>
      </c>
      <c r="F1546" s="310">
        <v>2.9913280214975996E-2</v>
      </c>
      <c r="G1546" s="311">
        <v>0.1262639147267518</v>
      </c>
      <c r="H1546" s="311">
        <v>1.6182460958582457E-3</v>
      </c>
      <c r="I1546" s="394">
        <v>1.7539041415155607E-3</v>
      </c>
      <c r="J1546" s="689">
        <v>1.1477556849902631E-4</v>
      </c>
      <c r="K1546" s="690">
        <v>1.1996520932165659E-4</v>
      </c>
    </row>
    <row r="1547" spans="2:11" ht="15.75" x14ac:dyDescent="0.25">
      <c r="B1547" s="667" t="s">
        <v>92</v>
      </c>
      <c r="C1547" s="110">
        <v>2017</v>
      </c>
      <c r="D1547" s="687" t="s">
        <v>2280</v>
      </c>
      <c r="E1547" s="688">
        <v>4.1218945554002649E-2</v>
      </c>
      <c r="F1547" s="310">
        <v>2.4272019381788044E-2</v>
      </c>
      <c r="G1547" s="311">
        <v>0.10505662551706285</v>
      </c>
      <c r="H1547" s="311">
        <v>1.6066586532560063E-3</v>
      </c>
      <c r="I1547" s="394">
        <v>1.7423587532116719E-3</v>
      </c>
      <c r="J1547" s="689">
        <v>1.0145526879162678E-4</v>
      </c>
      <c r="K1547" s="690">
        <v>1.0604262136171993E-4</v>
      </c>
    </row>
    <row r="1548" spans="2:11" ht="15.75" x14ac:dyDescent="0.25">
      <c r="B1548" s="667" t="s">
        <v>92</v>
      </c>
      <c r="C1548" s="110">
        <v>2018</v>
      </c>
      <c r="D1548" s="687" t="s">
        <v>2281</v>
      </c>
      <c r="E1548" s="688">
        <v>4.0151491746056284E-2</v>
      </c>
      <c r="F1548" s="310">
        <v>1.9734747684303847E-2</v>
      </c>
      <c r="G1548" s="311">
        <v>8.7598943077177735E-2</v>
      </c>
      <c r="H1548" s="311">
        <v>1.6188234603624512E-3</v>
      </c>
      <c r="I1548" s="394">
        <v>1.7563712643964969E-3</v>
      </c>
      <c r="J1548" s="689">
        <v>9.103970467106917E-5</v>
      </c>
      <c r="K1548" s="690">
        <v>9.5156114171661351E-5</v>
      </c>
    </row>
    <row r="1549" spans="2:11" ht="15.75" x14ac:dyDescent="0.25">
      <c r="B1549" s="667" t="s">
        <v>92</v>
      </c>
      <c r="C1549" s="110">
        <v>2019</v>
      </c>
      <c r="D1549" s="687" t="s">
        <v>2282</v>
      </c>
      <c r="E1549" s="688">
        <v>3.9055479844100328E-2</v>
      </c>
      <c r="F1549" s="310">
        <v>1.6214568369141386E-2</v>
      </c>
      <c r="G1549" s="311">
        <v>7.3584811470420938E-2</v>
      </c>
      <c r="H1549" s="311">
        <v>1.6219646958442393E-3</v>
      </c>
      <c r="I1549" s="394">
        <v>1.7603712373817065E-3</v>
      </c>
      <c r="J1549" s="689">
        <v>8.2027743345299288E-5</v>
      </c>
      <c r="K1549" s="690">
        <v>8.5736676335484817E-5</v>
      </c>
    </row>
    <row r="1550" spans="2:11" ht="15.75" x14ac:dyDescent="0.25">
      <c r="B1550" s="667" t="s">
        <v>92</v>
      </c>
      <c r="C1550" s="110">
        <v>2020</v>
      </c>
      <c r="D1550" s="687" t="s">
        <v>2283</v>
      </c>
      <c r="E1550" s="688">
        <v>3.7944675375835797E-2</v>
      </c>
      <c r="F1550" s="310">
        <v>1.3579043216454451E-2</v>
      </c>
      <c r="G1550" s="311">
        <v>6.2494039311367815E-2</v>
      </c>
      <c r="H1550" s="311">
        <v>1.5595489603873851E-3</v>
      </c>
      <c r="I1550" s="394">
        <v>1.6928694884919084E-3</v>
      </c>
      <c r="J1550" s="689">
        <v>7.4717100687754422E-5</v>
      </c>
      <c r="K1550" s="690">
        <v>7.80954725987178E-5</v>
      </c>
    </row>
    <row r="1551" spans="2:11" ht="15.75" x14ac:dyDescent="0.25">
      <c r="B1551" s="667" t="s">
        <v>92</v>
      </c>
      <c r="C1551" s="110">
        <v>2021</v>
      </c>
      <c r="D1551" s="687" t="s">
        <v>2284</v>
      </c>
      <c r="E1551" s="688">
        <v>3.6894422616506939E-2</v>
      </c>
      <c r="F1551" s="310">
        <v>1.15711230160442E-2</v>
      </c>
      <c r="G1551" s="311">
        <v>5.3677385745573333E-2</v>
      </c>
      <c r="H1551" s="311">
        <v>1.4467140695452129E-3</v>
      </c>
      <c r="I1551" s="394">
        <v>1.5705423669169184E-3</v>
      </c>
      <c r="J1551" s="689">
        <v>6.625430302596415E-5</v>
      </c>
      <c r="K1551" s="690">
        <v>6.9250027339717962E-5</v>
      </c>
    </row>
    <row r="1552" spans="2:11" ht="15.75" x14ac:dyDescent="0.25">
      <c r="B1552" s="667" t="s">
        <v>92</v>
      </c>
      <c r="C1552" s="110">
        <v>2022</v>
      </c>
      <c r="D1552" s="687" t="s">
        <v>2285</v>
      </c>
      <c r="E1552" s="688">
        <v>3.5787960992248832E-2</v>
      </c>
      <c r="F1552" s="310">
        <v>9.8191172017691609E-3</v>
      </c>
      <c r="G1552" s="311">
        <v>4.6451263851539304E-2</v>
      </c>
      <c r="H1552" s="311">
        <v>1.3635438955039282E-3</v>
      </c>
      <c r="I1552" s="394">
        <v>1.4804395226827123E-3</v>
      </c>
      <c r="J1552" s="689">
        <v>5.9385315615710841E-5</v>
      </c>
      <c r="K1552" s="690">
        <v>6.2070456233434177E-5</v>
      </c>
    </row>
    <row r="1553" spans="2:11" ht="15.75" x14ac:dyDescent="0.25">
      <c r="B1553" s="667" t="s">
        <v>92</v>
      </c>
      <c r="C1553" s="110">
        <v>2023</v>
      </c>
      <c r="D1553" s="687" t="s">
        <v>2286</v>
      </c>
      <c r="E1553" s="688">
        <v>3.4690930468819901E-2</v>
      </c>
      <c r="F1553" s="310">
        <v>8.5237541181619608E-3</v>
      </c>
      <c r="G1553" s="311">
        <v>4.0762305341656042E-2</v>
      </c>
      <c r="H1553" s="311">
        <v>1.300817323135798E-3</v>
      </c>
      <c r="I1553" s="394">
        <v>1.4124671673676995E-3</v>
      </c>
      <c r="J1553" s="689">
        <v>5.3781332967831637E-5</v>
      </c>
      <c r="K1553" s="690">
        <v>5.6213082984290187E-5</v>
      </c>
    </row>
    <row r="1554" spans="2:11" ht="15.75" x14ac:dyDescent="0.25">
      <c r="B1554" s="667" t="s">
        <v>92</v>
      </c>
      <c r="C1554" s="110">
        <v>2024</v>
      </c>
      <c r="D1554" s="687" t="s">
        <v>2287</v>
      </c>
      <c r="E1554" s="688">
        <v>3.3652166853215794E-2</v>
      </c>
      <c r="F1554" s="310">
        <v>7.455217623259458E-3</v>
      </c>
      <c r="G1554" s="311">
        <v>3.6179444535163884E-2</v>
      </c>
      <c r="H1554" s="311">
        <v>1.2467059214383656E-3</v>
      </c>
      <c r="I1554" s="394">
        <v>1.3538332296398367E-3</v>
      </c>
      <c r="J1554" s="689">
        <v>4.884269010642281E-5</v>
      </c>
      <c r="K1554" s="690">
        <v>5.1051138544417268E-5</v>
      </c>
    </row>
    <row r="1555" spans="2:11" ht="15.75" x14ac:dyDescent="0.25">
      <c r="B1555" s="667" t="s">
        <v>92</v>
      </c>
      <c r="C1555" s="110">
        <v>2025</v>
      </c>
      <c r="D1555" s="687" t="s">
        <v>2288</v>
      </c>
      <c r="E1555" s="688">
        <v>3.2583423602709757E-2</v>
      </c>
      <c r="F1555" s="310">
        <v>6.5731402388156815E-3</v>
      </c>
      <c r="G1555" s="311">
        <v>3.2539364201049151E-2</v>
      </c>
      <c r="H1555" s="311">
        <v>1.1992467972223655E-3</v>
      </c>
      <c r="I1555" s="394">
        <v>1.3024017781310315E-3</v>
      </c>
      <c r="J1555" s="689">
        <v>4.4563818214583137E-5</v>
      </c>
      <c r="K1555" s="690">
        <v>4.6578787811972593E-5</v>
      </c>
    </row>
    <row r="1556" spans="2:11" ht="15.75" x14ac:dyDescent="0.25">
      <c r="B1556" s="667" t="s">
        <v>92</v>
      </c>
      <c r="C1556" s="110">
        <v>2026</v>
      </c>
      <c r="D1556" s="687" t="s">
        <v>2289</v>
      </c>
      <c r="E1556" s="688">
        <v>3.1618092780693378E-2</v>
      </c>
      <c r="F1556" s="310">
        <v>5.8648883607108713E-3</v>
      </c>
      <c r="G1556" s="311">
        <v>2.9689468369810415E-2</v>
      </c>
      <c r="H1556" s="311">
        <v>1.1431688342852251E-3</v>
      </c>
      <c r="I1556" s="394">
        <v>1.2415630161316535E-3</v>
      </c>
      <c r="J1556" s="689">
        <v>4.0990206428526432E-5</v>
      </c>
      <c r="K1556" s="690">
        <v>4.2843603796127967E-5</v>
      </c>
    </row>
    <row r="1557" spans="2:11" ht="15.75" x14ac:dyDescent="0.25">
      <c r="B1557" s="667" t="s">
        <v>92</v>
      </c>
      <c r="C1557" s="110">
        <v>2027</v>
      </c>
      <c r="D1557" s="687" t="s">
        <v>2290</v>
      </c>
      <c r="E1557" s="688">
        <v>3.0747473292941679E-2</v>
      </c>
      <c r="F1557" s="310">
        <v>5.2744843616195896E-3</v>
      </c>
      <c r="G1557" s="311">
        <v>2.7360814666632517E-2</v>
      </c>
      <c r="H1557" s="311">
        <v>1.0755326764616247E-3</v>
      </c>
      <c r="I1557" s="394">
        <v>1.1681941521779853E-3</v>
      </c>
      <c r="J1557" s="689">
        <v>3.6477720579632004E-5</v>
      </c>
      <c r="K1557" s="690">
        <v>3.8127083930413335E-5</v>
      </c>
    </row>
    <row r="1558" spans="2:11" ht="15.75" x14ac:dyDescent="0.25">
      <c r="B1558" s="667" t="s">
        <v>92</v>
      </c>
      <c r="C1558" s="110">
        <v>2028</v>
      </c>
      <c r="D1558" s="687" t="s">
        <v>2291</v>
      </c>
      <c r="E1558" s="688">
        <v>2.9973812160423649E-2</v>
      </c>
      <c r="F1558" s="310">
        <v>4.7659055376026802E-3</v>
      </c>
      <c r="G1558" s="311">
        <v>2.5431362143479432E-2</v>
      </c>
      <c r="H1558" s="311">
        <v>1.0031313631340601E-3</v>
      </c>
      <c r="I1558" s="394">
        <v>1.0895717221975822E-3</v>
      </c>
      <c r="J1558" s="689">
        <v>3.3633022875742819E-5</v>
      </c>
      <c r="K1558" s="690">
        <v>3.5153759997135043E-5</v>
      </c>
    </row>
    <row r="1559" spans="2:11" ht="15.75" x14ac:dyDescent="0.25">
      <c r="B1559" s="667" t="s">
        <v>92</v>
      </c>
      <c r="C1559" s="110">
        <v>2029</v>
      </c>
      <c r="D1559" s="687" t="s">
        <v>2292</v>
      </c>
      <c r="E1559" s="688">
        <v>2.9286966978246263E-2</v>
      </c>
      <c r="F1559" s="310">
        <v>4.3339781660895844E-3</v>
      </c>
      <c r="G1559" s="311">
        <v>2.3831625388337805E-2</v>
      </c>
      <c r="H1559" s="311">
        <v>9.3952130245273627E-4</v>
      </c>
      <c r="I1559" s="394">
        <v>1.020484573661885E-3</v>
      </c>
      <c r="J1559" s="689">
        <v>3.1396844645342752E-5</v>
      </c>
      <c r="K1559" s="690">
        <v>3.2816470199697556E-5</v>
      </c>
    </row>
    <row r="1560" spans="2:11" ht="15.75" x14ac:dyDescent="0.25">
      <c r="B1560" s="667" t="s">
        <v>92</v>
      </c>
      <c r="C1560" s="110">
        <v>2030</v>
      </c>
      <c r="D1560" s="687" t="s">
        <v>2293</v>
      </c>
      <c r="E1560" s="688">
        <v>2.8679780991760273E-2</v>
      </c>
      <c r="F1560" s="310">
        <v>3.9775449665257869E-3</v>
      </c>
      <c r="G1560" s="311">
        <v>2.2568849321351517E-2</v>
      </c>
      <c r="H1560" s="311">
        <v>8.8273405440123453E-4</v>
      </c>
      <c r="I1560" s="394">
        <v>9.5880090551072608E-4</v>
      </c>
      <c r="J1560" s="689">
        <v>2.9566552914853484E-5</v>
      </c>
      <c r="K1560" s="690">
        <v>3.0903420033523695E-5</v>
      </c>
    </row>
    <row r="1561" spans="2:11" ht="15.75" x14ac:dyDescent="0.25">
      <c r="B1561" s="667" t="s">
        <v>92</v>
      </c>
      <c r="C1561" s="110">
        <v>2031</v>
      </c>
      <c r="D1561" s="687" t="s">
        <v>2294</v>
      </c>
      <c r="E1561" s="688">
        <v>2.8195877025636373E-2</v>
      </c>
      <c r="F1561" s="310">
        <v>3.6672608847150893E-3</v>
      </c>
      <c r="G1561" s="311">
        <v>2.1509782291120955E-2</v>
      </c>
      <c r="H1561" s="311">
        <v>8.3052373911831072E-4</v>
      </c>
      <c r="I1561" s="394">
        <v>9.0207787874214582E-4</v>
      </c>
      <c r="J1561" s="689">
        <v>2.8139065225371731E-5</v>
      </c>
      <c r="K1561" s="690">
        <v>2.9411389958620574E-5</v>
      </c>
    </row>
    <row r="1562" spans="2:11" ht="15.75" x14ac:dyDescent="0.25">
      <c r="B1562" s="667" t="s">
        <v>92</v>
      </c>
      <c r="C1562" s="110">
        <v>2032</v>
      </c>
      <c r="D1562" s="687" t="s">
        <v>2295</v>
      </c>
      <c r="E1562" s="688">
        <v>2.7724178382818279E-2</v>
      </c>
      <c r="F1562" s="310">
        <v>3.3996677716218973E-3</v>
      </c>
      <c r="G1562" s="311">
        <v>2.0647076301390455E-2</v>
      </c>
      <c r="H1562" s="311">
        <v>7.824414311275392E-4</v>
      </c>
      <c r="I1562" s="394">
        <v>8.4984096816676121E-4</v>
      </c>
      <c r="J1562" s="689">
        <v>2.6793800816079742E-5</v>
      </c>
      <c r="K1562" s="690">
        <v>2.8005294767376852E-5</v>
      </c>
    </row>
    <row r="1563" spans="2:11" ht="15.75" x14ac:dyDescent="0.25">
      <c r="B1563" s="667" t="s">
        <v>92</v>
      </c>
      <c r="C1563" s="110">
        <v>2033</v>
      </c>
      <c r="D1563" s="687" t="s">
        <v>2296</v>
      </c>
      <c r="E1563" s="688">
        <v>2.7310628698226969E-2</v>
      </c>
      <c r="F1563" s="310">
        <v>3.1691974863557819E-3</v>
      </c>
      <c r="G1563" s="311">
        <v>1.9952786385020387E-2</v>
      </c>
      <c r="H1563" s="311">
        <v>7.3855347196420315E-4</v>
      </c>
      <c r="I1563" s="394">
        <v>8.0215698485073031E-4</v>
      </c>
      <c r="J1563" s="689">
        <v>2.5662795501262881E-5</v>
      </c>
      <c r="K1563" s="690">
        <v>2.6823153079496308E-5</v>
      </c>
    </row>
    <row r="1564" spans="2:11" ht="15.75" x14ac:dyDescent="0.25">
      <c r="B1564" s="667" t="s">
        <v>92</v>
      </c>
      <c r="C1564" s="110">
        <v>2034</v>
      </c>
      <c r="D1564" s="687" t="s">
        <v>2297</v>
      </c>
      <c r="E1564" s="688">
        <v>2.6949182253174938E-2</v>
      </c>
      <c r="F1564" s="310">
        <v>2.9666627489879135E-3</v>
      </c>
      <c r="G1564" s="311">
        <v>1.9380216077869647E-2</v>
      </c>
      <c r="H1564" s="311">
        <v>6.9853217294649195E-4</v>
      </c>
      <c r="I1564" s="394">
        <v>7.5867051860812283E-4</v>
      </c>
      <c r="J1564" s="689">
        <v>2.4700327203231829E-5</v>
      </c>
      <c r="K1564" s="690">
        <v>2.5817170530663152E-5</v>
      </c>
    </row>
    <row r="1565" spans="2:11" ht="15.75" x14ac:dyDescent="0.25">
      <c r="B1565" s="667" t="s">
        <v>92</v>
      </c>
      <c r="C1565" s="110">
        <v>2035</v>
      </c>
      <c r="D1565" s="687" t="s">
        <v>2298</v>
      </c>
      <c r="E1565" s="688">
        <v>2.663512707902593E-2</v>
      </c>
      <c r="F1565" s="310">
        <v>2.7906517987475198E-3</v>
      </c>
      <c r="G1565" s="311">
        <v>1.8919432710403208E-2</v>
      </c>
      <c r="H1565" s="311">
        <v>6.6234320733696023E-4</v>
      </c>
      <c r="I1565" s="394">
        <v>7.193492717908833E-4</v>
      </c>
      <c r="J1565" s="689">
        <v>2.3827407883093834E-5</v>
      </c>
      <c r="K1565" s="690">
        <v>2.490477800770787E-5</v>
      </c>
    </row>
    <row r="1566" spans="2:11" ht="15.75" x14ac:dyDescent="0.25">
      <c r="B1566" s="667" t="s">
        <v>92</v>
      </c>
      <c r="C1566" s="110">
        <v>2036</v>
      </c>
      <c r="D1566" s="687" t="s">
        <v>2299</v>
      </c>
      <c r="E1566" s="688">
        <v>2.6363625917413262E-2</v>
      </c>
      <c r="F1566" s="310">
        <v>2.6374786097167241E-3</v>
      </c>
      <c r="G1566" s="311">
        <v>1.8544708776998223E-2</v>
      </c>
      <c r="H1566" s="311">
        <v>6.3042069231498282E-4</v>
      </c>
      <c r="I1566" s="394">
        <v>6.8466347343827617E-4</v>
      </c>
      <c r="J1566" s="689">
        <v>2.3047282660957762E-5</v>
      </c>
      <c r="K1566" s="690">
        <v>2.4089374909376689E-5</v>
      </c>
    </row>
    <row r="1567" spans="2:11" ht="15.75" x14ac:dyDescent="0.25">
      <c r="B1567" s="667" t="s">
        <v>92</v>
      </c>
      <c r="C1567" s="110">
        <v>2037</v>
      </c>
      <c r="D1567" s="687" t="s">
        <v>2300</v>
      </c>
      <c r="E1567" s="688">
        <v>2.6131146640943882E-2</v>
      </c>
      <c r="F1567" s="310">
        <v>2.509907318530348E-3</v>
      </c>
      <c r="G1567" s="311">
        <v>1.826281939449274E-2</v>
      </c>
      <c r="H1567" s="311">
        <v>6.0227774177889788E-4</v>
      </c>
      <c r="I1567" s="394">
        <v>6.5408379776646104E-4</v>
      </c>
      <c r="J1567" s="689">
        <v>2.2371989619180395E-5</v>
      </c>
      <c r="K1567" s="690">
        <v>2.3383547220897413E-5</v>
      </c>
    </row>
    <row r="1568" spans="2:11" ht="15.75" x14ac:dyDescent="0.25">
      <c r="B1568" s="667" t="s">
        <v>92</v>
      </c>
      <c r="C1568" s="110">
        <v>2038</v>
      </c>
      <c r="D1568" s="687" t="s">
        <v>2301</v>
      </c>
      <c r="E1568" s="688">
        <v>2.5933409212966854E-2</v>
      </c>
      <c r="F1568" s="310">
        <v>2.3940601881135915E-3</v>
      </c>
      <c r="G1568" s="311">
        <v>1.8003841884842515E-2</v>
      </c>
      <c r="H1568" s="311">
        <v>5.7752469271476884E-4</v>
      </c>
      <c r="I1568" s="394">
        <v>6.2718728817393542E-4</v>
      </c>
      <c r="J1568" s="689">
        <v>2.1798380895197616E-5</v>
      </c>
      <c r="K1568" s="690">
        <v>2.278400706869299E-5</v>
      </c>
    </row>
    <row r="1569" spans="2:11" ht="15.75" x14ac:dyDescent="0.25">
      <c r="B1569" s="667" t="s">
        <v>92</v>
      </c>
      <c r="C1569" s="110">
        <v>2039</v>
      </c>
      <c r="D1569" s="687" t="s">
        <v>2302</v>
      </c>
      <c r="E1569" s="688">
        <v>2.5766070270945157E-2</v>
      </c>
      <c r="F1569" s="310">
        <v>2.2902763004412881E-3</v>
      </c>
      <c r="G1569" s="311">
        <v>1.777567140147944E-2</v>
      </c>
      <c r="H1569" s="311">
        <v>5.5602077885385116E-4</v>
      </c>
      <c r="I1569" s="394">
        <v>6.0381997022664459E-4</v>
      </c>
      <c r="J1569" s="689">
        <v>2.1314900792404609E-5</v>
      </c>
      <c r="K1569" s="690">
        <v>2.2278666848366137E-5</v>
      </c>
    </row>
    <row r="1570" spans="2:11" ht="15.75" x14ac:dyDescent="0.25">
      <c r="B1570" s="667" t="s">
        <v>92</v>
      </c>
      <c r="C1570" s="110">
        <v>2040</v>
      </c>
      <c r="D1570" s="687" t="s">
        <v>2303</v>
      </c>
      <c r="E1570" s="688">
        <v>2.5625383675259454E-2</v>
      </c>
      <c r="F1570" s="310">
        <v>2.1999787796109348E-3</v>
      </c>
      <c r="G1570" s="311">
        <v>1.7596814833852642E-2</v>
      </c>
      <c r="H1570" s="311">
        <v>5.37578750661402E-4</v>
      </c>
      <c r="I1570" s="394">
        <v>5.8378016742660589E-4</v>
      </c>
      <c r="J1570" s="689">
        <v>2.0900874663954508E-5</v>
      </c>
      <c r="K1570" s="690">
        <v>2.1845916123757942E-5</v>
      </c>
    </row>
    <row r="1571" spans="2:11" ht="15.75" x14ac:dyDescent="0.25">
      <c r="B1571" s="667" t="s">
        <v>92</v>
      </c>
      <c r="C1571" s="110">
        <v>2041</v>
      </c>
      <c r="D1571" s="687" t="s">
        <v>2304</v>
      </c>
      <c r="E1571" s="688">
        <v>2.5508934709888464E-2</v>
      </c>
      <c r="F1571" s="310">
        <v>2.1276131546185423E-3</v>
      </c>
      <c r="G1571" s="311">
        <v>1.7455360490240563E-2</v>
      </c>
      <c r="H1571" s="311">
        <v>5.2256384625044209E-4</v>
      </c>
      <c r="I1571" s="394">
        <v>5.6746465755840687E-4</v>
      </c>
      <c r="J1571" s="689">
        <v>2.0559360024222688E-5</v>
      </c>
      <c r="K1571" s="690">
        <v>2.1488967031902632E-5</v>
      </c>
    </row>
    <row r="1572" spans="2:11" ht="15.75" x14ac:dyDescent="0.25">
      <c r="B1572" s="667" t="s">
        <v>92</v>
      </c>
      <c r="C1572" s="110">
        <v>2042</v>
      </c>
      <c r="D1572" s="687" t="s">
        <v>2305</v>
      </c>
      <c r="E1572" s="688">
        <v>2.5411408292880994E-2</v>
      </c>
      <c r="F1572" s="310">
        <v>2.0668384630441777E-3</v>
      </c>
      <c r="G1572" s="311">
        <v>1.7329897964488757E-2</v>
      </c>
      <c r="H1572" s="311">
        <v>5.0996533558584072E-4</v>
      </c>
      <c r="I1572" s="394">
        <v>5.5377403662398882E-4</v>
      </c>
      <c r="J1572" s="689">
        <v>2.0286352138750812E-5</v>
      </c>
      <c r="K1572" s="690">
        <v>2.1203612219345098E-5</v>
      </c>
    </row>
    <row r="1573" spans="2:11" ht="15.75" x14ac:dyDescent="0.25">
      <c r="B1573" s="667" t="s">
        <v>92</v>
      </c>
      <c r="C1573" s="110">
        <v>2043</v>
      </c>
      <c r="D1573" s="687" t="s">
        <v>2306</v>
      </c>
      <c r="E1573" s="688">
        <v>2.5330897511653128E-2</v>
      </c>
      <c r="F1573" s="310">
        <v>2.02033968858624E-3</v>
      </c>
      <c r="G1573" s="311">
        <v>1.7240485090930156E-2</v>
      </c>
      <c r="H1573" s="311">
        <v>4.99446849495999E-4</v>
      </c>
      <c r="I1573" s="394">
        <v>5.4234346942670598E-4</v>
      </c>
      <c r="J1573" s="689">
        <v>2.0069104028110216E-5</v>
      </c>
      <c r="K1573" s="690">
        <v>2.097653186448397E-5</v>
      </c>
    </row>
    <row r="1574" spans="2:11" ht="15.75" x14ac:dyDescent="0.25">
      <c r="B1574" s="667" t="s">
        <v>92</v>
      </c>
      <c r="C1574" s="110">
        <v>2044</v>
      </c>
      <c r="D1574" s="687" t="s">
        <v>2307</v>
      </c>
      <c r="E1574" s="688">
        <v>2.5263624807158182E-2</v>
      </c>
      <c r="F1574" s="310">
        <v>1.9848632619679299E-3</v>
      </c>
      <c r="G1574" s="311">
        <v>1.7172382689783855E-2</v>
      </c>
      <c r="H1574" s="311">
        <v>4.9069287211281538E-4</v>
      </c>
      <c r="I1574" s="394">
        <v>5.3283031490340628E-4</v>
      </c>
      <c r="J1574" s="689">
        <v>1.9897432617933853E-5</v>
      </c>
      <c r="K1574" s="690">
        <v>2.0797102423474793E-5</v>
      </c>
    </row>
    <row r="1575" spans="2:11" ht="15.75" x14ac:dyDescent="0.25">
      <c r="B1575" s="667" t="s">
        <v>92</v>
      </c>
      <c r="C1575" s="110">
        <v>2045</v>
      </c>
      <c r="D1575" s="687" t="s">
        <v>2308</v>
      </c>
      <c r="E1575" s="688">
        <v>2.5206075707954492E-2</v>
      </c>
      <c r="F1575" s="310">
        <v>1.960012358114402E-3</v>
      </c>
      <c r="G1575" s="311">
        <v>1.7131682250285763E-2</v>
      </c>
      <c r="H1575" s="311">
        <v>4.8344729869877862E-4</v>
      </c>
      <c r="I1575" s="394">
        <v>5.2495564046943337E-4</v>
      </c>
      <c r="J1575" s="689">
        <v>1.9764745330257408E-5</v>
      </c>
      <c r="K1575" s="690">
        <v>2.0658416809808203E-5</v>
      </c>
    </row>
    <row r="1576" spans="2:11" ht="15.75" x14ac:dyDescent="0.25">
      <c r="B1576" s="667" t="s">
        <v>92</v>
      </c>
      <c r="C1576" s="110">
        <v>2046</v>
      </c>
      <c r="D1576" s="687" t="s">
        <v>2309</v>
      </c>
      <c r="E1576" s="688">
        <v>2.5157600271647616E-2</v>
      </c>
      <c r="F1576" s="310">
        <v>1.9392010988205435E-3</v>
      </c>
      <c r="G1576" s="311">
        <v>1.7100243984386917E-2</v>
      </c>
      <c r="H1576" s="311">
        <v>4.7749348252792815E-4</v>
      </c>
      <c r="I1576" s="394">
        <v>5.184847645396338E-4</v>
      </c>
      <c r="J1576" s="689">
        <v>1.9663789144629429E-5</v>
      </c>
      <c r="K1576" s="690">
        <v>2.0552903004043782E-5</v>
      </c>
    </row>
    <row r="1577" spans="2:11" ht="15.75" x14ac:dyDescent="0.25">
      <c r="B1577" s="667" t="s">
        <v>92</v>
      </c>
      <c r="C1577" s="110">
        <v>2047</v>
      </c>
      <c r="D1577" s="687" t="s">
        <v>2310</v>
      </c>
      <c r="E1577" s="688">
        <v>2.5116736469805761E-2</v>
      </c>
      <c r="F1577" s="310">
        <v>1.9211635720349075E-3</v>
      </c>
      <c r="G1577" s="311">
        <v>1.7070873406420925E-2</v>
      </c>
      <c r="H1577" s="311">
        <v>4.7262699509604639E-4</v>
      </c>
      <c r="I1577" s="394">
        <v>5.1319475429833757E-4</v>
      </c>
      <c r="J1577" s="689">
        <v>1.9587740951640088E-5</v>
      </c>
      <c r="K1577" s="690">
        <v>2.0473413731366409E-5</v>
      </c>
    </row>
    <row r="1578" spans="2:11" ht="15.75" x14ac:dyDescent="0.25">
      <c r="B1578" s="667" t="s">
        <v>92</v>
      </c>
      <c r="C1578" s="110">
        <v>2048</v>
      </c>
      <c r="D1578" s="687" t="s">
        <v>2311</v>
      </c>
      <c r="E1578" s="688">
        <v>2.508183160130259E-2</v>
      </c>
      <c r="F1578" s="310">
        <v>1.9068603078845809E-3</v>
      </c>
      <c r="G1578" s="311">
        <v>1.7049047325461007E-2</v>
      </c>
      <c r="H1578" s="311">
        <v>4.6865451447410193E-4</v>
      </c>
      <c r="I1578" s="394">
        <v>5.0887705244922305E-4</v>
      </c>
      <c r="J1578" s="689">
        <v>1.9526765521231328E-5</v>
      </c>
      <c r="K1578" s="690">
        <v>2.0409677864991099E-5</v>
      </c>
    </row>
    <row r="1579" spans="2:11" ht="15.75" x14ac:dyDescent="0.25">
      <c r="B1579" s="667" t="s">
        <v>92</v>
      </c>
      <c r="C1579" s="110">
        <v>2049</v>
      </c>
      <c r="D1579" s="687" t="s">
        <v>2312</v>
      </c>
      <c r="E1579" s="688">
        <v>2.5051831807701503E-2</v>
      </c>
      <c r="F1579" s="310">
        <v>1.899882924814461E-3</v>
      </c>
      <c r="G1579" s="311">
        <v>1.7066400712978734E-2</v>
      </c>
      <c r="H1579" s="311">
        <v>4.6572708410733718E-4</v>
      </c>
      <c r="I1579" s="394">
        <v>5.0569525462068078E-4</v>
      </c>
      <c r="J1579" s="689">
        <v>1.9476729695060663E-5</v>
      </c>
      <c r="K1579" s="690">
        <v>2.0357380607254713E-5</v>
      </c>
    </row>
    <row r="1580" spans="2:11" ht="15.75" x14ac:dyDescent="0.25">
      <c r="B1580" s="667" t="s">
        <v>92</v>
      </c>
      <c r="C1580" s="110">
        <v>2050</v>
      </c>
      <c r="D1580" s="687" t="s">
        <v>2313</v>
      </c>
      <c r="E1580" s="688">
        <v>2.5027667248917813E-2</v>
      </c>
      <c r="F1580" s="310">
        <v>1.8942544976938665E-3</v>
      </c>
      <c r="G1580" s="311">
        <v>1.7082908088822971E-2</v>
      </c>
      <c r="H1580" s="311">
        <v>4.6333323523296339E-4</v>
      </c>
      <c r="I1580" s="394">
        <v>5.0309315944101077E-4</v>
      </c>
      <c r="J1580" s="689">
        <v>1.9437120221641965E-5</v>
      </c>
      <c r="K1580" s="690">
        <v>2.0315979039413842E-5</v>
      </c>
    </row>
    <row r="1581" spans="2:11" ht="15.75" x14ac:dyDescent="0.25">
      <c r="B1581" s="667" t="s">
        <v>290</v>
      </c>
      <c r="C1581" s="110">
        <v>2015</v>
      </c>
      <c r="D1581" s="687" t="s">
        <v>291</v>
      </c>
      <c r="E1581" s="688">
        <v>4.4476465397459995E-2</v>
      </c>
      <c r="F1581" s="310">
        <v>5.6534300286731592E-2</v>
      </c>
      <c r="G1581" s="311">
        <v>0.25019370075605191</v>
      </c>
      <c r="H1581" s="311">
        <v>1.9661126715364817E-3</v>
      </c>
      <c r="I1581" s="394">
        <v>2.1259763354277588E-3</v>
      </c>
      <c r="J1581" s="689">
        <v>1.9624729129499031E-4</v>
      </c>
      <c r="K1581" s="690">
        <v>2.0512072294465207E-4</v>
      </c>
    </row>
    <row r="1582" spans="2:11" ht="15.75" x14ac:dyDescent="0.25">
      <c r="B1582" s="667" t="s">
        <v>290</v>
      </c>
      <c r="C1582" s="110">
        <v>2016</v>
      </c>
      <c r="D1582" s="687" t="s">
        <v>292</v>
      </c>
      <c r="E1582" s="688">
        <v>4.3619550615948542E-2</v>
      </c>
      <c r="F1582" s="310">
        <v>4.6854154718704959E-2</v>
      </c>
      <c r="G1582" s="311">
        <v>0.21479427848968166</v>
      </c>
      <c r="H1582" s="311">
        <v>1.8052970104509827E-3</v>
      </c>
      <c r="I1582" s="394">
        <v>1.9537344541933977E-3</v>
      </c>
      <c r="J1582" s="689">
        <v>1.6531247171344793E-4</v>
      </c>
      <c r="K1582" s="690">
        <v>1.7278716833695718E-4</v>
      </c>
    </row>
    <row r="1583" spans="2:11" ht="15.75" x14ac:dyDescent="0.25">
      <c r="B1583" s="667" t="s">
        <v>290</v>
      </c>
      <c r="C1583" s="110">
        <v>2017</v>
      </c>
      <c r="D1583" s="687" t="s">
        <v>2314</v>
      </c>
      <c r="E1583" s="688">
        <v>4.2587376620779785E-2</v>
      </c>
      <c r="F1583" s="310">
        <v>3.8662269021070943E-2</v>
      </c>
      <c r="G1583" s="311">
        <v>0.18340097917468176</v>
      </c>
      <c r="H1583" s="311">
        <v>1.704076777574141E-3</v>
      </c>
      <c r="I1583" s="394">
        <v>1.8452855746808529E-3</v>
      </c>
      <c r="J1583" s="689">
        <v>1.5057676562261265E-4</v>
      </c>
      <c r="K1583" s="690">
        <v>1.5738518156959146E-4</v>
      </c>
    </row>
    <row r="1584" spans="2:11" ht="15.75" x14ac:dyDescent="0.25">
      <c r="B1584" s="667" t="s">
        <v>290</v>
      </c>
      <c r="C1584" s="110">
        <v>2018</v>
      </c>
      <c r="D1584" s="687" t="s">
        <v>2315</v>
      </c>
      <c r="E1584" s="688">
        <v>4.1468535344664374E-2</v>
      </c>
      <c r="F1584" s="310">
        <v>3.199743340817017E-2</v>
      </c>
      <c r="G1584" s="311">
        <v>0.1564725755850605</v>
      </c>
      <c r="H1584" s="311">
        <v>1.6408651637249731E-3</v>
      </c>
      <c r="I1584" s="394">
        <v>1.7777464774787952E-3</v>
      </c>
      <c r="J1584" s="689">
        <v>1.3824085717601851E-4</v>
      </c>
      <c r="K1584" s="690">
        <v>1.4449150102809313E-4</v>
      </c>
    </row>
    <row r="1585" spans="2:11" ht="15.75" x14ac:dyDescent="0.25">
      <c r="B1585" s="667" t="s">
        <v>290</v>
      </c>
      <c r="C1585" s="110">
        <v>2019</v>
      </c>
      <c r="D1585" s="687" t="s">
        <v>2316</v>
      </c>
      <c r="E1585" s="688">
        <v>4.0181521120000709E-2</v>
      </c>
      <c r="F1585" s="310">
        <v>2.6500121399226459E-2</v>
      </c>
      <c r="G1585" s="311">
        <v>0.13354794299710435</v>
      </c>
      <c r="H1585" s="311">
        <v>1.5944655583458318E-3</v>
      </c>
      <c r="I1585" s="394">
        <v>1.7282530408455649E-3</v>
      </c>
      <c r="J1585" s="689">
        <v>1.2661263346737557E-4</v>
      </c>
      <c r="K1585" s="690">
        <v>1.3233749601468736E-4</v>
      </c>
    </row>
    <row r="1586" spans="2:11" ht="15.75" x14ac:dyDescent="0.25">
      <c r="B1586" s="667" t="s">
        <v>290</v>
      </c>
      <c r="C1586" s="110">
        <v>2020</v>
      </c>
      <c r="D1586" s="687" t="s">
        <v>2317</v>
      </c>
      <c r="E1586" s="688">
        <v>3.9005551021202109E-2</v>
      </c>
      <c r="F1586" s="310">
        <v>2.2290756100113968E-2</v>
      </c>
      <c r="G1586" s="311">
        <v>0.11432630948216396</v>
      </c>
      <c r="H1586" s="311">
        <v>1.5336259696446817E-3</v>
      </c>
      <c r="I1586" s="394">
        <v>1.6627429914164423E-3</v>
      </c>
      <c r="J1586" s="689">
        <v>1.1552050474083117E-4</v>
      </c>
      <c r="K1586" s="690">
        <v>1.2074382911221076E-4</v>
      </c>
    </row>
    <row r="1587" spans="2:11" ht="15.75" x14ac:dyDescent="0.25">
      <c r="B1587" s="667" t="s">
        <v>290</v>
      </c>
      <c r="C1587" s="110">
        <v>2021</v>
      </c>
      <c r="D1587" s="687" t="s">
        <v>2318</v>
      </c>
      <c r="E1587" s="688">
        <v>3.7822218856471003E-2</v>
      </c>
      <c r="F1587" s="310">
        <v>1.8989337757733753E-2</v>
      </c>
      <c r="G1587" s="311">
        <v>9.8171041111843896E-2</v>
      </c>
      <c r="H1587" s="311">
        <v>1.452022158398424E-3</v>
      </c>
      <c r="I1587" s="394">
        <v>1.5744776367355724E-3</v>
      </c>
      <c r="J1587" s="689">
        <v>1.0608378162604798E-4</v>
      </c>
      <c r="K1587" s="690">
        <v>1.1088042038769352E-4</v>
      </c>
    </row>
    <row r="1588" spans="2:11" ht="15.75" x14ac:dyDescent="0.25">
      <c r="B1588" s="667" t="s">
        <v>290</v>
      </c>
      <c r="C1588" s="110">
        <v>2022</v>
      </c>
      <c r="D1588" s="687" t="s">
        <v>2319</v>
      </c>
      <c r="E1588" s="688">
        <v>3.665197265833077E-2</v>
      </c>
      <c r="F1588" s="310">
        <v>1.5860939432454032E-2</v>
      </c>
      <c r="G1588" s="311">
        <v>8.4166185765367926E-2</v>
      </c>
      <c r="H1588" s="311">
        <v>1.3745650404923138E-3</v>
      </c>
      <c r="I1588" s="394">
        <v>1.4907629405614934E-3</v>
      </c>
      <c r="J1588" s="689">
        <v>9.7682059949424457E-5</v>
      </c>
      <c r="K1588" s="690">
        <v>1.0209881038216698E-4</v>
      </c>
    </row>
    <row r="1589" spans="2:11" ht="15.75" x14ac:dyDescent="0.25">
      <c r="B1589" s="667" t="s">
        <v>290</v>
      </c>
      <c r="C1589" s="110">
        <v>2023</v>
      </c>
      <c r="D1589" s="687" t="s">
        <v>2320</v>
      </c>
      <c r="E1589" s="688">
        <v>3.5495206463614974E-2</v>
      </c>
      <c r="F1589" s="310">
        <v>1.362532339123089E-2</v>
      </c>
      <c r="G1589" s="311">
        <v>7.2888297302351232E-2</v>
      </c>
      <c r="H1589" s="311">
        <v>1.3043416416986375E-3</v>
      </c>
      <c r="I1589" s="394">
        <v>1.4148320649366496E-3</v>
      </c>
      <c r="J1589" s="689">
        <v>8.7864462582843623E-5</v>
      </c>
      <c r="K1589" s="690">
        <v>9.1837306631042086E-5</v>
      </c>
    </row>
    <row r="1590" spans="2:11" ht="15.75" x14ac:dyDescent="0.25">
      <c r="B1590" s="667" t="s">
        <v>290</v>
      </c>
      <c r="C1590" s="110">
        <v>2024</v>
      </c>
      <c r="D1590" s="687" t="s">
        <v>2321</v>
      </c>
      <c r="E1590" s="688">
        <v>3.4356914378757937E-2</v>
      </c>
      <c r="F1590" s="310">
        <v>1.1748790566393923E-2</v>
      </c>
      <c r="G1590" s="311">
        <v>6.3476122695004786E-2</v>
      </c>
      <c r="H1590" s="311">
        <v>1.2422226380177852E-3</v>
      </c>
      <c r="I1590" s="394">
        <v>1.3476784917944352E-3</v>
      </c>
      <c r="J1590" s="689">
        <v>7.8849644603466121E-5</v>
      </c>
      <c r="K1590" s="690">
        <v>8.2414869904650417E-5</v>
      </c>
    </row>
    <row r="1591" spans="2:11" ht="15.75" x14ac:dyDescent="0.25">
      <c r="B1591" s="667" t="s">
        <v>290</v>
      </c>
      <c r="C1591" s="110">
        <v>2025</v>
      </c>
      <c r="D1591" s="687" t="s">
        <v>2322</v>
      </c>
      <c r="E1591" s="688">
        <v>3.3236179022569569E-2</v>
      </c>
      <c r="F1591" s="310">
        <v>1.0220009804690495E-2</v>
      </c>
      <c r="G1591" s="311">
        <v>5.5843299060101145E-2</v>
      </c>
      <c r="H1591" s="311">
        <v>1.1896926116978729E-3</v>
      </c>
      <c r="I1591" s="394">
        <v>1.2908828014446985E-3</v>
      </c>
      <c r="J1591" s="689">
        <v>7.1151647648297117E-5</v>
      </c>
      <c r="K1591" s="690">
        <v>7.4368810715628165E-5</v>
      </c>
    </row>
    <row r="1592" spans="2:11" ht="15.75" x14ac:dyDescent="0.25">
      <c r="B1592" s="667" t="s">
        <v>290</v>
      </c>
      <c r="C1592" s="110">
        <v>2026</v>
      </c>
      <c r="D1592" s="687" t="s">
        <v>2323</v>
      </c>
      <c r="E1592" s="688">
        <v>3.2219284128807354E-2</v>
      </c>
      <c r="F1592" s="310">
        <v>8.7132767295439069E-3</v>
      </c>
      <c r="G1592" s="311">
        <v>4.94396699860409E-2</v>
      </c>
      <c r="H1592" s="311">
        <v>1.1078542147851852E-3</v>
      </c>
      <c r="I1592" s="394">
        <v>1.2022301683485589E-3</v>
      </c>
      <c r="J1592" s="689">
        <v>6.2820764750198536E-5</v>
      </c>
      <c r="K1592" s="690">
        <v>6.5661240774269412E-5</v>
      </c>
    </row>
    <row r="1593" spans="2:11" ht="15.75" x14ac:dyDescent="0.25">
      <c r="B1593" s="667" t="s">
        <v>290</v>
      </c>
      <c r="C1593" s="110">
        <v>2027</v>
      </c>
      <c r="D1593" s="687" t="s">
        <v>2324</v>
      </c>
      <c r="E1593" s="688">
        <v>3.1282833976911596E-2</v>
      </c>
      <c r="F1593" s="310">
        <v>7.6666983212259803E-3</v>
      </c>
      <c r="G1593" s="311">
        <v>4.4213170967319186E-2</v>
      </c>
      <c r="H1593" s="311">
        <v>1.0497431603365161E-3</v>
      </c>
      <c r="I1593" s="394">
        <v>1.1394349897615114E-3</v>
      </c>
      <c r="J1593" s="689">
        <v>5.3236545665013801E-5</v>
      </c>
      <c r="K1593" s="690">
        <v>5.5643663039560439E-5</v>
      </c>
    </row>
    <row r="1594" spans="2:11" ht="15.75" x14ac:dyDescent="0.25">
      <c r="B1594" s="667" t="s">
        <v>290</v>
      </c>
      <c r="C1594" s="110">
        <v>2028</v>
      </c>
      <c r="D1594" s="687" t="s">
        <v>2325</v>
      </c>
      <c r="E1594" s="688">
        <v>3.0440159097533361E-2</v>
      </c>
      <c r="F1594" s="310">
        <v>6.8177407173748966E-3</v>
      </c>
      <c r="G1594" s="311">
        <v>3.9976069207208399E-2</v>
      </c>
      <c r="H1594" s="311">
        <v>9.900211780963918E-4</v>
      </c>
      <c r="I1594" s="394">
        <v>1.074770222831185E-3</v>
      </c>
      <c r="J1594" s="689">
        <v>4.645216304946169E-5</v>
      </c>
      <c r="K1594" s="690">
        <v>4.8552519282962108E-5</v>
      </c>
    </row>
    <row r="1595" spans="2:11" ht="15.75" x14ac:dyDescent="0.25">
      <c r="B1595" s="667" t="s">
        <v>290</v>
      </c>
      <c r="C1595" s="110">
        <v>2029</v>
      </c>
      <c r="D1595" s="687" t="s">
        <v>2326</v>
      </c>
      <c r="E1595" s="688">
        <v>2.968546435745072E-2</v>
      </c>
      <c r="F1595" s="310">
        <v>6.0715602298997522E-3</v>
      </c>
      <c r="G1595" s="311">
        <v>3.6343358264421796E-2</v>
      </c>
      <c r="H1595" s="311">
        <v>9.3249047612530651E-4</v>
      </c>
      <c r="I1595" s="394">
        <v>1.0124150781053783E-3</v>
      </c>
      <c r="J1595" s="689">
        <v>4.1379856355007893E-5</v>
      </c>
      <c r="K1595" s="690">
        <v>4.3250865315242814E-5</v>
      </c>
    </row>
    <row r="1596" spans="2:11" ht="15.75" x14ac:dyDescent="0.25">
      <c r="B1596" s="667" t="s">
        <v>290</v>
      </c>
      <c r="C1596" s="110">
        <v>2030</v>
      </c>
      <c r="D1596" s="687" t="s">
        <v>2327</v>
      </c>
      <c r="E1596" s="688">
        <v>2.9013945889783104E-2</v>
      </c>
      <c r="F1596" s="310">
        <v>5.4551300528627522E-3</v>
      </c>
      <c r="G1596" s="311">
        <v>3.3341471036768655E-2</v>
      </c>
      <c r="H1596" s="311">
        <v>8.7776906146266799E-4</v>
      </c>
      <c r="I1596" s="394">
        <v>9.530806134073138E-4</v>
      </c>
      <c r="J1596" s="689">
        <v>3.7124055932276252E-5</v>
      </c>
      <c r="K1596" s="690">
        <v>3.8802640957447666E-5</v>
      </c>
    </row>
    <row r="1597" spans="2:11" ht="15.75" x14ac:dyDescent="0.25">
      <c r="B1597" s="667" t="s">
        <v>290</v>
      </c>
      <c r="C1597" s="110">
        <v>2031</v>
      </c>
      <c r="D1597" s="687" t="s">
        <v>2328</v>
      </c>
      <c r="E1597" s="688">
        <v>2.8419350162412118E-2</v>
      </c>
      <c r="F1597" s="310">
        <v>4.9106234898555201E-3</v>
      </c>
      <c r="G1597" s="311">
        <v>3.0727873352237124E-2</v>
      </c>
      <c r="H1597" s="311">
        <v>8.2593322682678006E-4</v>
      </c>
      <c r="I1597" s="394">
        <v>8.9683489174073139E-4</v>
      </c>
      <c r="J1597" s="689">
        <v>3.406120352725888E-5</v>
      </c>
      <c r="K1597" s="690">
        <v>3.5601299570057474E-5</v>
      </c>
    </row>
    <row r="1598" spans="2:11" ht="15.75" x14ac:dyDescent="0.25">
      <c r="B1598" s="667" t="s">
        <v>290</v>
      </c>
      <c r="C1598" s="110">
        <v>2032</v>
      </c>
      <c r="D1598" s="687" t="s">
        <v>2329</v>
      </c>
      <c r="E1598" s="688">
        <v>2.7895649456899613E-2</v>
      </c>
      <c r="F1598" s="310">
        <v>4.4499071076295107E-3</v>
      </c>
      <c r="G1598" s="311">
        <v>2.8601684356515122E-2</v>
      </c>
      <c r="H1598" s="311">
        <v>7.773751171754928E-4</v>
      </c>
      <c r="I1598" s="394">
        <v>8.4414199045105285E-4</v>
      </c>
      <c r="J1598" s="689">
        <v>3.1249165383502634E-5</v>
      </c>
      <c r="K1598" s="690">
        <v>3.2662111996287963E-5</v>
      </c>
    </row>
    <row r="1599" spans="2:11" ht="15.75" x14ac:dyDescent="0.25">
      <c r="B1599" s="667" t="s">
        <v>290</v>
      </c>
      <c r="C1599" s="110">
        <v>2033</v>
      </c>
      <c r="D1599" s="687" t="s">
        <v>2330</v>
      </c>
      <c r="E1599" s="688">
        <v>2.7436943046172283E-2</v>
      </c>
      <c r="F1599" s="310">
        <v>4.0555307850961737E-3</v>
      </c>
      <c r="G1599" s="311">
        <v>2.6855064279498284E-2</v>
      </c>
      <c r="H1599" s="311">
        <v>7.3244381450698437E-4</v>
      </c>
      <c r="I1599" s="394">
        <v>7.9536435368998627E-4</v>
      </c>
      <c r="J1599" s="689">
        <v>2.9136110451294842E-5</v>
      </c>
      <c r="K1599" s="690">
        <v>3.0453513362553891E-5</v>
      </c>
    </row>
    <row r="1600" spans="2:11" ht="15.75" x14ac:dyDescent="0.25">
      <c r="B1600" s="667" t="s">
        <v>290</v>
      </c>
      <c r="C1600" s="110">
        <v>2034</v>
      </c>
      <c r="D1600" s="687" t="s">
        <v>2331</v>
      </c>
      <c r="E1600" s="688">
        <v>2.7036720865477041E-2</v>
      </c>
      <c r="F1600" s="310">
        <v>3.698285364706917E-3</v>
      </c>
      <c r="G1600" s="311">
        <v>2.5328235243799638E-2</v>
      </c>
      <c r="H1600" s="311">
        <v>6.9005881376904392E-4</v>
      </c>
      <c r="I1600" s="394">
        <v>7.493464781639761E-4</v>
      </c>
      <c r="J1600" s="689">
        <v>2.7257791804081557E-5</v>
      </c>
      <c r="K1600" s="690">
        <v>2.8490274704152227E-5</v>
      </c>
    </row>
    <row r="1601" spans="2:11" ht="15.75" x14ac:dyDescent="0.25">
      <c r="B1601" s="667" t="s">
        <v>290</v>
      </c>
      <c r="C1601" s="110">
        <v>2035</v>
      </c>
      <c r="D1601" s="687" t="s">
        <v>2332</v>
      </c>
      <c r="E1601" s="688">
        <v>2.6690635838319453E-2</v>
      </c>
      <c r="F1601" s="310">
        <v>3.387574958771278E-3</v>
      </c>
      <c r="G1601" s="311">
        <v>2.4067291544184136E-2</v>
      </c>
      <c r="H1601" s="311">
        <v>6.5074930173141465E-4</v>
      </c>
      <c r="I1601" s="394">
        <v>7.0666666153282743E-4</v>
      </c>
      <c r="J1601" s="689">
        <v>2.5556471901668516E-5</v>
      </c>
      <c r="K1601" s="690">
        <v>2.6712026733151179E-5</v>
      </c>
    </row>
    <row r="1602" spans="2:11" ht="15.75" x14ac:dyDescent="0.25">
      <c r="B1602" s="667" t="s">
        <v>290</v>
      </c>
      <c r="C1602" s="110">
        <v>2036</v>
      </c>
      <c r="D1602" s="687" t="s">
        <v>2333</v>
      </c>
      <c r="E1602" s="688">
        <v>2.6403807510458951E-2</v>
      </c>
      <c r="F1602" s="310">
        <v>3.1119289511047192E-3</v>
      </c>
      <c r="G1602" s="311">
        <v>2.2994806016685864E-2</v>
      </c>
      <c r="H1602" s="311">
        <v>6.1605197395732327E-4</v>
      </c>
      <c r="I1602" s="394">
        <v>6.689958746285467E-4</v>
      </c>
      <c r="J1602" s="689">
        <v>2.3996403222027282E-5</v>
      </c>
      <c r="K1602" s="690">
        <v>2.5081412916359571E-5</v>
      </c>
    </row>
    <row r="1603" spans="2:11" ht="15.75" x14ac:dyDescent="0.25">
      <c r="B1603" s="667" t="s">
        <v>290</v>
      </c>
      <c r="C1603" s="110">
        <v>2037</v>
      </c>
      <c r="D1603" s="687" t="s">
        <v>2334</v>
      </c>
      <c r="E1603" s="688">
        <v>2.6150003269016474E-2</v>
      </c>
      <c r="F1603" s="310">
        <v>2.8789361302059484E-3</v>
      </c>
      <c r="G1603" s="311">
        <v>2.2135468218291859E-2</v>
      </c>
      <c r="H1603" s="311">
        <v>5.8473023866484754E-4</v>
      </c>
      <c r="I1603" s="394">
        <v>6.3498559029075336E-4</v>
      </c>
      <c r="J1603" s="689">
        <v>2.2693241481894473E-5</v>
      </c>
      <c r="K1603" s="690">
        <v>2.3719327914771418E-5</v>
      </c>
    </row>
    <row r="1604" spans="2:11" ht="15.75" x14ac:dyDescent="0.25">
      <c r="B1604" s="667" t="s">
        <v>290</v>
      </c>
      <c r="C1604" s="110">
        <v>2038</v>
      </c>
      <c r="D1604" s="687" t="s">
        <v>2335</v>
      </c>
      <c r="E1604" s="688">
        <v>2.5935669940231658E-2</v>
      </c>
      <c r="F1604" s="310">
        <v>2.6616555905694087E-3</v>
      </c>
      <c r="G1604" s="311">
        <v>2.1334851534782796E-2</v>
      </c>
      <c r="H1604" s="311">
        <v>5.562740699055405E-4</v>
      </c>
      <c r="I1604" s="394">
        <v>6.0408468975138455E-4</v>
      </c>
      <c r="J1604" s="689">
        <v>2.1570506406481034E-5</v>
      </c>
      <c r="K1604" s="690">
        <v>2.2545827475220927E-5</v>
      </c>
    </row>
    <row r="1605" spans="2:11" ht="15.75" x14ac:dyDescent="0.25">
      <c r="B1605" s="667" t="s">
        <v>290</v>
      </c>
      <c r="C1605" s="110">
        <v>2039</v>
      </c>
      <c r="D1605" s="687" t="s">
        <v>2336</v>
      </c>
      <c r="E1605" s="688">
        <v>2.5754760220397858E-2</v>
      </c>
      <c r="F1605" s="310">
        <v>2.4556790792151398E-3</v>
      </c>
      <c r="G1605" s="311">
        <v>2.0576213046127362E-2</v>
      </c>
      <c r="H1605" s="311">
        <v>5.3068833428436286E-4</v>
      </c>
      <c r="I1605" s="394">
        <v>5.7629758873620738E-4</v>
      </c>
      <c r="J1605" s="689">
        <v>2.0633957651155567E-5</v>
      </c>
      <c r="K1605" s="690">
        <v>2.1566935672618019E-5</v>
      </c>
    </row>
    <row r="1606" spans="2:11" ht="15.75" x14ac:dyDescent="0.25">
      <c r="B1606" s="667" t="s">
        <v>290</v>
      </c>
      <c r="C1606" s="110">
        <v>2040</v>
      </c>
      <c r="D1606" s="687" t="s">
        <v>2337</v>
      </c>
      <c r="E1606" s="688">
        <v>2.5603743087733635E-2</v>
      </c>
      <c r="F1606" s="310">
        <v>2.2708531710456336E-3</v>
      </c>
      <c r="G1606" s="311">
        <v>1.9957953948724422E-2</v>
      </c>
      <c r="H1606" s="311">
        <v>5.0792638304886727E-4</v>
      </c>
      <c r="I1606" s="394">
        <v>5.5157638815770164E-4</v>
      </c>
      <c r="J1606" s="689">
        <v>1.9828999107375931E-5</v>
      </c>
      <c r="K1606" s="690">
        <v>2.0725579392355645E-5</v>
      </c>
    </row>
    <row r="1607" spans="2:11" ht="15.75" x14ac:dyDescent="0.25">
      <c r="B1607" s="667" t="s">
        <v>290</v>
      </c>
      <c r="C1607" s="110">
        <v>2041</v>
      </c>
      <c r="D1607" s="687" t="s">
        <v>2338</v>
      </c>
      <c r="E1607" s="688">
        <v>2.5479199386234792E-2</v>
      </c>
      <c r="F1607" s="310">
        <v>2.1288690958199651E-3</v>
      </c>
      <c r="G1607" s="311">
        <v>1.9473266655857007E-2</v>
      </c>
      <c r="H1607" s="311">
        <v>4.8984347897323001E-4</v>
      </c>
      <c r="I1607" s="394">
        <v>5.3193816913602845E-4</v>
      </c>
      <c r="J1607" s="689">
        <v>1.9150253640983289E-5</v>
      </c>
      <c r="K1607" s="690">
        <v>2.0016144346506315E-5</v>
      </c>
    </row>
    <row r="1608" spans="2:11" ht="15.75" x14ac:dyDescent="0.25">
      <c r="B1608" s="667" t="s">
        <v>290</v>
      </c>
      <c r="C1608" s="110">
        <v>2042</v>
      </c>
      <c r="D1608" s="687" t="s">
        <v>2339</v>
      </c>
      <c r="E1608" s="688">
        <v>2.5375717083622514E-2</v>
      </c>
      <c r="F1608" s="310">
        <v>2.0058929752186224E-3</v>
      </c>
      <c r="G1608" s="311">
        <v>1.9026247943976411E-2</v>
      </c>
      <c r="H1608" s="311">
        <v>4.7417402991159838E-4</v>
      </c>
      <c r="I1608" s="394">
        <v>5.149188324838161E-4</v>
      </c>
      <c r="J1608" s="689">
        <v>1.8606773938393612E-5</v>
      </c>
      <c r="K1608" s="690">
        <v>1.9448094115673816E-5</v>
      </c>
    </row>
    <row r="1609" spans="2:11" ht="15.75" x14ac:dyDescent="0.25">
      <c r="B1609" s="667" t="s">
        <v>290</v>
      </c>
      <c r="C1609" s="110">
        <v>2043</v>
      </c>
      <c r="D1609" s="687" t="s">
        <v>2340</v>
      </c>
      <c r="E1609" s="688">
        <v>2.5291022532812919E-2</v>
      </c>
      <c r="F1609" s="310">
        <v>1.9111052273000962E-3</v>
      </c>
      <c r="G1609" s="311">
        <v>1.868633733292914E-2</v>
      </c>
      <c r="H1609" s="311">
        <v>4.6072245173348661E-4</v>
      </c>
      <c r="I1609" s="394">
        <v>5.0030798760937868E-4</v>
      </c>
      <c r="J1609" s="689">
        <v>1.8159544075667017E-5</v>
      </c>
      <c r="K1609" s="690">
        <v>1.8980640340469191E-5</v>
      </c>
    </row>
    <row r="1610" spans="2:11" ht="15.75" x14ac:dyDescent="0.25">
      <c r="B1610" s="667" t="s">
        <v>290</v>
      </c>
      <c r="C1610" s="110">
        <v>2044</v>
      </c>
      <c r="D1610" s="687" t="s">
        <v>2341</v>
      </c>
      <c r="E1610" s="688">
        <v>2.522098125454034E-2</v>
      </c>
      <c r="F1610" s="310">
        <v>1.8394492635135581E-3</v>
      </c>
      <c r="G1610" s="311">
        <v>1.8417989195947726E-2</v>
      </c>
      <c r="H1610" s="311">
        <v>4.4923832399815456E-4</v>
      </c>
      <c r="I1610" s="394">
        <v>4.8783263988646955E-4</v>
      </c>
      <c r="J1610" s="689">
        <v>1.7815217112730075E-5</v>
      </c>
      <c r="K1610" s="690">
        <v>1.8620740997743035E-5</v>
      </c>
    </row>
    <row r="1611" spans="2:11" ht="15.75" x14ac:dyDescent="0.25">
      <c r="B1611" s="667" t="s">
        <v>290</v>
      </c>
      <c r="C1611" s="110">
        <v>2045</v>
      </c>
      <c r="D1611" s="687" t="s">
        <v>2342</v>
      </c>
      <c r="E1611" s="688">
        <v>2.5162421845874035E-2</v>
      </c>
      <c r="F1611" s="310">
        <v>1.7900171474252451E-3</v>
      </c>
      <c r="G1611" s="311">
        <v>1.823518404442228E-2</v>
      </c>
      <c r="H1611" s="311">
        <v>4.3945076136743912E-4</v>
      </c>
      <c r="I1611" s="394">
        <v>4.7719981147161401E-4</v>
      </c>
      <c r="J1611" s="689">
        <v>1.7543418602912415E-5</v>
      </c>
      <c r="K1611" s="690">
        <v>1.8336652755958181E-5</v>
      </c>
    </row>
    <row r="1612" spans="2:11" ht="15.75" x14ac:dyDescent="0.25">
      <c r="B1612" s="667" t="s">
        <v>290</v>
      </c>
      <c r="C1612" s="110">
        <v>2046</v>
      </c>
      <c r="D1612" s="687" t="s">
        <v>2343</v>
      </c>
      <c r="E1612" s="688">
        <v>2.5113757376483484E-2</v>
      </c>
      <c r="F1612" s="310">
        <v>1.7475496561043941E-3</v>
      </c>
      <c r="G1612" s="311">
        <v>1.8088279599043459E-2</v>
      </c>
      <c r="H1612" s="311">
        <v>4.3122504563546967E-4</v>
      </c>
      <c r="I1612" s="394">
        <v>4.6826226187686774E-4</v>
      </c>
      <c r="J1612" s="689">
        <v>1.7322517159296135E-5</v>
      </c>
      <c r="K1612" s="690">
        <v>1.8105765072793679E-5</v>
      </c>
    </row>
    <row r="1613" spans="2:11" ht="15.75" x14ac:dyDescent="0.25">
      <c r="B1613" s="667" t="s">
        <v>290</v>
      </c>
      <c r="C1613" s="110">
        <v>2047</v>
      </c>
      <c r="D1613" s="687" t="s">
        <v>2344</v>
      </c>
      <c r="E1613" s="688">
        <v>2.5073526190824723E-2</v>
      </c>
      <c r="F1613" s="310">
        <v>1.7091092707571746E-3</v>
      </c>
      <c r="G1613" s="311">
        <v>1.7949159310551768E-2</v>
      </c>
      <c r="H1613" s="311">
        <v>4.2433001065355296E-4</v>
      </c>
      <c r="I1613" s="394">
        <v>4.6077127725650151E-4</v>
      </c>
      <c r="J1613" s="689">
        <v>1.7147597737340649E-5</v>
      </c>
      <c r="K1613" s="690">
        <v>1.792293246943773E-5</v>
      </c>
    </row>
    <row r="1614" spans="2:11" ht="15.75" x14ac:dyDescent="0.25">
      <c r="B1614" s="667" t="s">
        <v>290</v>
      </c>
      <c r="C1614" s="110">
        <v>2048</v>
      </c>
      <c r="D1614" s="687" t="s">
        <v>2345</v>
      </c>
      <c r="E1614" s="688">
        <v>2.5040436218571313E-2</v>
      </c>
      <c r="F1614" s="310">
        <v>1.6771402396803328E-3</v>
      </c>
      <c r="G1614" s="311">
        <v>1.7827078635579439E-2</v>
      </c>
      <c r="H1614" s="311">
        <v>4.1855987194282853E-4</v>
      </c>
      <c r="I1614" s="394">
        <v>4.5450253411807379E-4</v>
      </c>
      <c r="J1614" s="689">
        <v>1.6980670748246621E-5</v>
      </c>
      <c r="K1614" s="690">
        <v>1.7748460334077491E-5</v>
      </c>
    </row>
    <row r="1615" spans="2:11" ht="15.75" x14ac:dyDescent="0.25">
      <c r="B1615" s="667" t="s">
        <v>290</v>
      </c>
      <c r="C1615" s="110">
        <v>2049</v>
      </c>
      <c r="D1615" s="687" t="s">
        <v>2346</v>
      </c>
      <c r="E1615" s="688">
        <v>2.5012788635620314E-2</v>
      </c>
      <c r="F1615" s="310">
        <v>1.6653448437706348E-3</v>
      </c>
      <c r="G1615" s="311">
        <v>1.7835321943623982E-2</v>
      </c>
      <c r="H1615" s="311">
        <v>4.1481497008772321E-4</v>
      </c>
      <c r="I1615" s="394">
        <v>4.5043379119172799E-4</v>
      </c>
      <c r="J1615" s="689">
        <v>1.6875447262836055E-5</v>
      </c>
      <c r="K1615" s="690">
        <v>1.7638475181794018E-5</v>
      </c>
    </row>
    <row r="1616" spans="2:11" ht="15.75" x14ac:dyDescent="0.25">
      <c r="B1616" s="667" t="s">
        <v>290</v>
      </c>
      <c r="C1616" s="110">
        <v>2050</v>
      </c>
      <c r="D1616" s="687" t="s">
        <v>2347</v>
      </c>
      <c r="E1616" s="688">
        <v>2.4990318352464416E-2</v>
      </c>
      <c r="F1616" s="310">
        <v>1.6561272270385079E-3</v>
      </c>
      <c r="G1616" s="311">
        <v>1.7846120546838085E-2</v>
      </c>
      <c r="H1616" s="311">
        <v>4.1178418153925487E-4</v>
      </c>
      <c r="I1616" s="394">
        <v>4.4714217258652383E-4</v>
      </c>
      <c r="J1616" s="689">
        <v>1.6772247252922283E-5</v>
      </c>
      <c r="K1616" s="690">
        <v>1.7530612740722957E-5</v>
      </c>
    </row>
    <row r="1617" spans="2:11" ht="15.75" x14ac:dyDescent="0.25">
      <c r="B1617" s="667" t="s">
        <v>93</v>
      </c>
      <c r="C1617" s="110">
        <v>2015</v>
      </c>
      <c r="D1617" s="687" t="s">
        <v>293</v>
      </c>
      <c r="E1617" s="688">
        <v>4.3938888333465057E-2</v>
      </c>
      <c r="F1617" s="310">
        <v>4.4387639324458814E-2</v>
      </c>
      <c r="G1617" s="311">
        <v>0.17588992137911982</v>
      </c>
      <c r="H1617" s="311">
        <v>1.7039445804905621E-3</v>
      </c>
      <c r="I1617" s="394">
        <v>1.8452539750772744E-3</v>
      </c>
      <c r="J1617" s="689">
        <v>1.2327718050443473E-4</v>
      </c>
      <c r="K1617" s="690">
        <v>1.2885123012197066E-4</v>
      </c>
    </row>
    <row r="1618" spans="2:11" ht="15.75" x14ac:dyDescent="0.25">
      <c r="B1618" s="667" t="s">
        <v>93</v>
      </c>
      <c r="C1618" s="110">
        <v>2016</v>
      </c>
      <c r="D1618" s="687" t="s">
        <v>294</v>
      </c>
      <c r="E1618" s="688">
        <v>4.3033854892327354E-2</v>
      </c>
      <c r="F1618" s="310">
        <v>3.6503974955075104E-2</v>
      </c>
      <c r="G1618" s="311">
        <v>0.14882194707081722</v>
      </c>
      <c r="H1618" s="311">
        <v>1.6145706931189425E-3</v>
      </c>
      <c r="I1618" s="394">
        <v>1.7497191079853514E-3</v>
      </c>
      <c r="J1618" s="689">
        <v>1.0564064969998275E-4</v>
      </c>
      <c r="K1618" s="690">
        <v>1.1041725359111116E-4</v>
      </c>
    </row>
    <row r="1619" spans="2:11" ht="15.75" x14ac:dyDescent="0.25">
      <c r="B1619" s="667" t="s">
        <v>93</v>
      </c>
      <c r="C1619" s="110">
        <v>2017</v>
      </c>
      <c r="D1619" s="687" t="s">
        <v>2348</v>
      </c>
      <c r="E1619" s="688">
        <v>4.2036222675091113E-2</v>
      </c>
      <c r="F1619" s="310">
        <v>2.9984885613669066E-2</v>
      </c>
      <c r="G1619" s="311">
        <v>0.12543932997066373</v>
      </c>
      <c r="H1619" s="311">
        <v>1.573894282837272E-3</v>
      </c>
      <c r="I1619" s="394">
        <v>1.7065460751372503E-3</v>
      </c>
      <c r="J1619" s="689">
        <v>9.5724329522413486E-5</v>
      </c>
      <c r="K1619" s="690">
        <v>1.0005255782779502E-4</v>
      </c>
    </row>
    <row r="1620" spans="2:11" ht="15.75" x14ac:dyDescent="0.25">
      <c r="B1620" s="667" t="s">
        <v>93</v>
      </c>
      <c r="C1620" s="110">
        <v>2018</v>
      </c>
      <c r="D1620" s="687" t="s">
        <v>2349</v>
      </c>
      <c r="E1620" s="688">
        <v>4.0965927310601676E-2</v>
      </c>
      <c r="F1620" s="310">
        <v>2.4526461938972711E-2</v>
      </c>
      <c r="G1620" s="311">
        <v>0.10565680046490257</v>
      </c>
      <c r="H1620" s="311">
        <v>1.5641837233169341E-3</v>
      </c>
      <c r="I1620" s="394">
        <v>1.6968152229566442E-3</v>
      </c>
      <c r="J1620" s="689">
        <v>8.7937825640944117E-5</v>
      </c>
      <c r="K1620" s="690">
        <v>9.1913983506226735E-5</v>
      </c>
    </row>
    <row r="1621" spans="2:11" ht="15.75" x14ac:dyDescent="0.25">
      <c r="B1621" s="667" t="s">
        <v>93</v>
      </c>
      <c r="C1621" s="110">
        <v>2019</v>
      </c>
      <c r="D1621" s="687" t="s">
        <v>2350</v>
      </c>
      <c r="E1621" s="688">
        <v>3.9630769698398065E-2</v>
      </c>
      <c r="F1621" s="310">
        <v>2.0092000933901493E-2</v>
      </c>
      <c r="G1621" s="311">
        <v>8.9333089049337372E-2</v>
      </c>
      <c r="H1621" s="311">
        <v>1.5622400621977603E-3</v>
      </c>
      <c r="I1621" s="394">
        <v>1.6953349934321559E-3</v>
      </c>
      <c r="J1621" s="689">
        <v>8.1388356280055589E-5</v>
      </c>
      <c r="K1621" s="690">
        <v>8.5068378315481555E-5</v>
      </c>
    </row>
    <row r="1622" spans="2:11" ht="15.75" x14ac:dyDescent="0.25">
      <c r="B1622" s="667" t="s">
        <v>93</v>
      </c>
      <c r="C1622" s="110">
        <v>2020</v>
      </c>
      <c r="D1622" s="687" t="s">
        <v>2351</v>
      </c>
      <c r="E1622" s="688">
        <v>3.8501920551229855E-2</v>
      </c>
      <c r="F1622" s="310">
        <v>1.6854441453055178E-2</v>
      </c>
      <c r="G1622" s="311">
        <v>7.6152300439006518E-2</v>
      </c>
      <c r="H1622" s="311">
        <v>1.5285890994270919E-3</v>
      </c>
      <c r="I1622" s="394">
        <v>1.6590668227901533E-3</v>
      </c>
      <c r="J1622" s="689">
        <v>7.6162637551075173E-5</v>
      </c>
      <c r="K1622" s="690">
        <v>7.9606378009643237E-5</v>
      </c>
    </row>
    <row r="1623" spans="2:11" ht="15.75" x14ac:dyDescent="0.25">
      <c r="B1623" s="667" t="s">
        <v>93</v>
      </c>
      <c r="C1623" s="110">
        <v>2021</v>
      </c>
      <c r="D1623" s="687" t="s">
        <v>2352</v>
      </c>
      <c r="E1623" s="688">
        <v>3.7360393950397072E-2</v>
      </c>
      <c r="F1623" s="310">
        <v>1.4320198332255424E-2</v>
      </c>
      <c r="G1623" s="311">
        <v>6.5380544808235672E-2</v>
      </c>
      <c r="H1623" s="311">
        <v>1.45568096521833E-3</v>
      </c>
      <c r="I1623" s="394">
        <v>1.5800951588907941E-3</v>
      </c>
      <c r="J1623" s="689">
        <v>6.9944640101999352E-5</v>
      </c>
      <c r="K1623" s="690">
        <v>7.3107227799168326E-5</v>
      </c>
    </row>
    <row r="1624" spans="2:11" ht="15.75" x14ac:dyDescent="0.25">
      <c r="B1624" s="667" t="s">
        <v>93</v>
      </c>
      <c r="C1624" s="110">
        <v>2022</v>
      </c>
      <c r="D1624" s="687" t="s">
        <v>2353</v>
      </c>
      <c r="E1624" s="688">
        <v>3.6232125901078778E-2</v>
      </c>
      <c r="F1624" s="310">
        <v>1.2104074882814916E-2</v>
      </c>
      <c r="G1624" s="311">
        <v>5.6454963375691065E-2</v>
      </c>
      <c r="H1624" s="311">
        <v>1.3865069522144722E-3</v>
      </c>
      <c r="I1624" s="394">
        <v>1.5051874684231849E-3</v>
      </c>
      <c r="J1624" s="689">
        <v>6.4365568714851496E-5</v>
      </c>
      <c r="K1624" s="690">
        <v>6.72758985494172E-5</v>
      </c>
    </row>
    <row r="1625" spans="2:11" ht="15.75" x14ac:dyDescent="0.25">
      <c r="B1625" s="667" t="s">
        <v>93</v>
      </c>
      <c r="C1625" s="110">
        <v>2023</v>
      </c>
      <c r="D1625" s="687" t="s">
        <v>2354</v>
      </c>
      <c r="E1625" s="688">
        <v>3.5114211742948175E-2</v>
      </c>
      <c r="F1625" s="310">
        <v>1.0463527742595586E-2</v>
      </c>
      <c r="G1625" s="311">
        <v>4.9346513442998403E-2</v>
      </c>
      <c r="H1625" s="311">
        <v>1.3246867577072475E-3</v>
      </c>
      <c r="I1625" s="394">
        <v>1.4382179288570053E-3</v>
      </c>
      <c r="J1625" s="689">
        <v>5.8465984875171018E-5</v>
      </c>
      <c r="K1625" s="690">
        <v>6.1109557273297807E-5</v>
      </c>
    </row>
    <row r="1626" spans="2:11" ht="15.75" x14ac:dyDescent="0.25">
      <c r="B1626" s="667" t="s">
        <v>93</v>
      </c>
      <c r="C1626" s="110">
        <v>2024</v>
      </c>
      <c r="D1626" s="687" t="s">
        <v>2355</v>
      </c>
      <c r="E1626" s="688">
        <v>3.4012165113074339E-2</v>
      </c>
      <c r="F1626" s="310">
        <v>9.0942478885559491E-3</v>
      </c>
      <c r="G1626" s="311">
        <v>4.3517931462437799E-2</v>
      </c>
      <c r="H1626" s="311">
        <v>1.2685737734664272E-3</v>
      </c>
      <c r="I1626" s="394">
        <v>1.3774627172583036E-3</v>
      </c>
      <c r="J1626" s="689">
        <v>5.2410793155333405E-5</v>
      </c>
      <c r="K1626" s="690">
        <v>5.4780574074832756E-5</v>
      </c>
    </row>
    <row r="1627" spans="2:11" ht="15.75" x14ac:dyDescent="0.25">
      <c r="B1627" s="667" t="s">
        <v>93</v>
      </c>
      <c r="C1627" s="110">
        <v>2025</v>
      </c>
      <c r="D1627" s="687" t="s">
        <v>2356</v>
      </c>
      <c r="E1627" s="688">
        <v>3.2923550059825508E-2</v>
      </c>
      <c r="F1627" s="310">
        <v>7.9802086950524279E-3</v>
      </c>
      <c r="G1627" s="311">
        <v>3.8875359495900437E-2</v>
      </c>
      <c r="H1627" s="311">
        <v>1.2207171173055382E-3</v>
      </c>
      <c r="I1627" s="394">
        <v>1.3256073844183213E-3</v>
      </c>
      <c r="J1627" s="689">
        <v>4.7985943432705916E-5</v>
      </c>
      <c r="K1627" s="690">
        <v>5.0155652815263079E-5</v>
      </c>
    </row>
    <row r="1628" spans="2:11" ht="15.75" x14ac:dyDescent="0.25">
      <c r="B1628" s="667" t="s">
        <v>93</v>
      </c>
      <c r="C1628" s="110">
        <v>2026</v>
      </c>
      <c r="D1628" s="687" t="s">
        <v>2357</v>
      </c>
      <c r="E1628" s="688">
        <v>3.1925508638953631E-2</v>
      </c>
      <c r="F1628" s="310">
        <v>7.0736721818416516E-3</v>
      </c>
      <c r="G1628" s="311">
        <v>3.518385471948085E-2</v>
      </c>
      <c r="H1628" s="311">
        <v>1.1686165773743876E-3</v>
      </c>
      <c r="I1628" s="394">
        <v>1.2691479708978408E-3</v>
      </c>
      <c r="J1628" s="689">
        <v>4.3168316660748944E-5</v>
      </c>
      <c r="K1628" s="690">
        <v>4.5120194518992529E-5</v>
      </c>
    </row>
    <row r="1629" spans="2:11" ht="15.75" x14ac:dyDescent="0.25">
      <c r="B1629" s="667" t="s">
        <v>93</v>
      </c>
      <c r="C1629" s="110">
        <v>2027</v>
      </c>
      <c r="D1629" s="687" t="s">
        <v>2358</v>
      </c>
      <c r="E1629" s="688">
        <v>3.1009785707674483E-2</v>
      </c>
      <c r="F1629" s="310">
        <v>6.3056468293824558E-3</v>
      </c>
      <c r="G1629" s="311">
        <v>3.2124008392524814E-2</v>
      </c>
      <c r="H1629" s="311">
        <v>1.1077811333097261E-3</v>
      </c>
      <c r="I1629" s="394">
        <v>1.2032069717710485E-3</v>
      </c>
      <c r="J1629" s="689">
        <v>3.7907999694314968E-5</v>
      </c>
      <c r="K1629" s="690">
        <v>3.96220321088333E-5</v>
      </c>
    </row>
    <row r="1630" spans="2:11" ht="15.75" x14ac:dyDescent="0.25">
      <c r="B1630" s="667" t="s">
        <v>93</v>
      </c>
      <c r="C1630" s="110">
        <v>2028</v>
      </c>
      <c r="D1630" s="687" t="s">
        <v>2359</v>
      </c>
      <c r="E1630" s="688">
        <v>3.018397925414747E-2</v>
      </c>
      <c r="F1630" s="310">
        <v>5.6668804208928683E-3</v>
      </c>
      <c r="G1630" s="311">
        <v>2.9630646493937721E-2</v>
      </c>
      <c r="H1630" s="311">
        <v>1.0413440047123187E-3</v>
      </c>
      <c r="I1630" s="394">
        <v>1.1311083759956587E-3</v>
      </c>
      <c r="J1630" s="689">
        <v>3.4178195183868251E-5</v>
      </c>
      <c r="K1630" s="690">
        <v>3.5723579788287303E-5</v>
      </c>
    </row>
    <row r="1631" spans="2:11" ht="15.75" x14ac:dyDescent="0.25">
      <c r="B1631" s="667" t="s">
        <v>93</v>
      </c>
      <c r="C1631" s="110">
        <v>2029</v>
      </c>
      <c r="D1631" s="687" t="s">
        <v>2360</v>
      </c>
      <c r="E1631" s="688">
        <v>2.9443458291059741E-2</v>
      </c>
      <c r="F1631" s="310">
        <v>5.1153280528437343E-3</v>
      </c>
      <c r="G1631" s="311">
        <v>2.7544784830199936E-2</v>
      </c>
      <c r="H1631" s="311">
        <v>9.7774651588774402E-4</v>
      </c>
      <c r="I1631" s="394">
        <v>1.0620663270576446E-3</v>
      </c>
      <c r="J1631" s="689">
        <v>3.1206970020919036E-5</v>
      </c>
      <c r="K1631" s="690">
        <v>3.2618011330780476E-5</v>
      </c>
    </row>
    <row r="1632" spans="2:11" ht="15.75" x14ac:dyDescent="0.25">
      <c r="B1632" s="667" t="s">
        <v>93</v>
      </c>
      <c r="C1632" s="110">
        <v>2030</v>
      </c>
      <c r="D1632" s="687" t="s">
        <v>2361</v>
      </c>
      <c r="E1632" s="688">
        <v>2.878382888435127E-2</v>
      </c>
      <c r="F1632" s="310">
        <v>4.6518573216586014E-3</v>
      </c>
      <c r="G1632" s="311">
        <v>2.5835528632991777E-2</v>
      </c>
      <c r="H1632" s="311">
        <v>9.1770075271665715E-4</v>
      </c>
      <c r="I1632" s="394">
        <v>9.9687082451393409E-4</v>
      </c>
      <c r="J1632" s="689">
        <v>2.8618038970745152E-5</v>
      </c>
      <c r="K1632" s="690">
        <v>2.9912021229366722E-5</v>
      </c>
    </row>
    <row r="1633" spans="2:11" ht="15.75" x14ac:dyDescent="0.25">
      <c r="B1633" s="667" t="s">
        <v>93</v>
      </c>
      <c r="C1633" s="110">
        <v>2031</v>
      </c>
      <c r="D1633" s="687" t="s">
        <v>2362</v>
      </c>
      <c r="E1633" s="688">
        <v>2.819971288246103E-2</v>
      </c>
      <c r="F1633" s="310">
        <v>4.2461011713152575E-3</v>
      </c>
      <c r="G1633" s="311">
        <v>2.4382644537522737E-2</v>
      </c>
      <c r="H1633" s="311">
        <v>8.6159932457587258E-4</v>
      </c>
      <c r="I1633" s="394">
        <v>9.3592820045535982E-4</v>
      </c>
      <c r="J1633" s="689">
        <v>2.6897768071176495E-5</v>
      </c>
      <c r="K1633" s="690">
        <v>2.8113966875634898E-5</v>
      </c>
    </row>
    <row r="1634" spans="2:11" ht="15.75" x14ac:dyDescent="0.25">
      <c r="B1634" s="667" t="s">
        <v>93</v>
      </c>
      <c r="C1634" s="110">
        <v>2032</v>
      </c>
      <c r="D1634" s="687" t="s">
        <v>2363</v>
      </c>
      <c r="E1634" s="688">
        <v>2.7684637306823152E-2</v>
      </c>
      <c r="F1634" s="310">
        <v>3.8960333004949021E-3</v>
      </c>
      <c r="G1634" s="311">
        <v>2.318683818406592E-2</v>
      </c>
      <c r="H1634" s="311">
        <v>8.0903873934569273E-4</v>
      </c>
      <c r="I1634" s="394">
        <v>8.788441126028353E-4</v>
      </c>
      <c r="J1634" s="689">
        <v>2.4983325310166084E-5</v>
      </c>
      <c r="K1634" s="690">
        <v>2.6112960962302835E-5</v>
      </c>
    </row>
    <row r="1635" spans="2:11" ht="15.75" x14ac:dyDescent="0.25">
      <c r="B1635" s="667" t="s">
        <v>93</v>
      </c>
      <c r="C1635" s="110">
        <v>2033</v>
      </c>
      <c r="D1635" s="687" t="s">
        <v>2364</v>
      </c>
      <c r="E1635" s="688">
        <v>2.7233664888438949E-2</v>
      </c>
      <c r="F1635" s="310">
        <v>3.5929929057419551E-3</v>
      </c>
      <c r="G1635" s="311">
        <v>2.219977442359165E-2</v>
      </c>
      <c r="H1635" s="311">
        <v>7.6089742146737073E-4</v>
      </c>
      <c r="I1635" s="394">
        <v>8.2654216887605527E-4</v>
      </c>
      <c r="J1635" s="689">
        <v>2.368596196289893E-5</v>
      </c>
      <c r="K1635" s="690">
        <v>2.4756936227803177E-5</v>
      </c>
    </row>
    <row r="1636" spans="2:11" ht="15.75" x14ac:dyDescent="0.25">
      <c r="B1636" s="667" t="s">
        <v>93</v>
      </c>
      <c r="C1636" s="110">
        <v>2034</v>
      </c>
      <c r="D1636" s="687" t="s">
        <v>2365</v>
      </c>
      <c r="E1636" s="688">
        <v>2.6840319512119959E-2</v>
      </c>
      <c r="F1636" s="310">
        <v>3.322490012481649E-3</v>
      </c>
      <c r="G1636" s="311">
        <v>2.136106225262727E-2</v>
      </c>
      <c r="H1636" s="311">
        <v>7.1645781098256429E-4</v>
      </c>
      <c r="I1636" s="394">
        <v>7.7826055965602521E-4</v>
      </c>
      <c r="J1636" s="689">
        <v>2.2482777890964523E-5</v>
      </c>
      <c r="K1636" s="690">
        <v>2.349935411341898E-5</v>
      </c>
    </row>
    <row r="1637" spans="2:11" ht="15.75" x14ac:dyDescent="0.25">
      <c r="B1637" s="667" t="s">
        <v>93</v>
      </c>
      <c r="C1637" s="110">
        <v>2035</v>
      </c>
      <c r="D1637" s="687" t="s">
        <v>2366</v>
      </c>
      <c r="E1637" s="688">
        <v>2.6500134122313845E-2</v>
      </c>
      <c r="F1637" s="310">
        <v>3.0849346721554143E-3</v>
      </c>
      <c r="G1637" s="311">
        <v>2.0670539879111965E-2</v>
      </c>
      <c r="H1637" s="311">
        <v>6.7600580424647186E-4</v>
      </c>
      <c r="I1637" s="394">
        <v>7.3431015147148678E-4</v>
      </c>
      <c r="J1637" s="689">
        <v>2.1416396162831919E-5</v>
      </c>
      <c r="K1637" s="690">
        <v>2.2384751687060688E-5</v>
      </c>
    </row>
    <row r="1638" spans="2:11" ht="15.75" x14ac:dyDescent="0.25">
      <c r="B1638" s="667" t="s">
        <v>93</v>
      </c>
      <c r="C1638" s="110">
        <v>2036</v>
      </c>
      <c r="D1638" s="687" t="s">
        <v>2367</v>
      </c>
      <c r="E1638" s="688">
        <v>2.6207563756479063E-2</v>
      </c>
      <c r="F1638" s="310">
        <v>2.8765883098739154E-3</v>
      </c>
      <c r="G1638" s="311">
        <v>2.008730047891313E-2</v>
      </c>
      <c r="H1638" s="311">
        <v>6.4048778275631931E-4</v>
      </c>
      <c r="I1638" s="394">
        <v>6.9572285026611377E-4</v>
      </c>
      <c r="J1638" s="689">
        <v>2.0444851287823754E-5</v>
      </c>
      <c r="K1638" s="690">
        <v>2.1369282417077065E-5</v>
      </c>
    </row>
    <row r="1639" spans="2:11" ht="15.75" x14ac:dyDescent="0.25">
      <c r="B1639" s="667" t="s">
        <v>93</v>
      </c>
      <c r="C1639" s="110">
        <v>2037</v>
      </c>
      <c r="D1639" s="687" t="s">
        <v>2368</v>
      </c>
      <c r="E1639" s="688">
        <v>2.5958271751752127E-2</v>
      </c>
      <c r="F1639" s="310">
        <v>2.6990924549886559E-3</v>
      </c>
      <c r="G1639" s="311">
        <v>1.961560388392419E-2</v>
      </c>
      <c r="H1639" s="311">
        <v>6.0905205341752009E-4</v>
      </c>
      <c r="I1639" s="394">
        <v>6.6156954716956018E-4</v>
      </c>
      <c r="J1639" s="689">
        <v>1.9584860225330178E-5</v>
      </c>
      <c r="K1639" s="690">
        <v>2.0470395338019688E-5</v>
      </c>
    </row>
    <row r="1640" spans="2:11" ht="15.75" x14ac:dyDescent="0.25">
      <c r="B1640" s="667" t="s">
        <v>93</v>
      </c>
      <c r="C1640" s="110">
        <v>2038</v>
      </c>
      <c r="D1640" s="687" t="s">
        <v>2369</v>
      </c>
      <c r="E1640" s="688">
        <v>2.5747835088124397E-2</v>
      </c>
      <c r="F1640" s="310">
        <v>2.5398096924833424E-3</v>
      </c>
      <c r="G1640" s="311">
        <v>1.9192345861595222E-2</v>
      </c>
      <c r="H1640" s="311">
        <v>5.8140023944391699E-4</v>
      </c>
      <c r="I1640" s="394">
        <v>6.3152533408369817E-4</v>
      </c>
      <c r="J1640" s="689">
        <v>1.8888825499077562E-5</v>
      </c>
      <c r="K1640" s="690">
        <v>1.9742889274219548E-5</v>
      </c>
    </row>
    <row r="1641" spans="2:11" ht="15.75" x14ac:dyDescent="0.25">
      <c r="B1641" s="667" t="s">
        <v>93</v>
      </c>
      <c r="C1641" s="110">
        <v>2039</v>
      </c>
      <c r="D1641" s="687" t="s">
        <v>2370</v>
      </c>
      <c r="E1641" s="688">
        <v>2.5570195391349141E-2</v>
      </c>
      <c r="F1641" s="310">
        <v>2.3940372792292438E-3</v>
      </c>
      <c r="G1641" s="311">
        <v>1.8807363943619773E-2</v>
      </c>
      <c r="H1641" s="311">
        <v>5.572902708647267E-4</v>
      </c>
      <c r="I1641" s="394">
        <v>6.0532799261507099E-4</v>
      </c>
      <c r="J1641" s="689">
        <v>1.8303124959494277E-5</v>
      </c>
      <c r="K1641" s="690">
        <v>1.9130711182905106E-5</v>
      </c>
    </row>
    <row r="1642" spans="2:11" ht="15.75" x14ac:dyDescent="0.25">
      <c r="B1642" s="667" t="s">
        <v>93</v>
      </c>
      <c r="C1642" s="110">
        <v>2040</v>
      </c>
      <c r="D1642" s="687" t="s">
        <v>2371</v>
      </c>
      <c r="E1642" s="688">
        <v>2.5422165607593472E-2</v>
      </c>
      <c r="F1642" s="310">
        <v>2.2612250909141898E-3</v>
      </c>
      <c r="G1642" s="311">
        <v>1.8475120589059542E-2</v>
      </c>
      <c r="H1642" s="311">
        <v>5.3646765190804599E-4</v>
      </c>
      <c r="I1642" s="394">
        <v>5.8270278530949229E-4</v>
      </c>
      <c r="J1642" s="689">
        <v>1.7806439214380244E-5</v>
      </c>
      <c r="K1642" s="690">
        <v>1.8611563098708648E-5</v>
      </c>
    </row>
    <row r="1643" spans="2:11" ht="15.75" x14ac:dyDescent="0.25">
      <c r="B1643" s="667" t="s">
        <v>93</v>
      </c>
      <c r="C1643" s="110">
        <v>2041</v>
      </c>
      <c r="D1643" s="687" t="s">
        <v>2372</v>
      </c>
      <c r="E1643" s="688">
        <v>2.5300110577349429E-2</v>
      </c>
      <c r="F1643" s="310">
        <v>2.1540961218743876E-3</v>
      </c>
      <c r="G1643" s="311">
        <v>1.8201620942767376E-2</v>
      </c>
      <c r="H1643" s="311">
        <v>5.1999222720527905E-4</v>
      </c>
      <c r="I1643" s="394">
        <v>5.6480191862482505E-4</v>
      </c>
      <c r="J1643" s="689">
        <v>1.7397095915640789E-5</v>
      </c>
      <c r="K1643" s="690">
        <v>1.8183716331777192E-5</v>
      </c>
    </row>
    <row r="1644" spans="2:11" ht="15.75" x14ac:dyDescent="0.25">
      <c r="B1644" s="667" t="s">
        <v>93</v>
      </c>
      <c r="C1644" s="110">
        <v>2042</v>
      </c>
      <c r="D1644" s="687" t="s">
        <v>2373</v>
      </c>
      <c r="E1644" s="688">
        <v>2.5199075244541829E-2</v>
      </c>
      <c r="F1644" s="310">
        <v>2.0627169080398872E-3</v>
      </c>
      <c r="G1644" s="311">
        <v>1.7951559636833467E-2</v>
      </c>
      <c r="H1644" s="311">
        <v>5.0618629527651227E-4</v>
      </c>
      <c r="I1644" s="394">
        <v>5.4980012011256413E-4</v>
      </c>
      <c r="J1644" s="689">
        <v>1.7072025199243735E-5</v>
      </c>
      <c r="K1644" s="690">
        <v>1.7843941979521686E-5</v>
      </c>
    </row>
    <row r="1645" spans="2:11" ht="15.75" x14ac:dyDescent="0.25">
      <c r="B1645" s="667" t="s">
        <v>93</v>
      </c>
      <c r="C1645" s="110">
        <v>2043</v>
      </c>
      <c r="D1645" s="687" t="s">
        <v>2374</v>
      </c>
      <c r="E1645" s="688">
        <v>2.5116503587332334E-2</v>
      </c>
      <c r="F1645" s="310">
        <v>1.9929381636421737E-3</v>
      </c>
      <c r="G1645" s="311">
        <v>1.7760934269351013E-2</v>
      </c>
      <c r="H1645" s="311">
        <v>4.9471563995038387E-4</v>
      </c>
      <c r="I1645" s="394">
        <v>5.3733537660820112E-4</v>
      </c>
      <c r="J1645" s="689">
        <v>1.681689857605412E-5</v>
      </c>
      <c r="K1645" s="690">
        <v>1.7577279975312321E-5</v>
      </c>
    </row>
    <row r="1646" spans="2:11" ht="15.75" x14ac:dyDescent="0.25">
      <c r="B1646" s="667" t="s">
        <v>93</v>
      </c>
      <c r="C1646" s="110">
        <v>2044</v>
      </c>
      <c r="D1646" s="687" t="s">
        <v>2375</v>
      </c>
      <c r="E1646" s="688">
        <v>2.5048526112062739E-2</v>
      </c>
      <c r="F1646" s="310">
        <v>1.9420284075602704E-3</v>
      </c>
      <c r="G1646" s="311">
        <v>1.7615774469894905E-2</v>
      </c>
      <c r="H1646" s="311">
        <v>4.8522949857857746E-4</v>
      </c>
      <c r="I1646" s="394">
        <v>5.2702711265794017E-4</v>
      </c>
      <c r="J1646" s="689">
        <v>1.6614479821649729E-5</v>
      </c>
      <c r="K1646" s="690">
        <v>1.73657161472051E-5</v>
      </c>
    </row>
    <row r="1647" spans="2:11" ht="15.75" x14ac:dyDescent="0.25">
      <c r="B1647" s="667" t="s">
        <v>93</v>
      </c>
      <c r="C1647" s="110">
        <v>2045</v>
      </c>
      <c r="D1647" s="687" t="s">
        <v>2376</v>
      </c>
      <c r="E1647" s="688">
        <v>2.4991865164076935E-2</v>
      </c>
      <c r="F1647" s="310">
        <v>1.9072832808340878E-3</v>
      </c>
      <c r="G1647" s="311">
        <v>1.7513597021497941E-2</v>
      </c>
      <c r="H1647" s="311">
        <v>4.7737056963664825E-4</v>
      </c>
      <c r="I1647" s="394">
        <v>5.1848672269700475E-4</v>
      </c>
      <c r="J1647" s="689">
        <v>1.6462398325589204E-5</v>
      </c>
      <c r="K1647" s="690">
        <v>1.7206749975471853E-5</v>
      </c>
    </row>
    <row r="1648" spans="2:11" ht="15.75" x14ac:dyDescent="0.25">
      <c r="B1648" s="667" t="s">
        <v>93</v>
      </c>
      <c r="C1648" s="110">
        <v>2046</v>
      </c>
      <c r="D1648" s="687" t="s">
        <v>2377</v>
      </c>
      <c r="E1648" s="688">
        <v>2.4944867293968578E-2</v>
      </c>
      <c r="F1648" s="310">
        <v>1.8782204513844672E-3</v>
      </c>
      <c r="G1648" s="311">
        <v>1.7432252189858419E-2</v>
      </c>
      <c r="H1648" s="311">
        <v>4.7096671131132664E-4</v>
      </c>
      <c r="I1648" s="394">
        <v>5.1152635900092035E-4</v>
      </c>
      <c r="J1648" s="689">
        <v>1.63451723306868E-5</v>
      </c>
      <c r="K1648" s="690">
        <v>1.70842300193572E-5</v>
      </c>
    </row>
    <row r="1649" spans="2:11" ht="15.75" x14ac:dyDescent="0.25">
      <c r="B1649" s="667" t="s">
        <v>93</v>
      </c>
      <c r="C1649" s="110">
        <v>2047</v>
      </c>
      <c r="D1649" s="687" t="s">
        <v>2378</v>
      </c>
      <c r="E1649" s="688">
        <v>2.4906001656213841E-2</v>
      </c>
      <c r="F1649" s="310">
        <v>1.8539973135964303E-3</v>
      </c>
      <c r="G1649" s="311">
        <v>1.7364582942987702E-2</v>
      </c>
      <c r="H1649" s="311">
        <v>4.6583219026386728E-4</v>
      </c>
      <c r="I1649" s="394">
        <v>5.0594679067719739E-4</v>
      </c>
      <c r="J1649" s="689">
        <v>1.6254584893048068E-5</v>
      </c>
      <c r="K1649" s="690">
        <v>1.6989550279018644E-5</v>
      </c>
    </row>
    <row r="1650" spans="2:11" ht="15.75" x14ac:dyDescent="0.25">
      <c r="B1650" s="667" t="s">
        <v>93</v>
      </c>
      <c r="C1650" s="110">
        <v>2048</v>
      </c>
      <c r="D1650" s="687" t="s">
        <v>2379</v>
      </c>
      <c r="E1650" s="688">
        <v>2.4874538885147665E-2</v>
      </c>
      <c r="F1650" s="310">
        <v>1.8352673575685733E-3</v>
      </c>
      <c r="G1650" s="311">
        <v>1.7313000519298998E-2</v>
      </c>
      <c r="H1650" s="311">
        <v>4.6170306192299477E-4</v>
      </c>
      <c r="I1650" s="394">
        <v>5.0145911789628551E-4</v>
      </c>
      <c r="J1650" s="689">
        <v>1.6177352811669675E-5</v>
      </c>
      <c r="K1650" s="690">
        <v>1.6908818355841315E-5</v>
      </c>
    </row>
    <row r="1651" spans="2:11" ht="15.75" x14ac:dyDescent="0.25">
      <c r="B1651" s="667" t="s">
        <v>93</v>
      </c>
      <c r="C1651" s="110">
        <v>2049</v>
      </c>
      <c r="D1651" s="687" t="s">
        <v>2380</v>
      </c>
      <c r="E1651" s="688">
        <v>2.4848413460251472E-2</v>
      </c>
      <c r="F1651" s="310">
        <v>1.8274273053251236E-3</v>
      </c>
      <c r="G1651" s="311">
        <v>1.7322351994747773E-2</v>
      </c>
      <c r="H1651" s="311">
        <v>4.5890999595132615E-4</v>
      </c>
      <c r="I1651" s="394">
        <v>4.98423392785759E-4</v>
      </c>
      <c r="J1651" s="689">
        <v>1.6118346078550939E-5</v>
      </c>
      <c r="K1651" s="690">
        <v>1.6847147366941624E-5</v>
      </c>
    </row>
    <row r="1652" spans="2:11" ht="15.75" x14ac:dyDescent="0.25">
      <c r="B1652" s="667" t="s">
        <v>93</v>
      </c>
      <c r="C1652" s="110">
        <v>2050</v>
      </c>
      <c r="D1652" s="687" t="s">
        <v>2381</v>
      </c>
      <c r="E1652" s="688">
        <v>2.4827199728556716E-2</v>
      </c>
      <c r="F1652" s="310">
        <v>1.8211957812747041E-3</v>
      </c>
      <c r="G1652" s="311">
        <v>1.7332158393045874E-2</v>
      </c>
      <c r="H1652" s="311">
        <v>4.5669301137575709E-4</v>
      </c>
      <c r="I1652" s="394">
        <v>4.9601423984551262E-4</v>
      </c>
      <c r="J1652" s="689">
        <v>1.6066215232445617E-5</v>
      </c>
      <c r="K1652" s="690">
        <v>1.6792659907498012E-5</v>
      </c>
    </row>
    <row r="1653" spans="2:11" ht="15.75" x14ac:dyDescent="0.25">
      <c r="B1653" s="667" t="s">
        <v>94</v>
      </c>
      <c r="C1653" s="110">
        <v>2015</v>
      </c>
      <c r="D1653" s="687" t="s">
        <v>295</v>
      </c>
      <c r="E1653" s="688">
        <v>4.4836353159147781E-2</v>
      </c>
      <c r="F1653" s="310">
        <v>8.2664982412099838E-2</v>
      </c>
      <c r="G1653" s="311">
        <v>0.29735801994246913</v>
      </c>
      <c r="H1653" s="311">
        <v>2.9452805055933703E-3</v>
      </c>
      <c r="I1653" s="394">
        <v>3.1774505543934232E-3</v>
      </c>
      <c r="J1653" s="689">
        <v>4.6372745874202195E-4</v>
      </c>
      <c r="K1653" s="690">
        <v>4.8469516688668849E-4</v>
      </c>
    </row>
    <row r="1654" spans="2:11" ht="15.75" x14ac:dyDescent="0.25">
      <c r="B1654" s="667" t="s">
        <v>94</v>
      </c>
      <c r="C1654" s="110">
        <v>2016</v>
      </c>
      <c r="D1654" s="687" t="s">
        <v>296</v>
      </c>
      <c r="E1654" s="688">
        <v>4.3940112720337737E-2</v>
      </c>
      <c r="F1654" s="310">
        <v>6.7494754354775671E-2</v>
      </c>
      <c r="G1654" s="311">
        <v>0.25356226432731876</v>
      </c>
      <c r="H1654" s="311">
        <v>2.6630100663193263E-3</v>
      </c>
      <c r="I1654" s="394">
        <v>2.8755269025944525E-3</v>
      </c>
      <c r="J1654" s="689">
        <v>3.9778553564177285E-4</v>
      </c>
      <c r="K1654" s="690">
        <v>4.1577163113817937E-4</v>
      </c>
    </row>
    <row r="1655" spans="2:11" ht="15.75" x14ac:dyDescent="0.25">
      <c r="B1655" s="667" t="s">
        <v>94</v>
      </c>
      <c r="C1655" s="110">
        <v>2017</v>
      </c>
      <c r="D1655" s="687" t="s">
        <v>2382</v>
      </c>
      <c r="E1655" s="688">
        <v>4.292651682736514E-2</v>
      </c>
      <c r="F1655" s="310">
        <v>5.6610388293291708E-2</v>
      </c>
      <c r="G1655" s="311">
        <v>0.21798007727378613</v>
      </c>
      <c r="H1655" s="311">
        <v>2.4959906865455444E-3</v>
      </c>
      <c r="I1655" s="394">
        <v>2.6967921059484088E-3</v>
      </c>
      <c r="J1655" s="689">
        <v>3.5819738523298444E-4</v>
      </c>
      <c r="K1655" s="690">
        <v>3.7439347856592093E-4</v>
      </c>
    </row>
    <row r="1656" spans="2:11" ht="15.75" x14ac:dyDescent="0.25">
      <c r="B1656" s="667" t="s">
        <v>94</v>
      </c>
      <c r="C1656" s="110">
        <v>2018</v>
      </c>
      <c r="D1656" s="687" t="s">
        <v>2383</v>
      </c>
      <c r="E1656" s="688">
        <v>4.1830405712515277E-2</v>
      </c>
      <c r="F1656" s="310">
        <v>4.6787456885876974E-2</v>
      </c>
      <c r="G1656" s="311">
        <v>0.186409217784995</v>
      </c>
      <c r="H1656" s="311">
        <v>2.3743665380907288E-3</v>
      </c>
      <c r="I1656" s="394">
        <v>2.5671275832079717E-3</v>
      </c>
      <c r="J1656" s="689">
        <v>3.230652283813615E-4</v>
      </c>
      <c r="K1656" s="690">
        <v>3.3767280831244819E-4</v>
      </c>
    </row>
    <row r="1657" spans="2:11" ht="15.75" x14ac:dyDescent="0.25">
      <c r="B1657" s="667" t="s">
        <v>94</v>
      </c>
      <c r="C1657" s="110">
        <v>2019</v>
      </c>
      <c r="D1657" s="687" t="s">
        <v>2384</v>
      </c>
      <c r="E1657" s="688">
        <v>4.0679698738149105E-2</v>
      </c>
      <c r="F1657" s="310">
        <v>3.8694294011558217E-2</v>
      </c>
      <c r="G1657" s="311">
        <v>0.15946483110455359</v>
      </c>
      <c r="H1657" s="311">
        <v>2.2812082054304845E-3</v>
      </c>
      <c r="I1657" s="394">
        <v>2.4679544475582722E-3</v>
      </c>
      <c r="J1657" s="689">
        <v>2.909376037558183E-4</v>
      </c>
      <c r="K1657" s="690">
        <v>3.0409251425660058E-4</v>
      </c>
    </row>
    <row r="1658" spans="2:11" ht="15.75" x14ac:dyDescent="0.25">
      <c r="B1658" s="667" t="s">
        <v>94</v>
      </c>
      <c r="C1658" s="110">
        <v>2020</v>
      </c>
      <c r="D1658" s="687" t="s">
        <v>2385</v>
      </c>
      <c r="E1658" s="688">
        <v>3.9525173172467648E-2</v>
      </c>
      <c r="F1658" s="310">
        <v>3.2742392117558548E-2</v>
      </c>
      <c r="G1658" s="311">
        <v>0.13689532757730191</v>
      </c>
      <c r="H1658" s="311">
        <v>2.1798362360620745E-3</v>
      </c>
      <c r="I1658" s="394">
        <v>2.3591290932108502E-3</v>
      </c>
      <c r="J1658" s="689">
        <v>2.63258581020672E-4</v>
      </c>
      <c r="K1658" s="690">
        <v>2.7516196839574776E-4</v>
      </c>
    </row>
    <row r="1659" spans="2:11" ht="15.75" x14ac:dyDescent="0.25">
      <c r="B1659" s="667" t="s">
        <v>94</v>
      </c>
      <c r="C1659" s="110">
        <v>2021</v>
      </c>
      <c r="D1659" s="687" t="s">
        <v>2386</v>
      </c>
      <c r="E1659" s="688">
        <v>3.8358479018325821E-2</v>
      </c>
      <c r="F1659" s="310">
        <v>2.8383006023114971E-2</v>
      </c>
      <c r="G1659" s="311">
        <v>0.11807458049867958</v>
      </c>
      <c r="H1659" s="311">
        <v>2.0861099099151298E-3</v>
      </c>
      <c r="I1659" s="394">
        <v>2.2583077176237957E-3</v>
      </c>
      <c r="J1659" s="689">
        <v>2.4012086166470635E-4</v>
      </c>
      <c r="K1659" s="690">
        <v>2.5097806108060141E-4</v>
      </c>
    </row>
    <row r="1660" spans="2:11" ht="15.75" x14ac:dyDescent="0.25">
      <c r="B1660" s="667" t="s">
        <v>94</v>
      </c>
      <c r="C1660" s="110">
        <v>2022</v>
      </c>
      <c r="D1660" s="687" t="s">
        <v>2387</v>
      </c>
      <c r="E1660" s="688">
        <v>3.7198948782419264E-2</v>
      </c>
      <c r="F1660" s="310">
        <v>2.3791107484811235E-2</v>
      </c>
      <c r="G1660" s="311">
        <v>0.10143031698382161</v>
      </c>
      <c r="H1660" s="311">
        <v>1.9665077538395504E-3</v>
      </c>
      <c r="I1660" s="394">
        <v>2.1294980349220059E-3</v>
      </c>
      <c r="J1660" s="689">
        <v>2.1609007924229063E-4</v>
      </c>
      <c r="K1660" s="690">
        <v>2.2586070591687705E-4</v>
      </c>
    </row>
    <row r="1661" spans="2:11" ht="15.75" x14ac:dyDescent="0.25">
      <c r="B1661" s="667" t="s">
        <v>94</v>
      </c>
      <c r="C1661" s="110">
        <v>2023</v>
      </c>
      <c r="D1661" s="687" t="s">
        <v>2388</v>
      </c>
      <c r="E1661" s="688">
        <v>3.604936701757646E-2</v>
      </c>
      <c r="F1661" s="310">
        <v>2.0473179919948445E-2</v>
      </c>
      <c r="G1661" s="311">
        <v>8.7912099121266227E-2</v>
      </c>
      <c r="H1661" s="311">
        <v>1.8534395320791415E-3</v>
      </c>
      <c r="I1661" s="394">
        <v>2.0077399458169332E-3</v>
      </c>
      <c r="J1661" s="689">
        <v>1.8851128891334834E-4</v>
      </c>
      <c r="K1661" s="690">
        <v>1.9703492928047796E-4</v>
      </c>
    </row>
    <row r="1662" spans="2:11" ht="15.75" x14ac:dyDescent="0.25">
      <c r="B1662" s="667" t="s">
        <v>94</v>
      </c>
      <c r="C1662" s="110">
        <v>2024</v>
      </c>
      <c r="D1662" s="687" t="s">
        <v>2389</v>
      </c>
      <c r="E1662" s="688">
        <v>3.5088283706007473E-2</v>
      </c>
      <c r="F1662" s="310">
        <v>1.7697883148703575E-2</v>
      </c>
      <c r="G1662" s="311">
        <v>7.6662433301427302E-2</v>
      </c>
      <c r="H1662" s="311">
        <v>1.7524287462150404E-3</v>
      </c>
      <c r="I1662" s="394">
        <v>1.8989905736937495E-3</v>
      </c>
      <c r="J1662" s="689">
        <v>1.6328036142355547E-4</v>
      </c>
      <c r="K1662" s="690">
        <v>1.7066317113446171E-4</v>
      </c>
    </row>
    <row r="1663" spans="2:11" ht="15.75" x14ac:dyDescent="0.25">
      <c r="B1663" s="667" t="s">
        <v>94</v>
      </c>
      <c r="C1663" s="110">
        <v>2025</v>
      </c>
      <c r="D1663" s="687" t="s">
        <v>2390</v>
      </c>
      <c r="E1663" s="688">
        <v>3.3964712281006101E-2</v>
      </c>
      <c r="F1663" s="310">
        <v>1.5457440305287534E-2</v>
      </c>
      <c r="G1663" s="311">
        <v>6.7572472310103562E-2</v>
      </c>
      <c r="H1663" s="311">
        <v>1.6684477015918822E-3</v>
      </c>
      <c r="I1663" s="394">
        <v>1.808501558249939E-3</v>
      </c>
      <c r="J1663" s="689">
        <v>1.4361492885754033E-4</v>
      </c>
      <c r="K1663" s="690">
        <v>1.5010856176994456E-4</v>
      </c>
    </row>
    <row r="1664" spans="2:11" ht="15.75" x14ac:dyDescent="0.25">
      <c r="B1664" s="667" t="s">
        <v>94</v>
      </c>
      <c r="C1664" s="110">
        <v>2026</v>
      </c>
      <c r="D1664" s="687" t="s">
        <v>2391</v>
      </c>
      <c r="E1664" s="688">
        <v>3.295136371626458E-2</v>
      </c>
      <c r="F1664" s="310">
        <v>1.3605034351003608E-2</v>
      </c>
      <c r="G1664" s="311">
        <v>6.0156048771064813E-2</v>
      </c>
      <c r="H1664" s="311">
        <v>1.5838733692104285E-3</v>
      </c>
      <c r="I1664" s="394">
        <v>1.7174551072096211E-3</v>
      </c>
      <c r="J1664" s="689">
        <v>1.2153575472250177E-4</v>
      </c>
      <c r="K1664" s="690">
        <v>1.2703106709926456E-4</v>
      </c>
    </row>
    <row r="1665" spans="2:11" ht="15.75" x14ac:dyDescent="0.25">
      <c r="B1665" s="667" t="s">
        <v>94</v>
      </c>
      <c r="C1665" s="110">
        <v>2027</v>
      </c>
      <c r="D1665" s="687" t="s">
        <v>2392</v>
      </c>
      <c r="E1665" s="688">
        <v>3.203699680992167E-2</v>
      </c>
      <c r="F1665" s="310">
        <v>1.2022571799845476E-2</v>
      </c>
      <c r="G1665" s="311">
        <v>5.3898588821273387E-2</v>
      </c>
      <c r="H1665" s="311">
        <v>1.4914456027710966E-3</v>
      </c>
      <c r="I1665" s="394">
        <v>1.6179521220230828E-3</v>
      </c>
      <c r="J1665" s="689">
        <v>9.7482369457620435E-5</v>
      </c>
      <c r="K1665" s="690">
        <v>1.0189008920632294E-4</v>
      </c>
    </row>
    <row r="1666" spans="2:11" ht="15.75" x14ac:dyDescent="0.25">
      <c r="B1666" s="667" t="s">
        <v>94</v>
      </c>
      <c r="C1666" s="110">
        <v>2028</v>
      </c>
      <c r="D1666" s="687" t="s">
        <v>2393</v>
      </c>
      <c r="E1666" s="688">
        <v>3.1222164957122864E-2</v>
      </c>
      <c r="F1666" s="310">
        <v>1.0713592824642236E-2</v>
      </c>
      <c r="G1666" s="311">
        <v>4.8709301301112368E-2</v>
      </c>
      <c r="H1666" s="311">
        <v>1.3980034415133982E-3</v>
      </c>
      <c r="I1666" s="394">
        <v>1.5171175043644537E-3</v>
      </c>
      <c r="J1666" s="689">
        <v>7.8789162781276449E-5</v>
      </c>
      <c r="K1666" s="690">
        <v>8.2351652745235696E-5</v>
      </c>
    </row>
    <row r="1667" spans="2:11" ht="15.75" x14ac:dyDescent="0.25">
      <c r="B1667" s="667" t="s">
        <v>94</v>
      </c>
      <c r="C1667" s="110">
        <v>2029</v>
      </c>
      <c r="D1667" s="687" t="s">
        <v>2394</v>
      </c>
      <c r="E1667" s="688">
        <v>3.0493932931446314E-2</v>
      </c>
      <c r="F1667" s="310">
        <v>9.5271038695181279E-3</v>
      </c>
      <c r="G1667" s="311">
        <v>4.4138204860051412E-2</v>
      </c>
      <c r="H1667" s="311">
        <v>1.3094565222009609E-3</v>
      </c>
      <c r="I1667" s="394">
        <v>1.4213878991996825E-3</v>
      </c>
      <c r="J1667" s="689">
        <v>6.526107802798644E-5</v>
      </c>
      <c r="K1667" s="690">
        <v>6.8211896668961223E-5</v>
      </c>
    </row>
    <row r="1668" spans="2:11" ht="15.75" x14ac:dyDescent="0.25">
      <c r="B1668" s="667" t="s">
        <v>94</v>
      </c>
      <c r="C1668" s="110">
        <v>2030</v>
      </c>
      <c r="D1668" s="687" t="s">
        <v>2395</v>
      </c>
      <c r="E1668" s="688">
        <v>2.984715877556781E-2</v>
      </c>
      <c r="F1668" s="310">
        <v>8.555666998712446E-3</v>
      </c>
      <c r="G1668" s="311">
        <v>4.0410898928744624E-2</v>
      </c>
      <c r="H1668" s="311">
        <v>1.2260512071877907E-3</v>
      </c>
      <c r="I1668" s="394">
        <v>1.3311583708641161E-3</v>
      </c>
      <c r="J1668" s="689">
        <v>5.3902157933734043E-5</v>
      </c>
      <c r="K1668" s="690">
        <v>5.6339372696105013E-5</v>
      </c>
    </row>
    <row r="1669" spans="2:11" ht="15.75" x14ac:dyDescent="0.25">
      <c r="B1669" s="667" t="s">
        <v>94</v>
      </c>
      <c r="C1669" s="110">
        <v>2031</v>
      </c>
      <c r="D1669" s="687" t="s">
        <v>2396</v>
      </c>
      <c r="E1669" s="688">
        <v>2.9480780920296764E-2</v>
      </c>
      <c r="F1669" s="310">
        <v>7.6795615325772277E-3</v>
      </c>
      <c r="G1669" s="311">
        <v>3.7072648271754535E-2</v>
      </c>
      <c r="H1669" s="311">
        <v>1.1505282802232834E-3</v>
      </c>
      <c r="I1669" s="394">
        <v>1.2492267671107944E-3</v>
      </c>
      <c r="J1669" s="689">
        <v>4.9027108241698411E-5</v>
      </c>
      <c r="K1669" s="690">
        <v>5.1243889460417229E-5</v>
      </c>
    </row>
    <row r="1670" spans="2:11" ht="15.75" x14ac:dyDescent="0.25">
      <c r="B1670" s="667" t="s">
        <v>94</v>
      </c>
      <c r="C1670" s="110">
        <v>2032</v>
      </c>
      <c r="D1670" s="687" t="s">
        <v>2397</v>
      </c>
      <c r="E1670" s="688">
        <v>2.8970451108628479E-2</v>
      </c>
      <c r="F1670" s="310">
        <v>6.9270753198384799E-3</v>
      </c>
      <c r="G1670" s="311">
        <v>3.4310740823331229E-2</v>
      </c>
      <c r="H1670" s="311">
        <v>1.0782265743286708E-3</v>
      </c>
      <c r="I1670" s="394">
        <v>1.1708494402167006E-3</v>
      </c>
      <c r="J1670" s="689">
        <v>4.2963334709689159E-5</v>
      </c>
      <c r="K1670" s="690">
        <v>4.4905942799419065E-5</v>
      </c>
    </row>
    <row r="1671" spans="2:11" ht="15.75" x14ac:dyDescent="0.25">
      <c r="B1671" s="667" t="s">
        <v>94</v>
      </c>
      <c r="C1671" s="110">
        <v>2033</v>
      </c>
      <c r="D1671" s="687" t="s">
        <v>2398</v>
      </c>
      <c r="E1671" s="688">
        <v>2.8521060518767245E-2</v>
      </c>
      <c r="F1671" s="310">
        <v>6.2946075506604459E-3</v>
      </c>
      <c r="G1671" s="311">
        <v>3.2096898320424234E-2</v>
      </c>
      <c r="H1671" s="311">
        <v>1.0132727336587247E-3</v>
      </c>
      <c r="I1671" s="394">
        <v>1.1003584249107976E-3</v>
      </c>
      <c r="J1671" s="689">
        <v>3.9378590349475523E-5</v>
      </c>
      <c r="K1671" s="690">
        <v>4.1159112118109871E-5</v>
      </c>
    </row>
    <row r="1672" spans="2:11" ht="15.75" x14ac:dyDescent="0.25">
      <c r="B1672" s="667" t="s">
        <v>94</v>
      </c>
      <c r="C1672" s="110">
        <v>2034</v>
      </c>
      <c r="D1672" s="687" t="s">
        <v>2399</v>
      </c>
      <c r="E1672" s="688">
        <v>2.8125325116681713E-2</v>
      </c>
      <c r="F1672" s="310">
        <v>5.7025252620106414E-3</v>
      </c>
      <c r="G1672" s="311">
        <v>3.0082548043682936E-2</v>
      </c>
      <c r="H1672" s="311">
        <v>9.5164974441068158E-4</v>
      </c>
      <c r="I1672" s="394">
        <v>1.0334604036993534E-3</v>
      </c>
      <c r="J1672" s="689">
        <v>3.6474961058022271E-5</v>
      </c>
      <c r="K1672" s="690">
        <v>3.8124191573750708E-5</v>
      </c>
    </row>
    <row r="1673" spans="2:11" ht="15.75" x14ac:dyDescent="0.25">
      <c r="B1673" s="667" t="s">
        <v>94</v>
      </c>
      <c r="C1673" s="110">
        <v>2035</v>
      </c>
      <c r="D1673" s="687" t="s">
        <v>2400</v>
      </c>
      <c r="E1673" s="688">
        <v>2.778047943463401E-2</v>
      </c>
      <c r="F1673" s="310">
        <v>5.1796112830201401E-3</v>
      </c>
      <c r="G1673" s="311">
        <v>2.8383931175280628E-2</v>
      </c>
      <c r="H1673" s="311">
        <v>8.9423427135300662E-4</v>
      </c>
      <c r="I1673" s="394">
        <v>9.7113178996635044E-4</v>
      </c>
      <c r="J1673" s="689">
        <v>3.3735683633452156E-5</v>
      </c>
      <c r="K1673" s="690">
        <v>3.5261058716315264E-5</v>
      </c>
    </row>
    <row r="1674" spans="2:11" ht="15.75" x14ac:dyDescent="0.25">
      <c r="B1674" s="667" t="s">
        <v>94</v>
      </c>
      <c r="C1674" s="110">
        <v>2036</v>
      </c>
      <c r="D1674" s="687" t="s">
        <v>2401</v>
      </c>
      <c r="E1674" s="688">
        <v>2.748097310824086E-2</v>
      </c>
      <c r="F1674" s="310">
        <v>4.7247162019712265E-3</v>
      </c>
      <c r="G1674" s="311">
        <v>2.6961230797751312E-2</v>
      </c>
      <c r="H1674" s="311">
        <v>8.4492330099245202E-4</v>
      </c>
      <c r="I1674" s="394">
        <v>9.1760606298774844E-4</v>
      </c>
      <c r="J1674" s="689">
        <v>3.1269549798795549E-5</v>
      </c>
      <c r="K1674" s="690">
        <v>3.2683425567567804E-5</v>
      </c>
    </row>
    <row r="1675" spans="2:11" ht="15.75" x14ac:dyDescent="0.25">
      <c r="B1675" s="667" t="s">
        <v>94</v>
      </c>
      <c r="C1675" s="110">
        <v>2037</v>
      </c>
      <c r="D1675" s="687" t="s">
        <v>2402</v>
      </c>
      <c r="E1675" s="688">
        <v>2.7223250886550098E-2</v>
      </c>
      <c r="F1675" s="310">
        <v>4.333154278160437E-3</v>
      </c>
      <c r="G1675" s="311">
        <v>2.5781532675603552E-2</v>
      </c>
      <c r="H1675" s="311">
        <v>8.0037940426680107E-4</v>
      </c>
      <c r="I1675" s="394">
        <v>8.6925030967371409E-4</v>
      </c>
      <c r="J1675" s="689">
        <v>2.9149474542078177E-5</v>
      </c>
      <c r="K1675" s="690">
        <v>3.046748337555061E-5</v>
      </c>
    </row>
    <row r="1676" spans="2:11" ht="15.75" x14ac:dyDescent="0.25">
      <c r="B1676" s="667" t="s">
        <v>94</v>
      </c>
      <c r="C1676" s="110">
        <v>2038</v>
      </c>
      <c r="D1676" s="687" t="s">
        <v>2403</v>
      </c>
      <c r="E1676" s="688">
        <v>2.7002668660380723E-2</v>
      </c>
      <c r="F1676" s="310">
        <v>3.966366707193779E-3</v>
      </c>
      <c r="G1676" s="311">
        <v>2.4675148902176675E-2</v>
      </c>
      <c r="H1676" s="311">
        <v>7.6010687823529566E-4</v>
      </c>
      <c r="I1676" s="394">
        <v>8.2551833061473808E-4</v>
      </c>
      <c r="J1676" s="689">
        <v>2.7550599392898358E-5</v>
      </c>
      <c r="K1676" s="690">
        <v>2.8796306454415416E-5</v>
      </c>
    </row>
    <row r="1677" spans="2:11" ht="15.75" x14ac:dyDescent="0.25">
      <c r="B1677" s="667" t="s">
        <v>94</v>
      </c>
      <c r="C1677" s="110">
        <v>2039</v>
      </c>
      <c r="D1677" s="687" t="s">
        <v>2404</v>
      </c>
      <c r="E1677" s="688">
        <v>2.681350845759372E-2</v>
      </c>
      <c r="F1677" s="310">
        <v>3.6209664481994695E-3</v>
      </c>
      <c r="G1677" s="311">
        <v>2.3635028101730845E-2</v>
      </c>
      <c r="H1677" s="311">
        <v>7.2375952076448409E-4</v>
      </c>
      <c r="I1677" s="394">
        <v>7.8604511435762003E-4</v>
      </c>
      <c r="J1677" s="689">
        <v>2.6174354933268137E-5</v>
      </c>
      <c r="K1677" s="690">
        <v>2.7357844565953054E-5</v>
      </c>
    </row>
    <row r="1678" spans="2:11" ht="15.75" x14ac:dyDescent="0.25">
      <c r="B1678" s="667" t="s">
        <v>94</v>
      </c>
      <c r="C1678" s="110">
        <v>2040</v>
      </c>
      <c r="D1678" s="687" t="s">
        <v>2405</v>
      </c>
      <c r="E1678" s="688">
        <v>2.6653606635717367E-2</v>
      </c>
      <c r="F1678" s="310">
        <v>3.3146298268529649E-3</v>
      </c>
      <c r="G1678" s="311">
        <v>2.2794685117331334E-2</v>
      </c>
      <c r="H1678" s="311">
        <v>6.913599876043426E-4</v>
      </c>
      <c r="I1678" s="394">
        <v>7.5085830201324804E-4</v>
      </c>
      <c r="J1678" s="689">
        <v>2.4997634772105906E-5</v>
      </c>
      <c r="K1678" s="690">
        <v>2.6127918686346583E-5</v>
      </c>
    </row>
    <row r="1679" spans="2:11" ht="15.75" x14ac:dyDescent="0.25">
      <c r="B1679" s="667" t="s">
        <v>94</v>
      </c>
      <c r="C1679" s="110">
        <v>2041</v>
      </c>
      <c r="D1679" s="687" t="s">
        <v>2406</v>
      </c>
      <c r="E1679" s="688">
        <v>2.6520027020341654E-2</v>
      </c>
      <c r="F1679" s="310">
        <v>3.0628208887913395E-3</v>
      </c>
      <c r="G1679" s="311">
        <v>2.2072309848025138E-2</v>
      </c>
      <c r="H1679" s="311">
        <v>6.6625307322416458E-4</v>
      </c>
      <c r="I1679" s="394">
        <v>7.2359403180551475E-4</v>
      </c>
      <c r="J1679" s="689">
        <v>2.3994373773099115E-5</v>
      </c>
      <c r="K1679" s="690">
        <v>2.5079286449228962E-5</v>
      </c>
    </row>
    <row r="1680" spans="2:11" ht="15.75" x14ac:dyDescent="0.25">
      <c r="B1680" s="667" t="s">
        <v>94</v>
      </c>
      <c r="C1680" s="110">
        <v>2042</v>
      </c>
      <c r="D1680" s="687" t="s">
        <v>2407</v>
      </c>
      <c r="E1680" s="688">
        <v>2.6406158138943044E-2</v>
      </c>
      <c r="F1680" s="310">
        <v>2.8442140788202826E-3</v>
      </c>
      <c r="G1680" s="311">
        <v>2.1406667941057968E-2</v>
      </c>
      <c r="H1680" s="311">
        <v>6.442964062293525E-4</v>
      </c>
      <c r="I1680" s="394">
        <v>6.9975094621973295E-4</v>
      </c>
      <c r="J1680" s="689">
        <v>2.3129363900019694E-5</v>
      </c>
      <c r="K1680" s="690">
        <v>2.4175170853660919E-5</v>
      </c>
    </row>
    <row r="1681" spans="2:11" ht="15.75" x14ac:dyDescent="0.25">
      <c r="B1681" s="667" t="s">
        <v>94</v>
      </c>
      <c r="C1681" s="110">
        <v>2043</v>
      </c>
      <c r="D1681" s="687" t="s">
        <v>2408</v>
      </c>
      <c r="E1681" s="688">
        <v>2.6311506706974415E-2</v>
      </c>
      <c r="F1681" s="310">
        <v>2.6819982274985743E-3</v>
      </c>
      <c r="G1681" s="311">
        <v>2.0911166286582916E-2</v>
      </c>
      <c r="H1681" s="311">
        <v>6.2540824469908092E-4</v>
      </c>
      <c r="I1681" s="394">
        <v>6.792371824686659E-4</v>
      </c>
      <c r="J1681" s="689">
        <v>2.244670602986652E-5</v>
      </c>
      <c r="K1681" s="690">
        <v>2.3461646588096651E-5</v>
      </c>
    </row>
    <row r="1682" spans="2:11" ht="15.75" x14ac:dyDescent="0.25">
      <c r="B1682" s="667" t="s">
        <v>94</v>
      </c>
      <c r="C1682" s="110">
        <v>2044</v>
      </c>
      <c r="D1682" s="687" t="s">
        <v>2409</v>
      </c>
      <c r="E1682" s="688">
        <v>2.6231448149147199E-2</v>
      </c>
      <c r="F1682" s="310">
        <v>2.5627408920896569E-3</v>
      </c>
      <c r="G1682" s="311">
        <v>2.0523828110802715E-2</v>
      </c>
      <c r="H1682" s="311">
        <v>6.0914914558020969E-4</v>
      </c>
      <c r="I1682" s="394">
        <v>6.6157635196806926E-4</v>
      </c>
      <c r="J1682" s="689">
        <v>2.1913814283578881E-5</v>
      </c>
      <c r="K1682" s="690">
        <v>2.2904660705740796E-5</v>
      </c>
    </row>
    <row r="1683" spans="2:11" ht="15.75" x14ac:dyDescent="0.25">
      <c r="B1683" s="667" t="s">
        <v>94</v>
      </c>
      <c r="C1683" s="110">
        <v>2045</v>
      </c>
      <c r="D1683" s="687" t="s">
        <v>2410</v>
      </c>
      <c r="E1683" s="688">
        <v>2.6161111631577031E-2</v>
      </c>
      <c r="F1683" s="310">
        <v>2.4819498862367088E-3</v>
      </c>
      <c r="G1683" s="311">
        <v>2.0250081718723296E-2</v>
      </c>
      <c r="H1683" s="311">
        <v>5.9514048149205583E-4</v>
      </c>
      <c r="I1683" s="394">
        <v>6.4635956810658304E-4</v>
      </c>
      <c r="J1683" s="689">
        <v>2.1473706943679095E-5</v>
      </c>
      <c r="K1683" s="690">
        <v>2.2444649168659404E-5</v>
      </c>
    </row>
    <row r="1684" spans="2:11" ht="15.75" x14ac:dyDescent="0.25">
      <c r="B1684" s="667" t="s">
        <v>94</v>
      </c>
      <c r="C1684" s="110">
        <v>2046</v>
      </c>
      <c r="D1684" s="687" t="s">
        <v>2411</v>
      </c>
      <c r="E1684" s="688">
        <v>2.6100646644066885E-2</v>
      </c>
      <c r="F1684" s="310">
        <v>2.409659415865959E-3</v>
      </c>
      <c r="G1684" s="311">
        <v>2.001419838337665E-2</v>
      </c>
      <c r="H1684" s="311">
        <v>5.8327148163111314E-4</v>
      </c>
      <c r="I1684" s="394">
        <v>6.3346651155333621E-4</v>
      </c>
      <c r="J1684" s="689">
        <v>2.1118490313503018E-5</v>
      </c>
      <c r="K1684" s="690">
        <v>2.2073378025496485E-5</v>
      </c>
    </row>
    <row r="1685" spans="2:11" ht="15.75" x14ac:dyDescent="0.25">
      <c r="B1685" s="667" t="s">
        <v>94</v>
      </c>
      <c r="C1685" s="110">
        <v>2047</v>
      </c>
      <c r="D1685" s="687" t="s">
        <v>2412</v>
      </c>
      <c r="E1685" s="688">
        <v>2.6049908477025437E-2</v>
      </c>
      <c r="F1685" s="310">
        <v>2.3484203950609695E-3</v>
      </c>
      <c r="G1685" s="311">
        <v>1.9815677127522847E-2</v>
      </c>
      <c r="H1685" s="311">
        <v>5.734116330736713E-4</v>
      </c>
      <c r="I1685" s="394">
        <v>6.2275691096470094E-4</v>
      </c>
      <c r="J1685" s="689">
        <v>2.0781403539343295E-5</v>
      </c>
      <c r="K1685" s="690">
        <v>2.1721049295172969E-5</v>
      </c>
    </row>
    <row r="1686" spans="2:11" ht="15.75" x14ac:dyDescent="0.25">
      <c r="B1686" s="667" t="s">
        <v>94</v>
      </c>
      <c r="C1686" s="110">
        <v>2048</v>
      </c>
      <c r="D1686" s="687" t="s">
        <v>2413</v>
      </c>
      <c r="E1686" s="688">
        <v>2.6006260782433753E-2</v>
      </c>
      <c r="F1686" s="310">
        <v>2.3004903693713036E-3</v>
      </c>
      <c r="G1686" s="311">
        <v>1.9657224519070243E-2</v>
      </c>
      <c r="H1686" s="311">
        <v>5.6518591638047373E-4</v>
      </c>
      <c r="I1686" s="394">
        <v>6.1382622239879625E-4</v>
      </c>
      <c r="J1686" s="689">
        <v>2.0423636435642994E-5</v>
      </c>
      <c r="K1686" s="690">
        <v>2.1347097524561829E-5</v>
      </c>
    </row>
    <row r="1687" spans="2:11" ht="15.75" x14ac:dyDescent="0.25">
      <c r="B1687" s="667" t="s">
        <v>94</v>
      </c>
      <c r="C1687" s="110">
        <v>2049</v>
      </c>
      <c r="D1687" s="687" t="s">
        <v>2414</v>
      </c>
      <c r="E1687" s="688">
        <v>2.5968722795525742E-2</v>
      </c>
      <c r="F1687" s="310">
        <v>2.2830950160410523E-3</v>
      </c>
      <c r="G1687" s="311">
        <v>1.9660070876689723E-2</v>
      </c>
      <c r="H1687" s="311">
        <v>5.6004001401071309E-4</v>
      </c>
      <c r="I1687" s="394">
        <v>6.0823881304394997E-4</v>
      </c>
      <c r="J1687" s="689">
        <v>2.0196680859246127E-5</v>
      </c>
      <c r="K1687" s="690">
        <v>2.1109879623358412E-5</v>
      </c>
    </row>
    <row r="1688" spans="2:11" ht="15.75" x14ac:dyDescent="0.25">
      <c r="B1688" s="667" t="s">
        <v>94</v>
      </c>
      <c r="C1688" s="110">
        <v>2050</v>
      </c>
      <c r="D1688" s="687" t="s">
        <v>2415</v>
      </c>
      <c r="E1688" s="688">
        <v>2.5937374504020422E-2</v>
      </c>
      <c r="F1688" s="310">
        <v>2.2692625832479597E-3</v>
      </c>
      <c r="G1688" s="311">
        <v>1.9665088999139213E-2</v>
      </c>
      <c r="H1688" s="311">
        <v>5.5581357191534402E-4</v>
      </c>
      <c r="I1688" s="394">
        <v>6.0365272921357775E-4</v>
      </c>
      <c r="J1688" s="689">
        <v>1.9952493516487701E-5</v>
      </c>
      <c r="K1688" s="690">
        <v>2.0854650485895892E-5</v>
      </c>
    </row>
    <row r="1689" spans="2:11" ht="15.75" x14ac:dyDescent="0.25">
      <c r="B1689" s="667" t="s">
        <v>95</v>
      </c>
      <c r="C1689" s="110">
        <v>2015</v>
      </c>
      <c r="D1689" s="687" t="s">
        <v>297</v>
      </c>
      <c r="E1689" s="688">
        <v>4.4545008148838737E-2</v>
      </c>
      <c r="F1689" s="310">
        <v>6.9906696726440454E-2</v>
      </c>
      <c r="G1689" s="311">
        <v>0.25282605463574276</v>
      </c>
      <c r="H1689" s="311">
        <v>2.2859091477702154E-3</v>
      </c>
      <c r="I1689" s="394">
        <v>2.470360882958913E-3</v>
      </c>
      <c r="J1689" s="689">
        <v>2.3181869792218658E-4</v>
      </c>
      <c r="K1689" s="690">
        <v>2.4230051254512958E-4</v>
      </c>
    </row>
    <row r="1690" spans="2:11" ht="15.75" x14ac:dyDescent="0.25">
      <c r="B1690" s="667" t="s">
        <v>95</v>
      </c>
      <c r="C1690" s="110">
        <v>2016</v>
      </c>
      <c r="D1690" s="687" t="s">
        <v>298</v>
      </c>
      <c r="E1690" s="688">
        <v>4.3588607189394335E-2</v>
      </c>
      <c r="F1690" s="310">
        <v>5.7794860505314467E-2</v>
      </c>
      <c r="G1690" s="311">
        <v>0.2156555356921101</v>
      </c>
      <c r="H1690" s="311">
        <v>2.1090088952049097E-3</v>
      </c>
      <c r="I1690" s="394">
        <v>2.2813301522150646E-3</v>
      </c>
      <c r="J1690" s="689">
        <v>1.9333547180152593E-4</v>
      </c>
      <c r="K1690" s="690">
        <v>2.0207724567486286E-4</v>
      </c>
    </row>
    <row r="1691" spans="2:11" ht="15.75" x14ac:dyDescent="0.25">
      <c r="B1691" s="667" t="s">
        <v>95</v>
      </c>
      <c r="C1691" s="110">
        <v>2017</v>
      </c>
      <c r="D1691" s="687" t="s">
        <v>2416</v>
      </c>
      <c r="E1691" s="688">
        <v>4.2456865452008163E-2</v>
      </c>
      <c r="F1691" s="310">
        <v>4.7386795212794444E-2</v>
      </c>
      <c r="G1691" s="311">
        <v>0.18292560604205746</v>
      </c>
      <c r="H1691" s="311">
        <v>2.0047444002498239E-3</v>
      </c>
      <c r="I1691" s="394">
        <v>2.1702009688120577E-3</v>
      </c>
      <c r="J1691" s="689">
        <v>1.7342702358150644E-4</v>
      </c>
      <c r="K1691" s="690">
        <v>1.8126862267108391E-4</v>
      </c>
    </row>
    <row r="1692" spans="2:11" ht="15.75" x14ac:dyDescent="0.25">
      <c r="B1692" s="667" t="s">
        <v>95</v>
      </c>
      <c r="C1692" s="110">
        <v>2018</v>
      </c>
      <c r="D1692" s="687" t="s">
        <v>2417</v>
      </c>
      <c r="E1692" s="688">
        <v>4.126594050556559E-2</v>
      </c>
      <c r="F1692" s="310">
        <v>3.8420040053700553E-2</v>
      </c>
      <c r="G1692" s="311">
        <v>0.15445345510885478</v>
      </c>
      <c r="H1692" s="311">
        <v>1.9406256345239946E-3</v>
      </c>
      <c r="I1692" s="394">
        <v>2.1023579789948752E-3</v>
      </c>
      <c r="J1692" s="689">
        <v>1.5630571178150003E-4</v>
      </c>
      <c r="K1692" s="690">
        <v>1.6337316376377622E-4</v>
      </c>
    </row>
    <row r="1693" spans="2:11" ht="15.75" x14ac:dyDescent="0.25">
      <c r="B1693" s="667" t="s">
        <v>95</v>
      </c>
      <c r="C1693" s="110">
        <v>2019</v>
      </c>
      <c r="D1693" s="687" t="s">
        <v>2418</v>
      </c>
      <c r="E1693" s="688">
        <v>4.0057333789748108E-2</v>
      </c>
      <c r="F1693" s="310">
        <v>3.1429635682108721E-2</v>
      </c>
      <c r="G1693" s="311">
        <v>0.13082825752381863</v>
      </c>
      <c r="H1693" s="311">
        <v>1.8963160598334998E-3</v>
      </c>
      <c r="I1693" s="394">
        <v>2.0556113229166198E-3</v>
      </c>
      <c r="J1693" s="689">
        <v>1.3953964360679529E-4</v>
      </c>
      <c r="K1693" s="690">
        <v>1.4584900690409032E-4</v>
      </c>
    </row>
    <row r="1694" spans="2:11" ht="15.75" x14ac:dyDescent="0.25">
      <c r="B1694" s="667" t="s">
        <v>95</v>
      </c>
      <c r="C1694" s="110">
        <v>2020</v>
      </c>
      <c r="D1694" s="687" t="s">
        <v>2419</v>
      </c>
      <c r="E1694" s="688">
        <v>3.8847190241261861E-2</v>
      </c>
      <c r="F1694" s="310">
        <v>2.6106533500242685E-2</v>
      </c>
      <c r="G1694" s="311">
        <v>0.11122844211302545</v>
      </c>
      <c r="H1694" s="311">
        <v>1.8300549309232658E-3</v>
      </c>
      <c r="I1694" s="394">
        <v>1.9844120059993356E-3</v>
      </c>
      <c r="J1694" s="689">
        <v>1.2676464306987417E-4</v>
      </c>
      <c r="K1694" s="690">
        <v>1.324963770581595E-4</v>
      </c>
    </row>
    <row r="1695" spans="2:11" ht="15.75" x14ac:dyDescent="0.25">
      <c r="B1695" s="667" t="s">
        <v>95</v>
      </c>
      <c r="C1695" s="110">
        <v>2021</v>
      </c>
      <c r="D1695" s="687" t="s">
        <v>2420</v>
      </c>
      <c r="E1695" s="688">
        <v>3.7681324195130012E-2</v>
      </c>
      <c r="F1695" s="310">
        <v>2.1885806228969535E-2</v>
      </c>
      <c r="G1695" s="311">
        <v>9.4689192645789538E-2</v>
      </c>
      <c r="H1695" s="311">
        <v>1.7288694826447825E-3</v>
      </c>
      <c r="I1695" s="394">
        <v>1.8751050575567139E-3</v>
      </c>
      <c r="J1695" s="689">
        <v>1.1413981778412774E-4</v>
      </c>
      <c r="K1695" s="690">
        <v>1.1930071232906791E-4</v>
      </c>
    </row>
    <row r="1696" spans="2:11" ht="15.75" x14ac:dyDescent="0.25">
      <c r="B1696" s="667" t="s">
        <v>95</v>
      </c>
      <c r="C1696" s="110">
        <v>2022</v>
      </c>
      <c r="D1696" s="687" t="s">
        <v>2421</v>
      </c>
      <c r="E1696" s="688">
        <v>3.6507432570238439E-2</v>
      </c>
      <c r="F1696" s="310">
        <v>1.8017367922938794E-2</v>
      </c>
      <c r="G1696" s="311">
        <v>8.0610459235589363E-2</v>
      </c>
      <c r="H1696" s="311">
        <v>1.6321421493169122E-3</v>
      </c>
      <c r="I1696" s="394">
        <v>1.7706686382756754E-3</v>
      </c>
      <c r="J1696" s="689">
        <v>1.0247189097534422E-4</v>
      </c>
      <c r="K1696" s="690">
        <v>1.0710522105943586E-4</v>
      </c>
    </row>
    <row r="1697" spans="2:11" ht="15.75" x14ac:dyDescent="0.25">
      <c r="B1697" s="667" t="s">
        <v>95</v>
      </c>
      <c r="C1697" s="110">
        <v>2023</v>
      </c>
      <c r="D1697" s="687" t="s">
        <v>2422</v>
      </c>
      <c r="E1697" s="688">
        <v>3.5351669670958333E-2</v>
      </c>
      <c r="F1697" s="310">
        <v>1.5405275269370782E-2</v>
      </c>
      <c r="G1697" s="311">
        <v>6.9529142470826102E-2</v>
      </c>
      <c r="H1697" s="311">
        <v>1.5473760309145095E-3</v>
      </c>
      <c r="I1697" s="394">
        <v>1.6789489983111846E-3</v>
      </c>
      <c r="J1697" s="689">
        <v>9.2374591185176354E-5</v>
      </c>
      <c r="K1697" s="690">
        <v>9.6551358467766095E-5</v>
      </c>
    </row>
    <row r="1698" spans="2:11" ht="15.75" x14ac:dyDescent="0.25">
      <c r="B1698" s="667" t="s">
        <v>95</v>
      </c>
      <c r="C1698" s="110">
        <v>2024</v>
      </c>
      <c r="D1698" s="687" t="s">
        <v>2423</v>
      </c>
      <c r="E1698" s="688">
        <v>3.4222103684193129E-2</v>
      </c>
      <c r="F1698" s="310">
        <v>1.3235735501327103E-2</v>
      </c>
      <c r="G1698" s="311">
        <v>6.0421113846582365E-2</v>
      </c>
      <c r="H1698" s="311">
        <v>1.4721554755686471E-3</v>
      </c>
      <c r="I1698" s="394">
        <v>1.5975921229505574E-3</v>
      </c>
      <c r="J1698" s="689">
        <v>8.2542200906055908E-5</v>
      </c>
      <c r="K1698" s="690">
        <v>8.6274398669710127E-5</v>
      </c>
    </row>
    <row r="1699" spans="2:11" ht="15.75" x14ac:dyDescent="0.25">
      <c r="B1699" s="667" t="s">
        <v>95</v>
      </c>
      <c r="C1699" s="110">
        <v>2025</v>
      </c>
      <c r="D1699" s="687" t="s">
        <v>2424</v>
      </c>
      <c r="E1699" s="688">
        <v>3.3115092429379864E-2</v>
      </c>
      <c r="F1699" s="310">
        <v>1.1505739223961996E-2</v>
      </c>
      <c r="G1699" s="311">
        <v>5.3195823256683226E-2</v>
      </c>
      <c r="H1699" s="311">
        <v>1.4093936070337064E-3</v>
      </c>
      <c r="I1699" s="394">
        <v>1.5296951153086946E-3</v>
      </c>
      <c r="J1699" s="689">
        <v>7.4264041522121183E-5</v>
      </c>
      <c r="K1699" s="690">
        <v>7.762193591684368E-5</v>
      </c>
    </row>
    <row r="1700" spans="2:11" ht="15.75" x14ac:dyDescent="0.25">
      <c r="B1700" s="667" t="s">
        <v>95</v>
      </c>
      <c r="C1700" s="110">
        <v>2026</v>
      </c>
      <c r="D1700" s="687" t="s">
        <v>2425</v>
      </c>
      <c r="E1700" s="688">
        <v>3.2070153107086247E-2</v>
      </c>
      <c r="F1700" s="310">
        <v>1.0102661434820614E-2</v>
      </c>
      <c r="G1700" s="311">
        <v>4.7422944489951178E-2</v>
      </c>
      <c r="H1700" s="311">
        <v>1.3442034494606178E-3</v>
      </c>
      <c r="I1700" s="394">
        <v>1.4591880612119215E-3</v>
      </c>
      <c r="J1700" s="689">
        <v>6.5020033342591692E-5</v>
      </c>
      <c r="K1700" s="690">
        <v>6.7959944844119872E-5</v>
      </c>
    </row>
    <row r="1701" spans="2:11" ht="15.75" x14ac:dyDescent="0.25">
      <c r="B1701" s="667" t="s">
        <v>95</v>
      </c>
      <c r="C1701" s="110">
        <v>2027</v>
      </c>
      <c r="D1701" s="687" t="s">
        <v>2426</v>
      </c>
      <c r="E1701" s="688">
        <v>3.1143539471881879E-2</v>
      </c>
      <c r="F1701" s="310">
        <v>8.9117990744688892E-3</v>
      </c>
      <c r="G1701" s="311">
        <v>4.2594488199471196E-2</v>
      </c>
      <c r="H1701" s="311">
        <v>1.2695896125205044E-3</v>
      </c>
      <c r="I1701" s="394">
        <v>1.3784839989800554E-3</v>
      </c>
      <c r="J1701" s="689">
        <v>5.4526269011920486E-5</v>
      </c>
      <c r="K1701" s="690">
        <v>5.6991701251686402E-5</v>
      </c>
    </row>
    <row r="1702" spans="2:11" ht="15.75" x14ac:dyDescent="0.25">
      <c r="B1702" s="667" t="s">
        <v>95</v>
      </c>
      <c r="C1702" s="110">
        <v>2028</v>
      </c>
      <c r="D1702" s="687" t="s">
        <v>2427</v>
      </c>
      <c r="E1702" s="688">
        <v>3.0307203318801674E-2</v>
      </c>
      <c r="F1702" s="310">
        <v>7.9320808645244861E-3</v>
      </c>
      <c r="G1702" s="311">
        <v>3.8654383611031636E-2</v>
      </c>
      <c r="H1702" s="311">
        <v>1.1910033598019909E-3</v>
      </c>
      <c r="I1702" s="394">
        <v>1.2933203532558917E-3</v>
      </c>
      <c r="J1702" s="689">
        <v>4.7286937346457967E-5</v>
      </c>
      <c r="K1702" s="690">
        <v>4.9425041075135272E-5</v>
      </c>
    </row>
    <row r="1703" spans="2:11" ht="15.75" x14ac:dyDescent="0.25">
      <c r="B1703" s="667" t="s">
        <v>95</v>
      </c>
      <c r="C1703" s="110">
        <v>2029</v>
      </c>
      <c r="D1703" s="687" t="s">
        <v>2428</v>
      </c>
      <c r="E1703" s="688">
        <v>2.9556455166972105E-2</v>
      </c>
      <c r="F1703" s="310">
        <v>7.0892473004027252E-3</v>
      </c>
      <c r="G1703" s="311">
        <v>3.5350591213162065E-2</v>
      </c>
      <c r="H1703" s="311">
        <v>1.1151026865074852E-3</v>
      </c>
      <c r="I1703" s="394">
        <v>1.2110415161562037E-3</v>
      </c>
      <c r="J1703" s="689">
        <v>4.0932939252366286E-5</v>
      </c>
      <c r="K1703" s="690">
        <v>4.2783743162340254E-5</v>
      </c>
    </row>
    <row r="1704" spans="2:11" ht="15.75" x14ac:dyDescent="0.25">
      <c r="B1704" s="667" t="s">
        <v>95</v>
      </c>
      <c r="C1704" s="110">
        <v>2030</v>
      </c>
      <c r="D1704" s="687" t="s">
        <v>2429</v>
      </c>
      <c r="E1704" s="688">
        <v>2.8885351260903497E-2</v>
      </c>
      <c r="F1704" s="310">
        <v>6.3806569371695184E-3</v>
      </c>
      <c r="G1704" s="311">
        <v>3.2596045106762062E-2</v>
      </c>
      <c r="H1704" s="311">
        <v>1.044537129829228E-3</v>
      </c>
      <c r="I1704" s="394">
        <v>1.1344829400790734E-3</v>
      </c>
      <c r="J1704" s="689">
        <v>3.6508833358005172E-5</v>
      </c>
      <c r="K1704" s="690">
        <v>3.8159597671503981E-5</v>
      </c>
    </row>
    <row r="1705" spans="2:11" ht="15.75" x14ac:dyDescent="0.25">
      <c r="B1705" s="667" t="s">
        <v>95</v>
      </c>
      <c r="C1705" s="110">
        <v>2031</v>
      </c>
      <c r="D1705" s="687" t="s">
        <v>2430</v>
      </c>
      <c r="E1705" s="688">
        <v>2.8290318116145123E-2</v>
      </c>
      <c r="F1705" s="310">
        <v>5.7571323637452439E-3</v>
      </c>
      <c r="G1705" s="311">
        <v>3.0209684092995761E-2</v>
      </c>
      <c r="H1705" s="311">
        <v>9.7861212858217986E-4</v>
      </c>
      <c r="I1705" s="394">
        <v>1.0629181460115635E-3</v>
      </c>
      <c r="J1705" s="689">
        <v>3.3319646735276949E-5</v>
      </c>
      <c r="K1705" s="690">
        <v>3.4826212700554389E-5</v>
      </c>
    </row>
    <row r="1706" spans="2:11" ht="15.75" x14ac:dyDescent="0.25">
      <c r="B1706" s="667" t="s">
        <v>95</v>
      </c>
      <c r="C1706" s="110">
        <v>2032</v>
      </c>
      <c r="D1706" s="687" t="s">
        <v>2431</v>
      </c>
      <c r="E1706" s="688">
        <v>2.7761918153631531E-2</v>
      </c>
      <c r="F1706" s="310">
        <v>5.2237048331680216E-3</v>
      </c>
      <c r="G1706" s="311">
        <v>2.8240267132301232E-2</v>
      </c>
      <c r="H1706" s="311">
        <v>9.1752407214516351E-4</v>
      </c>
      <c r="I1706" s="394">
        <v>9.9659345041796621E-4</v>
      </c>
      <c r="J1706" s="689">
        <v>3.0623786478608525E-5</v>
      </c>
      <c r="K1706" s="690">
        <v>3.2008464984297569E-5</v>
      </c>
    </row>
    <row r="1707" spans="2:11" ht="15.75" x14ac:dyDescent="0.25">
      <c r="B1707" s="667" t="s">
        <v>95</v>
      </c>
      <c r="C1707" s="110">
        <v>2033</v>
      </c>
      <c r="D1707" s="687" t="s">
        <v>2432</v>
      </c>
      <c r="E1707" s="688">
        <v>2.7295625875114908E-2</v>
      </c>
      <c r="F1707" s="310">
        <v>4.7621970259569615E-3</v>
      </c>
      <c r="G1707" s="311">
        <v>2.6604474227352643E-2</v>
      </c>
      <c r="H1707" s="311">
        <v>8.6161160173989432E-4</v>
      </c>
      <c r="I1707" s="394">
        <v>9.3586578987377763E-4</v>
      </c>
      <c r="J1707" s="689">
        <v>2.8691447710961221E-5</v>
      </c>
      <c r="K1707" s="690">
        <v>2.9988747258633475E-5</v>
      </c>
    </row>
    <row r="1708" spans="2:11" ht="15.75" x14ac:dyDescent="0.25">
      <c r="B1708" s="667" t="s">
        <v>95</v>
      </c>
      <c r="C1708" s="110">
        <v>2034</v>
      </c>
      <c r="D1708" s="687" t="s">
        <v>2433</v>
      </c>
      <c r="E1708" s="688">
        <v>2.6885756578614989E-2</v>
      </c>
      <c r="F1708" s="310">
        <v>4.3430254616376122E-3</v>
      </c>
      <c r="G1708" s="311">
        <v>2.5166952081330334E-2</v>
      </c>
      <c r="H1708" s="311">
        <v>8.0964166309795908E-4</v>
      </c>
      <c r="I1708" s="394">
        <v>8.7941916669459703E-4</v>
      </c>
      <c r="J1708" s="689">
        <v>2.6900086817491415E-5</v>
      </c>
      <c r="K1708" s="690">
        <v>2.8116382841210593E-5</v>
      </c>
    </row>
    <row r="1709" spans="2:11" ht="15.75" x14ac:dyDescent="0.25">
      <c r="B1709" s="667" t="s">
        <v>95</v>
      </c>
      <c r="C1709" s="110">
        <v>2035</v>
      </c>
      <c r="D1709" s="687" t="s">
        <v>2434</v>
      </c>
      <c r="E1709" s="688">
        <v>2.6527376018927656E-2</v>
      </c>
      <c r="F1709" s="310">
        <v>3.9807768750893856E-3</v>
      </c>
      <c r="G1709" s="311">
        <v>2.3989980297683365E-2</v>
      </c>
      <c r="H1709" s="311">
        <v>7.6216214718140404E-4</v>
      </c>
      <c r="I1709" s="394">
        <v>8.2785561576861411E-4</v>
      </c>
      <c r="J1709" s="689">
        <v>2.5142641571648192E-5</v>
      </c>
      <c r="K1709" s="690">
        <v>2.6279474628943058E-5</v>
      </c>
    </row>
    <row r="1710" spans="2:11" ht="15.75" x14ac:dyDescent="0.25">
      <c r="B1710" s="667" t="s">
        <v>95</v>
      </c>
      <c r="C1710" s="110">
        <v>2036</v>
      </c>
      <c r="D1710" s="687" t="s">
        <v>2435</v>
      </c>
      <c r="E1710" s="688">
        <v>2.6215767671074475E-2</v>
      </c>
      <c r="F1710" s="310">
        <v>3.6577182133462087E-3</v>
      </c>
      <c r="G1710" s="311">
        <v>2.2966703908452509E-2</v>
      </c>
      <c r="H1710" s="311">
        <v>7.2097545711870238E-4</v>
      </c>
      <c r="I1710" s="394">
        <v>7.8312207656316404E-4</v>
      </c>
      <c r="J1710" s="689">
        <v>2.3698092955184619E-5</v>
      </c>
      <c r="K1710" s="690">
        <v>2.4769617383821224E-5</v>
      </c>
    </row>
    <row r="1711" spans="2:11" ht="15.75" x14ac:dyDescent="0.25">
      <c r="B1711" s="667" t="s">
        <v>95</v>
      </c>
      <c r="C1711" s="110">
        <v>2037</v>
      </c>
      <c r="D1711" s="687" t="s">
        <v>2436</v>
      </c>
      <c r="E1711" s="688">
        <v>2.5947477581288795E-2</v>
      </c>
      <c r="F1711" s="310">
        <v>3.3832666396616264E-3</v>
      </c>
      <c r="G1711" s="311">
        <v>2.2137500536586151E-2</v>
      </c>
      <c r="H1711" s="311">
        <v>6.8436644963093085E-4</v>
      </c>
      <c r="I1711" s="394">
        <v>7.4336282771162051E-4</v>
      </c>
      <c r="J1711" s="689">
        <v>2.2365105477909945E-5</v>
      </c>
      <c r="K1711" s="690">
        <v>2.3376355139446471E-5</v>
      </c>
    </row>
    <row r="1712" spans="2:11" ht="15.75" x14ac:dyDescent="0.25">
      <c r="B1712" s="667" t="s">
        <v>95</v>
      </c>
      <c r="C1712" s="110">
        <v>2038</v>
      </c>
      <c r="D1712" s="687" t="s">
        <v>2437</v>
      </c>
      <c r="E1712" s="688">
        <v>2.5718032411724226E-2</v>
      </c>
      <c r="F1712" s="310">
        <v>3.1398845065893511E-3</v>
      </c>
      <c r="G1712" s="311">
        <v>2.1408732167857637E-2</v>
      </c>
      <c r="H1712" s="311">
        <v>6.5215876864472503E-4</v>
      </c>
      <c r="I1712" s="394">
        <v>7.0837819095281808E-4</v>
      </c>
      <c r="J1712" s="689">
        <v>2.1341111032459168E-5</v>
      </c>
      <c r="K1712" s="690">
        <v>2.2306071627030129E-5</v>
      </c>
    </row>
    <row r="1713" spans="2:11" ht="15.75" x14ac:dyDescent="0.25">
      <c r="B1713" s="667" t="s">
        <v>95</v>
      </c>
      <c r="C1713" s="110">
        <v>2039</v>
      </c>
      <c r="D1713" s="687" t="s">
        <v>2438</v>
      </c>
      <c r="E1713" s="688">
        <v>2.5522179907763579E-2</v>
      </c>
      <c r="F1713" s="310">
        <v>2.9084789589523294E-3</v>
      </c>
      <c r="G1713" s="311">
        <v>2.0715440546956152E-2</v>
      </c>
      <c r="H1713" s="311">
        <v>6.2371514098821324E-4</v>
      </c>
      <c r="I1713" s="394">
        <v>6.7747781111878141E-4</v>
      </c>
      <c r="J1713" s="689">
        <v>2.0516453417467741E-5</v>
      </c>
      <c r="K1713" s="690">
        <v>2.1444115930744791E-5</v>
      </c>
    </row>
    <row r="1714" spans="2:11" ht="15.75" x14ac:dyDescent="0.25">
      <c r="B1714" s="667" t="s">
        <v>95</v>
      </c>
      <c r="C1714" s="110">
        <v>2040</v>
      </c>
      <c r="D1714" s="687" t="s">
        <v>2439</v>
      </c>
      <c r="E1714" s="688">
        <v>2.535700276459793E-2</v>
      </c>
      <c r="F1714" s="310">
        <v>2.7111459123610395E-3</v>
      </c>
      <c r="G1714" s="311">
        <v>2.0176140254206328E-2</v>
      </c>
      <c r="H1714" s="311">
        <v>5.990786255114603E-4</v>
      </c>
      <c r="I1714" s="394">
        <v>6.5071271680036701E-4</v>
      </c>
      <c r="J1714" s="689">
        <v>1.9811573800547811E-5</v>
      </c>
      <c r="K1714" s="690">
        <v>2.0707362125278545E-5</v>
      </c>
    </row>
    <row r="1715" spans="2:11" ht="15.75" x14ac:dyDescent="0.25">
      <c r="B1715" s="667" t="s">
        <v>95</v>
      </c>
      <c r="C1715" s="110">
        <v>2041</v>
      </c>
      <c r="D1715" s="687" t="s">
        <v>2440</v>
      </c>
      <c r="E1715" s="688">
        <v>2.5219831970207683E-2</v>
      </c>
      <c r="F1715" s="310">
        <v>2.5624815098028689E-3</v>
      </c>
      <c r="G1715" s="311">
        <v>1.9760233683071733E-2</v>
      </c>
      <c r="H1715" s="311">
        <v>5.7979465805863461E-4</v>
      </c>
      <c r="I1715" s="394">
        <v>6.2976530912856802E-4</v>
      </c>
      <c r="J1715" s="689">
        <v>1.920874313633666E-5</v>
      </c>
      <c r="K1715" s="690">
        <v>2.0077280138311695E-5</v>
      </c>
    </row>
    <row r="1716" spans="2:11" ht="15.75" x14ac:dyDescent="0.25">
      <c r="B1716" s="667" t="s">
        <v>95</v>
      </c>
      <c r="C1716" s="110">
        <v>2042</v>
      </c>
      <c r="D1716" s="687" t="s">
        <v>2441</v>
      </c>
      <c r="E1716" s="688">
        <v>2.5105228200030257E-2</v>
      </c>
      <c r="F1716" s="310">
        <v>2.4358716053271431E-3</v>
      </c>
      <c r="G1716" s="311">
        <v>1.9383422596423224E-2</v>
      </c>
      <c r="H1716" s="311">
        <v>5.6339674786118018E-4</v>
      </c>
      <c r="I1716" s="394">
        <v>6.1195188126311197E-4</v>
      </c>
      <c r="J1716" s="689">
        <v>1.871549698234107E-5</v>
      </c>
      <c r="K1716" s="690">
        <v>1.9561726480408516E-5</v>
      </c>
    </row>
    <row r="1717" spans="2:11" ht="15.75" x14ac:dyDescent="0.25">
      <c r="B1717" s="667" t="s">
        <v>95</v>
      </c>
      <c r="C1717" s="110">
        <v>2043</v>
      </c>
      <c r="D1717" s="687" t="s">
        <v>2442</v>
      </c>
      <c r="E1717" s="688">
        <v>2.5010971324832317E-2</v>
      </c>
      <c r="F1717" s="310">
        <v>2.3402121970354604E-3</v>
      </c>
      <c r="G1717" s="311">
        <v>1.9102298971450826E-2</v>
      </c>
      <c r="H1717" s="311">
        <v>5.4965988921103432E-4</v>
      </c>
      <c r="I1717" s="394">
        <v>5.9702766931554188E-4</v>
      </c>
      <c r="J1717" s="689">
        <v>1.8341300629652018E-5</v>
      </c>
      <c r="K1717" s="690">
        <v>1.9170611090571975E-5</v>
      </c>
    </row>
    <row r="1718" spans="2:11" ht="15.75" x14ac:dyDescent="0.25">
      <c r="B1718" s="667" t="s">
        <v>95</v>
      </c>
      <c r="C1718" s="110">
        <v>2044</v>
      </c>
      <c r="D1718" s="687" t="s">
        <v>2443</v>
      </c>
      <c r="E1718" s="688">
        <v>2.4933209707893828E-2</v>
      </c>
      <c r="F1718" s="310">
        <v>2.2678747281024273E-3</v>
      </c>
      <c r="G1718" s="311">
        <v>1.8877870443238069E-2</v>
      </c>
      <c r="H1718" s="311">
        <v>5.3814990445724849E-4</v>
      </c>
      <c r="I1718" s="394">
        <v>5.8452323857099194E-4</v>
      </c>
      <c r="J1718" s="689">
        <v>1.8035291531845264E-5</v>
      </c>
      <c r="K1718" s="690">
        <v>1.885076479696605E-5</v>
      </c>
    </row>
    <row r="1719" spans="2:11" ht="15.75" x14ac:dyDescent="0.25">
      <c r="B1719" s="667" t="s">
        <v>95</v>
      </c>
      <c r="C1719" s="110">
        <v>2045</v>
      </c>
      <c r="D1719" s="687" t="s">
        <v>2444</v>
      </c>
      <c r="E1719" s="688">
        <v>2.4868781646882346E-2</v>
      </c>
      <c r="F1719" s="310">
        <v>2.2199397453857668E-3</v>
      </c>
      <c r="G1719" s="311">
        <v>1.8733907637810042E-2</v>
      </c>
      <c r="H1719" s="311">
        <v>5.2859383505409233E-4</v>
      </c>
      <c r="I1719" s="394">
        <v>5.741396075312937E-4</v>
      </c>
      <c r="J1719" s="689">
        <v>1.7804195161536035E-5</v>
      </c>
      <c r="K1719" s="690">
        <v>1.8609225018161863E-5</v>
      </c>
    </row>
    <row r="1720" spans="2:11" ht="15.75" x14ac:dyDescent="0.25">
      <c r="B1720" s="667" t="s">
        <v>95</v>
      </c>
      <c r="C1720" s="110">
        <v>2046</v>
      </c>
      <c r="D1720" s="687" t="s">
        <v>2445</v>
      </c>
      <c r="E1720" s="688">
        <v>2.4816217043799719E-2</v>
      </c>
      <c r="F1720" s="310">
        <v>2.1792955882806893E-3</v>
      </c>
      <c r="G1720" s="311">
        <v>1.8619445386508695E-2</v>
      </c>
      <c r="H1720" s="311">
        <v>5.2073364820396284E-4</v>
      </c>
      <c r="I1720" s="394">
        <v>5.6559858813299982E-4</v>
      </c>
      <c r="J1720" s="689">
        <v>1.7618298886702361E-5</v>
      </c>
      <c r="K1720" s="690">
        <v>1.8414920661507314E-5</v>
      </c>
    </row>
    <row r="1721" spans="2:11" ht="15.75" x14ac:dyDescent="0.25">
      <c r="B1721" s="667" t="s">
        <v>95</v>
      </c>
      <c r="C1721" s="110">
        <v>2047</v>
      </c>
      <c r="D1721" s="687" t="s">
        <v>2446</v>
      </c>
      <c r="E1721" s="688">
        <v>2.4773631516736956E-2</v>
      </c>
      <c r="F1721" s="310">
        <v>2.1441550514093217E-3</v>
      </c>
      <c r="G1721" s="311">
        <v>1.8516907508162875E-2</v>
      </c>
      <c r="H1721" s="311">
        <v>5.143115857023198E-4</v>
      </c>
      <c r="I1721" s="394">
        <v>5.5862101947244604E-4</v>
      </c>
      <c r="J1721" s="689">
        <v>1.7461498776205065E-5</v>
      </c>
      <c r="K1721" s="690">
        <v>1.8251031324352426E-5</v>
      </c>
    </row>
    <row r="1722" spans="2:11" ht="15.75" x14ac:dyDescent="0.25">
      <c r="B1722" s="667" t="s">
        <v>95</v>
      </c>
      <c r="C1722" s="110">
        <v>2048</v>
      </c>
      <c r="D1722" s="687" t="s">
        <v>2447</v>
      </c>
      <c r="E1722" s="688">
        <v>2.4739692515427868E-2</v>
      </c>
      <c r="F1722" s="310">
        <v>2.1159613065465928E-3</v>
      </c>
      <c r="G1722" s="311">
        <v>1.8432370284324644E-2</v>
      </c>
      <c r="H1722" s="311">
        <v>5.0906057795096279E-4</v>
      </c>
      <c r="I1722" s="394">
        <v>5.5291559748245995E-4</v>
      </c>
      <c r="J1722" s="689">
        <v>1.7329479220838321E-5</v>
      </c>
      <c r="K1722" s="690">
        <v>1.8113042019546182E-5</v>
      </c>
    </row>
    <row r="1723" spans="2:11" ht="15.75" x14ac:dyDescent="0.25">
      <c r="B1723" s="667" t="s">
        <v>95</v>
      </c>
      <c r="C1723" s="110">
        <v>2049</v>
      </c>
      <c r="D1723" s="687" t="s">
        <v>2448</v>
      </c>
      <c r="E1723" s="688">
        <v>2.4711739252443847E-2</v>
      </c>
      <c r="F1723" s="310">
        <v>2.1049120382670189E-3</v>
      </c>
      <c r="G1723" s="311">
        <v>1.8436939297701623E-2</v>
      </c>
      <c r="H1723" s="311">
        <v>5.0559853577161089E-4</v>
      </c>
      <c r="I1723" s="394">
        <v>5.4915478404097033E-4</v>
      </c>
      <c r="J1723" s="689">
        <v>1.7211272529521836E-5</v>
      </c>
      <c r="K1723" s="690">
        <v>1.7989485931410172E-5</v>
      </c>
    </row>
    <row r="1724" spans="2:11" ht="15.75" x14ac:dyDescent="0.25">
      <c r="B1724" s="667" t="s">
        <v>95</v>
      </c>
      <c r="C1724" s="110">
        <v>2050</v>
      </c>
      <c r="D1724" s="687" t="s">
        <v>2449</v>
      </c>
      <c r="E1724" s="688">
        <v>2.4689815682749177E-2</v>
      </c>
      <c r="F1724" s="310">
        <v>2.096179215878409E-3</v>
      </c>
      <c r="G1724" s="311">
        <v>1.8443269627028632E-2</v>
      </c>
      <c r="H1724" s="311">
        <v>5.028609321998678E-4</v>
      </c>
      <c r="I1724" s="394">
        <v>5.461814145735186E-4</v>
      </c>
      <c r="J1724" s="689">
        <v>1.7122551541234697E-5</v>
      </c>
      <c r="K1724" s="690">
        <v>1.7896755780785126E-5</v>
      </c>
    </row>
    <row r="1725" spans="2:11" ht="15.75" x14ac:dyDescent="0.25">
      <c r="B1725" s="667" t="s">
        <v>96</v>
      </c>
      <c r="C1725" s="110">
        <v>2015</v>
      </c>
      <c r="D1725" s="687" t="s">
        <v>299</v>
      </c>
      <c r="E1725" s="688">
        <v>4.3378590434608573E-2</v>
      </c>
      <c r="F1725" s="310">
        <v>9.8714837590262089E-2</v>
      </c>
      <c r="G1725" s="311">
        <v>0.3050581589453466</v>
      </c>
      <c r="H1725" s="311">
        <v>3.0784573779922136E-3</v>
      </c>
      <c r="I1725" s="394">
        <v>3.3366033953777115E-3</v>
      </c>
      <c r="J1725" s="689">
        <v>8.8120865893789277E-5</v>
      </c>
      <c r="K1725" s="690">
        <v>9.2105301424928311E-5</v>
      </c>
    </row>
    <row r="1726" spans="2:11" ht="15.75" x14ac:dyDescent="0.25">
      <c r="B1726" s="667" t="s">
        <v>96</v>
      </c>
      <c r="C1726" s="110">
        <v>2016</v>
      </c>
      <c r="D1726" s="687" t="s">
        <v>300</v>
      </c>
      <c r="E1726" s="688">
        <v>4.2472753246494868E-2</v>
      </c>
      <c r="F1726" s="310">
        <v>8.1643740223051917E-2</v>
      </c>
      <c r="G1726" s="311">
        <v>0.26078753726338494</v>
      </c>
      <c r="H1726" s="311">
        <v>2.8929835292229051E-3</v>
      </c>
      <c r="I1726" s="394">
        <v>3.1358498733281919E-3</v>
      </c>
      <c r="J1726" s="689">
        <v>1.1860441453891007E-4</v>
      </c>
      <c r="K1726" s="690">
        <v>1.2396717848747095E-4</v>
      </c>
    </row>
    <row r="1727" spans="2:11" ht="15.75" x14ac:dyDescent="0.25">
      <c r="B1727" s="667" t="s">
        <v>96</v>
      </c>
      <c r="C1727" s="110">
        <v>2017</v>
      </c>
      <c r="D1727" s="687" t="s">
        <v>2450</v>
      </c>
      <c r="E1727" s="688">
        <v>4.1467267945603986E-2</v>
      </c>
      <c r="F1727" s="310">
        <v>7.0072890275668293E-2</v>
      </c>
      <c r="G1727" s="311">
        <v>0.22641696822379012</v>
      </c>
      <c r="H1727" s="311">
        <v>2.7790851466164552E-3</v>
      </c>
      <c r="I1727" s="394">
        <v>3.0134217975690551E-3</v>
      </c>
      <c r="J1727" s="689">
        <v>1.120613673364984E-4</v>
      </c>
      <c r="K1727" s="690">
        <v>1.1712828541057683E-4</v>
      </c>
    </row>
    <row r="1728" spans="2:11" ht="15.75" x14ac:dyDescent="0.25">
      <c r="B1728" s="667" t="s">
        <v>96</v>
      </c>
      <c r="C1728" s="110">
        <v>2018</v>
      </c>
      <c r="D1728" s="687" t="s">
        <v>2451</v>
      </c>
      <c r="E1728" s="688">
        <v>4.0410400186859298E-2</v>
      </c>
      <c r="F1728" s="310">
        <v>5.893894707406877E-2</v>
      </c>
      <c r="G1728" s="311">
        <v>0.19537895324778295</v>
      </c>
      <c r="H1728" s="311">
        <v>2.7009680003462059E-3</v>
      </c>
      <c r="I1728" s="394">
        <v>2.929963405918847E-3</v>
      </c>
      <c r="J1728" s="689">
        <v>1.062571212813191E-4</v>
      </c>
      <c r="K1728" s="690">
        <v>1.1106159631206394E-4</v>
      </c>
    </row>
    <row r="1729" spans="2:11" ht="15.75" x14ac:dyDescent="0.25">
      <c r="B1729" s="667" t="s">
        <v>96</v>
      </c>
      <c r="C1729" s="110">
        <v>2019</v>
      </c>
      <c r="D1729" s="687" t="s">
        <v>2452</v>
      </c>
      <c r="E1729" s="688">
        <v>3.9265320363807879E-2</v>
      </c>
      <c r="F1729" s="310">
        <v>4.9662389113154286E-2</v>
      </c>
      <c r="G1729" s="311">
        <v>0.16874982677814251</v>
      </c>
      <c r="H1729" s="311">
        <v>2.6410014181029451E-3</v>
      </c>
      <c r="I1729" s="394">
        <v>2.8658773641284129E-3</v>
      </c>
      <c r="J1729" s="689">
        <v>1.0130960233549575E-4</v>
      </c>
      <c r="K1729" s="690">
        <v>1.0589036958278968E-4</v>
      </c>
    </row>
    <row r="1730" spans="2:11" ht="15.75" x14ac:dyDescent="0.25">
      <c r="B1730" s="667" t="s">
        <v>96</v>
      </c>
      <c r="C1730" s="110">
        <v>2020</v>
      </c>
      <c r="D1730" s="687" t="s">
        <v>2453</v>
      </c>
      <c r="E1730" s="688">
        <v>3.8159256966909548E-2</v>
      </c>
      <c r="F1730" s="310">
        <v>4.1015841447827842E-2</v>
      </c>
      <c r="G1730" s="311">
        <v>0.14507425308161412</v>
      </c>
      <c r="H1730" s="311">
        <v>2.5325205108918769E-3</v>
      </c>
      <c r="I1730" s="394">
        <v>2.7488288959573249E-3</v>
      </c>
      <c r="J1730" s="689">
        <v>9.7477292679695762E-5</v>
      </c>
      <c r="K1730" s="690">
        <v>1.0188478082449071E-4</v>
      </c>
    </row>
    <row r="1731" spans="2:11" ht="15.75" x14ac:dyDescent="0.25">
      <c r="B1731" s="667" t="s">
        <v>96</v>
      </c>
      <c r="C1731" s="110">
        <v>2021</v>
      </c>
      <c r="D1731" s="687" t="s">
        <v>2454</v>
      </c>
      <c r="E1731" s="688">
        <v>3.7087433793546065E-2</v>
      </c>
      <c r="F1731" s="310">
        <v>3.4815408645246591E-2</v>
      </c>
      <c r="G1731" s="311">
        <v>0.12512520847159159</v>
      </c>
      <c r="H1731" s="311">
        <v>2.3686358928264291E-3</v>
      </c>
      <c r="I1731" s="394">
        <v>2.5718068019187886E-3</v>
      </c>
      <c r="J1731" s="689">
        <v>7.7555829399493582E-5</v>
      </c>
      <c r="K1731" s="690">
        <v>8.106256054505596E-5</v>
      </c>
    </row>
    <row r="1732" spans="2:11" ht="15.75" x14ac:dyDescent="0.25">
      <c r="B1732" s="667" t="s">
        <v>96</v>
      </c>
      <c r="C1732" s="110">
        <v>2022</v>
      </c>
      <c r="D1732" s="687" t="s">
        <v>2455</v>
      </c>
      <c r="E1732" s="688">
        <v>3.597815605282273E-2</v>
      </c>
      <c r="F1732" s="310">
        <v>2.7912069427239901E-2</v>
      </c>
      <c r="G1732" s="311">
        <v>0.10681709365925506</v>
      </c>
      <c r="H1732" s="311">
        <v>2.2264900047283469E-3</v>
      </c>
      <c r="I1732" s="394">
        <v>2.4181491574514682E-3</v>
      </c>
      <c r="J1732" s="689">
        <v>7.2449285364170957E-5</v>
      </c>
      <c r="K1732" s="690">
        <v>7.5725116260124721E-5</v>
      </c>
    </row>
    <row r="1733" spans="2:11" ht="15.75" x14ac:dyDescent="0.25">
      <c r="B1733" s="667" t="s">
        <v>96</v>
      </c>
      <c r="C1733" s="110">
        <v>2023</v>
      </c>
      <c r="D1733" s="687" t="s">
        <v>2456</v>
      </c>
      <c r="E1733" s="688">
        <v>3.4875430895812451E-2</v>
      </c>
      <c r="F1733" s="310">
        <v>2.4064410562139409E-2</v>
      </c>
      <c r="G1733" s="311">
        <v>9.299287856343165E-2</v>
      </c>
      <c r="H1733" s="311">
        <v>2.1026891067956297E-3</v>
      </c>
      <c r="I1733" s="394">
        <v>2.2838102539871176E-3</v>
      </c>
      <c r="J1733" s="689">
        <v>6.7436698832497874E-5</v>
      </c>
      <c r="K1733" s="690">
        <v>7.0485889930926301E-5</v>
      </c>
    </row>
    <row r="1734" spans="2:11" ht="15.75" x14ac:dyDescent="0.25">
      <c r="B1734" s="667" t="s">
        <v>96</v>
      </c>
      <c r="C1734" s="110">
        <v>2024</v>
      </c>
      <c r="D1734" s="687" t="s">
        <v>2457</v>
      </c>
      <c r="E1734" s="688">
        <v>3.3927778938884219E-2</v>
      </c>
      <c r="F1734" s="310">
        <v>2.0588238630359509E-2</v>
      </c>
      <c r="G1734" s="311">
        <v>8.0872588059783132E-2</v>
      </c>
      <c r="H1734" s="311">
        <v>1.9884642511890063E-3</v>
      </c>
      <c r="I1734" s="394">
        <v>2.1598794497403148E-3</v>
      </c>
      <c r="J1734" s="689">
        <v>6.3243567877140972E-5</v>
      </c>
      <c r="K1734" s="690">
        <v>6.6103156379550856E-5</v>
      </c>
    </row>
    <row r="1735" spans="2:11" ht="15.75" x14ac:dyDescent="0.25">
      <c r="B1735" s="667" t="s">
        <v>96</v>
      </c>
      <c r="C1735" s="110">
        <v>2025</v>
      </c>
      <c r="D1735" s="687" t="s">
        <v>2458</v>
      </c>
      <c r="E1735" s="688">
        <v>3.2846698473201374E-2</v>
      </c>
      <c r="F1735" s="310">
        <v>1.7773457318864858E-2</v>
      </c>
      <c r="G1735" s="311">
        <v>7.1156382130323173E-2</v>
      </c>
      <c r="H1735" s="311">
        <v>1.8952930120470918E-3</v>
      </c>
      <c r="I1735" s="394">
        <v>2.0587780439303852E-3</v>
      </c>
      <c r="J1735" s="689">
        <v>5.951135155297762E-5</v>
      </c>
      <c r="K1735" s="690">
        <v>6.2202196829716166E-5</v>
      </c>
    </row>
    <row r="1736" spans="2:11" ht="15.75" x14ac:dyDescent="0.25">
      <c r="B1736" s="667" t="s">
        <v>96</v>
      </c>
      <c r="C1736" s="110">
        <v>2026</v>
      </c>
      <c r="D1736" s="687" t="s">
        <v>2459</v>
      </c>
      <c r="E1736" s="688">
        <v>3.1866443211363144E-2</v>
      </c>
      <c r="F1736" s="310">
        <v>1.5706048896725989E-2</v>
      </c>
      <c r="G1736" s="311">
        <v>6.3748483848544674E-2</v>
      </c>
      <c r="H1736" s="311">
        <v>1.8109833003669619E-3</v>
      </c>
      <c r="I1736" s="394">
        <v>1.9672341182749675E-3</v>
      </c>
      <c r="J1736" s="689">
        <v>5.6014993878661102E-5</v>
      </c>
      <c r="K1736" s="690">
        <v>5.8547739261467729E-5</v>
      </c>
    </row>
    <row r="1737" spans="2:11" ht="15.75" x14ac:dyDescent="0.25">
      <c r="B1737" s="667" t="s">
        <v>96</v>
      </c>
      <c r="C1737" s="110">
        <v>2027</v>
      </c>
      <c r="D1737" s="687" t="s">
        <v>2460</v>
      </c>
      <c r="E1737" s="688">
        <v>3.0976874313897673E-2</v>
      </c>
      <c r="F1737" s="310">
        <v>1.3984060636879731E-2</v>
      </c>
      <c r="G1737" s="311">
        <v>5.7574956470036846E-2</v>
      </c>
      <c r="H1737" s="311">
        <v>1.7181915244037246E-3</v>
      </c>
      <c r="I1737" s="394">
        <v>1.8664447710933143E-3</v>
      </c>
      <c r="J1737" s="689">
        <v>5.2982809940950376E-5</v>
      </c>
      <c r="K1737" s="690">
        <v>5.5378463937019021E-5</v>
      </c>
    </row>
    <row r="1738" spans="2:11" ht="15.75" x14ac:dyDescent="0.25">
      <c r="B1738" s="667" t="s">
        <v>96</v>
      </c>
      <c r="C1738" s="110">
        <v>2028</v>
      </c>
      <c r="D1738" s="687" t="s">
        <v>2461</v>
      </c>
      <c r="E1738" s="688">
        <v>3.0181757859569159E-2</v>
      </c>
      <c r="F1738" s="310">
        <v>1.250924158504286E-2</v>
      </c>
      <c r="G1738" s="311">
        <v>5.2312625960565504E-2</v>
      </c>
      <c r="H1738" s="311">
        <v>1.6159443772067609E-3</v>
      </c>
      <c r="I1738" s="394">
        <v>1.7553634716619229E-3</v>
      </c>
      <c r="J1738" s="689">
        <v>5.0116545893552441E-5</v>
      </c>
      <c r="K1738" s="690">
        <v>5.2382597148038964E-5</v>
      </c>
    </row>
    <row r="1739" spans="2:11" ht="15.75" x14ac:dyDescent="0.25">
      <c r="B1739" s="667" t="s">
        <v>96</v>
      </c>
      <c r="C1739" s="110">
        <v>2029</v>
      </c>
      <c r="D1739" s="687" t="s">
        <v>2462</v>
      </c>
      <c r="E1739" s="688">
        <v>2.9472606584291652E-2</v>
      </c>
      <c r="F1739" s="310">
        <v>1.1170795340507193E-2</v>
      </c>
      <c r="G1739" s="311">
        <v>4.7603901934731997E-2</v>
      </c>
      <c r="H1739" s="311">
        <v>1.5170151711019371E-3</v>
      </c>
      <c r="I1739" s="394">
        <v>1.6478827050387429E-3</v>
      </c>
      <c r="J1739" s="689">
        <v>4.7425293612017275E-5</v>
      </c>
      <c r="K1739" s="690">
        <v>4.9569652985565236E-5</v>
      </c>
    </row>
    <row r="1740" spans="2:11" ht="15.75" x14ac:dyDescent="0.25">
      <c r="B1740" s="667" t="s">
        <v>96</v>
      </c>
      <c r="C1740" s="110">
        <v>2030</v>
      </c>
      <c r="D1740" s="687" t="s">
        <v>2463</v>
      </c>
      <c r="E1740" s="688">
        <v>2.8843557634347115E-2</v>
      </c>
      <c r="F1740" s="310">
        <v>1.0075311436054901E-2</v>
      </c>
      <c r="G1740" s="311">
        <v>4.3722018799151913E-2</v>
      </c>
      <c r="H1740" s="311">
        <v>1.4238959259834471E-3</v>
      </c>
      <c r="I1740" s="394">
        <v>1.5467167260667083E-3</v>
      </c>
      <c r="J1740" s="689">
        <v>4.4837154619502482E-5</v>
      </c>
      <c r="K1740" s="690">
        <v>4.6864485003901424E-5</v>
      </c>
    </row>
    <row r="1741" spans="2:11" ht="15.75" x14ac:dyDescent="0.25">
      <c r="B1741" s="667" t="s">
        <v>96</v>
      </c>
      <c r="C1741" s="110">
        <v>2031</v>
      </c>
      <c r="D1741" s="687" t="s">
        <v>2464</v>
      </c>
      <c r="E1741" s="688">
        <v>2.8314983676787489E-2</v>
      </c>
      <c r="F1741" s="310">
        <v>9.0656799053204298E-3</v>
      </c>
      <c r="G1741" s="311">
        <v>4.0185586761669244E-2</v>
      </c>
      <c r="H1741" s="311">
        <v>1.3346621006897817E-3</v>
      </c>
      <c r="I1741" s="394">
        <v>1.4497704342292062E-3</v>
      </c>
      <c r="J1741" s="689">
        <v>4.2392673005635247E-5</v>
      </c>
      <c r="K1741" s="690">
        <v>4.430948387360553E-5</v>
      </c>
    </row>
    <row r="1742" spans="2:11" ht="15.75" x14ac:dyDescent="0.25">
      <c r="B1742" s="667" t="s">
        <v>96</v>
      </c>
      <c r="C1742" s="110">
        <v>2032</v>
      </c>
      <c r="D1742" s="687" t="s">
        <v>2465</v>
      </c>
      <c r="E1742" s="688">
        <v>2.782410020643275E-2</v>
      </c>
      <c r="F1742" s="310">
        <v>8.2120442966383995E-3</v>
      </c>
      <c r="G1742" s="311">
        <v>3.7320630963658973E-2</v>
      </c>
      <c r="H1742" s="311">
        <v>1.253171846871995E-3</v>
      </c>
      <c r="I1742" s="394">
        <v>1.3612371261887207E-3</v>
      </c>
      <c r="J1742" s="689">
        <v>4.0153841941396633E-5</v>
      </c>
      <c r="K1742" s="690">
        <v>4.1969421333896304E-5</v>
      </c>
    </row>
    <row r="1743" spans="2:11" ht="15.75" x14ac:dyDescent="0.25">
      <c r="B1743" s="667" t="s">
        <v>96</v>
      </c>
      <c r="C1743" s="110">
        <v>2033</v>
      </c>
      <c r="D1743" s="687" t="s">
        <v>2466</v>
      </c>
      <c r="E1743" s="688">
        <v>2.7392910322702017E-2</v>
      </c>
      <c r="F1743" s="310">
        <v>7.5180161509503457E-3</v>
      </c>
      <c r="G1743" s="311">
        <v>3.5084568334834726E-2</v>
      </c>
      <c r="H1743" s="311">
        <v>1.179656417899186E-3</v>
      </c>
      <c r="I1743" s="394">
        <v>1.2813698652262315E-3</v>
      </c>
      <c r="J1743" s="689">
        <v>3.8084583227339548E-5</v>
      </c>
      <c r="K1743" s="690">
        <v>3.9806600817259745E-5</v>
      </c>
    </row>
    <row r="1744" spans="2:11" ht="15.75" x14ac:dyDescent="0.25">
      <c r="B1744" s="667" t="s">
        <v>96</v>
      </c>
      <c r="C1744" s="110">
        <v>2034</v>
      </c>
      <c r="D1744" s="687" t="s">
        <v>2467</v>
      </c>
      <c r="E1744" s="688">
        <v>2.7015322189894615E-2</v>
      </c>
      <c r="F1744" s="310">
        <v>6.831981460403376E-3</v>
      </c>
      <c r="G1744" s="311">
        <v>3.2901532405498403E-2</v>
      </c>
      <c r="H1744" s="311">
        <v>1.1096293696539175E-3</v>
      </c>
      <c r="I1744" s="394">
        <v>1.2052890231906992E-3</v>
      </c>
      <c r="J1744" s="689">
        <v>3.6207094685848728E-5</v>
      </c>
      <c r="K1744" s="690">
        <v>3.7844221584693159E-5</v>
      </c>
    </row>
    <row r="1745" spans="2:11" ht="15.75" x14ac:dyDescent="0.25">
      <c r="B1745" s="667" t="s">
        <v>96</v>
      </c>
      <c r="C1745" s="110">
        <v>2035</v>
      </c>
      <c r="D1745" s="687" t="s">
        <v>2468</v>
      </c>
      <c r="E1745" s="688">
        <v>2.6687341900153226E-2</v>
      </c>
      <c r="F1745" s="310">
        <v>6.1695531949382343E-3</v>
      </c>
      <c r="G1745" s="311">
        <v>3.0897532236314824E-2</v>
      </c>
      <c r="H1745" s="311">
        <v>1.0425794715422647E-3</v>
      </c>
      <c r="I1745" s="394">
        <v>1.1324391131477417E-3</v>
      </c>
      <c r="J1745" s="689">
        <v>3.4483468685745638E-5</v>
      </c>
      <c r="K1745" s="690">
        <v>3.6042650599521398E-5</v>
      </c>
    </row>
    <row r="1746" spans="2:11" ht="15.75" x14ac:dyDescent="0.25">
      <c r="B1746" s="667" t="s">
        <v>96</v>
      </c>
      <c r="C1746" s="110">
        <v>2036</v>
      </c>
      <c r="D1746" s="687" t="s">
        <v>2469</v>
      </c>
      <c r="E1746" s="688">
        <v>2.6403473910932417E-2</v>
      </c>
      <c r="F1746" s="310">
        <v>5.616275866541981E-3</v>
      </c>
      <c r="G1746" s="311">
        <v>2.9262246503261324E-2</v>
      </c>
      <c r="H1746" s="311">
        <v>9.8688395736772636E-4</v>
      </c>
      <c r="I1746" s="394">
        <v>1.0719314400434693E-3</v>
      </c>
      <c r="J1746" s="689">
        <v>3.2919830197444944E-5</v>
      </c>
      <c r="K1746" s="690">
        <v>3.4408322610091629E-5</v>
      </c>
    </row>
    <row r="1747" spans="2:11" ht="15.75" x14ac:dyDescent="0.25">
      <c r="B1747" s="667" t="s">
        <v>96</v>
      </c>
      <c r="C1747" s="110">
        <v>2037</v>
      </c>
      <c r="D1747" s="687" t="s">
        <v>2470</v>
      </c>
      <c r="E1747" s="688">
        <v>2.616018361121044E-2</v>
      </c>
      <c r="F1747" s="310">
        <v>5.1231904408645937E-3</v>
      </c>
      <c r="G1747" s="311">
        <v>2.7851403259178786E-2</v>
      </c>
      <c r="H1747" s="311">
        <v>9.3289272232652796E-4</v>
      </c>
      <c r="I1747" s="394">
        <v>1.0134391122796854E-3</v>
      </c>
      <c r="J1747" s="689">
        <v>2.7532287634642145E-5</v>
      </c>
      <c r="K1747" s="690">
        <v>2.8777170399352474E-5</v>
      </c>
    </row>
    <row r="1748" spans="2:11" ht="15.75" x14ac:dyDescent="0.25">
      <c r="B1748" s="667" t="s">
        <v>96</v>
      </c>
      <c r="C1748" s="110">
        <v>2038</v>
      </c>
      <c r="D1748" s="687" t="s">
        <v>2471</v>
      </c>
      <c r="E1748" s="688">
        <v>2.5953429393321799E-2</v>
      </c>
      <c r="F1748" s="310">
        <v>4.6958159211860197E-3</v>
      </c>
      <c r="G1748" s="311">
        <v>2.6629456877158706E-2</v>
      </c>
      <c r="H1748" s="311">
        <v>8.8864348274218091E-4</v>
      </c>
      <c r="I1748" s="394">
        <v>9.6535863271862612E-4</v>
      </c>
      <c r="J1748" s="689">
        <v>2.6480798764310022E-5</v>
      </c>
      <c r="K1748" s="690">
        <v>2.7678144112560476E-5</v>
      </c>
    </row>
    <row r="1749" spans="2:11" ht="15.75" x14ac:dyDescent="0.25">
      <c r="B1749" s="667" t="s">
        <v>96</v>
      </c>
      <c r="C1749" s="110">
        <v>2039</v>
      </c>
      <c r="D1749" s="687" t="s">
        <v>2472</v>
      </c>
      <c r="E1749" s="688">
        <v>2.577816399603703E-2</v>
      </c>
      <c r="F1749" s="310">
        <v>4.2648740245599765E-3</v>
      </c>
      <c r="G1749" s="311">
        <v>2.5410399072442174E-2</v>
      </c>
      <c r="H1749" s="311">
        <v>8.4848559426159984E-4</v>
      </c>
      <c r="I1749" s="394">
        <v>9.217206762532369E-4</v>
      </c>
      <c r="J1749" s="689">
        <v>2.5594021458133213E-5</v>
      </c>
      <c r="K1749" s="690">
        <v>2.6751262434289064E-5</v>
      </c>
    </row>
    <row r="1750" spans="2:11" ht="15.75" x14ac:dyDescent="0.25">
      <c r="B1750" s="667" t="s">
        <v>96</v>
      </c>
      <c r="C1750" s="110">
        <v>2040</v>
      </c>
      <c r="D1750" s="687" t="s">
        <v>2473</v>
      </c>
      <c r="E1750" s="688">
        <v>2.5630947748962598E-2</v>
      </c>
      <c r="F1750" s="310">
        <v>3.8847557767137842E-3</v>
      </c>
      <c r="G1750" s="311">
        <v>2.4387673809248254E-2</v>
      </c>
      <c r="H1750" s="311">
        <v>8.1288629562257836E-4</v>
      </c>
      <c r="I1750" s="394">
        <v>8.8303577709595074E-4</v>
      </c>
      <c r="J1750" s="689">
        <v>2.4821907778543011E-5</v>
      </c>
      <c r="K1750" s="690">
        <v>2.5944241891946775E-5</v>
      </c>
    </row>
    <row r="1751" spans="2:11" ht="15.75" x14ac:dyDescent="0.25">
      <c r="B1751" s="667" t="s">
        <v>96</v>
      </c>
      <c r="C1751" s="110">
        <v>2041</v>
      </c>
      <c r="D1751" s="687" t="s">
        <v>2474</v>
      </c>
      <c r="E1751" s="688">
        <v>2.5509425000276035E-2</v>
      </c>
      <c r="F1751" s="310">
        <v>3.6251511430876906E-3</v>
      </c>
      <c r="G1751" s="311">
        <v>2.3674947511459526E-2</v>
      </c>
      <c r="H1751" s="311">
        <v>7.8657983157992865E-4</v>
      </c>
      <c r="I1751" s="394">
        <v>8.5445291892508035E-4</v>
      </c>
      <c r="J1751" s="689">
        <v>2.4176770665188326E-5</v>
      </c>
      <c r="K1751" s="690">
        <v>2.5269937094778983E-5</v>
      </c>
    </row>
    <row r="1752" spans="2:11" ht="15.75" x14ac:dyDescent="0.25">
      <c r="B1752" s="667" t="s">
        <v>96</v>
      </c>
      <c r="C1752" s="110">
        <v>2042</v>
      </c>
      <c r="D1752" s="687" t="s">
        <v>2475</v>
      </c>
      <c r="E1752" s="688">
        <v>2.5407554610720102E-2</v>
      </c>
      <c r="F1752" s="310">
        <v>3.3891039521193088E-3</v>
      </c>
      <c r="G1752" s="311">
        <v>2.2981632189183324E-2</v>
      </c>
      <c r="H1752" s="311">
        <v>7.6377411480997278E-4</v>
      </c>
      <c r="I1752" s="394">
        <v>8.2967175342812949E-4</v>
      </c>
      <c r="J1752" s="689">
        <v>2.3645097745937817E-5</v>
      </c>
      <c r="K1752" s="690">
        <v>2.4714219736672506E-5</v>
      </c>
    </row>
    <row r="1753" spans="2:11" ht="15.75" x14ac:dyDescent="0.25">
      <c r="B1753" s="667" t="s">
        <v>96</v>
      </c>
      <c r="C1753" s="110">
        <v>2043</v>
      </c>
      <c r="D1753" s="687" t="s">
        <v>2476</v>
      </c>
      <c r="E1753" s="688">
        <v>2.5323708662422961E-2</v>
      </c>
      <c r="F1753" s="310">
        <v>3.2086273560928361E-3</v>
      </c>
      <c r="G1753" s="311">
        <v>2.2447692018423539E-2</v>
      </c>
      <c r="H1753" s="311">
        <v>7.4386363926504107E-4</v>
      </c>
      <c r="I1753" s="394">
        <v>8.0805466068008247E-4</v>
      </c>
      <c r="J1753" s="689">
        <v>2.2765069685238265E-5</v>
      </c>
      <c r="K1753" s="690">
        <v>2.3794403729389306E-5</v>
      </c>
    </row>
    <row r="1754" spans="2:11" ht="15.75" x14ac:dyDescent="0.25">
      <c r="B1754" s="667" t="s">
        <v>96</v>
      </c>
      <c r="C1754" s="110">
        <v>2044</v>
      </c>
      <c r="D1754" s="687" t="s">
        <v>2477</v>
      </c>
      <c r="E1754" s="688">
        <v>2.5253621526108189E-2</v>
      </c>
      <c r="F1754" s="310">
        <v>3.0710201147166063E-3</v>
      </c>
      <c r="G1754" s="311">
        <v>2.2000024853300319E-2</v>
      </c>
      <c r="H1754" s="311">
        <v>7.2690589460828949E-4</v>
      </c>
      <c r="I1754" s="394">
        <v>7.8963597697624145E-4</v>
      </c>
      <c r="J1754" s="689">
        <v>2.2191577432130077E-5</v>
      </c>
      <c r="K1754" s="690">
        <v>2.3194979184550847E-5</v>
      </c>
    </row>
    <row r="1755" spans="2:11" ht="15.75" x14ac:dyDescent="0.25">
      <c r="B1755" s="667" t="s">
        <v>96</v>
      </c>
      <c r="C1755" s="110">
        <v>2045</v>
      </c>
      <c r="D1755" s="687" t="s">
        <v>2478</v>
      </c>
      <c r="E1755" s="688">
        <v>2.5194011046307221E-2</v>
      </c>
      <c r="F1755" s="310">
        <v>2.9842014050479528E-3</v>
      </c>
      <c r="G1755" s="311">
        <v>2.1720372029414105E-2</v>
      </c>
      <c r="H1755" s="311">
        <v>7.1270678560630008E-4</v>
      </c>
      <c r="I1755" s="394">
        <v>7.7420427613031958E-4</v>
      </c>
      <c r="J1755" s="689">
        <v>2.1940943321506754E-5</v>
      </c>
      <c r="K1755" s="690">
        <v>2.2933017842265882E-5</v>
      </c>
    </row>
    <row r="1756" spans="2:11" ht="15.75" x14ac:dyDescent="0.25">
      <c r="B1756" s="667" t="s">
        <v>96</v>
      </c>
      <c r="C1756" s="110">
        <v>2046</v>
      </c>
      <c r="D1756" s="687" t="s">
        <v>2479</v>
      </c>
      <c r="E1756" s="688">
        <v>2.5143911955613864E-2</v>
      </c>
      <c r="F1756" s="310">
        <v>2.9144016314240372E-3</v>
      </c>
      <c r="G1756" s="311">
        <v>2.1517807347411943E-2</v>
      </c>
      <c r="H1756" s="311">
        <v>7.0073718356019016E-4</v>
      </c>
      <c r="I1756" s="394">
        <v>7.6120358337101774E-4</v>
      </c>
      <c r="J1756" s="689">
        <v>2.1525906719262767E-5</v>
      </c>
      <c r="K1756" s="690">
        <v>2.2499212435848317E-5</v>
      </c>
    </row>
    <row r="1757" spans="2:11" ht="15.75" x14ac:dyDescent="0.25">
      <c r="B1757" s="667" t="s">
        <v>96</v>
      </c>
      <c r="C1757" s="110">
        <v>2047</v>
      </c>
      <c r="D1757" s="687" t="s">
        <v>2480</v>
      </c>
      <c r="E1757" s="688">
        <v>2.510167385645036E-2</v>
      </c>
      <c r="F1757" s="310">
        <v>2.8445984906080913E-3</v>
      </c>
      <c r="G1757" s="311">
        <v>2.1294149582122068E-2</v>
      </c>
      <c r="H1757" s="311">
        <v>6.9052795733036214E-4</v>
      </c>
      <c r="I1757" s="394">
        <v>7.5011217216280055E-4</v>
      </c>
      <c r="J1757" s="689">
        <v>2.1240056895842468E-5</v>
      </c>
      <c r="K1757" s="690">
        <v>2.2200431788825189E-5</v>
      </c>
    </row>
    <row r="1758" spans="2:11" ht="15.75" x14ac:dyDescent="0.25">
      <c r="B1758" s="667" t="s">
        <v>96</v>
      </c>
      <c r="C1758" s="110">
        <v>2048</v>
      </c>
      <c r="D1758" s="687" t="s">
        <v>2481</v>
      </c>
      <c r="E1758" s="688">
        <v>2.5065881966436682E-2</v>
      </c>
      <c r="F1758" s="310">
        <v>2.7925759679000937E-3</v>
      </c>
      <c r="G1758" s="311">
        <v>2.1130842215949838E-2</v>
      </c>
      <c r="H1758" s="311">
        <v>6.8216541864353053E-4</v>
      </c>
      <c r="I1758" s="394">
        <v>7.4102770590011289E-4</v>
      </c>
      <c r="J1758" s="689">
        <v>2.0991337958014001E-5</v>
      </c>
      <c r="K1758" s="690">
        <v>2.1940474412850577E-5</v>
      </c>
    </row>
    <row r="1759" spans="2:11" ht="15.75" x14ac:dyDescent="0.25">
      <c r="B1759" s="667" t="s">
        <v>96</v>
      </c>
      <c r="C1759" s="110">
        <v>2049</v>
      </c>
      <c r="D1759" s="687" t="s">
        <v>2482</v>
      </c>
      <c r="E1759" s="688">
        <v>2.5035080026850256E-2</v>
      </c>
      <c r="F1759" s="310">
        <v>2.7738027228995524E-3</v>
      </c>
      <c r="G1759" s="311">
        <v>2.1130260591040288E-2</v>
      </c>
      <c r="H1759" s="311">
        <v>6.7716787573135744E-4</v>
      </c>
      <c r="I1759" s="394">
        <v>7.3559586096917553E-4</v>
      </c>
      <c r="J1759" s="689">
        <v>2.0909211526011509E-5</v>
      </c>
      <c r="K1759" s="690">
        <v>2.1854635084843199E-5</v>
      </c>
    </row>
    <row r="1760" spans="2:11" ht="15.75" x14ac:dyDescent="0.25">
      <c r="B1760" s="667" t="s">
        <v>96</v>
      </c>
      <c r="C1760" s="110">
        <v>2050</v>
      </c>
      <c r="D1760" s="687" t="s">
        <v>2483</v>
      </c>
      <c r="E1760" s="688">
        <v>2.5010237863940288E-2</v>
      </c>
      <c r="F1760" s="310">
        <v>2.7587742210111979E-3</v>
      </c>
      <c r="G1760" s="311">
        <v>2.1133950073408812E-2</v>
      </c>
      <c r="H1760" s="311">
        <v>6.7315758543808686E-4</v>
      </c>
      <c r="I1760" s="394">
        <v>7.3123683807913952E-4</v>
      </c>
      <c r="J1760" s="689">
        <v>2.0843858572029153E-5</v>
      </c>
      <c r="K1760" s="690">
        <v>2.1786323135279322E-5</v>
      </c>
    </row>
    <row r="1761" spans="2:11" ht="15.75" x14ac:dyDescent="0.25">
      <c r="B1761" s="667" t="s">
        <v>97</v>
      </c>
      <c r="C1761" s="110">
        <v>2015</v>
      </c>
      <c r="D1761" s="687" t="s">
        <v>301</v>
      </c>
      <c r="E1761" s="688">
        <v>4.3781969534937078E-2</v>
      </c>
      <c r="F1761" s="310">
        <v>9.5664884925162397E-2</v>
      </c>
      <c r="G1761" s="311">
        <v>0.31564547032008616</v>
      </c>
      <c r="H1761" s="311">
        <v>3.1209375004111208E-3</v>
      </c>
      <c r="I1761" s="394">
        <v>3.3724671672967512E-3</v>
      </c>
      <c r="J1761" s="689">
        <v>3.2900123353946824E-4</v>
      </c>
      <c r="K1761" s="690">
        <v>3.4387721460201793E-4</v>
      </c>
    </row>
    <row r="1762" spans="2:11" ht="15.75" x14ac:dyDescent="0.25">
      <c r="B1762" s="667" t="s">
        <v>97</v>
      </c>
      <c r="C1762" s="110">
        <v>2016</v>
      </c>
      <c r="D1762" s="687" t="s">
        <v>302</v>
      </c>
      <c r="E1762" s="688">
        <v>4.2902823986163525E-2</v>
      </c>
      <c r="F1762" s="310">
        <v>7.9962130597474729E-2</v>
      </c>
      <c r="G1762" s="311">
        <v>0.2734860542069989</v>
      </c>
      <c r="H1762" s="311">
        <v>2.8953316788786366E-3</v>
      </c>
      <c r="I1762" s="394">
        <v>3.1306186589635898E-3</v>
      </c>
      <c r="J1762" s="689">
        <v>2.9828042431994284E-4</v>
      </c>
      <c r="K1762" s="690">
        <v>3.1176733923264708E-4</v>
      </c>
    </row>
    <row r="1763" spans="2:11" ht="15.75" x14ac:dyDescent="0.25">
      <c r="B1763" s="667" t="s">
        <v>97</v>
      </c>
      <c r="C1763" s="110">
        <v>2017</v>
      </c>
      <c r="D1763" s="687" t="s">
        <v>2484</v>
      </c>
      <c r="E1763" s="688">
        <v>4.1863455778365692E-2</v>
      </c>
      <c r="F1763" s="310">
        <v>6.717293287314538E-2</v>
      </c>
      <c r="G1763" s="311">
        <v>0.23642214743342335</v>
      </c>
      <c r="H1763" s="311">
        <v>2.7408527912187392E-3</v>
      </c>
      <c r="I1763" s="394">
        <v>2.965375374589403E-3</v>
      </c>
      <c r="J1763" s="689">
        <v>2.7074407364154215E-4</v>
      </c>
      <c r="K1763" s="690">
        <v>2.8298592328883214E-4</v>
      </c>
    </row>
    <row r="1764" spans="2:11" ht="15.75" x14ac:dyDescent="0.25">
      <c r="B1764" s="667" t="s">
        <v>97</v>
      </c>
      <c r="C1764" s="110">
        <v>2018</v>
      </c>
      <c r="D1764" s="687" t="s">
        <v>2485</v>
      </c>
      <c r="E1764" s="688">
        <v>4.077607094665487E-2</v>
      </c>
      <c r="F1764" s="310">
        <v>5.5638094536420338E-2</v>
      </c>
      <c r="G1764" s="311">
        <v>0.20322268794883458</v>
      </c>
      <c r="H1764" s="311">
        <v>2.6299829067428096E-3</v>
      </c>
      <c r="I1764" s="394">
        <v>2.8472413494043387E-3</v>
      </c>
      <c r="J1764" s="689">
        <v>2.4657837553954093E-4</v>
      </c>
      <c r="K1764" s="690">
        <v>2.5772755377231004E-4</v>
      </c>
    </row>
    <row r="1765" spans="2:11" ht="15.75" x14ac:dyDescent="0.25">
      <c r="B1765" s="667" t="s">
        <v>97</v>
      </c>
      <c r="C1765" s="110">
        <v>2019</v>
      </c>
      <c r="D1765" s="687" t="s">
        <v>2486</v>
      </c>
      <c r="E1765" s="688">
        <v>3.9656575227566743E-2</v>
      </c>
      <c r="F1765" s="310">
        <v>4.6179002007363315E-2</v>
      </c>
      <c r="G1765" s="311">
        <v>0.17476130681081883</v>
      </c>
      <c r="H1765" s="311">
        <v>2.5414092536731572E-3</v>
      </c>
      <c r="I1765" s="394">
        <v>2.7529709554203665E-3</v>
      </c>
      <c r="J1765" s="689">
        <v>2.2186006544176458E-4</v>
      </c>
      <c r="K1765" s="690">
        <v>2.3189158920601023E-4</v>
      </c>
    </row>
    <row r="1766" spans="2:11" ht="15.75" x14ac:dyDescent="0.25">
      <c r="B1766" s="667" t="s">
        <v>97</v>
      </c>
      <c r="C1766" s="110">
        <v>2020</v>
      </c>
      <c r="D1766" s="687" t="s">
        <v>2487</v>
      </c>
      <c r="E1766" s="688">
        <v>3.8517335628009193E-2</v>
      </c>
      <c r="F1766" s="310">
        <v>3.9033053505556262E-2</v>
      </c>
      <c r="G1766" s="311">
        <v>0.1508234436352705</v>
      </c>
      <c r="H1766" s="311">
        <v>2.4298296500576398E-3</v>
      </c>
      <c r="I1766" s="394">
        <v>2.6330049427075648E-3</v>
      </c>
      <c r="J1766" s="689">
        <v>1.9969293781123908E-4</v>
      </c>
      <c r="K1766" s="690">
        <v>2.087221646835783E-4</v>
      </c>
    </row>
    <row r="1767" spans="2:11" ht="15.75" x14ac:dyDescent="0.25">
      <c r="B1767" s="667" t="s">
        <v>97</v>
      </c>
      <c r="C1767" s="110">
        <v>2021</v>
      </c>
      <c r="D1767" s="687" t="s">
        <v>2488</v>
      </c>
      <c r="E1767" s="688">
        <v>3.7399034173663491E-2</v>
      </c>
      <c r="F1767" s="310">
        <v>3.3258717925012837E-2</v>
      </c>
      <c r="G1767" s="311">
        <v>0.13009565239908116</v>
      </c>
      <c r="H1767" s="311">
        <v>2.2796525159332285E-3</v>
      </c>
      <c r="I1767" s="394">
        <v>2.4708542691736363E-3</v>
      </c>
      <c r="J1767" s="689">
        <v>1.7886676390409153E-4</v>
      </c>
      <c r="K1767" s="690">
        <v>1.8695433030223088E-4</v>
      </c>
    </row>
    <row r="1768" spans="2:11" ht="15.75" x14ac:dyDescent="0.25">
      <c r="B1768" s="667" t="s">
        <v>97</v>
      </c>
      <c r="C1768" s="110">
        <v>2022</v>
      </c>
      <c r="D1768" s="687" t="s">
        <v>2489</v>
      </c>
      <c r="E1768" s="688">
        <v>3.6265391120316924E-2</v>
      </c>
      <c r="F1768" s="310">
        <v>2.6581108211315922E-2</v>
      </c>
      <c r="G1768" s="311">
        <v>0.11071217658660081</v>
      </c>
      <c r="H1768" s="311">
        <v>2.1347453334542442E-3</v>
      </c>
      <c r="I1768" s="394">
        <v>2.3146497748216819E-3</v>
      </c>
      <c r="J1768" s="689">
        <v>1.6196694912957611E-4</v>
      </c>
      <c r="K1768" s="690">
        <v>1.6929037369582439E-4</v>
      </c>
    </row>
    <row r="1769" spans="2:11" ht="15.75" x14ac:dyDescent="0.25">
      <c r="B1769" s="667" t="s">
        <v>97</v>
      </c>
      <c r="C1769" s="110">
        <v>2023</v>
      </c>
      <c r="D1769" s="687" t="s">
        <v>2490</v>
      </c>
      <c r="E1769" s="688">
        <v>3.5141548985753925E-2</v>
      </c>
      <c r="F1769" s="310">
        <v>2.2756725530815081E-2</v>
      </c>
      <c r="G1769" s="311">
        <v>9.5856206721443238E-2</v>
      </c>
      <c r="H1769" s="311">
        <v>2.0066727322572632E-3</v>
      </c>
      <c r="I1769" s="394">
        <v>2.1761726210962036E-3</v>
      </c>
      <c r="J1769" s="689">
        <v>1.4521715838375736E-4</v>
      </c>
      <c r="K1769" s="690">
        <v>1.5178323319871902E-4</v>
      </c>
    </row>
    <row r="1770" spans="2:11" ht="15.75" x14ac:dyDescent="0.25">
      <c r="B1770" s="667" t="s">
        <v>97</v>
      </c>
      <c r="C1770" s="110">
        <v>2024</v>
      </c>
      <c r="D1770" s="687" t="s">
        <v>2491</v>
      </c>
      <c r="E1770" s="688">
        <v>3.403297237999553E-2</v>
      </c>
      <c r="F1770" s="310">
        <v>1.9583874828943252E-2</v>
      </c>
      <c r="G1770" s="311">
        <v>8.3527320647288572E-2</v>
      </c>
      <c r="H1770" s="311">
        <v>1.8956097007429846E-3</v>
      </c>
      <c r="I1770" s="394">
        <v>2.0561349940856023E-3</v>
      </c>
      <c r="J1770" s="689">
        <v>1.2932114614124378E-4</v>
      </c>
      <c r="K1770" s="690">
        <v>1.3516847318352889E-4</v>
      </c>
    </row>
    <row r="1771" spans="2:11" ht="15.75" x14ac:dyDescent="0.25">
      <c r="B1771" s="667" t="s">
        <v>97</v>
      </c>
      <c r="C1771" s="110">
        <v>2025</v>
      </c>
      <c r="D1771" s="687" t="s">
        <v>2492</v>
      </c>
      <c r="E1771" s="688">
        <v>3.2936870566184932E-2</v>
      </c>
      <c r="F1771" s="310">
        <v>1.7098643299665709E-2</v>
      </c>
      <c r="G1771" s="311">
        <v>7.3770685456080468E-2</v>
      </c>
      <c r="H1771" s="311">
        <v>1.8050051278757828E-3</v>
      </c>
      <c r="I1771" s="394">
        <v>1.9582228796406341E-3</v>
      </c>
      <c r="J1771" s="689">
        <v>1.1513989098460581E-4</v>
      </c>
      <c r="K1771" s="690">
        <v>1.2034600242623688E-4</v>
      </c>
    </row>
    <row r="1772" spans="2:11" ht="15.75" x14ac:dyDescent="0.25">
      <c r="B1772" s="667" t="s">
        <v>97</v>
      </c>
      <c r="C1772" s="110">
        <v>2026</v>
      </c>
      <c r="D1772" s="687" t="s">
        <v>2493</v>
      </c>
      <c r="E1772" s="688">
        <v>3.1952049131298323E-2</v>
      </c>
      <c r="F1772" s="310">
        <v>1.5060799085931293E-2</v>
      </c>
      <c r="G1772" s="311">
        <v>6.5855874377679799E-2</v>
      </c>
      <c r="H1772" s="311">
        <v>1.7160999291176867E-3</v>
      </c>
      <c r="I1772" s="394">
        <v>1.8621534856385789E-3</v>
      </c>
      <c r="J1772" s="689">
        <v>1.0052057887462557E-4</v>
      </c>
      <c r="K1772" s="690">
        <v>1.0506567242631522E-4</v>
      </c>
    </row>
    <row r="1773" spans="2:11" ht="15.75" x14ac:dyDescent="0.25">
      <c r="B1773" s="667" t="s">
        <v>97</v>
      </c>
      <c r="C1773" s="110">
        <v>2027</v>
      </c>
      <c r="D1773" s="687" t="s">
        <v>2494</v>
      </c>
      <c r="E1773" s="688">
        <v>3.1063274167677103E-2</v>
      </c>
      <c r="F1773" s="310">
        <v>1.3299155477414771E-2</v>
      </c>
      <c r="G1773" s="311">
        <v>5.9073069635276108E-2</v>
      </c>
      <c r="H1773" s="311">
        <v>1.6127150613884371E-3</v>
      </c>
      <c r="I1773" s="394">
        <v>1.7506085496335954E-3</v>
      </c>
      <c r="J1773" s="689">
        <v>7.9437852456230583E-5</v>
      </c>
      <c r="K1773" s="690">
        <v>8.3029679232539375E-5</v>
      </c>
    </row>
    <row r="1774" spans="2:11" ht="15.75" x14ac:dyDescent="0.25">
      <c r="B1774" s="667" t="s">
        <v>97</v>
      </c>
      <c r="C1774" s="110">
        <v>2028</v>
      </c>
      <c r="D1774" s="687" t="s">
        <v>2495</v>
      </c>
      <c r="E1774" s="688">
        <v>3.0269959655513257E-2</v>
      </c>
      <c r="F1774" s="310">
        <v>1.1832440825983353E-2</v>
      </c>
      <c r="G1774" s="311">
        <v>5.3418593430239615E-2</v>
      </c>
      <c r="H1774" s="311">
        <v>1.5089072158663741E-3</v>
      </c>
      <c r="I1774" s="394">
        <v>1.6382992969088835E-3</v>
      </c>
      <c r="J1774" s="689">
        <v>6.5485299189543014E-5</v>
      </c>
      <c r="K1774" s="690">
        <v>6.8446255503289426E-5</v>
      </c>
    </row>
    <row r="1775" spans="2:11" ht="15.75" x14ac:dyDescent="0.25">
      <c r="B1775" s="667" t="s">
        <v>97</v>
      </c>
      <c r="C1775" s="110">
        <v>2029</v>
      </c>
      <c r="D1775" s="687" t="s">
        <v>2496</v>
      </c>
      <c r="E1775" s="688">
        <v>2.9562890315649348E-2</v>
      </c>
      <c r="F1775" s="310">
        <v>1.0510535448362326E-2</v>
      </c>
      <c r="G1775" s="311">
        <v>4.8434679781236403E-2</v>
      </c>
      <c r="H1775" s="311">
        <v>1.4111396884414083E-3</v>
      </c>
      <c r="I1775" s="394">
        <v>1.5323871585358659E-3</v>
      </c>
      <c r="J1775" s="689">
        <v>5.5611033652060373E-5</v>
      </c>
      <c r="K1775" s="690">
        <v>5.8125520080624729E-5</v>
      </c>
    </row>
    <row r="1776" spans="2:11" ht="15.75" x14ac:dyDescent="0.25">
      <c r="B1776" s="667" t="s">
        <v>97</v>
      </c>
      <c r="C1776" s="110">
        <v>2030</v>
      </c>
      <c r="D1776" s="687" t="s">
        <v>2497</v>
      </c>
      <c r="E1776" s="688">
        <v>2.893583399726822E-2</v>
      </c>
      <c r="F1776" s="310">
        <v>9.4422109019391427E-3</v>
      </c>
      <c r="G1776" s="311">
        <v>4.4308195256607848E-2</v>
      </c>
      <c r="H1776" s="311">
        <v>1.3203840021098149E-3</v>
      </c>
      <c r="I1776" s="394">
        <v>1.4340134023749266E-3</v>
      </c>
      <c r="J1776" s="689">
        <v>4.7772502554191956E-5</v>
      </c>
      <c r="K1776" s="690">
        <v>4.9932564377270621E-5</v>
      </c>
    </row>
    <row r="1777" spans="2:11" ht="15.75" x14ac:dyDescent="0.25">
      <c r="B1777" s="667" t="s">
        <v>97</v>
      </c>
      <c r="C1777" s="110">
        <v>2031</v>
      </c>
      <c r="D1777" s="687" t="s">
        <v>2498</v>
      </c>
      <c r="E1777" s="688">
        <v>2.8382783433669151E-2</v>
      </c>
      <c r="F1777" s="310">
        <v>8.4763607271632867E-3</v>
      </c>
      <c r="G1777" s="311">
        <v>4.0601538088764925E-2</v>
      </c>
      <c r="H1777" s="311">
        <v>1.236203738715845E-3</v>
      </c>
      <c r="I1777" s="394">
        <v>1.3426644604930822E-3</v>
      </c>
      <c r="J1777" s="689">
        <v>4.29588638729682E-5</v>
      </c>
      <c r="K1777" s="690">
        <v>4.4901277395981398E-5</v>
      </c>
    </row>
    <row r="1778" spans="2:11" ht="15.75" x14ac:dyDescent="0.25">
      <c r="B1778" s="667" t="s">
        <v>97</v>
      </c>
      <c r="C1778" s="110">
        <v>2032</v>
      </c>
      <c r="D1778" s="687" t="s">
        <v>2499</v>
      </c>
      <c r="E1778" s="688">
        <v>2.7897330159216201E-2</v>
      </c>
      <c r="F1778" s="310">
        <v>7.652346133759225E-3</v>
      </c>
      <c r="G1778" s="311">
        <v>3.7557762631439888E-2</v>
      </c>
      <c r="H1778" s="311">
        <v>1.159350461080607E-3</v>
      </c>
      <c r="I1778" s="394">
        <v>1.2592313116809744E-3</v>
      </c>
      <c r="J1778" s="689">
        <v>3.9354740974508513E-5</v>
      </c>
      <c r="K1778" s="690">
        <v>4.1134187265896254E-5</v>
      </c>
    </row>
    <row r="1779" spans="2:11" ht="15.75" x14ac:dyDescent="0.25">
      <c r="B1779" s="667" t="s">
        <v>97</v>
      </c>
      <c r="C1779" s="110">
        <v>2033</v>
      </c>
      <c r="D1779" s="687" t="s">
        <v>2500</v>
      </c>
      <c r="E1779" s="688">
        <v>2.7474093973256033E-2</v>
      </c>
      <c r="F1779" s="310">
        <v>6.9194043143322448E-3</v>
      </c>
      <c r="G1779" s="311">
        <v>3.4925878530788455E-2</v>
      </c>
      <c r="H1779" s="311">
        <v>1.0876680726826895E-3</v>
      </c>
      <c r="I1779" s="394">
        <v>1.1813973283824135E-3</v>
      </c>
      <c r="J1779" s="689">
        <v>3.636252123241075E-5</v>
      </c>
      <c r="K1779" s="690">
        <v>3.8006676145251321E-5</v>
      </c>
    </row>
    <row r="1780" spans="2:11" ht="15.75" x14ac:dyDescent="0.25">
      <c r="B1780" s="667" t="s">
        <v>97</v>
      </c>
      <c r="C1780" s="110">
        <v>2034</v>
      </c>
      <c r="D1780" s="687" t="s">
        <v>2501</v>
      </c>
      <c r="E1780" s="688">
        <v>2.7107167990847968E-2</v>
      </c>
      <c r="F1780" s="310">
        <v>6.2622153845543743E-3</v>
      </c>
      <c r="G1780" s="311">
        <v>3.2662561732272569E-2</v>
      </c>
      <c r="H1780" s="311">
        <v>1.0212287604144592E-3</v>
      </c>
      <c r="I1780" s="394">
        <v>1.1092456510674257E-3</v>
      </c>
      <c r="J1780" s="689">
        <v>3.38202452172397E-5</v>
      </c>
      <c r="K1780" s="690">
        <v>3.5349443096143825E-5</v>
      </c>
    </row>
    <row r="1781" spans="2:11" ht="15.75" x14ac:dyDescent="0.25">
      <c r="B1781" s="667" t="s">
        <v>97</v>
      </c>
      <c r="C1781" s="110">
        <v>2035</v>
      </c>
      <c r="D1781" s="687" t="s">
        <v>2502</v>
      </c>
      <c r="E1781" s="688">
        <v>2.6792213058724194E-2</v>
      </c>
      <c r="F1781" s="310">
        <v>5.6678355912619695E-3</v>
      </c>
      <c r="G1781" s="311">
        <v>3.0707236593393417E-2</v>
      </c>
      <c r="H1781" s="311">
        <v>9.599042805443366E-4</v>
      </c>
      <c r="I1781" s="394">
        <v>1.0426385349705507E-3</v>
      </c>
      <c r="J1781" s="689">
        <v>3.1740887498343084E-5</v>
      </c>
      <c r="K1781" s="690">
        <v>3.3176067232720302E-5</v>
      </c>
    </row>
    <row r="1782" spans="2:11" ht="15.75" x14ac:dyDescent="0.25">
      <c r="B1782" s="667" t="s">
        <v>97</v>
      </c>
      <c r="C1782" s="110">
        <v>2036</v>
      </c>
      <c r="D1782" s="687" t="s">
        <v>2503</v>
      </c>
      <c r="E1782" s="688">
        <v>2.6523419407415229E-2</v>
      </c>
      <c r="F1782" s="310">
        <v>5.1509133481023508E-3</v>
      </c>
      <c r="G1782" s="311">
        <v>2.9046587676782788E-2</v>
      </c>
      <c r="H1782" s="311">
        <v>9.0711255244597488E-4</v>
      </c>
      <c r="I1782" s="394">
        <v>9.8532384935334978E-4</v>
      </c>
      <c r="J1782" s="689">
        <v>2.9352397253514056E-5</v>
      </c>
      <c r="K1782" s="690">
        <v>3.0679578005635347E-5</v>
      </c>
    </row>
    <row r="1783" spans="2:11" ht="15.75" x14ac:dyDescent="0.25">
      <c r="B1783" s="667" t="s">
        <v>97</v>
      </c>
      <c r="C1783" s="110">
        <v>2037</v>
      </c>
      <c r="D1783" s="687" t="s">
        <v>2504</v>
      </c>
      <c r="E1783" s="688">
        <v>2.6296569528819883E-2</v>
      </c>
      <c r="F1783" s="310">
        <v>4.6985370420963022E-3</v>
      </c>
      <c r="G1783" s="311">
        <v>2.7633029443202919E-2</v>
      </c>
      <c r="H1783" s="311">
        <v>8.6028933361282994E-4</v>
      </c>
      <c r="I1783" s="394">
        <v>9.3446396902153734E-4</v>
      </c>
      <c r="J1783" s="689">
        <v>2.7828320233114174E-5</v>
      </c>
      <c r="K1783" s="690">
        <v>2.9086589639033426E-5</v>
      </c>
    </row>
    <row r="1784" spans="2:11" ht="15.75" x14ac:dyDescent="0.25">
      <c r="B1784" s="667" t="s">
        <v>97</v>
      </c>
      <c r="C1784" s="110">
        <v>2038</v>
      </c>
      <c r="D1784" s="687" t="s">
        <v>2505</v>
      </c>
      <c r="E1784" s="688">
        <v>2.6106244506498004E-2</v>
      </c>
      <c r="F1784" s="310">
        <v>4.2896104089270738E-3</v>
      </c>
      <c r="G1784" s="311">
        <v>2.6355645581711315E-2</v>
      </c>
      <c r="H1784" s="311">
        <v>8.1817770917592438E-4</v>
      </c>
      <c r="I1784" s="394">
        <v>8.8872364729772519E-4</v>
      </c>
      <c r="J1784" s="689">
        <v>2.6417140331755058E-5</v>
      </c>
      <c r="K1784" s="690">
        <v>2.7611606783095856E-5</v>
      </c>
    </row>
    <row r="1785" spans="2:11" ht="15.75" x14ac:dyDescent="0.25">
      <c r="B1785" s="667" t="s">
        <v>97</v>
      </c>
      <c r="C1785" s="110">
        <v>2039</v>
      </c>
      <c r="D1785" s="687" t="s">
        <v>2506</v>
      </c>
      <c r="E1785" s="688">
        <v>2.5947710200406121E-2</v>
      </c>
      <c r="F1785" s="310">
        <v>3.8969896452088581E-3</v>
      </c>
      <c r="G1785" s="311">
        <v>2.5132453582435991E-2</v>
      </c>
      <c r="H1785" s="311">
        <v>7.8034387039790313E-4</v>
      </c>
      <c r="I1785" s="394">
        <v>8.4762333244897041E-4</v>
      </c>
      <c r="J1785" s="689">
        <v>2.5295962584353687E-5</v>
      </c>
      <c r="K1785" s="690">
        <v>2.6439731950985362E-5</v>
      </c>
    </row>
    <row r="1786" spans="2:11" ht="15.75" x14ac:dyDescent="0.25">
      <c r="B1786" s="667" t="s">
        <v>97</v>
      </c>
      <c r="C1786" s="110">
        <v>2040</v>
      </c>
      <c r="D1786" s="687" t="s">
        <v>2507</v>
      </c>
      <c r="E1786" s="688">
        <v>2.5816240159025818E-2</v>
      </c>
      <c r="F1786" s="310">
        <v>3.5552028576747137E-3</v>
      </c>
      <c r="G1786" s="311">
        <v>2.413194158084548E-2</v>
      </c>
      <c r="H1786" s="311">
        <v>7.4690455765660411E-4</v>
      </c>
      <c r="I1786" s="394">
        <v>8.1129694023030267E-4</v>
      </c>
      <c r="J1786" s="689">
        <v>2.4297068886824221E-5</v>
      </c>
      <c r="K1786" s="690">
        <v>2.5395677044359571E-5</v>
      </c>
    </row>
    <row r="1787" spans="2:11" ht="15.75" x14ac:dyDescent="0.25">
      <c r="B1787" s="667" t="s">
        <v>97</v>
      </c>
      <c r="C1787" s="110">
        <v>2041</v>
      </c>
      <c r="D1787" s="687" t="s">
        <v>2508</v>
      </c>
      <c r="E1787" s="688">
        <v>2.5708947264768699E-2</v>
      </c>
      <c r="F1787" s="310">
        <v>3.3082160723547356E-3</v>
      </c>
      <c r="G1787" s="311">
        <v>2.3381569015700706E-2</v>
      </c>
      <c r="H1787" s="311">
        <v>7.2158493574212674E-4</v>
      </c>
      <c r="I1787" s="394">
        <v>7.8379318522788226E-4</v>
      </c>
      <c r="J1787" s="689">
        <v>2.3501485192298005E-5</v>
      </c>
      <c r="K1787" s="690">
        <v>2.4564121662485571E-5</v>
      </c>
    </row>
    <row r="1788" spans="2:11" ht="15.75" x14ac:dyDescent="0.25">
      <c r="B1788" s="667" t="s">
        <v>97</v>
      </c>
      <c r="C1788" s="110">
        <v>2042</v>
      </c>
      <c r="D1788" s="687" t="s">
        <v>2509</v>
      </c>
      <c r="E1788" s="688">
        <v>2.5620362236389749E-2</v>
      </c>
      <c r="F1788" s="310">
        <v>3.0945104218160521E-3</v>
      </c>
      <c r="G1788" s="311">
        <v>2.2686224789795567E-2</v>
      </c>
      <c r="H1788" s="311">
        <v>6.9965479003136907E-4</v>
      </c>
      <c r="I1788" s="394">
        <v>7.5997493048903094E-4</v>
      </c>
      <c r="J1788" s="689">
        <v>2.2741356293083068E-5</v>
      </c>
      <c r="K1788" s="690">
        <v>2.3769613965369555E-5</v>
      </c>
    </row>
    <row r="1789" spans="2:11" ht="15.75" x14ac:dyDescent="0.25">
      <c r="B1789" s="667" t="s">
        <v>97</v>
      </c>
      <c r="C1789" s="110">
        <v>2043</v>
      </c>
      <c r="D1789" s="687" t="s">
        <v>2510</v>
      </c>
      <c r="E1789" s="688">
        <v>2.5547907898388959E-2</v>
      </c>
      <c r="F1789" s="310">
        <v>2.9334134747628043E-3</v>
      </c>
      <c r="G1789" s="311">
        <v>2.2166574754649056E-2</v>
      </c>
      <c r="H1789" s="311">
        <v>6.8103231803735181E-4</v>
      </c>
      <c r="I1789" s="394">
        <v>7.3974506037315221E-4</v>
      </c>
      <c r="J1789" s="689">
        <v>2.2177457497456085E-5</v>
      </c>
      <c r="K1789" s="690">
        <v>2.3180224887936132E-5</v>
      </c>
    </row>
    <row r="1790" spans="2:11" ht="15.75" x14ac:dyDescent="0.25">
      <c r="B1790" s="667" t="s">
        <v>97</v>
      </c>
      <c r="C1790" s="110">
        <v>2044</v>
      </c>
      <c r="D1790" s="687" t="s">
        <v>2511</v>
      </c>
      <c r="E1790" s="688">
        <v>2.5488562234181961E-2</v>
      </c>
      <c r="F1790" s="310">
        <v>2.811885764591644E-3</v>
      </c>
      <c r="G1790" s="311">
        <v>2.1747420193408362E-2</v>
      </c>
      <c r="H1790" s="311">
        <v>6.6510638192557542E-4</v>
      </c>
      <c r="I1790" s="394">
        <v>7.2244657460853237E-4</v>
      </c>
      <c r="J1790" s="689">
        <v>2.1643574002528444E-5</v>
      </c>
      <c r="K1790" s="690">
        <v>2.2622201248192882E-5</v>
      </c>
    </row>
    <row r="1791" spans="2:11" ht="15.75" x14ac:dyDescent="0.25">
      <c r="B1791" s="667" t="s">
        <v>97</v>
      </c>
      <c r="C1791" s="110">
        <v>2045</v>
      </c>
      <c r="D1791" s="687" t="s">
        <v>2512</v>
      </c>
      <c r="E1791" s="688">
        <v>2.5438521605278833E-2</v>
      </c>
      <c r="F1791" s="310">
        <v>2.7305660375148669E-3</v>
      </c>
      <c r="G1791" s="311">
        <v>2.146742222969741E-2</v>
      </c>
      <c r="H1791" s="311">
        <v>6.5164377633959139E-4</v>
      </c>
      <c r="I1791" s="394">
        <v>7.0782058032963966E-4</v>
      </c>
      <c r="J1791" s="689">
        <v>2.1268358418686051E-5</v>
      </c>
      <c r="K1791" s="690">
        <v>2.2230022405292925E-5</v>
      </c>
    </row>
    <row r="1792" spans="2:11" ht="15.75" x14ac:dyDescent="0.25">
      <c r="B1792" s="667" t="s">
        <v>97</v>
      </c>
      <c r="C1792" s="110">
        <v>2046</v>
      </c>
      <c r="D1792" s="687" t="s">
        <v>2513</v>
      </c>
      <c r="E1792" s="688">
        <v>2.5397469672619095E-2</v>
      </c>
      <c r="F1792" s="310">
        <v>2.6597727206530927E-3</v>
      </c>
      <c r="G1792" s="311">
        <v>2.1237449341479853E-2</v>
      </c>
      <c r="H1792" s="311">
        <v>6.4020679683726006E-4</v>
      </c>
      <c r="I1792" s="394">
        <v>6.9539913222408788E-4</v>
      </c>
      <c r="J1792" s="689">
        <v>2.0865213715409615E-5</v>
      </c>
      <c r="K1792" s="690">
        <v>2.1808646736952202E-5</v>
      </c>
    </row>
    <row r="1793" spans="2:11" ht="15.75" x14ac:dyDescent="0.25">
      <c r="B1793" s="667" t="s">
        <v>97</v>
      </c>
      <c r="C1793" s="110">
        <v>2047</v>
      </c>
      <c r="D1793" s="687" t="s">
        <v>2514</v>
      </c>
      <c r="E1793" s="688">
        <v>2.5363113049144969E-2</v>
      </c>
      <c r="F1793" s="310">
        <v>2.5992314943593235E-3</v>
      </c>
      <c r="G1793" s="311">
        <v>2.1037803632442217E-2</v>
      </c>
      <c r="H1793" s="311">
        <v>6.3077109026130475E-4</v>
      </c>
      <c r="I1793" s="394">
        <v>6.8514862579586739E-4</v>
      </c>
      <c r="J1793" s="689">
        <v>2.0589037745194074E-5</v>
      </c>
      <c r="K1793" s="690">
        <v>2.1519986358203802E-5</v>
      </c>
    </row>
    <row r="1794" spans="2:11" ht="15.75" x14ac:dyDescent="0.25">
      <c r="B1794" s="667" t="s">
        <v>97</v>
      </c>
      <c r="C1794" s="110">
        <v>2048</v>
      </c>
      <c r="D1794" s="687" t="s">
        <v>2515</v>
      </c>
      <c r="E1794" s="688">
        <v>2.5334691631056075E-2</v>
      </c>
      <c r="F1794" s="310">
        <v>2.549402828619696E-3</v>
      </c>
      <c r="G1794" s="311">
        <v>2.0866622904301503E-2</v>
      </c>
      <c r="H1794" s="311">
        <v>6.2280201877293827E-4</v>
      </c>
      <c r="I1794" s="394">
        <v>6.7649538982106805E-4</v>
      </c>
      <c r="J1794" s="689">
        <v>2.0267063199746446E-5</v>
      </c>
      <c r="K1794" s="690">
        <v>2.1183448859420969E-5</v>
      </c>
    </row>
    <row r="1795" spans="2:11" ht="15.75" x14ac:dyDescent="0.25">
      <c r="B1795" s="667" t="s">
        <v>97</v>
      </c>
      <c r="C1795" s="110">
        <v>2049</v>
      </c>
      <c r="D1795" s="687" t="s">
        <v>2516</v>
      </c>
      <c r="E1795" s="688">
        <v>2.5310681382556433E-2</v>
      </c>
      <c r="F1795" s="310">
        <v>2.5310548408864937E-3</v>
      </c>
      <c r="G1795" s="311">
        <v>2.0859757150860799E-2</v>
      </c>
      <c r="H1795" s="311">
        <v>6.1781955861126925E-4</v>
      </c>
      <c r="I1795" s="394">
        <v>6.7108636214528977E-4</v>
      </c>
      <c r="J1795" s="689">
        <v>2.0020521499926093E-5</v>
      </c>
      <c r="K1795" s="690">
        <v>2.0925762314367179E-5</v>
      </c>
    </row>
    <row r="1796" spans="2:11" ht="15.75" x14ac:dyDescent="0.25">
      <c r="B1796" s="667" t="s">
        <v>97</v>
      </c>
      <c r="C1796" s="110">
        <v>2050</v>
      </c>
      <c r="D1796" s="687" t="s">
        <v>2517</v>
      </c>
      <c r="E1796" s="688">
        <v>2.5291616562298763E-2</v>
      </c>
      <c r="F1796" s="310">
        <v>2.5160299730216497E-3</v>
      </c>
      <c r="G1796" s="311">
        <v>2.0853243546603967E-2</v>
      </c>
      <c r="H1796" s="311">
        <v>6.1364996499292375E-4</v>
      </c>
      <c r="I1796" s="394">
        <v>6.6656711812814894E-4</v>
      </c>
      <c r="J1796" s="689">
        <v>1.9663750901916867E-5</v>
      </c>
      <c r="K1796" s="690">
        <v>2.0552861662522389E-5</v>
      </c>
    </row>
    <row r="1797" spans="2:11" ht="15.75" x14ac:dyDescent="0.25">
      <c r="B1797" s="667" t="s">
        <v>303</v>
      </c>
      <c r="C1797" s="110">
        <v>2015</v>
      </c>
      <c r="D1797" s="687" t="s">
        <v>304</v>
      </c>
      <c r="E1797" s="688">
        <v>4.378196953764283E-2</v>
      </c>
      <c r="F1797" s="310">
        <v>4.7370707223634879E-2</v>
      </c>
      <c r="G1797" s="311">
        <v>0.18608743439640224</v>
      </c>
      <c r="H1797" s="311">
        <v>1.7664141363437254E-3</v>
      </c>
      <c r="I1797" s="394">
        <v>1.911901626944112E-3</v>
      </c>
      <c r="J1797" s="689">
        <v>1.3962789297980793E-4</v>
      </c>
      <c r="K1797" s="690">
        <v>1.4594125087168648E-4</v>
      </c>
    </row>
    <row r="1798" spans="2:11" ht="15.75" x14ac:dyDescent="0.25">
      <c r="B1798" s="667" t="s">
        <v>303</v>
      </c>
      <c r="C1798" s="110">
        <v>2016</v>
      </c>
      <c r="D1798" s="687" t="s">
        <v>305</v>
      </c>
      <c r="E1798" s="688">
        <v>4.2902823980212675E-2</v>
      </c>
      <c r="F1798" s="310">
        <v>3.9531979750493274E-2</v>
      </c>
      <c r="G1798" s="311">
        <v>0.15754512349237049</v>
      </c>
      <c r="H1798" s="311">
        <v>1.6983085390288916E-3</v>
      </c>
      <c r="I1798" s="394">
        <v>1.8395049901245978E-3</v>
      </c>
      <c r="J1798" s="689">
        <v>1.2476962704026194E-4</v>
      </c>
      <c r="K1798" s="690">
        <v>1.3041115543880027E-4</v>
      </c>
    </row>
    <row r="1799" spans="2:11" ht="15.75" x14ac:dyDescent="0.25">
      <c r="B1799" s="667" t="s">
        <v>303</v>
      </c>
      <c r="C1799" s="110">
        <v>2017</v>
      </c>
      <c r="D1799" s="687" t="s">
        <v>2518</v>
      </c>
      <c r="E1799" s="688">
        <v>4.1863455776178157E-2</v>
      </c>
      <c r="F1799" s="310">
        <v>3.2463851739599175E-2</v>
      </c>
      <c r="G1799" s="311">
        <v>0.13361718416369378</v>
      </c>
      <c r="H1799" s="311">
        <v>1.6478620122386501E-3</v>
      </c>
      <c r="I1799" s="394">
        <v>1.7859968525564304E-3</v>
      </c>
      <c r="J1799" s="689">
        <v>1.133481205530976E-4</v>
      </c>
      <c r="K1799" s="690">
        <v>1.1847321912655642E-4</v>
      </c>
    </row>
    <row r="1800" spans="2:11" ht="15.75" x14ac:dyDescent="0.25">
      <c r="B1800" s="667" t="s">
        <v>303</v>
      </c>
      <c r="C1800" s="110">
        <v>2018</v>
      </c>
      <c r="D1800" s="687" t="s">
        <v>2519</v>
      </c>
      <c r="E1800" s="688">
        <v>4.0776070944582792E-2</v>
      </c>
      <c r="F1800" s="310">
        <v>2.6673175339701184E-2</v>
      </c>
      <c r="G1800" s="311">
        <v>0.11320719918001759</v>
      </c>
      <c r="H1800" s="311">
        <v>1.6315025656367809E-3</v>
      </c>
      <c r="I1800" s="394">
        <v>1.7692137020509913E-3</v>
      </c>
      <c r="J1800" s="689">
        <v>1.0398307832115422E-4</v>
      </c>
      <c r="K1800" s="690">
        <v>1.0868473156807374E-4</v>
      </c>
    </row>
    <row r="1801" spans="2:11" ht="15.75" x14ac:dyDescent="0.25">
      <c r="B1801" s="667" t="s">
        <v>303</v>
      </c>
      <c r="C1801" s="110">
        <v>2019</v>
      </c>
      <c r="D1801" s="687" t="s">
        <v>2520</v>
      </c>
      <c r="E1801" s="688">
        <v>3.9656575225744221E-2</v>
      </c>
      <c r="F1801" s="310">
        <v>2.1790548572957497E-2</v>
      </c>
      <c r="G1801" s="311">
        <v>9.5951866606097905E-2</v>
      </c>
      <c r="H1801" s="311">
        <v>1.6243206772286929E-3</v>
      </c>
      <c r="I1801" s="394">
        <v>1.7622428626120536E-3</v>
      </c>
      <c r="J1801" s="689">
        <v>9.5287882505335638E-5</v>
      </c>
      <c r="K1801" s="690">
        <v>9.9596376511209986E-5</v>
      </c>
    </row>
    <row r="1802" spans="2:11" ht="15.75" x14ac:dyDescent="0.25">
      <c r="B1802" s="667" t="s">
        <v>303</v>
      </c>
      <c r="C1802" s="110">
        <v>2020</v>
      </c>
      <c r="D1802" s="687" t="s">
        <v>2521</v>
      </c>
      <c r="E1802" s="688">
        <v>3.8517335630256479E-2</v>
      </c>
      <c r="F1802" s="310">
        <v>1.8314152040140447E-2</v>
      </c>
      <c r="G1802" s="311">
        <v>8.1828573415233488E-2</v>
      </c>
      <c r="H1802" s="311">
        <v>1.5916424829246418E-3</v>
      </c>
      <c r="I1802" s="394">
        <v>1.7271105404834219E-3</v>
      </c>
      <c r="J1802" s="689">
        <v>8.862582115009982E-5</v>
      </c>
      <c r="K1802" s="690">
        <v>9.2633084549098184E-5</v>
      </c>
    </row>
    <row r="1803" spans="2:11" ht="15.75" x14ac:dyDescent="0.25">
      <c r="B1803" s="667" t="s">
        <v>303</v>
      </c>
      <c r="C1803" s="110">
        <v>2021</v>
      </c>
      <c r="D1803" s="687" t="s">
        <v>2522</v>
      </c>
      <c r="E1803" s="688">
        <v>3.7399034173851424E-2</v>
      </c>
      <c r="F1803" s="310">
        <v>1.5567149199081309E-2</v>
      </c>
      <c r="G1803" s="311">
        <v>7.0150736724500631E-2</v>
      </c>
      <c r="H1803" s="311">
        <v>1.521671484127244E-3</v>
      </c>
      <c r="I1803" s="394">
        <v>1.6513867076411945E-3</v>
      </c>
      <c r="J1803" s="689">
        <v>8.1310766900278395E-5</v>
      </c>
      <c r="K1803" s="690">
        <v>8.4987273560783406E-5</v>
      </c>
    </row>
    <row r="1804" spans="2:11" ht="15.75" x14ac:dyDescent="0.25">
      <c r="B1804" s="667" t="s">
        <v>303</v>
      </c>
      <c r="C1804" s="110">
        <v>2022</v>
      </c>
      <c r="D1804" s="687" t="s">
        <v>2523</v>
      </c>
      <c r="E1804" s="688">
        <v>3.6265391121762969E-2</v>
      </c>
      <c r="F1804" s="310">
        <v>1.317110766094196E-2</v>
      </c>
      <c r="G1804" s="311">
        <v>6.0412248421937723E-2</v>
      </c>
      <c r="H1804" s="311">
        <v>1.4514848361202079E-3</v>
      </c>
      <c r="I1804" s="394">
        <v>1.5754322903584017E-3</v>
      </c>
      <c r="J1804" s="689">
        <v>7.4398821753470163E-5</v>
      </c>
      <c r="K1804" s="690">
        <v>7.7762804242299241E-5</v>
      </c>
    </row>
    <row r="1805" spans="2:11" ht="15.75" x14ac:dyDescent="0.25">
      <c r="B1805" s="667" t="s">
        <v>303</v>
      </c>
      <c r="C1805" s="110">
        <v>2023</v>
      </c>
      <c r="D1805" s="687" t="s">
        <v>2524</v>
      </c>
      <c r="E1805" s="688">
        <v>3.5141548983058254E-2</v>
      </c>
      <c r="F1805" s="310">
        <v>1.1339802188689466E-2</v>
      </c>
      <c r="G1805" s="311">
        <v>5.2500545388787095E-2</v>
      </c>
      <c r="H1805" s="311">
        <v>1.3861539988728705E-3</v>
      </c>
      <c r="I1805" s="394">
        <v>1.5047183106295155E-3</v>
      </c>
      <c r="J1805" s="689">
        <v>6.6814940462955153E-5</v>
      </c>
      <c r="K1805" s="690">
        <v>6.9836017690566284E-5</v>
      </c>
    </row>
    <row r="1806" spans="2:11" ht="15.75" x14ac:dyDescent="0.25">
      <c r="B1806" s="667" t="s">
        <v>303</v>
      </c>
      <c r="C1806" s="110">
        <v>2024</v>
      </c>
      <c r="D1806" s="687" t="s">
        <v>2525</v>
      </c>
      <c r="E1806" s="688">
        <v>3.4032972382346899E-2</v>
      </c>
      <c r="F1806" s="310">
        <v>9.8181150303557584E-3</v>
      </c>
      <c r="G1806" s="311">
        <v>4.6031213314529008E-2</v>
      </c>
      <c r="H1806" s="311">
        <v>1.326797870387421E-3</v>
      </c>
      <c r="I1806" s="394">
        <v>1.4404974756906637E-3</v>
      </c>
      <c r="J1806" s="689">
        <v>5.929329613327194E-5</v>
      </c>
      <c r="K1806" s="690">
        <v>6.1974271941008381E-5</v>
      </c>
    </row>
    <row r="1807" spans="2:11" ht="15.75" x14ac:dyDescent="0.25">
      <c r="B1807" s="667" t="s">
        <v>303</v>
      </c>
      <c r="C1807" s="110">
        <v>2025</v>
      </c>
      <c r="D1807" s="687" t="s">
        <v>2526</v>
      </c>
      <c r="E1807" s="688">
        <v>3.293687056745695E-2</v>
      </c>
      <c r="F1807" s="310">
        <v>8.584087673033057E-3</v>
      </c>
      <c r="G1807" s="311">
        <v>4.0860980603605684E-2</v>
      </c>
      <c r="H1807" s="311">
        <v>1.2752375927087202E-3</v>
      </c>
      <c r="I1807" s="394">
        <v>1.3847030087731508E-3</v>
      </c>
      <c r="J1807" s="689">
        <v>5.2712855851620151E-5</v>
      </c>
      <c r="K1807" s="690">
        <v>5.5096298997250762E-5</v>
      </c>
    </row>
    <row r="1808" spans="2:11" ht="15.75" x14ac:dyDescent="0.25">
      <c r="B1808" s="667" t="s">
        <v>303</v>
      </c>
      <c r="C1808" s="110">
        <v>2026</v>
      </c>
      <c r="D1808" s="687" t="s">
        <v>2527</v>
      </c>
      <c r="E1808" s="688">
        <v>3.1952049127119873E-2</v>
      </c>
      <c r="F1808" s="310">
        <v>7.595468748492029E-3</v>
      </c>
      <c r="G1808" s="311">
        <v>3.676586819449499E-2</v>
      </c>
      <c r="H1808" s="311">
        <v>1.225994485497319E-3</v>
      </c>
      <c r="I1808" s="394">
        <v>1.3313695536677577E-3</v>
      </c>
      <c r="J1808" s="689">
        <v>4.745457972522732E-5</v>
      </c>
      <c r="K1808" s="690">
        <v>4.9600268786890138E-5</v>
      </c>
    </row>
    <row r="1809" spans="2:11" ht="15.75" x14ac:dyDescent="0.25">
      <c r="B1809" s="667" t="s">
        <v>303</v>
      </c>
      <c r="C1809" s="110">
        <v>2027</v>
      </c>
      <c r="D1809" s="687" t="s">
        <v>2528</v>
      </c>
      <c r="E1809" s="688">
        <v>3.1063274168250318E-2</v>
      </c>
      <c r="F1809" s="310">
        <v>6.7407764556959727E-3</v>
      </c>
      <c r="G1809" s="311">
        <v>3.3350761857540233E-2</v>
      </c>
      <c r="H1809" s="311">
        <v>1.1620806792540432E-3</v>
      </c>
      <c r="I1809" s="394">
        <v>1.2621500107565622E-3</v>
      </c>
      <c r="J1809" s="689">
        <v>4.0561447512544627E-5</v>
      </c>
      <c r="K1809" s="690">
        <v>4.2395458355760874E-5</v>
      </c>
    </row>
    <row r="1810" spans="2:11" ht="15.75" x14ac:dyDescent="0.25">
      <c r="B1810" s="667" t="s">
        <v>303</v>
      </c>
      <c r="C1810" s="110">
        <v>2028</v>
      </c>
      <c r="D1810" s="687" t="s">
        <v>2529</v>
      </c>
      <c r="E1810" s="688">
        <v>3.0269959658289838E-2</v>
      </c>
      <c r="F1810" s="310">
        <v>6.0331865799338729E-3</v>
      </c>
      <c r="G1810" s="311">
        <v>3.0588552589963604E-2</v>
      </c>
      <c r="H1810" s="311">
        <v>1.0928165620722021E-3</v>
      </c>
      <c r="I1810" s="394">
        <v>1.1870245625599752E-3</v>
      </c>
      <c r="J1810" s="689">
        <v>3.5706179267799417E-5</v>
      </c>
      <c r="K1810" s="690">
        <v>3.732065082314218E-5</v>
      </c>
    </row>
    <row r="1811" spans="2:11" ht="15.75" x14ac:dyDescent="0.25">
      <c r="B1811" s="667" t="s">
        <v>303</v>
      </c>
      <c r="C1811" s="110">
        <v>2029</v>
      </c>
      <c r="D1811" s="687" t="s">
        <v>2530</v>
      </c>
      <c r="E1811" s="688">
        <v>2.9562890316212172E-2</v>
      </c>
      <c r="F1811" s="310">
        <v>5.4240125383808058E-3</v>
      </c>
      <c r="G1811" s="311">
        <v>2.8291017818160125E-2</v>
      </c>
      <c r="H1811" s="311">
        <v>1.0259697863017343E-3</v>
      </c>
      <c r="I1811" s="394">
        <v>1.1144817480657782E-3</v>
      </c>
      <c r="J1811" s="689">
        <v>3.1950191960289153E-5</v>
      </c>
      <c r="K1811" s="690">
        <v>3.3394835932615432E-5</v>
      </c>
    </row>
    <row r="1812" spans="2:11" ht="15.75" x14ac:dyDescent="0.25">
      <c r="B1812" s="667" t="s">
        <v>303</v>
      </c>
      <c r="C1812" s="110">
        <v>2030</v>
      </c>
      <c r="D1812" s="687" t="s">
        <v>2531</v>
      </c>
      <c r="E1812" s="688">
        <v>2.8935833997329772E-2</v>
      </c>
      <c r="F1812" s="310">
        <v>4.9134266606628918E-3</v>
      </c>
      <c r="G1812" s="311">
        <v>2.6417560099937204E-2</v>
      </c>
      <c r="H1812" s="311">
        <v>9.6233400860101998E-4</v>
      </c>
      <c r="I1812" s="394">
        <v>1.0454205738559441E-3</v>
      </c>
      <c r="J1812" s="689">
        <v>2.8454861629516073E-5</v>
      </c>
      <c r="K1812" s="690">
        <v>2.9741460470790186E-5</v>
      </c>
    </row>
    <row r="1813" spans="2:11" ht="15.75" x14ac:dyDescent="0.25">
      <c r="B1813" s="667" t="s">
        <v>303</v>
      </c>
      <c r="C1813" s="110">
        <v>2031</v>
      </c>
      <c r="D1813" s="687" t="s">
        <v>2532</v>
      </c>
      <c r="E1813" s="688">
        <v>2.8382783433992562E-2</v>
      </c>
      <c r="F1813" s="310">
        <v>4.4724673747633115E-3</v>
      </c>
      <c r="G1813" s="311">
        <v>2.4858860111663886E-2</v>
      </c>
      <c r="H1813" s="311">
        <v>9.0335022213240289E-4</v>
      </c>
      <c r="I1813" s="394">
        <v>9.8135987902544879E-4</v>
      </c>
      <c r="J1813" s="689">
        <v>2.6338548264462931E-5</v>
      </c>
      <c r="K1813" s="690">
        <v>2.7529462953140952E-5</v>
      </c>
    </row>
    <row r="1814" spans="2:11" ht="15.75" x14ac:dyDescent="0.25">
      <c r="B1814" s="667" t="s">
        <v>303</v>
      </c>
      <c r="C1814" s="110">
        <v>2032</v>
      </c>
      <c r="D1814" s="687" t="s">
        <v>2533</v>
      </c>
      <c r="E1814" s="688">
        <v>2.7897330159890477E-2</v>
      </c>
      <c r="F1814" s="310">
        <v>4.0918424086626949E-3</v>
      </c>
      <c r="G1814" s="311">
        <v>2.3577537379538816E-2</v>
      </c>
      <c r="H1814" s="311">
        <v>8.4820996261324719E-4</v>
      </c>
      <c r="I1814" s="394">
        <v>9.2147522066836829E-4</v>
      </c>
      <c r="J1814" s="689">
        <v>2.4313081528823649E-5</v>
      </c>
      <c r="K1814" s="690">
        <v>2.5412407696372078E-5</v>
      </c>
    </row>
    <row r="1815" spans="2:11" ht="15.75" x14ac:dyDescent="0.25">
      <c r="B1815" s="667" t="s">
        <v>303</v>
      </c>
      <c r="C1815" s="110">
        <v>2033</v>
      </c>
      <c r="D1815" s="687" t="s">
        <v>2534</v>
      </c>
      <c r="E1815" s="688">
        <v>2.7474093973365404E-2</v>
      </c>
      <c r="F1815" s="310">
        <v>3.7622982693194681E-3</v>
      </c>
      <c r="G1815" s="311">
        <v>2.2515082095029105E-2</v>
      </c>
      <c r="H1815" s="311">
        <v>7.9761938449243188E-4</v>
      </c>
      <c r="I1815" s="394">
        <v>8.6651312357675632E-4</v>
      </c>
      <c r="J1815" s="689">
        <v>2.2906054276049787E-5</v>
      </c>
      <c r="K1815" s="690">
        <v>2.3941765525183351E-5</v>
      </c>
    </row>
    <row r="1816" spans="2:11" ht="15.75" x14ac:dyDescent="0.25">
      <c r="B1816" s="667" t="s">
        <v>303</v>
      </c>
      <c r="C1816" s="110">
        <v>2034</v>
      </c>
      <c r="D1816" s="687" t="s">
        <v>2535</v>
      </c>
      <c r="E1816" s="688">
        <v>2.7107167990630256E-2</v>
      </c>
      <c r="F1816" s="310">
        <v>3.4734278139374884E-3</v>
      </c>
      <c r="G1816" s="311">
        <v>2.1641186186961429E-2</v>
      </c>
      <c r="H1816" s="311">
        <v>7.5112936728144572E-4</v>
      </c>
      <c r="I1816" s="394">
        <v>8.1600409078713915E-4</v>
      </c>
      <c r="J1816" s="689">
        <v>2.1651389765134518E-5</v>
      </c>
      <c r="K1816" s="690">
        <v>2.2630369750809555E-5</v>
      </c>
    </row>
    <row r="1817" spans="2:11" ht="15.75" x14ac:dyDescent="0.25">
      <c r="B1817" s="667" t="s">
        <v>303</v>
      </c>
      <c r="C1817" s="110">
        <v>2035</v>
      </c>
      <c r="D1817" s="687" t="s">
        <v>2536</v>
      </c>
      <c r="E1817" s="688">
        <v>2.6792213057316959E-2</v>
      </c>
      <c r="F1817" s="310">
        <v>3.2187843379122769E-3</v>
      </c>
      <c r="G1817" s="311">
        <v>2.0916575265479711E-2</v>
      </c>
      <c r="H1817" s="311">
        <v>7.0867459820309986E-4</v>
      </c>
      <c r="I1817" s="394">
        <v>7.6988094220129465E-4</v>
      </c>
      <c r="J1817" s="689">
        <v>2.0457387292645458E-5</v>
      </c>
      <c r="K1817" s="690">
        <v>2.138237657995022E-5</v>
      </c>
    </row>
    <row r="1818" spans="2:11" ht="15.75" x14ac:dyDescent="0.25">
      <c r="B1818" s="667" t="s">
        <v>303</v>
      </c>
      <c r="C1818" s="110">
        <v>2036</v>
      </c>
      <c r="D1818" s="687" t="s">
        <v>2537</v>
      </c>
      <c r="E1818" s="688">
        <v>2.6523419406828331E-2</v>
      </c>
      <c r="F1818" s="310">
        <v>2.9960598080662672E-3</v>
      </c>
      <c r="G1818" s="311">
        <v>2.0316688258092696E-2</v>
      </c>
      <c r="H1818" s="311">
        <v>6.7154698717147984E-4</v>
      </c>
      <c r="I1818" s="394">
        <v>7.2954632317687206E-4</v>
      </c>
      <c r="J1818" s="689">
        <v>1.9412822463121175E-5</v>
      </c>
      <c r="K1818" s="690">
        <v>2.0290585712739578E-5</v>
      </c>
    </row>
    <row r="1819" spans="2:11" ht="15.75" x14ac:dyDescent="0.25">
      <c r="B1819" s="667" t="s">
        <v>303</v>
      </c>
      <c r="C1819" s="110">
        <v>2037</v>
      </c>
      <c r="D1819" s="687" t="s">
        <v>2538</v>
      </c>
      <c r="E1819" s="688">
        <v>2.6296569528056962E-2</v>
      </c>
      <c r="F1819" s="310">
        <v>2.8065695467757511E-3</v>
      </c>
      <c r="G1819" s="311">
        <v>1.9830187381360252E-2</v>
      </c>
      <c r="H1819" s="311">
        <v>6.386726001374268E-4</v>
      </c>
      <c r="I1819" s="394">
        <v>6.9383025068779094E-4</v>
      </c>
      <c r="J1819" s="689">
        <v>1.8520375521654288E-5</v>
      </c>
      <c r="K1819" s="690">
        <v>1.9357783292213576E-5</v>
      </c>
    </row>
    <row r="1820" spans="2:11" ht="15.75" x14ac:dyDescent="0.25">
      <c r="B1820" s="667" t="s">
        <v>303</v>
      </c>
      <c r="C1820" s="110">
        <v>2038</v>
      </c>
      <c r="D1820" s="687" t="s">
        <v>2539</v>
      </c>
      <c r="E1820" s="688">
        <v>2.610624450682628E-2</v>
      </c>
      <c r="F1820" s="310">
        <v>2.6383229989326187E-3</v>
      </c>
      <c r="G1820" s="311">
        <v>1.9406780816128209E-2</v>
      </c>
      <c r="H1820" s="311">
        <v>6.0971150646011113E-4</v>
      </c>
      <c r="I1820" s="394">
        <v>6.6236313982035876E-4</v>
      </c>
      <c r="J1820" s="689">
        <v>1.7788879871549893E-5</v>
      </c>
      <c r="K1820" s="690">
        <v>1.8593206454915883E-5</v>
      </c>
    </row>
    <row r="1821" spans="2:11" ht="15.75" x14ac:dyDescent="0.25">
      <c r="B1821" s="667" t="s">
        <v>303</v>
      </c>
      <c r="C1821" s="110">
        <v>2039</v>
      </c>
      <c r="D1821" s="687" t="s">
        <v>2540</v>
      </c>
      <c r="E1821" s="688">
        <v>2.594771020203682E-2</v>
      </c>
      <c r="F1821" s="310">
        <v>2.485474083734104E-3</v>
      </c>
      <c r="G1821" s="311">
        <v>1.9030401836902276E-2</v>
      </c>
      <c r="H1821" s="311">
        <v>5.8438071133279357E-4</v>
      </c>
      <c r="I1821" s="394">
        <v>6.3483912222040112E-4</v>
      </c>
      <c r="J1821" s="689">
        <v>1.7183440137391832E-5</v>
      </c>
      <c r="K1821" s="690">
        <v>1.7960399707647186E-5</v>
      </c>
    </row>
    <row r="1822" spans="2:11" ht="15.75" x14ac:dyDescent="0.25">
      <c r="B1822" s="667" t="s">
        <v>303</v>
      </c>
      <c r="C1822" s="110">
        <v>2040</v>
      </c>
      <c r="D1822" s="687" t="s">
        <v>2541</v>
      </c>
      <c r="E1822" s="688">
        <v>2.5816240156698027E-2</v>
      </c>
      <c r="F1822" s="310">
        <v>2.34838290776735E-3</v>
      </c>
      <c r="G1822" s="311">
        <v>1.8709327478321526E-2</v>
      </c>
      <c r="H1822" s="311">
        <v>5.6245852385969906E-4</v>
      </c>
      <c r="I1822" s="394">
        <v>6.1101914403494746E-4</v>
      </c>
      <c r="J1822" s="689">
        <v>1.6659734421620013E-5</v>
      </c>
      <c r="K1822" s="690">
        <v>1.7413018575934838E-5</v>
      </c>
    </row>
    <row r="1823" spans="2:11" ht="15.75" x14ac:dyDescent="0.25">
      <c r="B1823" s="667" t="s">
        <v>303</v>
      </c>
      <c r="C1823" s="110">
        <v>2041</v>
      </c>
      <c r="D1823" s="687" t="s">
        <v>2542</v>
      </c>
      <c r="E1823" s="688">
        <v>2.5708947266265571E-2</v>
      </c>
      <c r="F1823" s="310">
        <v>2.2383396352617501E-3</v>
      </c>
      <c r="G1823" s="311">
        <v>1.8455484044044294E-2</v>
      </c>
      <c r="H1823" s="311">
        <v>5.4502973874276123E-4</v>
      </c>
      <c r="I1823" s="394">
        <v>5.9208084738229794E-4</v>
      </c>
      <c r="J1823" s="689">
        <v>1.6246609096352487E-5</v>
      </c>
      <c r="K1823" s="690">
        <v>1.6981202675798716E-5</v>
      </c>
    </row>
    <row r="1824" spans="2:11" ht="15.75" x14ac:dyDescent="0.25">
      <c r="B1824" s="667" t="s">
        <v>303</v>
      </c>
      <c r="C1824" s="110">
        <v>2042</v>
      </c>
      <c r="D1824" s="687" t="s">
        <v>2543</v>
      </c>
      <c r="E1824" s="688">
        <v>2.5620362238605737E-2</v>
      </c>
      <c r="F1824" s="310">
        <v>2.145873859952564E-3</v>
      </c>
      <c r="G1824" s="311">
        <v>1.8232219936950241E-2</v>
      </c>
      <c r="H1824" s="311">
        <v>5.3037778519810451E-4</v>
      </c>
      <c r="I1824" s="394">
        <v>5.761597344496578E-4</v>
      </c>
      <c r="J1824" s="689">
        <v>1.5911954650689687E-5</v>
      </c>
      <c r="K1824" s="690">
        <v>1.6631427120360233E-5</v>
      </c>
    </row>
    <row r="1825" spans="2:11" ht="15.75" x14ac:dyDescent="0.25">
      <c r="B1825" s="667" t="s">
        <v>303</v>
      </c>
      <c r="C1825" s="110">
        <v>2043</v>
      </c>
      <c r="D1825" s="687" t="s">
        <v>2544</v>
      </c>
      <c r="E1825" s="688">
        <v>2.5547907896786771E-2</v>
      </c>
      <c r="F1825" s="310">
        <v>2.0761143955923293E-3</v>
      </c>
      <c r="G1825" s="311">
        <v>1.8067953355913307E-2</v>
      </c>
      <c r="H1825" s="311">
        <v>5.1816882653100418E-4</v>
      </c>
      <c r="I1825" s="394">
        <v>5.6289335156863875E-4</v>
      </c>
      <c r="J1825" s="689">
        <v>1.5635235003883549E-5</v>
      </c>
      <c r="K1825" s="690">
        <v>1.6342198385862998E-5</v>
      </c>
    </row>
    <row r="1826" spans="2:11" ht="15.75" x14ac:dyDescent="0.25">
      <c r="B1826" s="667" t="s">
        <v>303</v>
      </c>
      <c r="C1826" s="110">
        <v>2044</v>
      </c>
      <c r="D1826" s="687" t="s">
        <v>2545</v>
      </c>
      <c r="E1826" s="688">
        <v>2.548856223466962E-2</v>
      </c>
      <c r="F1826" s="310">
        <v>2.0252832823474749E-3</v>
      </c>
      <c r="G1826" s="311">
        <v>1.79442202458917E-2</v>
      </c>
      <c r="H1826" s="311">
        <v>5.080690123076834E-4</v>
      </c>
      <c r="I1826" s="394">
        <v>5.5191793144240581E-4</v>
      </c>
      <c r="J1826" s="689">
        <v>1.5418737835284536E-5</v>
      </c>
      <c r="K1826" s="690">
        <v>1.611590812562174E-5</v>
      </c>
    </row>
    <row r="1827" spans="2:11" ht="15.75" x14ac:dyDescent="0.25">
      <c r="B1827" s="667" t="s">
        <v>303</v>
      </c>
      <c r="C1827" s="110">
        <v>2045</v>
      </c>
      <c r="D1827" s="687" t="s">
        <v>2546</v>
      </c>
      <c r="E1827" s="688">
        <v>2.5438521605770495E-2</v>
      </c>
      <c r="F1827" s="310">
        <v>1.9921543801300207E-3</v>
      </c>
      <c r="G1827" s="311">
        <v>1.7870794306911564E-2</v>
      </c>
      <c r="H1827" s="311">
        <v>4.9975901397570938E-4</v>
      </c>
      <c r="I1827" s="394">
        <v>5.4288702996029112E-4</v>
      </c>
      <c r="J1827" s="689">
        <v>1.5256506146442452E-5</v>
      </c>
      <c r="K1827" s="690">
        <v>1.5946332332711419E-5</v>
      </c>
    </row>
    <row r="1828" spans="2:11" ht="15.75" x14ac:dyDescent="0.25">
      <c r="B1828" s="667" t="s">
        <v>303</v>
      </c>
      <c r="C1828" s="110">
        <v>2046</v>
      </c>
      <c r="D1828" s="687" t="s">
        <v>2547</v>
      </c>
      <c r="E1828" s="688">
        <v>2.5397469671269057E-2</v>
      </c>
      <c r="F1828" s="310">
        <v>1.9637999637953114E-3</v>
      </c>
      <c r="G1828" s="311">
        <v>1.7809575496373964E-2</v>
      </c>
      <c r="H1828" s="311">
        <v>4.9297158518398182E-4</v>
      </c>
      <c r="I1828" s="394">
        <v>5.3551052908405467E-4</v>
      </c>
      <c r="J1828" s="689">
        <v>1.5129915269609489E-5</v>
      </c>
      <c r="K1828" s="690">
        <v>1.5814024110016153E-5</v>
      </c>
    </row>
    <row r="1829" spans="2:11" ht="15.75" x14ac:dyDescent="0.25">
      <c r="B1829" s="667" t="s">
        <v>303</v>
      </c>
      <c r="C1829" s="110">
        <v>2047</v>
      </c>
      <c r="D1829" s="687" t="s">
        <v>2548</v>
      </c>
      <c r="E1829" s="688">
        <v>2.5363113051428635E-2</v>
      </c>
      <c r="F1829" s="310">
        <v>1.9392375388385867E-3</v>
      </c>
      <c r="G1829" s="311">
        <v>1.7752184313411804E-2</v>
      </c>
      <c r="H1829" s="311">
        <v>4.8746112126254006E-4</v>
      </c>
      <c r="I1829" s="394">
        <v>5.2952188691640157E-4</v>
      </c>
      <c r="J1829" s="689">
        <v>1.5022244111423535E-5</v>
      </c>
      <c r="K1829" s="690">
        <v>1.5701483297177422E-5</v>
      </c>
    </row>
    <row r="1830" spans="2:11" ht="15.75" x14ac:dyDescent="0.25">
      <c r="B1830" s="667" t="s">
        <v>303</v>
      </c>
      <c r="C1830" s="110">
        <v>2048</v>
      </c>
      <c r="D1830" s="687" t="s">
        <v>2549</v>
      </c>
      <c r="E1830" s="688">
        <v>2.5334691631467818E-2</v>
      </c>
      <c r="F1830" s="310">
        <v>1.9195912971115355E-3</v>
      </c>
      <c r="G1830" s="311">
        <v>1.7705090809796365E-2</v>
      </c>
      <c r="H1830" s="311">
        <v>4.8301207079147436E-4</v>
      </c>
      <c r="I1830" s="394">
        <v>5.2468732261302031E-4</v>
      </c>
      <c r="J1830" s="689">
        <v>1.4925799044114405E-5</v>
      </c>
      <c r="K1830" s="690">
        <v>1.5600678835107531E-5</v>
      </c>
    </row>
    <row r="1831" spans="2:11" ht="15.75" x14ac:dyDescent="0.25">
      <c r="B1831" s="667" t="s">
        <v>303</v>
      </c>
      <c r="C1831" s="110">
        <v>2049</v>
      </c>
      <c r="D1831" s="687" t="s">
        <v>2550</v>
      </c>
      <c r="E1831" s="688">
        <v>2.5310681380887906E-2</v>
      </c>
      <c r="F1831" s="310">
        <v>1.9115329807683223E-3</v>
      </c>
      <c r="G1831" s="311">
        <v>1.7716706751837411E-2</v>
      </c>
      <c r="H1831" s="311">
        <v>4.8004737200685777E-4</v>
      </c>
      <c r="I1831" s="394">
        <v>5.2146557358587989E-4</v>
      </c>
      <c r="J1831" s="689">
        <v>1.486100743610125E-5</v>
      </c>
      <c r="K1831" s="690">
        <v>1.5532955947947093E-5</v>
      </c>
    </row>
    <row r="1832" spans="2:11" ht="15.75" x14ac:dyDescent="0.25">
      <c r="B1832" s="667" t="s">
        <v>303</v>
      </c>
      <c r="C1832" s="110">
        <v>2050</v>
      </c>
      <c r="D1832" s="687" t="s">
        <v>2551</v>
      </c>
      <c r="E1832" s="688">
        <v>2.5291616562071333E-2</v>
      </c>
      <c r="F1832" s="310">
        <v>1.905242990374142E-3</v>
      </c>
      <c r="G1832" s="311">
        <v>1.7728376439269181E-2</v>
      </c>
      <c r="H1832" s="311">
        <v>4.7772018157796284E-4</v>
      </c>
      <c r="I1832" s="394">
        <v>5.1893698794360204E-4</v>
      </c>
      <c r="J1832" s="689">
        <v>1.4804470579038004E-5</v>
      </c>
      <c r="K1832" s="690">
        <v>1.5473866667539176E-5</v>
      </c>
    </row>
    <row r="1833" spans="2:11" ht="15.75" x14ac:dyDescent="0.25">
      <c r="B1833" s="667" t="s">
        <v>306</v>
      </c>
      <c r="C1833" s="110">
        <v>2015</v>
      </c>
      <c r="D1833" s="687" t="s">
        <v>307</v>
      </c>
      <c r="E1833" s="688">
        <v>4.226693240758124E-2</v>
      </c>
      <c r="F1833" s="310">
        <v>6.6626097835202819E-2</v>
      </c>
      <c r="G1833" s="311">
        <v>0.24214840885564412</v>
      </c>
      <c r="H1833" s="311">
        <v>2.4236089117415003E-3</v>
      </c>
      <c r="I1833" s="394">
        <v>2.6167741868849395E-3</v>
      </c>
      <c r="J1833" s="689">
        <v>3.2966215568613639E-4</v>
      </c>
      <c r="K1833" s="690">
        <v>3.4456801356899501E-4</v>
      </c>
    </row>
    <row r="1834" spans="2:11" ht="15.75" x14ac:dyDescent="0.25">
      <c r="B1834" s="667" t="s">
        <v>306</v>
      </c>
      <c r="C1834" s="110">
        <v>2016</v>
      </c>
      <c r="D1834" s="687" t="s">
        <v>308</v>
      </c>
      <c r="E1834" s="688">
        <v>4.1406525583103058E-2</v>
      </c>
      <c r="F1834" s="310">
        <v>5.4882764590955341E-2</v>
      </c>
      <c r="G1834" s="311">
        <v>0.20620033251603834</v>
      </c>
      <c r="H1834" s="311">
        <v>2.221035581057974E-3</v>
      </c>
      <c r="I1834" s="394">
        <v>2.4000663358511743E-3</v>
      </c>
      <c r="J1834" s="689">
        <v>2.8307164053927752E-4</v>
      </c>
      <c r="K1834" s="690">
        <v>2.9587088459970897E-4</v>
      </c>
    </row>
    <row r="1835" spans="2:11" ht="15.75" x14ac:dyDescent="0.25">
      <c r="B1835" s="667" t="s">
        <v>306</v>
      </c>
      <c r="C1835" s="110">
        <v>2017</v>
      </c>
      <c r="D1835" s="687" t="s">
        <v>2552</v>
      </c>
      <c r="E1835" s="688">
        <v>4.0469408850819399E-2</v>
      </c>
      <c r="F1835" s="310">
        <v>4.5146108851962727E-2</v>
      </c>
      <c r="G1835" s="311">
        <v>0.17537235557729608</v>
      </c>
      <c r="H1835" s="311">
        <v>2.0967690125739389E-3</v>
      </c>
      <c r="I1835" s="394">
        <v>2.2674229332141378E-3</v>
      </c>
      <c r="J1835" s="689">
        <v>2.5391731284244784E-4</v>
      </c>
      <c r="K1835" s="690">
        <v>2.6539832368193908E-4</v>
      </c>
    </row>
    <row r="1836" spans="2:11" ht="15.75" x14ac:dyDescent="0.25">
      <c r="B1836" s="667" t="s">
        <v>306</v>
      </c>
      <c r="C1836" s="110">
        <v>2018</v>
      </c>
      <c r="D1836" s="687" t="s">
        <v>2553</v>
      </c>
      <c r="E1836" s="688">
        <v>3.9474615691288788E-2</v>
      </c>
      <c r="F1836" s="310">
        <v>3.7074536114335338E-2</v>
      </c>
      <c r="G1836" s="311">
        <v>0.14876344660486143</v>
      </c>
      <c r="H1836" s="311">
        <v>2.0156627258736226E-3</v>
      </c>
      <c r="I1836" s="394">
        <v>2.1812464203047883E-3</v>
      </c>
      <c r="J1836" s="689">
        <v>2.2752660253226516E-4</v>
      </c>
      <c r="K1836" s="690">
        <v>2.3781434239763361E-4</v>
      </c>
    </row>
    <row r="1837" spans="2:11" ht="15.75" x14ac:dyDescent="0.25">
      <c r="B1837" s="667" t="s">
        <v>306</v>
      </c>
      <c r="C1837" s="110">
        <v>2019</v>
      </c>
      <c r="D1837" s="687" t="s">
        <v>2554</v>
      </c>
      <c r="E1837" s="688">
        <v>3.8445634140041034E-2</v>
      </c>
      <c r="F1837" s="310">
        <v>3.0566805455717792E-2</v>
      </c>
      <c r="G1837" s="311">
        <v>0.12637018892002896</v>
      </c>
      <c r="H1837" s="311">
        <v>1.9573930154156609E-3</v>
      </c>
      <c r="I1837" s="394">
        <v>2.1194353839988469E-3</v>
      </c>
      <c r="J1837" s="689">
        <v>2.0494159120026064E-4</v>
      </c>
      <c r="K1837" s="690">
        <v>2.1420814205659928E-4</v>
      </c>
    </row>
    <row r="1838" spans="2:11" ht="15.75" x14ac:dyDescent="0.25">
      <c r="B1838" s="667" t="s">
        <v>306</v>
      </c>
      <c r="C1838" s="110">
        <v>2020</v>
      </c>
      <c r="D1838" s="687" t="s">
        <v>2555</v>
      </c>
      <c r="E1838" s="688">
        <v>3.7394513457429536E-2</v>
      </c>
      <c r="F1838" s="310">
        <v>2.5651551515654146E-2</v>
      </c>
      <c r="G1838" s="311">
        <v>0.10777746114414351</v>
      </c>
      <c r="H1838" s="311">
        <v>1.8803272722371308E-3</v>
      </c>
      <c r="I1838" s="394">
        <v>2.0367260745690558E-3</v>
      </c>
      <c r="J1838" s="689">
        <v>1.8415894681055923E-4</v>
      </c>
      <c r="K1838" s="690">
        <v>1.9248579561601277E-4</v>
      </c>
    </row>
    <row r="1839" spans="2:11" ht="15.75" x14ac:dyDescent="0.25">
      <c r="B1839" s="667" t="s">
        <v>306</v>
      </c>
      <c r="C1839" s="110">
        <v>2021</v>
      </c>
      <c r="D1839" s="687" t="s">
        <v>2556</v>
      </c>
      <c r="E1839" s="688">
        <v>3.6329253577408141E-2</v>
      </c>
      <c r="F1839" s="310">
        <v>2.1793526145655075E-2</v>
      </c>
      <c r="G1839" s="311">
        <v>9.2242312207605315E-2</v>
      </c>
      <c r="H1839" s="311">
        <v>1.7744876720010602E-3</v>
      </c>
      <c r="I1839" s="394">
        <v>1.9225347675130631E-3</v>
      </c>
      <c r="J1839" s="689">
        <v>1.6535639323477162E-4</v>
      </c>
      <c r="K1839" s="690">
        <v>1.7283307935639638E-4</v>
      </c>
    </row>
    <row r="1840" spans="2:11" ht="15.75" x14ac:dyDescent="0.25">
      <c r="B1840" s="667" t="s">
        <v>306</v>
      </c>
      <c r="C1840" s="110">
        <v>2022</v>
      </c>
      <c r="D1840" s="687" t="s">
        <v>2557</v>
      </c>
      <c r="E1840" s="688">
        <v>3.5277998699249032E-2</v>
      </c>
      <c r="F1840" s="310">
        <v>1.7909855871294952E-2</v>
      </c>
      <c r="G1840" s="311">
        <v>7.8581626565965998E-2</v>
      </c>
      <c r="H1840" s="311">
        <v>1.6732804580869209E-3</v>
      </c>
      <c r="I1840" s="394">
        <v>1.8134451746958881E-3</v>
      </c>
      <c r="J1840" s="689">
        <v>1.4876792320056095E-4</v>
      </c>
      <c r="K1840" s="690">
        <v>1.5549454779543079E-4</v>
      </c>
    </row>
    <row r="1841" spans="2:11" ht="15.75" x14ac:dyDescent="0.25">
      <c r="B1841" s="667" t="s">
        <v>306</v>
      </c>
      <c r="C1841" s="110">
        <v>2023</v>
      </c>
      <c r="D1841" s="687" t="s">
        <v>2558</v>
      </c>
      <c r="E1841" s="688">
        <v>3.423183783355041E-2</v>
      </c>
      <c r="F1841" s="310">
        <v>1.5306366409917572E-2</v>
      </c>
      <c r="G1841" s="311">
        <v>6.7860837438005112E-2</v>
      </c>
      <c r="H1841" s="311">
        <v>1.581135077288252E-3</v>
      </c>
      <c r="I1841" s="394">
        <v>1.7140572439103214E-3</v>
      </c>
      <c r="J1841" s="689">
        <v>1.3026693276158735E-4</v>
      </c>
      <c r="K1841" s="690">
        <v>1.3615702372547219E-4</v>
      </c>
    </row>
    <row r="1842" spans="2:11" ht="15.75" x14ac:dyDescent="0.25">
      <c r="B1842" s="667" t="s">
        <v>306</v>
      </c>
      <c r="C1842" s="110">
        <v>2024</v>
      </c>
      <c r="D1842" s="687" t="s">
        <v>2559</v>
      </c>
      <c r="E1842" s="688">
        <v>3.319572797212695E-2</v>
      </c>
      <c r="F1842" s="310">
        <v>1.3133654889261402E-2</v>
      </c>
      <c r="G1842" s="311">
        <v>5.9007396733409219E-2</v>
      </c>
      <c r="H1842" s="311">
        <v>1.4992326705926926E-3</v>
      </c>
      <c r="I1842" s="394">
        <v>1.6257501449324641E-3</v>
      </c>
      <c r="J1842" s="689">
        <v>1.130547980127474E-4</v>
      </c>
      <c r="K1842" s="690">
        <v>1.1816663663935138E-4</v>
      </c>
    </row>
    <row r="1843" spans="2:11" ht="15.75" x14ac:dyDescent="0.25">
      <c r="B1843" s="667" t="s">
        <v>306</v>
      </c>
      <c r="C1843" s="110">
        <v>2025</v>
      </c>
      <c r="D1843" s="687" t="s">
        <v>2560</v>
      </c>
      <c r="E1843" s="688">
        <v>3.2168635782590431E-2</v>
      </c>
      <c r="F1843" s="310">
        <v>1.1427972471119568E-2</v>
      </c>
      <c r="G1843" s="311">
        <v>5.2049118350323276E-2</v>
      </c>
      <c r="H1843" s="311">
        <v>1.4330395645129929E-3</v>
      </c>
      <c r="I1843" s="394">
        <v>1.5543304466165849E-3</v>
      </c>
      <c r="J1843" s="689">
        <v>9.9787802498440135E-5</v>
      </c>
      <c r="K1843" s="690">
        <v>1.0429976171649439E-4</v>
      </c>
    </row>
    <row r="1844" spans="2:11" ht="15.75" x14ac:dyDescent="0.25">
      <c r="B1844" s="667" t="s">
        <v>306</v>
      </c>
      <c r="C1844" s="110">
        <v>2026</v>
      </c>
      <c r="D1844" s="687" t="s">
        <v>2561</v>
      </c>
      <c r="E1844" s="688">
        <v>3.1241859751930813E-2</v>
      </c>
      <c r="F1844" s="310">
        <v>1.0013942437213499E-2</v>
      </c>
      <c r="G1844" s="311">
        <v>4.6435135322720283E-2</v>
      </c>
      <c r="H1844" s="311">
        <v>1.3646558412113679E-3</v>
      </c>
      <c r="I1844" s="394">
        <v>1.4805019109959986E-3</v>
      </c>
      <c r="J1844" s="689">
        <v>8.6955490263323438E-5</v>
      </c>
      <c r="K1844" s="690">
        <v>9.0887233223148407E-5</v>
      </c>
    </row>
    <row r="1845" spans="2:11" ht="15.75" x14ac:dyDescent="0.25">
      <c r="B1845" s="667" t="s">
        <v>306</v>
      </c>
      <c r="C1845" s="110">
        <v>2027</v>
      </c>
      <c r="D1845" s="687" t="s">
        <v>2562</v>
      </c>
      <c r="E1845" s="688">
        <v>3.0400419825366808E-2</v>
      </c>
      <c r="F1845" s="310">
        <v>8.827930949514888E-3</v>
      </c>
      <c r="G1845" s="311">
        <v>4.1749565809364932E-2</v>
      </c>
      <c r="H1845" s="311">
        <v>1.2847408776793948E-3</v>
      </c>
      <c r="I1845" s="394">
        <v>1.3943800399700878E-3</v>
      </c>
      <c r="J1845" s="689">
        <v>6.8261463721591754E-5</v>
      </c>
      <c r="K1845" s="690">
        <v>7.1347947887198196E-5</v>
      </c>
    </row>
    <row r="1846" spans="2:11" ht="15.75" x14ac:dyDescent="0.25">
      <c r="B1846" s="667" t="s">
        <v>306</v>
      </c>
      <c r="C1846" s="110">
        <v>2028</v>
      </c>
      <c r="D1846" s="687" t="s">
        <v>2563</v>
      </c>
      <c r="E1846" s="688">
        <v>2.9645026237383069E-2</v>
      </c>
      <c r="F1846" s="310">
        <v>7.8453772212724489E-3</v>
      </c>
      <c r="G1846" s="311">
        <v>3.7900636820084266E-2</v>
      </c>
      <c r="H1846" s="311">
        <v>1.2054978984148014E-3</v>
      </c>
      <c r="I1846" s="394">
        <v>1.3086599680578138E-3</v>
      </c>
      <c r="J1846" s="689">
        <v>5.7328580900682832E-5</v>
      </c>
      <c r="K1846" s="690">
        <v>5.992072999516237E-5</v>
      </c>
    </row>
    <row r="1847" spans="2:11" ht="15.75" x14ac:dyDescent="0.25">
      <c r="B1847" s="667" t="s">
        <v>306</v>
      </c>
      <c r="C1847" s="110">
        <v>2029</v>
      </c>
      <c r="D1847" s="687" t="s">
        <v>2564</v>
      </c>
      <c r="E1847" s="688">
        <v>2.8969254720822332E-2</v>
      </c>
      <c r="F1847" s="310">
        <v>6.9875256640760343E-3</v>
      </c>
      <c r="G1847" s="311">
        <v>3.4634027152558249E-2</v>
      </c>
      <c r="H1847" s="311">
        <v>1.1291596234241465E-3</v>
      </c>
      <c r="I1847" s="394">
        <v>1.2260181582265575E-3</v>
      </c>
      <c r="J1847" s="689">
        <v>4.8284058839784621E-5</v>
      </c>
      <c r="K1847" s="690">
        <v>5.0467249247059559E-5</v>
      </c>
    </row>
    <row r="1848" spans="2:11" ht="15.75" x14ac:dyDescent="0.25">
      <c r="B1848" s="667" t="s">
        <v>306</v>
      </c>
      <c r="C1848" s="110">
        <v>2030</v>
      </c>
      <c r="D1848" s="687" t="s">
        <v>2565</v>
      </c>
      <c r="E1848" s="688">
        <v>2.8368497782969647E-2</v>
      </c>
      <c r="F1848" s="310">
        <v>6.2700381773609865E-3</v>
      </c>
      <c r="G1848" s="311">
        <v>3.1938119880761888E-2</v>
      </c>
      <c r="H1848" s="311">
        <v>1.0573925703466747E-3</v>
      </c>
      <c r="I1848" s="394">
        <v>1.1482619543653478E-3</v>
      </c>
      <c r="J1848" s="689">
        <v>4.1273811178939581E-5</v>
      </c>
      <c r="K1848" s="690">
        <v>4.3140028770029169E-5</v>
      </c>
    </row>
    <row r="1849" spans="2:11" ht="15.75" x14ac:dyDescent="0.25">
      <c r="B1849" s="667" t="s">
        <v>306</v>
      </c>
      <c r="C1849" s="110">
        <v>2031</v>
      </c>
      <c r="D1849" s="687" t="s">
        <v>2566</v>
      </c>
      <c r="E1849" s="688">
        <v>2.7835856819652012E-2</v>
      </c>
      <c r="F1849" s="310">
        <v>5.6322688026958726E-3</v>
      </c>
      <c r="G1849" s="311">
        <v>2.9570603836830436E-2</v>
      </c>
      <c r="H1849" s="311">
        <v>9.9106884443071188E-4</v>
      </c>
      <c r="I1849" s="394">
        <v>1.0762904732204289E-3</v>
      </c>
      <c r="J1849" s="689">
        <v>3.7456463183647844E-5</v>
      </c>
      <c r="K1849" s="690">
        <v>3.9150079050466181E-5</v>
      </c>
    </row>
    <row r="1850" spans="2:11" ht="15.75" x14ac:dyDescent="0.25">
      <c r="B1850" s="667" t="s">
        <v>306</v>
      </c>
      <c r="C1850" s="110">
        <v>2032</v>
      </c>
      <c r="D1850" s="687" t="s">
        <v>2567</v>
      </c>
      <c r="E1850" s="688">
        <v>2.7366325167255495E-2</v>
      </c>
      <c r="F1850" s="310">
        <v>5.0988369395424419E-3</v>
      </c>
      <c r="G1850" s="311">
        <v>2.7691785955872801E-2</v>
      </c>
      <c r="H1850" s="311">
        <v>9.2921469702172217E-4</v>
      </c>
      <c r="I1850" s="394">
        <v>1.0091791072521237E-3</v>
      </c>
      <c r="J1850" s="689">
        <v>3.3658437330252668E-5</v>
      </c>
      <c r="K1850" s="690">
        <v>3.5180320650600905E-5</v>
      </c>
    </row>
    <row r="1851" spans="2:11" ht="15.75" x14ac:dyDescent="0.25">
      <c r="B1851" s="667" t="s">
        <v>306</v>
      </c>
      <c r="C1851" s="110">
        <v>2033</v>
      </c>
      <c r="D1851" s="687" t="s">
        <v>2568</v>
      </c>
      <c r="E1851" s="688">
        <v>2.6955071804066436E-2</v>
      </c>
      <c r="F1851" s="310">
        <v>4.6291536366668039E-3</v>
      </c>
      <c r="G1851" s="311">
        <v>2.6094498626548376E-2</v>
      </c>
      <c r="H1851" s="311">
        <v>8.7196659854970194E-4</v>
      </c>
      <c r="I1851" s="394">
        <v>9.4702916799745379E-4</v>
      </c>
      <c r="J1851" s="689">
        <v>3.1024631275925034E-5</v>
      </c>
      <c r="K1851" s="690">
        <v>3.2427430880749855E-5</v>
      </c>
    </row>
    <row r="1852" spans="2:11" ht="15.75" x14ac:dyDescent="0.25">
      <c r="B1852" s="667" t="s">
        <v>306</v>
      </c>
      <c r="C1852" s="110">
        <v>2034</v>
      </c>
      <c r="D1852" s="687" t="s">
        <v>2569</v>
      </c>
      <c r="E1852" s="688">
        <v>2.6596087629346996E-2</v>
      </c>
      <c r="F1852" s="310">
        <v>4.2145657874307109E-3</v>
      </c>
      <c r="G1852" s="311">
        <v>2.4757811709848952E-2</v>
      </c>
      <c r="H1852" s="311">
        <v>8.1877433531008317E-4</v>
      </c>
      <c r="I1852" s="394">
        <v>8.8927609486957578E-4</v>
      </c>
      <c r="J1852" s="689">
        <v>2.8681685760464461E-5</v>
      </c>
      <c r="K1852" s="690">
        <v>2.9978541799688332E-5</v>
      </c>
    </row>
    <row r="1853" spans="2:11" ht="15.75" x14ac:dyDescent="0.25">
      <c r="B1853" s="667" t="s">
        <v>306</v>
      </c>
      <c r="C1853" s="110">
        <v>2035</v>
      </c>
      <c r="D1853" s="687" t="s">
        <v>2570</v>
      </c>
      <c r="E1853" s="688">
        <v>2.6285221752569442E-2</v>
      </c>
      <c r="F1853" s="310">
        <v>3.8501850909684852E-3</v>
      </c>
      <c r="G1853" s="311">
        <v>2.364346992751399E-2</v>
      </c>
      <c r="H1853" s="311">
        <v>7.6981358435140293E-4</v>
      </c>
      <c r="I1853" s="394">
        <v>8.3611500628772242E-4</v>
      </c>
      <c r="J1853" s="689">
        <v>2.6607977244832878E-5</v>
      </c>
      <c r="K1853" s="690">
        <v>2.7811071584888332E-5</v>
      </c>
    </row>
    <row r="1854" spans="2:11" ht="15.75" x14ac:dyDescent="0.25">
      <c r="B1854" s="667" t="s">
        <v>306</v>
      </c>
      <c r="C1854" s="110">
        <v>2036</v>
      </c>
      <c r="D1854" s="687" t="s">
        <v>2571</v>
      </c>
      <c r="E1854" s="688">
        <v>2.6018178696214783E-2</v>
      </c>
      <c r="F1854" s="310">
        <v>3.5294269097429173E-3</v>
      </c>
      <c r="G1854" s="311">
        <v>2.2710168936589125E-2</v>
      </c>
      <c r="H1854" s="311">
        <v>7.2694205153408424E-4</v>
      </c>
      <c r="I1854" s="394">
        <v>7.8957072336834522E-4</v>
      </c>
      <c r="J1854" s="689">
        <v>2.4678439487251435E-5</v>
      </c>
      <c r="K1854" s="690">
        <v>2.5794296540818943E-5</v>
      </c>
    </row>
    <row r="1855" spans="2:11" ht="15.75" x14ac:dyDescent="0.25">
      <c r="B1855" s="667" t="s">
        <v>306</v>
      </c>
      <c r="C1855" s="110">
        <v>2037</v>
      </c>
      <c r="D1855" s="687" t="s">
        <v>2572</v>
      </c>
      <c r="E1855" s="688">
        <v>2.5791185919181038E-2</v>
      </c>
      <c r="F1855" s="310">
        <v>3.2616348732814517E-3</v>
      </c>
      <c r="G1855" s="311">
        <v>2.1966013006283366E-2</v>
      </c>
      <c r="H1855" s="311">
        <v>6.890242436516454E-4</v>
      </c>
      <c r="I1855" s="394">
        <v>7.4839503654393227E-4</v>
      </c>
      <c r="J1855" s="689">
        <v>2.3163565987610364E-5</v>
      </c>
      <c r="K1855" s="690">
        <v>2.421092116833884E-5</v>
      </c>
    </row>
    <row r="1856" spans="2:11" ht="15.75" x14ac:dyDescent="0.25">
      <c r="B1856" s="667" t="s">
        <v>306</v>
      </c>
      <c r="C1856" s="110">
        <v>2038</v>
      </c>
      <c r="D1856" s="687" t="s">
        <v>2573</v>
      </c>
      <c r="E1856" s="688">
        <v>2.5599993081768108E-2</v>
      </c>
      <c r="F1856" s="310">
        <v>3.0184529481667626E-3</v>
      </c>
      <c r="G1856" s="311">
        <v>2.1292195469224617E-2</v>
      </c>
      <c r="H1856" s="311">
        <v>6.5521556287301036E-4</v>
      </c>
      <c r="I1856" s="394">
        <v>7.1167960181483267E-4</v>
      </c>
      <c r="J1856" s="689">
        <v>2.1886014012520826E-5</v>
      </c>
      <c r="K1856" s="690">
        <v>2.2875598342351872E-5</v>
      </c>
    </row>
    <row r="1857" spans="2:11" ht="15.75" x14ac:dyDescent="0.25">
      <c r="B1857" s="667" t="s">
        <v>306</v>
      </c>
      <c r="C1857" s="110">
        <v>2039</v>
      </c>
      <c r="D1857" s="687" t="s">
        <v>2574</v>
      </c>
      <c r="E1857" s="688">
        <v>2.5439908816687767E-2</v>
      </c>
      <c r="F1857" s="310">
        <v>2.7958146374253397E-3</v>
      </c>
      <c r="G1857" s="311">
        <v>2.0687268442358082E-2</v>
      </c>
      <c r="H1857" s="311">
        <v>6.2535866386175941E-4</v>
      </c>
      <c r="I1857" s="394">
        <v>6.7925157675401322E-4</v>
      </c>
      <c r="J1857" s="689">
        <v>2.082390963429961E-5</v>
      </c>
      <c r="K1857" s="690">
        <v>2.1765475655427107E-5</v>
      </c>
    </row>
    <row r="1858" spans="2:11" ht="15.75" x14ac:dyDescent="0.25">
      <c r="B1858" s="667" t="s">
        <v>306</v>
      </c>
      <c r="C1858" s="110">
        <v>2040</v>
      </c>
      <c r="D1858" s="687" t="s">
        <v>2575</v>
      </c>
      <c r="E1858" s="688">
        <v>2.5306521537839591E-2</v>
      </c>
      <c r="F1858" s="310">
        <v>2.5964451355099923E-3</v>
      </c>
      <c r="G1858" s="311">
        <v>2.0178189631255315E-2</v>
      </c>
      <c r="H1858" s="311">
        <v>5.9925468664759351E-4</v>
      </c>
      <c r="I1858" s="394">
        <v>6.5089986575129046E-4</v>
      </c>
      <c r="J1858" s="689">
        <v>1.9915684381999505E-5</v>
      </c>
      <c r="K1858" s="690">
        <v>2.0816187528498713E-5</v>
      </c>
    </row>
    <row r="1859" spans="2:11" ht="15.75" x14ac:dyDescent="0.25">
      <c r="B1859" s="667" t="s">
        <v>306</v>
      </c>
      <c r="C1859" s="110">
        <v>2041</v>
      </c>
      <c r="D1859" s="687" t="s">
        <v>2576</v>
      </c>
      <c r="E1859" s="688">
        <v>2.5197330645570785E-2</v>
      </c>
      <c r="F1859" s="310">
        <v>2.4408831023113578E-3</v>
      </c>
      <c r="G1859" s="311">
        <v>1.9776963018175678E-2</v>
      </c>
      <c r="H1859" s="311">
        <v>5.7881464196404147E-4</v>
      </c>
      <c r="I1859" s="394">
        <v>6.2870157013805153E-4</v>
      </c>
      <c r="J1859" s="689">
        <v>1.9165663413065419E-5</v>
      </c>
      <c r="K1859" s="690">
        <v>2.0032255726449847E-5</v>
      </c>
    </row>
    <row r="1860" spans="2:11" ht="15.75" x14ac:dyDescent="0.25">
      <c r="B1860" s="667" t="s">
        <v>306</v>
      </c>
      <c r="C1860" s="110">
        <v>2042</v>
      </c>
      <c r="D1860" s="687" t="s">
        <v>2577</v>
      </c>
      <c r="E1860" s="688">
        <v>2.510720437495564E-2</v>
      </c>
      <c r="F1860" s="310">
        <v>2.3115348384304562E-3</v>
      </c>
      <c r="G1860" s="311">
        <v>1.9426880872274239E-2</v>
      </c>
      <c r="H1860" s="311">
        <v>5.61492072897617E-4</v>
      </c>
      <c r="I1860" s="394">
        <v>6.0988705231226361E-4</v>
      </c>
      <c r="J1860" s="689">
        <v>1.8564876551173104E-5</v>
      </c>
      <c r="K1860" s="690">
        <v>1.9404300600594559E-5</v>
      </c>
    </row>
    <row r="1861" spans="2:11" ht="15.75" x14ac:dyDescent="0.25">
      <c r="B1861" s="667" t="s">
        <v>306</v>
      </c>
      <c r="C1861" s="110">
        <v>2043</v>
      </c>
      <c r="D1861" s="687" t="s">
        <v>2578</v>
      </c>
      <c r="E1861" s="688">
        <v>2.503373646024417E-2</v>
      </c>
      <c r="F1861" s="310">
        <v>2.2144482545224443E-3</v>
      </c>
      <c r="G1861" s="311">
        <v>1.9168829589661176E-2</v>
      </c>
      <c r="H1861" s="311">
        <v>5.4696301893858315E-4</v>
      </c>
      <c r="I1861" s="394">
        <v>5.9410551547803584E-4</v>
      </c>
      <c r="J1861" s="689">
        <v>1.8082024916689487E-5</v>
      </c>
      <c r="K1861" s="690">
        <v>1.8899612578683315E-5</v>
      </c>
    </row>
    <row r="1862" spans="2:11" ht="15.75" x14ac:dyDescent="0.25">
      <c r="B1862" s="667" t="s">
        <v>306</v>
      </c>
      <c r="C1862" s="110">
        <v>2044</v>
      </c>
      <c r="D1862" s="687" t="s">
        <v>2579</v>
      </c>
      <c r="E1862" s="688">
        <v>2.4973601752753694E-2</v>
      </c>
      <c r="F1862" s="310">
        <v>2.1440714415419163E-3</v>
      </c>
      <c r="G1862" s="311">
        <v>1.8972378042592275E-2</v>
      </c>
      <c r="H1862" s="311">
        <v>5.3482522419696509E-4</v>
      </c>
      <c r="I1862" s="394">
        <v>5.8092148472743959E-4</v>
      </c>
      <c r="J1862" s="689">
        <v>1.7681890288817889E-5</v>
      </c>
      <c r="K1862" s="690">
        <v>1.8481395582000751E-5</v>
      </c>
    </row>
    <row r="1863" spans="2:11" ht="15.75" x14ac:dyDescent="0.25">
      <c r="B1863" s="667" t="s">
        <v>306</v>
      </c>
      <c r="C1863" s="110">
        <v>2045</v>
      </c>
      <c r="D1863" s="687" t="s">
        <v>2580</v>
      </c>
      <c r="E1863" s="688">
        <v>2.4923297797780519E-2</v>
      </c>
      <c r="F1863" s="310">
        <v>2.0991709896157466E-3</v>
      </c>
      <c r="G1863" s="311">
        <v>1.8852026355628951E-2</v>
      </c>
      <c r="H1863" s="311">
        <v>5.2475674754699623E-4</v>
      </c>
      <c r="I1863" s="394">
        <v>5.6998507996716707E-4</v>
      </c>
      <c r="J1863" s="689">
        <v>1.7366694607410685E-5</v>
      </c>
      <c r="K1863" s="690">
        <v>1.8151942606097251E-5</v>
      </c>
    </row>
    <row r="1864" spans="2:11" ht="15.75" x14ac:dyDescent="0.25">
      <c r="B1864" s="667" t="s">
        <v>306</v>
      </c>
      <c r="C1864" s="110">
        <v>2046</v>
      </c>
      <c r="D1864" s="687" t="s">
        <v>2581</v>
      </c>
      <c r="E1864" s="688">
        <v>2.4882141538916935E-2</v>
      </c>
      <c r="F1864" s="310">
        <v>2.0595490248492641E-3</v>
      </c>
      <c r="G1864" s="311">
        <v>1.8747136030692949E-2</v>
      </c>
      <c r="H1864" s="311">
        <v>5.1642875323880714E-4</v>
      </c>
      <c r="I1864" s="394">
        <v>5.6093810167730305E-4</v>
      </c>
      <c r="J1864" s="689">
        <v>1.7115887120749156E-5</v>
      </c>
      <c r="K1864" s="690">
        <v>1.7889782887764621E-5</v>
      </c>
    </row>
    <row r="1865" spans="2:11" ht="15.75" x14ac:dyDescent="0.25">
      <c r="B1865" s="667" t="s">
        <v>306</v>
      </c>
      <c r="C1865" s="110">
        <v>2047</v>
      </c>
      <c r="D1865" s="687" t="s">
        <v>2582</v>
      </c>
      <c r="E1865" s="688">
        <v>2.4848604108404414E-2</v>
      </c>
      <c r="F1865" s="310">
        <v>2.0265545908919854E-3</v>
      </c>
      <c r="G1865" s="311">
        <v>1.8657642029285198E-2</v>
      </c>
      <c r="H1865" s="311">
        <v>5.0964022635994219E-4</v>
      </c>
      <c r="I1865" s="394">
        <v>5.535646221017347E-4</v>
      </c>
      <c r="J1865" s="689">
        <v>1.687530505007315E-5</v>
      </c>
      <c r="K1865" s="690">
        <v>1.7638335527997303E-5</v>
      </c>
    </row>
    <row r="1866" spans="2:11" ht="15.75" x14ac:dyDescent="0.25">
      <c r="B1866" s="667" t="s">
        <v>306</v>
      </c>
      <c r="C1866" s="110">
        <v>2048</v>
      </c>
      <c r="D1866" s="687" t="s">
        <v>2583</v>
      </c>
      <c r="E1866" s="688">
        <v>2.4821392508680307E-2</v>
      </c>
      <c r="F1866" s="310">
        <v>2.0002410182889639E-3</v>
      </c>
      <c r="G1866" s="311">
        <v>1.8585401144812351E-2</v>
      </c>
      <c r="H1866" s="311">
        <v>5.041378006607534E-4</v>
      </c>
      <c r="I1866" s="394">
        <v>5.4758857248563399E-4</v>
      </c>
      <c r="J1866" s="689">
        <v>1.668744594561022E-5</v>
      </c>
      <c r="K1866" s="690">
        <v>1.7441985986882934E-5</v>
      </c>
    </row>
    <row r="1867" spans="2:11" ht="15.75" x14ac:dyDescent="0.25">
      <c r="B1867" s="667" t="s">
        <v>306</v>
      </c>
      <c r="C1867" s="110">
        <v>2049</v>
      </c>
      <c r="D1867" s="687" t="s">
        <v>2584</v>
      </c>
      <c r="E1867" s="688">
        <v>2.4798889155493921E-2</v>
      </c>
      <c r="F1867" s="310">
        <v>1.989850095526519E-3</v>
      </c>
      <c r="G1867" s="311">
        <v>1.8597445311421087E-2</v>
      </c>
      <c r="H1867" s="311">
        <v>5.0051066672758917E-4</v>
      </c>
      <c r="I1867" s="394">
        <v>5.4365011805818596E-4</v>
      </c>
      <c r="J1867" s="689">
        <v>1.6548275121093989E-5</v>
      </c>
      <c r="K1867" s="690">
        <v>1.729651555927822E-5</v>
      </c>
    </row>
    <row r="1868" spans="2:11" ht="15.75" x14ac:dyDescent="0.25">
      <c r="B1868" s="667" t="s">
        <v>306</v>
      </c>
      <c r="C1868" s="110">
        <v>2050</v>
      </c>
      <c r="D1868" s="687" t="s">
        <v>2585</v>
      </c>
      <c r="E1868" s="688">
        <v>2.4781007323363143E-2</v>
      </c>
      <c r="F1868" s="310">
        <v>1.9816023392713934E-3</v>
      </c>
      <c r="G1868" s="311">
        <v>1.8609259603470305E-2</v>
      </c>
      <c r="H1868" s="311">
        <v>4.9758669406184473E-4</v>
      </c>
      <c r="I1868" s="394">
        <v>5.4047654326889983E-4</v>
      </c>
      <c r="J1868" s="689">
        <v>1.6391333693274367E-5</v>
      </c>
      <c r="K1868" s="690">
        <v>1.713247926854636E-5</v>
      </c>
    </row>
    <row r="1869" spans="2:11" ht="15.75" x14ac:dyDescent="0.25">
      <c r="B1869" s="667" t="s">
        <v>98</v>
      </c>
      <c r="C1869" s="110">
        <v>2015</v>
      </c>
      <c r="D1869" s="687" t="s">
        <v>311</v>
      </c>
      <c r="E1869" s="688">
        <v>4.3085549535314363E-2</v>
      </c>
      <c r="F1869" s="310">
        <v>5.6483310021970462E-2</v>
      </c>
      <c r="G1869" s="311">
        <v>0.21858736973673226</v>
      </c>
      <c r="H1869" s="311">
        <v>1.9541606930931123E-3</v>
      </c>
      <c r="I1869" s="394">
        <v>2.1162731446286364E-3</v>
      </c>
      <c r="J1869" s="689">
        <v>1.3392361977858448E-4</v>
      </c>
      <c r="K1869" s="690">
        <v>1.399790488615376E-4</v>
      </c>
    </row>
    <row r="1870" spans="2:11" ht="15.75" x14ac:dyDescent="0.25">
      <c r="B1870" s="667" t="s">
        <v>98</v>
      </c>
      <c r="C1870" s="110">
        <v>2016</v>
      </c>
      <c r="D1870" s="687" t="s">
        <v>312</v>
      </c>
      <c r="E1870" s="688">
        <v>4.2294211615118017E-2</v>
      </c>
      <c r="F1870" s="310">
        <v>4.6937924013045938E-2</v>
      </c>
      <c r="G1870" s="311">
        <v>0.18497479871160324</v>
      </c>
      <c r="H1870" s="311">
        <v>1.8157336469466863E-3</v>
      </c>
      <c r="I1870" s="394">
        <v>1.9674858641335747E-3</v>
      </c>
      <c r="J1870" s="689">
        <v>1.1521497835866959E-4</v>
      </c>
      <c r="K1870" s="690">
        <v>1.2042448636335744E-4</v>
      </c>
    </row>
    <row r="1871" spans="2:11" ht="15.75" x14ac:dyDescent="0.25">
      <c r="B1871" s="667" t="s">
        <v>98</v>
      </c>
      <c r="C1871" s="110">
        <v>2017</v>
      </c>
      <c r="D1871" s="687" t="s">
        <v>2658</v>
      </c>
      <c r="E1871" s="688">
        <v>4.141126801635428E-2</v>
      </c>
      <c r="F1871" s="310">
        <v>3.8715626197748543E-2</v>
      </c>
      <c r="G1871" s="311">
        <v>0.15679837276629824</v>
      </c>
      <c r="H1871" s="311">
        <v>1.7391710964235097E-3</v>
      </c>
      <c r="I1871" s="394">
        <v>1.8855725674420424E-3</v>
      </c>
      <c r="J1871" s="689">
        <v>1.0427458776089379E-4</v>
      </c>
      <c r="K1871" s="690">
        <v>1.0898942014177557E-4</v>
      </c>
    </row>
    <row r="1872" spans="2:11" ht="15.75" x14ac:dyDescent="0.25">
      <c r="B1872" s="667" t="s">
        <v>98</v>
      </c>
      <c r="C1872" s="110">
        <v>2018</v>
      </c>
      <c r="D1872" s="687" t="s">
        <v>2659</v>
      </c>
      <c r="E1872" s="688">
        <v>4.0469744422772666E-2</v>
      </c>
      <c r="F1872" s="310">
        <v>3.2834472514520707E-2</v>
      </c>
      <c r="G1872" s="311">
        <v>0.1332309094020972</v>
      </c>
      <c r="H1872" s="311">
        <v>1.7534371026675078E-3</v>
      </c>
      <c r="I1872" s="394">
        <v>1.9020241703233847E-3</v>
      </c>
      <c r="J1872" s="689">
        <v>9.6777741795424062E-5</v>
      </c>
      <c r="K1872" s="690">
        <v>1.0115360090732674E-4</v>
      </c>
    </row>
    <row r="1873" spans="2:11" ht="15.75" x14ac:dyDescent="0.25">
      <c r="B1873" s="667" t="s">
        <v>98</v>
      </c>
      <c r="C1873" s="110">
        <v>2019</v>
      </c>
      <c r="D1873" s="687" t="s">
        <v>2660</v>
      </c>
      <c r="E1873" s="688">
        <v>3.9486784051682669E-2</v>
      </c>
      <c r="F1873" s="310">
        <v>2.7045404113786541E-2</v>
      </c>
      <c r="G1873" s="311">
        <v>0.11263139872905127</v>
      </c>
      <c r="H1873" s="311">
        <v>1.7322928649817057E-3</v>
      </c>
      <c r="I1873" s="394">
        <v>1.8798047106006193E-3</v>
      </c>
      <c r="J1873" s="689">
        <v>8.8988821087228112E-5</v>
      </c>
      <c r="K1873" s="690">
        <v>9.3012495953797436E-5</v>
      </c>
    </row>
    <row r="1874" spans="2:11" ht="15.75" x14ac:dyDescent="0.25">
      <c r="B1874" s="667" t="s">
        <v>98</v>
      </c>
      <c r="C1874" s="110">
        <v>2020</v>
      </c>
      <c r="D1874" s="687" t="s">
        <v>2661</v>
      </c>
      <c r="E1874" s="688">
        <v>3.8478796131038003E-2</v>
      </c>
      <c r="F1874" s="310">
        <v>2.2538181374761344E-2</v>
      </c>
      <c r="G1874" s="311">
        <v>9.550653337523124E-2</v>
      </c>
      <c r="H1874" s="311">
        <v>1.6906794121942443E-3</v>
      </c>
      <c r="I1874" s="394">
        <v>1.8349928379580778E-3</v>
      </c>
      <c r="J1874" s="689">
        <v>8.2809862240274527E-5</v>
      </c>
      <c r="K1874" s="690">
        <v>8.6554155755822951E-5</v>
      </c>
    </row>
    <row r="1875" spans="2:11" ht="15.75" x14ac:dyDescent="0.25">
      <c r="B1875" s="667" t="s">
        <v>98</v>
      </c>
      <c r="C1875" s="110">
        <v>2021</v>
      </c>
      <c r="D1875" s="687" t="s">
        <v>2662</v>
      </c>
      <c r="E1875" s="688">
        <v>3.7451513727714089E-2</v>
      </c>
      <c r="F1875" s="310">
        <v>1.9203794627441245E-2</v>
      </c>
      <c r="G1875" s="311">
        <v>8.1398572950686712E-2</v>
      </c>
      <c r="H1875" s="311">
        <v>1.6285848625791017E-3</v>
      </c>
      <c r="I1875" s="394">
        <v>1.7678495262518469E-3</v>
      </c>
      <c r="J1875" s="689">
        <v>7.5439744180082595E-5</v>
      </c>
      <c r="K1875" s="690">
        <v>7.8850794143274408E-5</v>
      </c>
    </row>
    <row r="1876" spans="2:11" ht="15.75" x14ac:dyDescent="0.25">
      <c r="B1876" s="667" t="s">
        <v>98</v>
      </c>
      <c r="C1876" s="110">
        <v>2022</v>
      </c>
      <c r="D1876" s="687" t="s">
        <v>2663</v>
      </c>
      <c r="E1876" s="688">
        <v>3.6432119417409974E-2</v>
      </c>
      <c r="F1876" s="310">
        <v>1.6022846936145412E-2</v>
      </c>
      <c r="G1876" s="311">
        <v>6.9369194054499025E-2</v>
      </c>
      <c r="H1876" s="311">
        <v>1.5531195961777777E-3</v>
      </c>
      <c r="I1876" s="394">
        <v>1.6861834348741753E-3</v>
      </c>
      <c r="J1876" s="689">
        <v>6.9126335175225982E-5</v>
      </c>
      <c r="K1876" s="690">
        <v>7.2251922727170709E-5</v>
      </c>
    </row>
    <row r="1877" spans="2:11" ht="15.75" x14ac:dyDescent="0.25">
      <c r="B1877" s="667" t="s">
        <v>98</v>
      </c>
      <c r="C1877" s="110">
        <v>2023</v>
      </c>
      <c r="D1877" s="687" t="s">
        <v>2664</v>
      </c>
      <c r="E1877" s="688">
        <v>3.5409923998343674E-2</v>
      </c>
      <c r="F1877" s="310">
        <v>1.3693524879873796E-2</v>
      </c>
      <c r="G1877" s="311">
        <v>5.9751967127631853E-2</v>
      </c>
      <c r="H1877" s="311">
        <v>1.4833905907881042E-3</v>
      </c>
      <c r="I1877" s="394">
        <v>1.6106432957598007E-3</v>
      </c>
      <c r="J1877" s="689">
        <v>6.2642358751965947E-5</v>
      </c>
      <c r="K1877" s="690">
        <v>6.5474768224687251E-5</v>
      </c>
    </row>
    <row r="1878" spans="2:11" ht="15.75" x14ac:dyDescent="0.25">
      <c r="B1878" s="667" t="s">
        <v>98</v>
      </c>
      <c r="C1878" s="110">
        <v>2024</v>
      </c>
      <c r="D1878" s="687" t="s">
        <v>2665</v>
      </c>
      <c r="E1878" s="688">
        <v>3.4389487318833185E-2</v>
      </c>
      <c r="F1878" s="310">
        <v>1.181155016216447E-2</v>
      </c>
      <c r="G1878" s="311">
        <v>5.1913119517411427E-2</v>
      </c>
      <c r="H1878" s="311">
        <v>1.4260943387737275E-3</v>
      </c>
      <c r="I1878" s="394">
        <v>1.5486044112698592E-3</v>
      </c>
      <c r="J1878" s="689">
        <v>5.6567116549672314E-5</v>
      </c>
      <c r="K1878" s="690">
        <v>5.9124825955046929E-5</v>
      </c>
    </row>
    <row r="1879" spans="2:11" ht="15.75" x14ac:dyDescent="0.25">
      <c r="B1879" s="667" t="s">
        <v>98</v>
      </c>
      <c r="C1879" s="110">
        <v>2025</v>
      </c>
      <c r="D1879" s="687" t="s">
        <v>2666</v>
      </c>
      <c r="E1879" s="688">
        <v>3.3368840034970239E-2</v>
      </c>
      <c r="F1879" s="310">
        <v>1.0238177229660507E-2</v>
      </c>
      <c r="G1879" s="311">
        <v>4.5606702711569913E-2</v>
      </c>
      <c r="H1879" s="311">
        <v>1.3717106133435914E-3</v>
      </c>
      <c r="I1879" s="394">
        <v>1.4896742668328775E-3</v>
      </c>
      <c r="J1879" s="689">
        <v>5.1578725248655246E-5</v>
      </c>
      <c r="K1879" s="690">
        <v>5.3910886490999562E-5</v>
      </c>
    </row>
    <row r="1880" spans="2:11" ht="15.75" x14ac:dyDescent="0.25">
      <c r="B1880" s="667" t="s">
        <v>98</v>
      </c>
      <c r="C1880" s="110">
        <v>2026</v>
      </c>
      <c r="D1880" s="687" t="s">
        <v>2667</v>
      </c>
      <c r="E1880" s="688">
        <v>3.2451916753475162E-2</v>
      </c>
      <c r="F1880" s="310">
        <v>8.9064175257146383E-3</v>
      </c>
      <c r="G1880" s="311">
        <v>4.0594923547178058E-2</v>
      </c>
      <c r="H1880" s="311">
        <v>1.309037756726287E-3</v>
      </c>
      <c r="I1880" s="394">
        <v>1.4217125944743451E-3</v>
      </c>
      <c r="J1880" s="689">
        <v>4.6844552859790907E-5</v>
      </c>
      <c r="K1880" s="690">
        <v>4.8962655380144987E-5</v>
      </c>
    </row>
    <row r="1881" spans="2:11" ht="15.75" x14ac:dyDescent="0.25">
      <c r="B1881" s="667" t="s">
        <v>98</v>
      </c>
      <c r="C1881" s="110">
        <v>2027</v>
      </c>
      <c r="D1881" s="687" t="s">
        <v>2668</v>
      </c>
      <c r="E1881" s="688">
        <v>3.1627706468983253E-2</v>
      </c>
      <c r="F1881" s="310">
        <v>7.8443576645997552E-3</v>
      </c>
      <c r="G1881" s="311">
        <v>3.647355508470794E-2</v>
      </c>
      <c r="H1881" s="311">
        <v>1.2448131637684339E-3</v>
      </c>
      <c r="I1881" s="394">
        <v>1.3521061098607549E-3</v>
      </c>
      <c r="J1881" s="689">
        <v>4.1116367792284811E-5</v>
      </c>
      <c r="K1881" s="690">
        <v>4.2975469561947912E-5</v>
      </c>
    </row>
    <row r="1882" spans="2:11" ht="15.75" x14ac:dyDescent="0.25">
      <c r="B1882" s="667" t="s">
        <v>98</v>
      </c>
      <c r="C1882" s="110">
        <v>2028</v>
      </c>
      <c r="D1882" s="687" t="s">
        <v>2669</v>
      </c>
      <c r="E1882" s="688">
        <v>3.089569299324214E-2</v>
      </c>
      <c r="F1882" s="310">
        <v>6.9718122092078238E-3</v>
      </c>
      <c r="G1882" s="311">
        <v>3.3150113003485429E-2</v>
      </c>
      <c r="H1882" s="311">
        <v>1.1743508531006665E-3</v>
      </c>
      <c r="I1882" s="394">
        <v>1.2756634903797466E-3</v>
      </c>
      <c r="J1882" s="689">
        <v>3.6591584875451675E-5</v>
      </c>
      <c r="K1882" s="690">
        <v>3.824609834269253E-5</v>
      </c>
    </row>
    <row r="1883" spans="2:11" ht="15.75" x14ac:dyDescent="0.25">
      <c r="B1883" s="667" t="s">
        <v>98</v>
      </c>
      <c r="C1883" s="110">
        <v>2029</v>
      </c>
      <c r="D1883" s="687" t="s">
        <v>2670</v>
      </c>
      <c r="E1883" s="688">
        <v>3.0246119876142192E-2</v>
      </c>
      <c r="F1883" s="310">
        <v>6.235030850015583E-3</v>
      </c>
      <c r="G1883" s="311">
        <v>3.0430755369072849E-2</v>
      </c>
      <c r="H1883" s="311">
        <v>1.1052536354105537E-3</v>
      </c>
      <c r="I1883" s="394">
        <v>1.2006615333094036E-3</v>
      </c>
      <c r="J1883" s="689">
        <v>3.3100718434020511E-5</v>
      </c>
      <c r="K1883" s="690">
        <v>3.4597389409389345E-5</v>
      </c>
    </row>
    <row r="1884" spans="2:11" ht="15.75" x14ac:dyDescent="0.25">
      <c r="B1884" s="667" t="s">
        <v>98</v>
      </c>
      <c r="C1884" s="110">
        <v>2030</v>
      </c>
      <c r="D1884" s="687" t="s">
        <v>2671</v>
      </c>
      <c r="E1884" s="688">
        <v>2.9673314643091895E-2</v>
      </c>
      <c r="F1884" s="310">
        <v>5.6218247546204929E-3</v>
      </c>
      <c r="G1884" s="311">
        <v>2.8232949274276196E-2</v>
      </c>
      <c r="H1884" s="311">
        <v>1.0392182620287118E-3</v>
      </c>
      <c r="I1884" s="394">
        <v>1.128955757146347E-3</v>
      </c>
      <c r="J1884" s="689">
        <v>3.0410767826021702E-5</v>
      </c>
      <c r="K1884" s="690">
        <v>3.1785813317729491E-5</v>
      </c>
    </row>
    <row r="1885" spans="2:11" ht="15.75" x14ac:dyDescent="0.25">
      <c r="B1885" s="667" t="s">
        <v>98</v>
      </c>
      <c r="C1885" s="110">
        <v>2031</v>
      </c>
      <c r="D1885" s="687" t="s">
        <v>2672</v>
      </c>
      <c r="E1885" s="688">
        <v>2.9169975376592685E-2</v>
      </c>
      <c r="F1885" s="310">
        <v>5.0917359288818161E-3</v>
      </c>
      <c r="G1885" s="311">
        <v>2.6389902540940743E-2</v>
      </c>
      <c r="H1885" s="311">
        <v>9.7662532501829468E-4</v>
      </c>
      <c r="I1885" s="394">
        <v>1.0609616145329762E-3</v>
      </c>
      <c r="J1885" s="689">
        <v>2.848683566913603E-5</v>
      </c>
      <c r="K1885" s="690">
        <v>2.9774878902934603E-5</v>
      </c>
    </row>
    <row r="1886" spans="2:11" ht="15.75" x14ac:dyDescent="0.25">
      <c r="B1886" s="667" t="s">
        <v>98</v>
      </c>
      <c r="C1886" s="110">
        <v>2032</v>
      </c>
      <c r="D1886" s="687" t="s">
        <v>2673</v>
      </c>
      <c r="E1886" s="688">
        <v>2.87300172803319E-2</v>
      </c>
      <c r="F1886" s="310">
        <v>4.6388247713883817E-3</v>
      </c>
      <c r="G1886" s="311">
        <v>2.4895124812898333E-2</v>
      </c>
      <c r="H1886" s="311">
        <v>9.1783314546012946E-4</v>
      </c>
      <c r="I1886" s="394">
        <v>9.9709554377407908E-4</v>
      </c>
      <c r="J1886" s="689">
        <v>2.6710700793798687E-5</v>
      </c>
      <c r="K1886" s="690">
        <v>2.7918436265046728E-5</v>
      </c>
    </row>
    <row r="1887" spans="2:11" ht="15.75" x14ac:dyDescent="0.25">
      <c r="B1887" s="667" t="s">
        <v>98</v>
      </c>
      <c r="C1887" s="110">
        <v>2033</v>
      </c>
      <c r="D1887" s="687" t="s">
        <v>2674</v>
      </c>
      <c r="E1887" s="688">
        <v>2.8348608015370237E-2</v>
      </c>
      <c r="F1887" s="310">
        <v>4.2485882084107862E-3</v>
      </c>
      <c r="G1887" s="311">
        <v>2.3669916317197941E-2</v>
      </c>
      <c r="H1887" s="311">
        <v>8.6318594618776479E-4</v>
      </c>
      <c r="I1887" s="394">
        <v>9.3772241158907965E-4</v>
      </c>
      <c r="J1887" s="689">
        <v>2.5278179489014818E-5</v>
      </c>
      <c r="K1887" s="690">
        <v>2.6421146401402567E-5</v>
      </c>
    </row>
    <row r="1888" spans="2:11" ht="15.75" x14ac:dyDescent="0.25">
      <c r="B1888" s="667" t="s">
        <v>98</v>
      </c>
      <c r="C1888" s="110">
        <v>2034</v>
      </c>
      <c r="D1888" s="687" t="s">
        <v>2675</v>
      </c>
      <c r="E1888" s="688">
        <v>2.8019368877938152E-2</v>
      </c>
      <c r="F1888" s="310">
        <v>3.9043037438873714E-3</v>
      </c>
      <c r="G1888" s="311">
        <v>2.2648263984535111E-2</v>
      </c>
      <c r="H1888" s="311">
        <v>8.1236176612696899E-4</v>
      </c>
      <c r="I1888" s="394">
        <v>8.8250414322365049E-4</v>
      </c>
      <c r="J1888" s="689">
        <v>2.3916920004960539E-5</v>
      </c>
      <c r="K1888" s="690">
        <v>2.4998342179395689E-5</v>
      </c>
    </row>
    <row r="1889" spans="2:11" ht="15.75" x14ac:dyDescent="0.25">
      <c r="B1889" s="667" t="s">
        <v>98</v>
      </c>
      <c r="C1889" s="110">
        <v>2035</v>
      </c>
      <c r="D1889" s="687" t="s">
        <v>2676</v>
      </c>
      <c r="E1889" s="688">
        <v>2.7737465000739012E-2</v>
      </c>
      <c r="F1889" s="310">
        <v>3.6043613970566089E-3</v>
      </c>
      <c r="G1889" s="311">
        <v>2.1813575707792295E-2</v>
      </c>
      <c r="H1889" s="311">
        <v>7.6568286126098718E-4</v>
      </c>
      <c r="I1889" s="394">
        <v>8.3178765415107766E-4</v>
      </c>
      <c r="J1889" s="689">
        <v>2.2711693623627789E-5</v>
      </c>
      <c r="K1889" s="690">
        <v>2.3738615923969744E-5</v>
      </c>
    </row>
    <row r="1890" spans="2:11" ht="15.75" x14ac:dyDescent="0.25">
      <c r="B1890" s="667" t="s">
        <v>98</v>
      </c>
      <c r="C1890" s="110">
        <v>2036</v>
      </c>
      <c r="D1890" s="687" t="s">
        <v>2677</v>
      </c>
      <c r="E1890" s="688">
        <v>2.7498096478036072E-2</v>
      </c>
      <c r="F1890" s="310">
        <v>3.3455415381566573E-3</v>
      </c>
      <c r="G1890" s="311">
        <v>2.1134623672205217E-2</v>
      </c>
      <c r="H1890" s="311">
        <v>7.243552606896761E-4</v>
      </c>
      <c r="I1890" s="394">
        <v>7.8688596772972358E-4</v>
      </c>
      <c r="J1890" s="689">
        <v>2.1631932222712073E-5</v>
      </c>
      <c r="K1890" s="690">
        <v>2.2610025362221562E-5</v>
      </c>
    </row>
    <row r="1891" spans="2:11" ht="15.75" x14ac:dyDescent="0.25">
      <c r="B1891" s="667" t="s">
        <v>98</v>
      </c>
      <c r="C1891" s="110">
        <v>2037</v>
      </c>
      <c r="D1891" s="687" t="s">
        <v>2678</v>
      </c>
      <c r="E1891" s="688">
        <v>2.7296747941781822E-2</v>
      </c>
      <c r="F1891" s="310">
        <v>3.1255523638619234E-3</v>
      </c>
      <c r="G1891" s="311">
        <v>2.0591168203062546E-2</v>
      </c>
      <c r="H1891" s="311">
        <v>6.8732962373939746E-4</v>
      </c>
      <c r="I1891" s="394">
        <v>7.4665943004038101E-4</v>
      </c>
      <c r="J1891" s="689">
        <v>2.0634088088227734E-5</v>
      </c>
      <c r="K1891" s="690">
        <v>2.1567070506136515E-5</v>
      </c>
    </row>
    <row r="1892" spans="2:11" ht="15.75" x14ac:dyDescent="0.25">
      <c r="B1892" s="667" t="s">
        <v>98</v>
      </c>
      <c r="C1892" s="110">
        <v>2038</v>
      </c>
      <c r="D1892" s="687" t="s">
        <v>2679</v>
      </c>
      <c r="E1892" s="688">
        <v>2.7128928281878947E-2</v>
      </c>
      <c r="F1892" s="310">
        <v>2.930692524667146E-3</v>
      </c>
      <c r="G1892" s="311">
        <v>2.0119892801353897E-2</v>
      </c>
      <c r="H1892" s="311">
        <v>6.5446282417599684E-4</v>
      </c>
      <c r="I1892" s="394">
        <v>7.1094870537573643E-4</v>
      </c>
      <c r="J1892" s="689">
        <v>1.980301325090428E-5</v>
      </c>
      <c r="K1892" s="690">
        <v>2.0698413159115082E-5</v>
      </c>
    </row>
    <row r="1893" spans="2:11" ht="15.75" x14ac:dyDescent="0.25">
      <c r="B1893" s="667" t="s">
        <v>98</v>
      </c>
      <c r="C1893" s="110">
        <v>2039</v>
      </c>
      <c r="D1893" s="687" t="s">
        <v>2680</v>
      </c>
      <c r="E1893" s="688">
        <v>2.6989914075530367E-2</v>
      </c>
      <c r="F1893" s="310">
        <v>2.7515780352702596E-3</v>
      </c>
      <c r="G1893" s="311">
        <v>1.9692436546908183E-2</v>
      </c>
      <c r="H1893" s="311">
        <v>6.2554968030608359E-4</v>
      </c>
      <c r="I1893" s="394">
        <v>6.7953252091693117E-4</v>
      </c>
      <c r="J1893" s="689">
        <v>1.9107939914009635E-5</v>
      </c>
      <c r="K1893" s="690">
        <v>1.9971916808810939E-5</v>
      </c>
    </row>
    <row r="1894" spans="2:11" ht="15.75" x14ac:dyDescent="0.25">
      <c r="B1894" s="667" t="s">
        <v>98</v>
      </c>
      <c r="C1894" s="110">
        <v>2040</v>
      </c>
      <c r="D1894" s="687" t="s">
        <v>2681</v>
      </c>
      <c r="E1894" s="688">
        <v>2.6875270934349084E-2</v>
      </c>
      <c r="F1894" s="310">
        <v>2.5993969856286472E-3</v>
      </c>
      <c r="G1894" s="311">
        <v>1.93584863231228E-2</v>
      </c>
      <c r="H1894" s="311">
        <v>6.0061610735753345E-4</v>
      </c>
      <c r="I1894" s="394">
        <v>6.5244024386189488E-4</v>
      </c>
      <c r="J1894" s="689">
        <v>1.8510356860322807E-5</v>
      </c>
      <c r="K1894" s="690">
        <v>1.9347310746102583E-5</v>
      </c>
    </row>
    <row r="1895" spans="2:11" ht="15.75" x14ac:dyDescent="0.25">
      <c r="B1895" s="667" t="s">
        <v>98</v>
      </c>
      <c r="C1895" s="110">
        <v>2041</v>
      </c>
      <c r="D1895" s="687" t="s">
        <v>2682</v>
      </c>
      <c r="E1895" s="688">
        <v>2.6781849777153775E-2</v>
      </c>
      <c r="F1895" s="310">
        <v>2.4797922313523789E-3</v>
      </c>
      <c r="G1895" s="311">
        <v>1.9096157537083557E-2</v>
      </c>
      <c r="H1895" s="311">
        <v>5.8050246716856923E-4</v>
      </c>
      <c r="I1895" s="394">
        <v>6.3058544656363516E-4</v>
      </c>
      <c r="J1895" s="689">
        <v>1.8029375494891629E-5</v>
      </c>
      <c r="K1895" s="690">
        <v>1.8844582417902458E-5</v>
      </c>
    </row>
    <row r="1896" spans="2:11" ht="15.75" x14ac:dyDescent="0.25">
      <c r="B1896" s="667" t="s">
        <v>98</v>
      </c>
      <c r="C1896" s="110">
        <v>2042</v>
      </c>
      <c r="D1896" s="687" t="s">
        <v>2683</v>
      </c>
      <c r="E1896" s="688">
        <v>2.6705439689185411E-2</v>
      </c>
      <c r="F1896" s="310">
        <v>2.3785698834525265E-3</v>
      </c>
      <c r="G1896" s="311">
        <v>1.885982953491748E-2</v>
      </c>
      <c r="H1896" s="311">
        <v>5.635544291871837E-4</v>
      </c>
      <c r="I1896" s="394">
        <v>6.1216903851777846E-4</v>
      </c>
      <c r="J1896" s="689">
        <v>1.7648825522911441E-5</v>
      </c>
      <c r="K1896" s="690">
        <v>1.8446831993285612E-5</v>
      </c>
    </row>
    <row r="1897" spans="2:11" ht="15.75" x14ac:dyDescent="0.25">
      <c r="B1897" s="667" t="s">
        <v>98</v>
      </c>
      <c r="C1897" s="110">
        <v>2043</v>
      </c>
      <c r="D1897" s="687" t="s">
        <v>2684</v>
      </c>
      <c r="E1897" s="688">
        <v>2.6643451105755226E-2</v>
      </c>
      <c r="F1897" s="310">
        <v>2.3021014053303574E-3</v>
      </c>
      <c r="G1897" s="311">
        <v>1.869062959696613E-2</v>
      </c>
      <c r="H1897" s="311">
        <v>5.4944006315599465E-4</v>
      </c>
      <c r="I1897" s="394">
        <v>5.9683107453756528E-4</v>
      </c>
      <c r="J1897" s="689">
        <v>1.7348004480574556E-5</v>
      </c>
      <c r="K1897" s="690">
        <v>1.8132397020441969E-5</v>
      </c>
    </row>
    <row r="1898" spans="2:11" ht="15.75" x14ac:dyDescent="0.25">
      <c r="B1898" s="667" t="s">
        <v>98</v>
      </c>
      <c r="C1898" s="110">
        <v>2044</v>
      </c>
      <c r="D1898" s="687" t="s">
        <v>2685</v>
      </c>
      <c r="E1898" s="688">
        <v>2.6593191164704846E-2</v>
      </c>
      <c r="F1898" s="310">
        <v>2.2443543017435477E-3</v>
      </c>
      <c r="G1898" s="311">
        <v>1.8557579021149691E-2</v>
      </c>
      <c r="H1898" s="311">
        <v>5.3772219633438649E-4</v>
      </c>
      <c r="I1898" s="394">
        <v>5.8409675468257206E-4</v>
      </c>
      <c r="J1898" s="689">
        <v>1.7111895918186826E-5</v>
      </c>
      <c r="K1898" s="690">
        <v>1.7885620466272242E-5</v>
      </c>
    </row>
    <row r="1899" spans="2:11" ht="15.75" x14ac:dyDescent="0.25">
      <c r="B1899" s="667" t="s">
        <v>98</v>
      </c>
      <c r="C1899" s="110">
        <v>2045</v>
      </c>
      <c r="D1899" s="687" t="s">
        <v>2686</v>
      </c>
      <c r="E1899" s="688">
        <v>2.6551701468362894E-2</v>
      </c>
      <c r="F1899" s="310">
        <v>2.2043693803632E-3</v>
      </c>
      <c r="G1899" s="311">
        <v>1.8472279661579053E-2</v>
      </c>
      <c r="H1899" s="311">
        <v>5.2805126300683243E-4</v>
      </c>
      <c r="I1899" s="394">
        <v>5.7358594193022429E-4</v>
      </c>
      <c r="J1899" s="689">
        <v>1.6929715743205657E-5</v>
      </c>
      <c r="K1899" s="690">
        <v>1.7695205903441686E-5</v>
      </c>
    </row>
    <row r="1900" spans="2:11" ht="15.75" x14ac:dyDescent="0.25">
      <c r="B1900" s="667" t="s">
        <v>98</v>
      </c>
      <c r="C1900" s="110">
        <v>2046</v>
      </c>
      <c r="D1900" s="687" t="s">
        <v>2687</v>
      </c>
      <c r="E1900" s="688">
        <v>2.6518166551693534E-2</v>
      </c>
      <c r="F1900" s="310">
        <v>2.1698198542301032E-3</v>
      </c>
      <c r="G1900" s="311">
        <v>1.840015078598016E-2</v>
      </c>
      <c r="H1900" s="311">
        <v>5.2017432380174809E-4</v>
      </c>
      <c r="I1900" s="394">
        <v>5.6502526820151962E-4</v>
      </c>
      <c r="J1900" s="689">
        <v>1.679552353251258E-5</v>
      </c>
      <c r="K1900" s="690">
        <v>1.7554943968067709E-5</v>
      </c>
    </row>
    <row r="1901" spans="2:11" ht="15.75" x14ac:dyDescent="0.25">
      <c r="B1901" s="667" t="s">
        <v>98</v>
      </c>
      <c r="C1901" s="110">
        <v>2047</v>
      </c>
      <c r="D1901" s="687" t="s">
        <v>2688</v>
      </c>
      <c r="E1901" s="688">
        <v>2.6490710362880188E-2</v>
      </c>
      <c r="F1901" s="310">
        <v>2.1405044446830093E-3</v>
      </c>
      <c r="G1901" s="311">
        <v>1.8335359229727718E-2</v>
      </c>
      <c r="H1901" s="311">
        <v>5.1381075708222565E-4</v>
      </c>
      <c r="I1901" s="394">
        <v>5.5810866803380718E-4</v>
      </c>
      <c r="J1901" s="689">
        <v>1.6690803529290547E-5</v>
      </c>
      <c r="K1901" s="690">
        <v>1.7445491920659141E-5</v>
      </c>
    </row>
    <row r="1902" spans="2:11" ht="15.75" x14ac:dyDescent="0.25">
      <c r="B1902" s="667" t="s">
        <v>98</v>
      </c>
      <c r="C1902" s="110">
        <v>2048</v>
      </c>
      <c r="D1902" s="687" t="s">
        <v>2689</v>
      </c>
      <c r="E1902" s="688">
        <v>2.6468523523707297E-2</v>
      </c>
      <c r="F1902" s="310">
        <v>2.1168721328202345E-3</v>
      </c>
      <c r="G1902" s="311">
        <v>1.8281255068354499E-2</v>
      </c>
      <c r="H1902" s="311">
        <v>5.0867169954778736E-4</v>
      </c>
      <c r="I1902" s="394">
        <v>5.5252337080400921E-4</v>
      </c>
      <c r="J1902" s="689">
        <v>1.6603013573031198E-5</v>
      </c>
      <c r="K1902" s="690">
        <v>1.7353724702939038E-5</v>
      </c>
    </row>
    <row r="1903" spans="2:11" ht="15.75" x14ac:dyDescent="0.25">
      <c r="B1903" s="667" t="s">
        <v>98</v>
      </c>
      <c r="C1903" s="110">
        <v>2049</v>
      </c>
      <c r="D1903" s="687" t="s">
        <v>2690</v>
      </c>
      <c r="E1903" s="688">
        <v>2.6449929126573728E-2</v>
      </c>
      <c r="F1903" s="310">
        <v>2.1073015146900105E-3</v>
      </c>
      <c r="G1903" s="311">
        <v>1.8294654701588756E-2</v>
      </c>
      <c r="H1903" s="311">
        <v>5.0518846926469812E-4</v>
      </c>
      <c r="I1903" s="394">
        <v>5.4873724850640782E-4</v>
      </c>
      <c r="J1903" s="689">
        <v>1.6540930495935536E-5</v>
      </c>
      <c r="K1903" s="690">
        <v>1.7288842604155697E-5</v>
      </c>
    </row>
    <row r="1904" spans="2:11" ht="15.75" x14ac:dyDescent="0.25">
      <c r="B1904" s="667" t="s">
        <v>98</v>
      </c>
      <c r="C1904" s="110">
        <v>2050</v>
      </c>
      <c r="D1904" s="687" t="s">
        <v>2691</v>
      </c>
      <c r="E1904" s="688">
        <v>2.6435150602814057E-2</v>
      </c>
      <c r="F1904" s="310">
        <v>2.0997882744457088E-3</v>
      </c>
      <c r="G1904" s="311">
        <v>1.8307608213516825E-2</v>
      </c>
      <c r="H1904" s="311">
        <v>5.0245840585342585E-4</v>
      </c>
      <c r="I1904" s="394">
        <v>5.4577132508157301E-4</v>
      </c>
      <c r="J1904" s="689">
        <v>1.647960379944303E-5</v>
      </c>
      <c r="K1904" s="690">
        <v>1.7224740667177407E-5</v>
      </c>
    </row>
    <row r="1905" spans="2:11" ht="15.75" x14ac:dyDescent="0.25">
      <c r="B1905" s="667" t="s">
        <v>99</v>
      </c>
      <c r="C1905" s="110">
        <v>2015</v>
      </c>
      <c r="D1905" s="687" t="s">
        <v>313</v>
      </c>
      <c r="E1905" s="688">
        <v>4.5449080178047968E-2</v>
      </c>
      <c r="F1905" s="310">
        <v>5.4521959436443633E-2</v>
      </c>
      <c r="G1905" s="311">
        <v>0.2265951520852223</v>
      </c>
      <c r="H1905" s="311">
        <v>1.8100355400674916E-3</v>
      </c>
      <c r="I1905" s="394">
        <v>1.9585667758079042E-3</v>
      </c>
      <c r="J1905" s="689">
        <v>1.4144514104806166E-4</v>
      </c>
      <c r="K1905" s="690">
        <v>1.4784066379699206E-4</v>
      </c>
    </row>
    <row r="1906" spans="2:11" ht="15.75" x14ac:dyDescent="0.25">
      <c r="B1906" s="667" t="s">
        <v>99</v>
      </c>
      <c r="C1906" s="110">
        <v>2016</v>
      </c>
      <c r="D1906" s="687" t="s">
        <v>314</v>
      </c>
      <c r="E1906" s="688">
        <v>4.4506119553162422E-2</v>
      </c>
      <c r="F1906" s="310">
        <v>4.4913525567643602E-2</v>
      </c>
      <c r="G1906" s="311">
        <v>0.19180072566592973</v>
      </c>
      <c r="H1906" s="311">
        <v>1.6789318147434253E-3</v>
      </c>
      <c r="I1906" s="394">
        <v>1.8177964696928434E-3</v>
      </c>
      <c r="J1906" s="689">
        <v>1.2751402777572515E-4</v>
      </c>
      <c r="K1906" s="690">
        <v>1.3327964630565169E-4</v>
      </c>
    </row>
    <row r="1907" spans="2:11" ht="15.75" x14ac:dyDescent="0.25">
      <c r="B1907" s="667" t="s">
        <v>99</v>
      </c>
      <c r="C1907" s="110">
        <v>2017</v>
      </c>
      <c r="D1907" s="687" t="s">
        <v>2692</v>
      </c>
      <c r="E1907" s="688">
        <v>4.3431172682508748E-2</v>
      </c>
      <c r="F1907" s="310">
        <v>3.693463678244141E-2</v>
      </c>
      <c r="G1907" s="311">
        <v>0.16268467453884336</v>
      </c>
      <c r="H1907" s="311">
        <v>1.6026408981258265E-3</v>
      </c>
      <c r="I1907" s="394">
        <v>1.736316912332541E-3</v>
      </c>
      <c r="J1907" s="689">
        <v>1.1566450973148594E-4</v>
      </c>
      <c r="K1907" s="690">
        <v>1.2089434129965749E-4</v>
      </c>
    </row>
    <row r="1908" spans="2:11" ht="15.75" x14ac:dyDescent="0.25">
      <c r="B1908" s="667" t="s">
        <v>99</v>
      </c>
      <c r="C1908" s="110">
        <v>2018</v>
      </c>
      <c r="D1908" s="687" t="s">
        <v>2693</v>
      </c>
      <c r="E1908" s="688">
        <v>4.2327381720294703E-2</v>
      </c>
      <c r="F1908" s="310">
        <v>3.0158542154453037E-2</v>
      </c>
      <c r="G1908" s="311">
        <v>0.13749804073041719</v>
      </c>
      <c r="H1908" s="311">
        <v>1.5600124608001161E-3</v>
      </c>
      <c r="I1908" s="394">
        <v>1.6911486359241256E-3</v>
      </c>
      <c r="J1908" s="689">
        <v>1.0585537262338887E-4</v>
      </c>
      <c r="K1908" s="690">
        <v>1.1064167766164972E-4</v>
      </c>
    </row>
    <row r="1909" spans="2:11" ht="15.75" x14ac:dyDescent="0.25">
      <c r="B1909" s="667" t="s">
        <v>99</v>
      </c>
      <c r="C1909" s="110">
        <v>2019</v>
      </c>
      <c r="D1909" s="687" t="s">
        <v>2694</v>
      </c>
      <c r="E1909" s="688">
        <v>4.1130525649774353E-2</v>
      </c>
      <c r="F1909" s="310">
        <v>2.436538673700487E-2</v>
      </c>
      <c r="G1909" s="311">
        <v>0.11620186539296377</v>
      </c>
      <c r="H1909" s="311">
        <v>1.5188488968335362E-3</v>
      </c>
      <c r="I1909" s="394">
        <v>1.647266562394395E-3</v>
      </c>
      <c r="J1909" s="689">
        <v>9.7788364874457477E-5</v>
      </c>
      <c r="K1909" s="690">
        <v>1.0220991650977657E-4</v>
      </c>
    </row>
    <row r="1910" spans="2:11" ht="15.75" x14ac:dyDescent="0.25">
      <c r="B1910" s="667" t="s">
        <v>99</v>
      </c>
      <c r="C1910" s="110">
        <v>2020</v>
      </c>
      <c r="D1910" s="687" t="s">
        <v>2695</v>
      </c>
      <c r="E1910" s="688">
        <v>3.9913676608180765E-2</v>
      </c>
      <c r="F1910" s="310">
        <v>2.0295556193230202E-2</v>
      </c>
      <c r="G1910" s="311">
        <v>9.8729036541768594E-2</v>
      </c>
      <c r="H1910" s="311">
        <v>1.4743120668241532E-3</v>
      </c>
      <c r="I1910" s="394">
        <v>1.5993174164706809E-3</v>
      </c>
      <c r="J1910" s="689">
        <v>9.0844265767510741E-5</v>
      </c>
      <c r="K1910" s="690">
        <v>9.4951837930139438E-5</v>
      </c>
    </row>
    <row r="1911" spans="2:11" ht="15.75" x14ac:dyDescent="0.25">
      <c r="B1911" s="667" t="s">
        <v>99</v>
      </c>
      <c r="C1911" s="110">
        <v>2021</v>
      </c>
      <c r="D1911" s="687" t="s">
        <v>2696</v>
      </c>
      <c r="E1911" s="688">
        <v>3.8691394673550684E-2</v>
      </c>
      <c r="F1911" s="310">
        <v>1.7203663739751861E-2</v>
      </c>
      <c r="G1911" s="311">
        <v>8.4293815860623289E-2</v>
      </c>
      <c r="H1911" s="311">
        <v>1.4016133538111951E-3</v>
      </c>
      <c r="I1911" s="394">
        <v>1.5206389633871992E-3</v>
      </c>
      <c r="J1911" s="689">
        <v>8.3507754952339222E-5</v>
      </c>
      <c r="K1911" s="690">
        <v>8.7283605413480196E-5</v>
      </c>
    </row>
    <row r="1912" spans="2:11" ht="15.75" x14ac:dyDescent="0.25">
      <c r="B1912" s="667" t="s">
        <v>99</v>
      </c>
      <c r="C1912" s="110">
        <v>2022</v>
      </c>
      <c r="D1912" s="687" t="s">
        <v>2697</v>
      </c>
      <c r="E1912" s="688">
        <v>3.748290549506314E-2</v>
      </c>
      <c r="F1912" s="310">
        <v>1.4323868052074262E-2</v>
      </c>
      <c r="G1912" s="311">
        <v>7.1934667084062237E-2</v>
      </c>
      <c r="H1912" s="311">
        <v>1.3301455283027295E-3</v>
      </c>
      <c r="I1912" s="394">
        <v>1.443324038758535E-3</v>
      </c>
      <c r="J1912" s="689">
        <v>7.7333605202004085E-5</v>
      </c>
      <c r="K1912" s="690">
        <v>8.0830283438488822E-5</v>
      </c>
    </row>
    <row r="1913" spans="2:11" ht="15.75" x14ac:dyDescent="0.25">
      <c r="B1913" s="667" t="s">
        <v>99</v>
      </c>
      <c r="C1913" s="110">
        <v>2023</v>
      </c>
      <c r="D1913" s="687" t="s">
        <v>2698</v>
      </c>
      <c r="E1913" s="688">
        <v>3.6288050355046626E-2</v>
      </c>
      <c r="F1913" s="310">
        <v>1.2288378689650593E-2</v>
      </c>
      <c r="G1913" s="311">
        <v>6.2173286690563434E-2</v>
      </c>
      <c r="H1913" s="311">
        <v>1.2651753829229279E-3</v>
      </c>
      <c r="I1913" s="394">
        <v>1.3729983497090313E-3</v>
      </c>
      <c r="J1913" s="689">
        <v>6.9927353160180512E-5</v>
      </c>
      <c r="K1913" s="690">
        <v>7.3089156352420856E-5</v>
      </c>
    </row>
    <row r="1914" spans="2:11" ht="15.75" x14ac:dyDescent="0.25">
      <c r="B1914" s="667" t="s">
        <v>99</v>
      </c>
      <c r="C1914" s="110">
        <v>2024</v>
      </c>
      <c r="D1914" s="687" t="s">
        <v>2699</v>
      </c>
      <c r="E1914" s="688">
        <v>3.5118861564441176E-2</v>
      </c>
      <c r="F1914" s="310">
        <v>1.0556824113044674E-2</v>
      </c>
      <c r="G1914" s="311">
        <v>5.4019843766020266E-2</v>
      </c>
      <c r="H1914" s="311">
        <v>1.2079491578747741E-3</v>
      </c>
      <c r="I1914" s="394">
        <v>1.3109844920854532E-3</v>
      </c>
      <c r="J1914" s="689">
        <v>6.5187415519709743E-5</v>
      </c>
      <c r="K1914" s="690">
        <v>6.8134900553669134E-5</v>
      </c>
    </row>
    <row r="1915" spans="2:11" ht="15.75" x14ac:dyDescent="0.25">
      <c r="B1915" s="667" t="s">
        <v>99</v>
      </c>
      <c r="C1915" s="110">
        <v>2025</v>
      </c>
      <c r="D1915" s="687" t="s">
        <v>2700</v>
      </c>
      <c r="E1915" s="688">
        <v>3.3963743171710178E-2</v>
      </c>
      <c r="F1915" s="310">
        <v>9.168822063413698E-3</v>
      </c>
      <c r="G1915" s="311">
        <v>4.7532557313588596E-2</v>
      </c>
      <c r="H1915" s="311">
        <v>1.1586156788577487E-3</v>
      </c>
      <c r="I1915" s="394">
        <v>1.2575693227147853E-3</v>
      </c>
      <c r="J1915" s="689">
        <v>5.9703775085204712E-5</v>
      </c>
      <c r="K1915" s="690">
        <v>6.2403310985201328E-5</v>
      </c>
    </row>
    <row r="1916" spans="2:11" ht="15.75" x14ac:dyDescent="0.25">
      <c r="B1916" s="667" t="s">
        <v>99</v>
      </c>
      <c r="C1916" s="110">
        <v>2026</v>
      </c>
      <c r="D1916" s="687" t="s">
        <v>2701</v>
      </c>
      <c r="E1916" s="688">
        <v>3.2934715220433716E-2</v>
      </c>
      <c r="F1916" s="310">
        <v>8.0356530777585793E-3</v>
      </c>
      <c r="G1916" s="311">
        <v>4.2340834396978701E-2</v>
      </c>
      <c r="H1916" s="311">
        <v>1.1102049112052465E-3</v>
      </c>
      <c r="I1916" s="394">
        <v>1.2050893605750918E-3</v>
      </c>
      <c r="J1916" s="689">
        <v>5.5672244417710509E-5</v>
      </c>
      <c r="K1916" s="690">
        <v>5.8189495396577935E-5</v>
      </c>
    </row>
    <row r="1917" spans="2:11" ht="15.75" x14ac:dyDescent="0.25">
      <c r="B1917" s="667" t="s">
        <v>99</v>
      </c>
      <c r="C1917" s="110">
        <v>2027</v>
      </c>
      <c r="D1917" s="687" t="s">
        <v>2702</v>
      </c>
      <c r="E1917" s="688">
        <v>3.1964079494759254E-2</v>
      </c>
      <c r="F1917" s="310">
        <v>7.0877603469791323E-3</v>
      </c>
      <c r="G1917" s="311">
        <v>3.8042547227833449E-2</v>
      </c>
      <c r="H1917" s="311">
        <v>1.0503676561350861E-3</v>
      </c>
      <c r="I1917" s="394">
        <v>1.1404254015751965E-3</v>
      </c>
      <c r="J1917" s="689">
        <v>4.5919924116728743E-5</v>
      </c>
      <c r="K1917" s="690">
        <v>4.7996221104432193E-5</v>
      </c>
    </row>
    <row r="1918" spans="2:11" ht="15.75" x14ac:dyDescent="0.25">
      <c r="B1918" s="667" t="s">
        <v>99</v>
      </c>
      <c r="C1918" s="110">
        <v>2028</v>
      </c>
      <c r="D1918" s="687" t="s">
        <v>2703</v>
      </c>
      <c r="E1918" s="688">
        <v>3.1089382018512621E-2</v>
      </c>
      <c r="F1918" s="310">
        <v>6.3076035484228099E-3</v>
      </c>
      <c r="G1918" s="311">
        <v>3.4562547623481134E-2</v>
      </c>
      <c r="H1918" s="311">
        <v>9.8882206002180425E-4</v>
      </c>
      <c r="I1918" s="394">
        <v>1.0737210073945866E-3</v>
      </c>
      <c r="J1918" s="689">
        <v>4.0431972109777034E-5</v>
      </c>
      <c r="K1918" s="690">
        <v>4.2260130013424552E-5</v>
      </c>
    </row>
    <row r="1919" spans="2:11" ht="15.75" x14ac:dyDescent="0.25">
      <c r="B1919" s="667" t="s">
        <v>99</v>
      </c>
      <c r="C1919" s="110">
        <v>2029</v>
      </c>
      <c r="D1919" s="687" t="s">
        <v>2704</v>
      </c>
      <c r="E1919" s="688">
        <v>3.0303977111668608E-2</v>
      </c>
      <c r="F1919" s="310">
        <v>5.6379403975677549E-3</v>
      </c>
      <c r="G1919" s="311">
        <v>3.1658121620111362E-2</v>
      </c>
      <c r="H1919" s="311">
        <v>9.2890211542456217E-4</v>
      </c>
      <c r="I1919" s="394">
        <v>1.00874779539534E-3</v>
      </c>
      <c r="J1919" s="689">
        <v>3.5818317779050769E-5</v>
      </c>
      <c r="K1919" s="690">
        <v>3.7437857995488135E-5</v>
      </c>
    </row>
    <row r="1920" spans="2:11" ht="15.75" x14ac:dyDescent="0.25">
      <c r="B1920" s="667" t="s">
        <v>99</v>
      </c>
      <c r="C1920" s="110">
        <v>2030</v>
      </c>
      <c r="D1920" s="687" t="s">
        <v>2705</v>
      </c>
      <c r="E1920" s="688">
        <v>2.9602851519772811E-2</v>
      </c>
      <c r="F1920" s="310">
        <v>5.0852418431771088E-3</v>
      </c>
      <c r="G1920" s="311">
        <v>2.930706331890175E-2</v>
      </c>
      <c r="H1920" s="311">
        <v>8.7242816989476651E-4</v>
      </c>
      <c r="I1920" s="394">
        <v>9.4747910671057699E-4</v>
      </c>
      <c r="J1920" s="689">
        <v>3.2228975528534909E-5</v>
      </c>
      <c r="K1920" s="690">
        <v>3.3686226401307447E-5</v>
      </c>
    </row>
    <row r="1921" spans="2:11" ht="15.75" x14ac:dyDescent="0.25">
      <c r="B1921" s="667" t="s">
        <v>99</v>
      </c>
      <c r="C1921" s="110">
        <v>2031</v>
      </c>
      <c r="D1921" s="687" t="s">
        <v>2706</v>
      </c>
      <c r="E1921" s="688">
        <v>2.8980198790030633E-2</v>
      </c>
      <c r="F1921" s="310">
        <v>4.5995379026834539E-3</v>
      </c>
      <c r="G1921" s="311">
        <v>2.7284513884342932E-2</v>
      </c>
      <c r="H1921" s="311">
        <v>8.1961650486217117E-4</v>
      </c>
      <c r="I1921" s="394">
        <v>8.9013685241172099E-4</v>
      </c>
      <c r="J1921" s="689">
        <v>2.999536736804677E-5</v>
      </c>
      <c r="K1921" s="690">
        <v>3.1351623649976122E-5</v>
      </c>
    </row>
    <row r="1922" spans="2:11" ht="15.75" x14ac:dyDescent="0.25">
      <c r="B1922" s="667" t="s">
        <v>99</v>
      </c>
      <c r="C1922" s="110">
        <v>2032</v>
      </c>
      <c r="D1922" s="687" t="s">
        <v>2707</v>
      </c>
      <c r="E1922" s="688">
        <v>2.8429679862971603E-2</v>
      </c>
      <c r="F1922" s="310">
        <v>4.1867089448054768E-3</v>
      </c>
      <c r="G1922" s="311">
        <v>2.5648852634630702E-2</v>
      </c>
      <c r="H1922" s="311">
        <v>7.7013058835002186E-4</v>
      </c>
      <c r="I1922" s="394">
        <v>8.3641153227371459E-4</v>
      </c>
      <c r="J1922" s="689">
        <v>2.7755001519056322E-5</v>
      </c>
      <c r="K1922" s="690">
        <v>2.9009959303930674E-5</v>
      </c>
    </row>
    <row r="1923" spans="2:11" ht="15.75" x14ac:dyDescent="0.25">
      <c r="B1923" s="667" t="s">
        <v>99</v>
      </c>
      <c r="C1923" s="110">
        <v>2033</v>
      </c>
      <c r="D1923" s="687" t="s">
        <v>2708</v>
      </c>
      <c r="E1923" s="688">
        <v>2.794485905741401E-2</v>
      </c>
      <c r="F1923" s="310">
        <v>3.8293504230343372E-3</v>
      </c>
      <c r="G1923" s="311">
        <v>2.4289237862909749E-2</v>
      </c>
      <c r="H1923" s="311">
        <v>7.2442553502919532E-4</v>
      </c>
      <c r="I1923" s="394">
        <v>7.8677734503944711E-4</v>
      </c>
      <c r="J1923" s="689">
        <v>2.5997089576221486E-5</v>
      </c>
      <c r="K1923" s="690">
        <v>2.7172567693911675E-5</v>
      </c>
    </row>
    <row r="1924" spans="2:11" ht="15.75" x14ac:dyDescent="0.25">
      <c r="B1924" s="667" t="s">
        <v>99</v>
      </c>
      <c r="C1924" s="110">
        <v>2034</v>
      </c>
      <c r="D1924" s="687" t="s">
        <v>2709</v>
      </c>
      <c r="E1924" s="688">
        <v>2.7520453430845367E-2</v>
      </c>
      <c r="F1924" s="310">
        <v>3.5070788354227963E-3</v>
      </c>
      <c r="G1924" s="311">
        <v>2.3108433843062298E-2</v>
      </c>
      <c r="H1924" s="311">
        <v>6.8188202660918456E-4</v>
      </c>
      <c r="I1924" s="394">
        <v>7.4057169351963114E-4</v>
      </c>
      <c r="J1924" s="689">
        <v>2.447176398664226E-5</v>
      </c>
      <c r="K1924" s="690">
        <v>2.5578275014562679E-5</v>
      </c>
    </row>
    <row r="1925" spans="2:11" ht="15.75" x14ac:dyDescent="0.25">
      <c r="B1925" s="667" t="s">
        <v>99</v>
      </c>
      <c r="C1925" s="110">
        <v>2035</v>
      </c>
      <c r="D1925" s="687" t="s">
        <v>2710</v>
      </c>
      <c r="E1925" s="688">
        <v>2.7151728532937975E-2</v>
      </c>
      <c r="F1925" s="310">
        <v>3.2253153348614505E-3</v>
      </c>
      <c r="G1925" s="311">
        <v>2.2136584829128683E-2</v>
      </c>
      <c r="H1925" s="311">
        <v>6.4282934361952209E-4</v>
      </c>
      <c r="I1925" s="394">
        <v>6.9815415158987551E-4</v>
      </c>
      <c r="J1925" s="689">
        <v>2.3156914416637736E-5</v>
      </c>
      <c r="K1925" s="690">
        <v>2.4203969919192046E-5</v>
      </c>
    </row>
    <row r="1926" spans="2:11" ht="15.75" x14ac:dyDescent="0.25">
      <c r="B1926" s="667" t="s">
        <v>99</v>
      </c>
      <c r="C1926" s="110">
        <v>2036</v>
      </c>
      <c r="D1926" s="687" t="s">
        <v>2711</v>
      </c>
      <c r="E1926" s="688">
        <v>2.6832771867696E-2</v>
      </c>
      <c r="F1926" s="310">
        <v>2.976711183010594E-3</v>
      </c>
      <c r="G1926" s="311">
        <v>2.1306906268175354E-2</v>
      </c>
      <c r="H1926" s="311">
        <v>6.0844637692938322E-4</v>
      </c>
      <c r="I1926" s="394">
        <v>6.6081031863760649E-4</v>
      </c>
      <c r="J1926" s="689">
        <v>2.1973571409918183E-5</v>
      </c>
      <c r="K1926" s="690">
        <v>2.2967124294221808E-5</v>
      </c>
    </row>
    <row r="1927" spans="2:11" ht="15.75" x14ac:dyDescent="0.25">
      <c r="B1927" s="667" t="s">
        <v>99</v>
      </c>
      <c r="C1927" s="110">
        <v>2037</v>
      </c>
      <c r="D1927" s="687" t="s">
        <v>2712</v>
      </c>
      <c r="E1927" s="688">
        <v>2.6560015403981254E-2</v>
      </c>
      <c r="F1927" s="310">
        <v>2.7662195096776403E-3</v>
      </c>
      <c r="G1927" s="311">
        <v>2.064540484408639E-2</v>
      </c>
      <c r="H1927" s="311">
        <v>5.7753778377826043E-4</v>
      </c>
      <c r="I1927" s="394">
        <v>6.2724296966464488E-4</v>
      </c>
      <c r="J1927" s="689">
        <v>2.0805955552850125E-5</v>
      </c>
      <c r="K1927" s="690">
        <v>2.1746711965529278E-5</v>
      </c>
    </row>
    <row r="1928" spans="2:11" ht="15.75" x14ac:dyDescent="0.25">
      <c r="B1928" s="667" t="s">
        <v>99</v>
      </c>
      <c r="C1928" s="110">
        <v>2038</v>
      </c>
      <c r="D1928" s="687" t="s">
        <v>2713</v>
      </c>
      <c r="E1928" s="688">
        <v>2.6328786339489797E-2</v>
      </c>
      <c r="F1928" s="310">
        <v>2.5729625319075825E-3</v>
      </c>
      <c r="G1928" s="311">
        <v>2.0034950390109489E-2</v>
      </c>
      <c r="H1928" s="311">
        <v>5.4996855081584656E-4</v>
      </c>
      <c r="I1928" s="394">
        <v>5.9729812575135325E-4</v>
      </c>
      <c r="J1928" s="689">
        <v>1.9889300167935191E-5</v>
      </c>
      <c r="K1928" s="690">
        <v>2.0788607887602331E-5</v>
      </c>
    </row>
    <row r="1929" spans="2:11" ht="15.75" x14ac:dyDescent="0.25">
      <c r="B1929" s="667" t="s">
        <v>99</v>
      </c>
      <c r="C1929" s="110">
        <v>2039</v>
      </c>
      <c r="D1929" s="687" t="s">
        <v>2714</v>
      </c>
      <c r="E1929" s="688">
        <v>2.6133724838017056E-2</v>
      </c>
      <c r="F1929" s="310">
        <v>2.3933606921247384E-3</v>
      </c>
      <c r="G1929" s="311">
        <v>1.9471130127854265E-2</v>
      </c>
      <c r="H1929" s="311">
        <v>5.2554765607940826E-4</v>
      </c>
      <c r="I1929" s="394">
        <v>5.7077136274880438E-4</v>
      </c>
      <c r="J1929" s="689">
        <v>1.9106964450366307E-5</v>
      </c>
      <c r="K1929" s="690">
        <v>1.9970896575786731E-5</v>
      </c>
    </row>
    <row r="1930" spans="2:11" ht="15.75" x14ac:dyDescent="0.25">
      <c r="B1930" s="667" t="s">
        <v>99</v>
      </c>
      <c r="C1930" s="110">
        <v>2040</v>
      </c>
      <c r="D1930" s="687" t="s">
        <v>2715</v>
      </c>
      <c r="E1930" s="688">
        <v>2.5970825964962602E-2</v>
      </c>
      <c r="F1930" s="310">
        <v>2.2344420362993274E-3</v>
      </c>
      <c r="G1930" s="311">
        <v>1.9010455547080717E-2</v>
      </c>
      <c r="H1930" s="311">
        <v>5.041544839536799E-4</v>
      </c>
      <c r="I1930" s="394">
        <v>5.4753158407287077E-4</v>
      </c>
      <c r="J1930" s="689">
        <v>1.8449782425582995E-5</v>
      </c>
      <c r="K1930" s="690">
        <v>1.9284000829865057E-5</v>
      </c>
    </row>
    <row r="1931" spans="2:11" ht="15.75" x14ac:dyDescent="0.25">
      <c r="B1931" s="667" t="s">
        <v>99</v>
      </c>
      <c r="C1931" s="110">
        <v>2041</v>
      </c>
      <c r="D1931" s="687" t="s">
        <v>2716</v>
      </c>
      <c r="E1931" s="688">
        <v>2.5837113216529348E-2</v>
      </c>
      <c r="F1931" s="310">
        <v>2.1135357659553011E-3</v>
      </c>
      <c r="G1931" s="311">
        <v>1.8657465748936536E-2</v>
      </c>
      <c r="H1931" s="311">
        <v>4.8715841920577932E-4</v>
      </c>
      <c r="I1931" s="394">
        <v>5.2907212186624605E-4</v>
      </c>
      <c r="J1931" s="689">
        <v>1.7873281371762068E-5</v>
      </c>
      <c r="K1931" s="690">
        <v>1.8681431112222103E-5</v>
      </c>
    </row>
    <row r="1932" spans="2:11" ht="15.75" x14ac:dyDescent="0.25">
      <c r="B1932" s="667" t="s">
        <v>99</v>
      </c>
      <c r="C1932" s="110">
        <v>2042</v>
      </c>
      <c r="D1932" s="687" t="s">
        <v>2717</v>
      </c>
      <c r="E1932" s="688">
        <v>2.5726448378427365E-2</v>
      </c>
      <c r="F1932" s="310">
        <v>2.0074677243323465E-3</v>
      </c>
      <c r="G1932" s="311">
        <v>1.8328261286447212E-2</v>
      </c>
      <c r="H1932" s="311">
        <v>4.7271851976120061E-4</v>
      </c>
      <c r="I1932" s="394">
        <v>5.1338609127109811E-4</v>
      </c>
      <c r="J1932" s="689">
        <v>1.7421503993308284E-5</v>
      </c>
      <c r="K1932" s="690">
        <v>1.8209229335969016E-5</v>
      </c>
    </row>
    <row r="1933" spans="2:11" ht="15.75" x14ac:dyDescent="0.25">
      <c r="B1933" s="667" t="s">
        <v>99</v>
      </c>
      <c r="C1933" s="110">
        <v>2043</v>
      </c>
      <c r="D1933" s="687" t="s">
        <v>2718</v>
      </c>
      <c r="E1933" s="688">
        <v>2.563622407560226E-2</v>
      </c>
      <c r="F1933" s="310">
        <v>1.9281060428747937E-3</v>
      </c>
      <c r="G1933" s="311">
        <v>1.8091052516314675E-2</v>
      </c>
      <c r="H1933" s="311">
        <v>4.6063326734076141E-4</v>
      </c>
      <c r="I1933" s="394">
        <v>5.0025640826216391E-4</v>
      </c>
      <c r="J1933" s="689">
        <v>1.7082509554578524E-5</v>
      </c>
      <c r="K1933" s="690">
        <v>1.7854910134412153E-5</v>
      </c>
    </row>
    <row r="1934" spans="2:11" ht="15.75" x14ac:dyDescent="0.25">
      <c r="B1934" s="667" t="s">
        <v>99</v>
      </c>
      <c r="C1934" s="110">
        <v>2044</v>
      </c>
      <c r="D1934" s="687" t="s">
        <v>2719</v>
      </c>
      <c r="E1934" s="688">
        <v>2.5562062075229066E-2</v>
      </c>
      <c r="F1934" s="310">
        <v>1.8694282124410925E-3</v>
      </c>
      <c r="G1934" s="311">
        <v>1.790613746130932E-2</v>
      </c>
      <c r="H1934" s="311">
        <v>4.5054208306197842E-4</v>
      </c>
      <c r="I1934" s="394">
        <v>4.8929376860014156E-4</v>
      </c>
      <c r="J1934" s="689">
        <v>1.6806507197528292E-5</v>
      </c>
      <c r="K1934" s="690">
        <v>1.7566425360223102E-5</v>
      </c>
    </row>
    <row r="1935" spans="2:11" ht="15.75" x14ac:dyDescent="0.25">
      <c r="B1935" s="667" t="s">
        <v>99</v>
      </c>
      <c r="C1935" s="110">
        <v>2045</v>
      </c>
      <c r="D1935" s="687" t="s">
        <v>2720</v>
      </c>
      <c r="E1935" s="688">
        <v>2.5500310478287602E-2</v>
      </c>
      <c r="F1935" s="310">
        <v>1.8305420020679163E-3</v>
      </c>
      <c r="G1935" s="311">
        <v>1.7787443771274315E-2</v>
      </c>
      <c r="H1935" s="311">
        <v>4.4217640456581001E-4</v>
      </c>
      <c r="I1935" s="394">
        <v>4.8020439340592754E-4</v>
      </c>
      <c r="J1935" s="689">
        <v>1.6590956897896368E-5</v>
      </c>
      <c r="K1935" s="690">
        <v>1.7341122300431879E-5</v>
      </c>
    </row>
    <row r="1936" spans="2:11" ht="15.75" x14ac:dyDescent="0.25">
      <c r="B1936" s="667" t="s">
        <v>99</v>
      </c>
      <c r="C1936" s="110">
        <v>2046</v>
      </c>
      <c r="D1936" s="687" t="s">
        <v>2721</v>
      </c>
      <c r="E1936" s="688">
        <v>2.5449198679077301E-2</v>
      </c>
      <c r="F1936" s="310">
        <v>1.7970419628646316E-3</v>
      </c>
      <c r="G1936" s="311">
        <v>1.7688570447684109E-2</v>
      </c>
      <c r="H1936" s="311">
        <v>4.3530697469868352E-4</v>
      </c>
      <c r="I1936" s="394">
        <v>4.7274004614708271E-4</v>
      </c>
      <c r="J1936" s="689">
        <v>1.6432210743163525E-5</v>
      </c>
      <c r="K1936" s="690">
        <v>1.7175207088869565E-5</v>
      </c>
    </row>
    <row r="1937" spans="2:11" ht="15.75" x14ac:dyDescent="0.25">
      <c r="B1937" s="667" t="s">
        <v>99</v>
      </c>
      <c r="C1937" s="110">
        <v>2047</v>
      </c>
      <c r="D1937" s="687" t="s">
        <v>2722</v>
      </c>
      <c r="E1937" s="688">
        <v>2.5407581283422541E-2</v>
      </c>
      <c r="F1937" s="310">
        <v>1.7684856804359079E-3</v>
      </c>
      <c r="G1937" s="311">
        <v>1.7600455548798001E-2</v>
      </c>
      <c r="H1937" s="311">
        <v>4.2969204448086178E-4</v>
      </c>
      <c r="I1937" s="394">
        <v>4.6663896007740111E-4</v>
      </c>
      <c r="J1937" s="689">
        <v>1.6292401824054281E-5</v>
      </c>
      <c r="K1937" s="690">
        <v>1.7029074577810825E-5</v>
      </c>
    </row>
    <row r="1938" spans="2:11" ht="15.75" x14ac:dyDescent="0.25">
      <c r="B1938" s="667" t="s">
        <v>99</v>
      </c>
      <c r="C1938" s="110">
        <v>2048</v>
      </c>
      <c r="D1938" s="687" t="s">
        <v>2723</v>
      </c>
      <c r="E1938" s="688">
        <v>2.5373541425201148E-2</v>
      </c>
      <c r="F1938" s="310">
        <v>1.7457024660634615E-3</v>
      </c>
      <c r="G1938" s="311">
        <v>1.752939651325006E-2</v>
      </c>
      <c r="H1938" s="311">
        <v>4.251373295361466E-4</v>
      </c>
      <c r="I1938" s="394">
        <v>4.6168928122272446E-4</v>
      </c>
      <c r="J1938" s="689">
        <v>1.6192086313744956E-5</v>
      </c>
      <c r="K1938" s="690">
        <v>1.6924226059582877E-5</v>
      </c>
    </row>
    <row r="1939" spans="2:11" ht="15.75" x14ac:dyDescent="0.25">
      <c r="B1939" s="667" t="s">
        <v>99</v>
      </c>
      <c r="C1939" s="110">
        <v>2049</v>
      </c>
      <c r="D1939" s="687" t="s">
        <v>2724</v>
      </c>
      <c r="E1939" s="688">
        <v>2.5345706294833747E-2</v>
      </c>
      <c r="F1939" s="310">
        <v>1.7366580698723615E-3</v>
      </c>
      <c r="G1939" s="311">
        <v>1.7537204657131475E-2</v>
      </c>
      <c r="H1939" s="311">
        <v>4.221080657578102E-4</v>
      </c>
      <c r="I1939" s="394">
        <v>4.5839853191408374E-4</v>
      </c>
      <c r="J1939" s="689">
        <v>1.6103005750363752E-5</v>
      </c>
      <c r="K1939" s="690">
        <v>1.6831111888483283E-5</v>
      </c>
    </row>
    <row r="1940" spans="2:11" ht="15.75" x14ac:dyDescent="0.25">
      <c r="B1940" s="667" t="s">
        <v>99</v>
      </c>
      <c r="C1940" s="110">
        <v>2050</v>
      </c>
      <c r="D1940" s="687" t="s">
        <v>2725</v>
      </c>
      <c r="E1940" s="688">
        <v>2.5323459881811831E-2</v>
      </c>
      <c r="F1940" s="310">
        <v>1.7295314986323456E-3</v>
      </c>
      <c r="G1940" s="311">
        <v>1.75453510660349E-2</v>
      </c>
      <c r="H1940" s="311">
        <v>4.1972093346247659E-4</v>
      </c>
      <c r="I1940" s="394">
        <v>4.5580594283513325E-4</v>
      </c>
      <c r="J1940" s="689">
        <v>1.6022521540962764E-5</v>
      </c>
      <c r="K1940" s="690">
        <v>1.6746986457829012E-5</v>
      </c>
    </row>
    <row r="1941" spans="2:11" ht="15.75" x14ac:dyDescent="0.25">
      <c r="B1941" s="667" t="s">
        <v>100</v>
      </c>
      <c r="C1941" s="110">
        <v>2015</v>
      </c>
      <c r="D1941" s="687" t="s">
        <v>315</v>
      </c>
      <c r="E1941" s="688">
        <v>4.4322714817089048E-2</v>
      </c>
      <c r="F1941" s="310">
        <v>6.7888603862450075E-2</v>
      </c>
      <c r="G1941" s="311">
        <v>0.25666218666864249</v>
      </c>
      <c r="H1941" s="311">
        <v>2.2862146639123664E-3</v>
      </c>
      <c r="I1941" s="394">
        <v>2.4711735134603243E-3</v>
      </c>
      <c r="J1941" s="689">
        <v>2.3466124102962155E-4</v>
      </c>
      <c r="K1941" s="690">
        <v>2.452715839049091E-4</v>
      </c>
    </row>
    <row r="1942" spans="2:11" ht="15.75" x14ac:dyDescent="0.25">
      <c r="B1942" s="667" t="s">
        <v>100</v>
      </c>
      <c r="C1942" s="110">
        <v>2016</v>
      </c>
      <c r="D1942" s="687" t="s">
        <v>316</v>
      </c>
      <c r="E1942" s="688">
        <v>4.3375406221063388E-2</v>
      </c>
      <c r="F1942" s="310">
        <v>5.5834093262833992E-2</v>
      </c>
      <c r="G1942" s="311">
        <v>0.21809486371345985</v>
      </c>
      <c r="H1942" s="311">
        <v>2.1159799292577702E-3</v>
      </c>
      <c r="I1942" s="394">
        <v>2.2883434625515292E-3</v>
      </c>
      <c r="J1942" s="689">
        <v>2.1792141249785205E-4</v>
      </c>
      <c r="K1942" s="690">
        <v>2.2777485612435194E-4</v>
      </c>
    </row>
    <row r="1943" spans="2:11" ht="15.75" x14ac:dyDescent="0.25">
      <c r="B1943" s="667" t="s">
        <v>100</v>
      </c>
      <c r="C1943" s="110">
        <v>2017</v>
      </c>
      <c r="D1943" s="687" t="s">
        <v>2726</v>
      </c>
      <c r="E1943" s="688">
        <v>4.2312407576900607E-2</v>
      </c>
      <c r="F1943" s="310">
        <v>4.600410757975696E-2</v>
      </c>
      <c r="G1943" s="311">
        <v>0.18552357154908247</v>
      </c>
      <c r="H1943" s="311">
        <v>2.0111075811480345E-3</v>
      </c>
      <c r="I1943" s="394">
        <v>2.1764998728724051E-3</v>
      </c>
      <c r="J1943" s="689">
        <v>1.95517681029772E-4</v>
      </c>
      <c r="K1943" s="690">
        <v>2.0435812649772213E-4</v>
      </c>
    </row>
    <row r="1944" spans="2:11" ht="15.75" x14ac:dyDescent="0.25">
      <c r="B1944" s="667" t="s">
        <v>100</v>
      </c>
      <c r="C1944" s="110">
        <v>2018</v>
      </c>
      <c r="D1944" s="687" t="s">
        <v>2727</v>
      </c>
      <c r="E1944" s="688">
        <v>4.1104936057783981E-2</v>
      </c>
      <c r="F1944" s="310">
        <v>3.7488370682642672E-2</v>
      </c>
      <c r="G1944" s="311">
        <v>0.15703218792440823</v>
      </c>
      <c r="H1944" s="311">
        <v>1.9449868844166427E-3</v>
      </c>
      <c r="I1944" s="394">
        <v>2.1064390411439354E-3</v>
      </c>
      <c r="J1944" s="689">
        <v>1.7619674357808698E-4</v>
      </c>
      <c r="K1944" s="690">
        <v>1.8416357439171967E-4</v>
      </c>
    </row>
    <row r="1945" spans="2:11" ht="15.75" x14ac:dyDescent="0.25">
      <c r="B1945" s="667" t="s">
        <v>100</v>
      </c>
      <c r="C1945" s="110">
        <v>2019</v>
      </c>
      <c r="D1945" s="687" t="s">
        <v>2728</v>
      </c>
      <c r="E1945" s="688">
        <v>3.9930743401810138E-2</v>
      </c>
      <c r="F1945" s="310">
        <v>3.0658508141533838E-2</v>
      </c>
      <c r="G1945" s="311">
        <v>0.13308101191904509</v>
      </c>
      <c r="H1945" s="311">
        <v>1.8990754536312839E-3</v>
      </c>
      <c r="I1945" s="394">
        <v>2.0579156222970902E-3</v>
      </c>
      <c r="J1945" s="689">
        <v>1.5919377393786219E-4</v>
      </c>
      <c r="K1945" s="690">
        <v>1.6639180818247756E-4</v>
      </c>
    </row>
    <row r="1946" spans="2:11" ht="15.75" x14ac:dyDescent="0.25">
      <c r="B1946" s="667" t="s">
        <v>100</v>
      </c>
      <c r="C1946" s="110">
        <v>2020</v>
      </c>
      <c r="D1946" s="687" t="s">
        <v>2729</v>
      </c>
      <c r="E1946" s="688">
        <v>3.8741957352556478E-2</v>
      </c>
      <c r="F1946" s="310">
        <v>2.5549151537388119E-2</v>
      </c>
      <c r="G1946" s="311">
        <v>0.11325890510641272</v>
      </c>
      <c r="H1946" s="311">
        <v>1.8310269556704917E-3</v>
      </c>
      <c r="I1946" s="394">
        <v>1.9848312874167183E-3</v>
      </c>
      <c r="J1946" s="689">
        <v>1.4367714301607927E-4</v>
      </c>
      <c r="K1946" s="690">
        <v>1.5017357695387785E-4</v>
      </c>
    </row>
    <row r="1947" spans="2:11" ht="15.75" x14ac:dyDescent="0.25">
      <c r="B1947" s="667" t="s">
        <v>100</v>
      </c>
      <c r="C1947" s="110">
        <v>2021</v>
      </c>
      <c r="D1947" s="687" t="s">
        <v>2730</v>
      </c>
      <c r="E1947" s="688">
        <v>3.7498441550083202E-2</v>
      </c>
      <c r="F1947" s="310">
        <v>2.1584780143399093E-2</v>
      </c>
      <c r="G1947" s="311">
        <v>9.6659843508022661E-2</v>
      </c>
      <c r="H1947" s="311">
        <v>1.7312429414225272E-3</v>
      </c>
      <c r="I1947" s="394">
        <v>1.8770343758572484E-3</v>
      </c>
      <c r="J1947" s="689">
        <v>1.2988322197275652E-4</v>
      </c>
      <c r="K1947" s="690">
        <v>1.3575596374450937E-4</v>
      </c>
    </row>
    <row r="1948" spans="2:11" ht="15.75" x14ac:dyDescent="0.25">
      <c r="B1948" s="667" t="s">
        <v>100</v>
      </c>
      <c r="C1948" s="110">
        <v>2022</v>
      </c>
      <c r="D1948" s="687" t="s">
        <v>2731</v>
      </c>
      <c r="E1948" s="688">
        <v>3.6330928179851216E-2</v>
      </c>
      <c r="F1948" s="310">
        <v>1.7724052392873463E-2</v>
      </c>
      <c r="G1948" s="311">
        <v>8.2186721034436638E-2</v>
      </c>
      <c r="H1948" s="311">
        <v>1.6323028960156438E-3</v>
      </c>
      <c r="I1948" s="394">
        <v>1.770266956987598E-3</v>
      </c>
      <c r="J1948" s="689">
        <v>1.1621179581462943E-4</v>
      </c>
      <c r="K1948" s="690">
        <v>1.214663746224964E-4</v>
      </c>
    </row>
    <row r="1949" spans="2:11" ht="15.75" x14ac:dyDescent="0.25">
      <c r="B1949" s="667" t="s">
        <v>100</v>
      </c>
      <c r="C1949" s="110">
        <v>2023</v>
      </c>
      <c r="D1949" s="687" t="s">
        <v>2732</v>
      </c>
      <c r="E1949" s="688">
        <v>3.517931550621467E-2</v>
      </c>
      <c r="F1949" s="310">
        <v>1.5145817412577955E-2</v>
      </c>
      <c r="G1949" s="311">
        <v>7.0872849274003585E-2</v>
      </c>
      <c r="H1949" s="311">
        <v>1.5437838166856713E-3</v>
      </c>
      <c r="I1949" s="394">
        <v>1.6746451195251103E-3</v>
      </c>
      <c r="J1949" s="689">
        <v>1.0177578460976778E-4</v>
      </c>
      <c r="K1949" s="690">
        <v>1.0637763281008953E-4</v>
      </c>
    </row>
    <row r="1950" spans="2:11" ht="15.75" x14ac:dyDescent="0.25">
      <c r="B1950" s="667" t="s">
        <v>100</v>
      </c>
      <c r="C1950" s="110">
        <v>2024</v>
      </c>
      <c r="D1950" s="687" t="s">
        <v>2733</v>
      </c>
      <c r="E1950" s="688">
        <v>3.3991413646188871E-2</v>
      </c>
      <c r="F1950" s="310">
        <v>1.2991423481960016E-2</v>
      </c>
      <c r="G1950" s="311">
        <v>6.1528591157870606E-2</v>
      </c>
      <c r="H1950" s="311">
        <v>1.4677798765517687E-3</v>
      </c>
      <c r="I1950" s="394">
        <v>1.5924619905153155E-3</v>
      </c>
      <c r="J1950" s="689">
        <v>9.1312400096605012E-5</v>
      </c>
      <c r="K1950" s="690">
        <v>9.5441147666859002E-5</v>
      </c>
    </row>
    <row r="1951" spans="2:11" ht="15.75" x14ac:dyDescent="0.25">
      <c r="B1951" s="667" t="s">
        <v>100</v>
      </c>
      <c r="C1951" s="110">
        <v>2025</v>
      </c>
      <c r="D1951" s="687" t="s">
        <v>2734</v>
      </c>
      <c r="E1951" s="688">
        <v>3.288553445242539E-2</v>
      </c>
      <c r="F1951" s="310">
        <v>1.1280208645923637E-2</v>
      </c>
      <c r="G1951" s="311">
        <v>5.4127336647614759E-2</v>
      </c>
      <c r="H1951" s="311">
        <v>1.4033928836685238E-3</v>
      </c>
      <c r="I1951" s="394">
        <v>1.5228652776042575E-3</v>
      </c>
      <c r="J1951" s="689">
        <v>8.1448236094698977E-5</v>
      </c>
      <c r="K1951" s="690">
        <v>8.5130961891839271E-5</v>
      </c>
    </row>
    <row r="1952" spans="2:11" ht="15.75" x14ac:dyDescent="0.25">
      <c r="B1952" s="667" t="s">
        <v>100</v>
      </c>
      <c r="C1952" s="110">
        <v>2026</v>
      </c>
      <c r="D1952" s="687" t="s">
        <v>2735</v>
      </c>
      <c r="E1952" s="688">
        <v>3.1863722759525863E-2</v>
      </c>
      <c r="F1952" s="310">
        <v>9.8856911302660118E-3</v>
      </c>
      <c r="G1952" s="311">
        <v>4.8176123112849099E-2</v>
      </c>
      <c r="H1952" s="311">
        <v>1.3355889045210164E-3</v>
      </c>
      <c r="I1952" s="394">
        <v>1.4496463156806214E-3</v>
      </c>
      <c r="J1952" s="689">
        <v>6.9096264893192319E-5</v>
      </c>
      <c r="K1952" s="690">
        <v>7.2220492044597541E-5</v>
      </c>
    </row>
    <row r="1953" spans="2:11" ht="15.75" x14ac:dyDescent="0.25">
      <c r="B1953" s="667" t="s">
        <v>100</v>
      </c>
      <c r="C1953" s="110">
        <v>2027</v>
      </c>
      <c r="D1953" s="687" t="s">
        <v>2736</v>
      </c>
      <c r="E1953" s="688">
        <v>3.0943562594526054E-2</v>
      </c>
      <c r="F1953" s="310">
        <v>8.7108820949064018E-3</v>
      </c>
      <c r="G1953" s="311">
        <v>4.3221187506000076E-2</v>
      </c>
      <c r="H1953" s="311">
        <v>1.2608196072510197E-3</v>
      </c>
      <c r="I1953" s="394">
        <v>1.368818269437404E-3</v>
      </c>
      <c r="J1953" s="689">
        <v>5.7523380883883255E-5</v>
      </c>
      <c r="K1953" s="690">
        <v>6.0124327403799434E-5</v>
      </c>
    </row>
    <row r="1954" spans="2:11" ht="15.75" x14ac:dyDescent="0.25">
      <c r="B1954" s="667" t="s">
        <v>100</v>
      </c>
      <c r="C1954" s="110">
        <v>2028</v>
      </c>
      <c r="D1954" s="687" t="s">
        <v>2737</v>
      </c>
      <c r="E1954" s="688">
        <v>3.0118669791809202E-2</v>
      </c>
      <c r="F1954" s="310">
        <v>7.7433531752779767E-3</v>
      </c>
      <c r="G1954" s="311">
        <v>3.9173654636828245E-2</v>
      </c>
      <c r="H1954" s="311">
        <v>1.1808980001505253E-3</v>
      </c>
      <c r="I1954" s="394">
        <v>1.2823160391988689E-3</v>
      </c>
      <c r="J1954" s="689">
        <v>4.7629458009779978E-5</v>
      </c>
      <c r="K1954" s="690">
        <v>4.9783056851010188E-5</v>
      </c>
    </row>
    <row r="1955" spans="2:11" ht="15.75" x14ac:dyDescent="0.25">
      <c r="B1955" s="667" t="s">
        <v>100</v>
      </c>
      <c r="C1955" s="110">
        <v>2029</v>
      </c>
      <c r="D1955" s="687" t="s">
        <v>2738</v>
      </c>
      <c r="E1955" s="688">
        <v>2.9382424807382471E-2</v>
      </c>
      <c r="F1955" s="310">
        <v>6.908380133639494E-3</v>
      </c>
      <c r="G1955" s="311">
        <v>3.5772215445993058E-2</v>
      </c>
      <c r="H1955" s="311">
        <v>1.1062464404101857E-3</v>
      </c>
      <c r="I1955" s="394">
        <v>1.201393600260387E-3</v>
      </c>
      <c r="J1955" s="689">
        <v>4.1309131401490668E-5</v>
      </c>
      <c r="K1955" s="690">
        <v>4.3176953042235721E-5</v>
      </c>
    </row>
    <row r="1956" spans="2:11" ht="15.75" x14ac:dyDescent="0.25">
      <c r="B1956" s="667" t="s">
        <v>100</v>
      </c>
      <c r="C1956" s="110">
        <v>2030</v>
      </c>
      <c r="D1956" s="687" t="s">
        <v>2739</v>
      </c>
      <c r="E1956" s="688">
        <v>2.8728195329302264E-2</v>
      </c>
      <c r="F1956" s="310">
        <v>6.2151695009997508E-3</v>
      </c>
      <c r="G1956" s="311">
        <v>3.2964178936042435E-2</v>
      </c>
      <c r="H1956" s="311">
        <v>1.0362481991533612E-3</v>
      </c>
      <c r="I1956" s="394">
        <v>1.1254804354850969E-3</v>
      </c>
      <c r="J1956" s="689">
        <v>3.6212288610560647E-5</v>
      </c>
      <c r="K1956" s="690">
        <v>3.784964789676486E-5</v>
      </c>
    </row>
    <row r="1957" spans="2:11" ht="15.75" x14ac:dyDescent="0.25">
      <c r="B1957" s="667" t="s">
        <v>100</v>
      </c>
      <c r="C1957" s="110">
        <v>2031</v>
      </c>
      <c r="D1957" s="687" t="s">
        <v>2740</v>
      </c>
      <c r="E1957" s="688">
        <v>2.8149207822533363E-2</v>
      </c>
      <c r="F1957" s="310">
        <v>5.6015409123605876E-3</v>
      </c>
      <c r="G1957" s="311">
        <v>3.0515982780229281E-2</v>
      </c>
      <c r="H1957" s="311">
        <v>9.7103107014761885E-4</v>
      </c>
      <c r="I1957" s="394">
        <v>1.0546917222601069E-3</v>
      </c>
      <c r="J1957" s="689">
        <v>3.2873412698494203E-5</v>
      </c>
      <c r="K1957" s="690">
        <v>3.4359796992775427E-5</v>
      </c>
    </row>
    <row r="1958" spans="2:11" ht="15.75" x14ac:dyDescent="0.25">
      <c r="B1958" s="667" t="s">
        <v>100</v>
      </c>
      <c r="C1958" s="110">
        <v>2032</v>
      </c>
      <c r="D1958" s="687" t="s">
        <v>2741</v>
      </c>
      <c r="E1958" s="688">
        <v>2.7639131987159189E-2</v>
      </c>
      <c r="F1958" s="310">
        <v>5.0849510598800166E-3</v>
      </c>
      <c r="G1958" s="311">
        <v>2.854598870369442E-2</v>
      </c>
      <c r="H1958" s="311">
        <v>9.1072998729149702E-4</v>
      </c>
      <c r="I1958" s="394">
        <v>9.8923908071057868E-4</v>
      </c>
      <c r="J1958" s="689">
        <v>2.9808028768114748E-5</v>
      </c>
      <c r="K1958" s="690">
        <v>3.1155817340348948E-5</v>
      </c>
    </row>
    <row r="1959" spans="2:11" ht="15.75" x14ac:dyDescent="0.25">
      <c r="B1959" s="667" t="s">
        <v>100</v>
      </c>
      <c r="C1959" s="110">
        <v>2033</v>
      </c>
      <c r="D1959" s="687" t="s">
        <v>2742</v>
      </c>
      <c r="E1959" s="688">
        <v>2.7190906346359182E-2</v>
      </c>
      <c r="F1959" s="310">
        <v>4.6298494124260197E-3</v>
      </c>
      <c r="G1959" s="311">
        <v>2.6866376625564261E-2</v>
      </c>
      <c r="H1959" s="311">
        <v>8.5527386623007035E-4</v>
      </c>
      <c r="I1959" s="394">
        <v>9.2901147214346635E-4</v>
      </c>
      <c r="J1959" s="689">
        <v>2.7768268884452707E-5</v>
      </c>
      <c r="K1959" s="690">
        <v>2.9023831039269684E-5</v>
      </c>
    </row>
    <row r="1960" spans="2:11" ht="15.75" x14ac:dyDescent="0.25">
      <c r="B1960" s="667" t="s">
        <v>100</v>
      </c>
      <c r="C1960" s="110">
        <v>2034</v>
      </c>
      <c r="D1960" s="687" t="s">
        <v>2743</v>
      </c>
      <c r="E1960" s="688">
        <v>2.6799093743202444E-2</v>
      </c>
      <c r="F1960" s="310">
        <v>4.2217407641208932E-3</v>
      </c>
      <c r="G1960" s="311">
        <v>2.541776520091486E-2</v>
      </c>
      <c r="H1960" s="311">
        <v>8.0380512031840497E-4</v>
      </c>
      <c r="I1960" s="394">
        <v>8.7311515867175872E-4</v>
      </c>
      <c r="J1960" s="689">
        <v>2.5876335982766749E-5</v>
      </c>
      <c r="K1960" s="690">
        <v>2.7046342239435137E-5</v>
      </c>
    </row>
    <row r="1961" spans="2:11" ht="15.75" x14ac:dyDescent="0.25">
      <c r="B1961" s="667" t="s">
        <v>100</v>
      </c>
      <c r="C1961" s="110">
        <v>2035</v>
      </c>
      <c r="D1961" s="687" t="s">
        <v>2744</v>
      </c>
      <c r="E1961" s="688">
        <v>2.6459122569181627E-2</v>
      </c>
      <c r="F1961" s="310">
        <v>3.8670716595057154E-3</v>
      </c>
      <c r="G1961" s="311">
        <v>2.4223616818316935E-2</v>
      </c>
      <c r="H1961" s="311">
        <v>7.5703031478859895E-4</v>
      </c>
      <c r="I1961" s="394">
        <v>8.2230809447520392E-4</v>
      </c>
      <c r="J1961" s="689">
        <v>2.4343509269138251E-5</v>
      </c>
      <c r="K1961" s="690">
        <v>2.5444218814088948E-5</v>
      </c>
    </row>
    <row r="1962" spans="2:11" ht="15.75" x14ac:dyDescent="0.25">
      <c r="B1962" s="667" t="s">
        <v>100</v>
      </c>
      <c r="C1962" s="110">
        <v>2036</v>
      </c>
      <c r="D1962" s="687" t="s">
        <v>2745</v>
      </c>
      <c r="E1962" s="688">
        <v>2.6165692709851279E-2</v>
      </c>
      <c r="F1962" s="310">
        <v>3.5561829235817169E-3</v>
      </c>
      <c r="G1962" s="311">
        <v>2.3205746196062905E-2</v>
      </c>
      <c r="H1962" s="311">
        <v>7.1636175020540495E-4</v>
      </c>
      <c r="I1962" s="394">
        <v>7.7813889644249385E-4</v>
      </c>
      <c r="J1962" s="689">
        <v>2.2892090230982646E-5</v>
      </c>
      <c r="K1962" s="690">
        <v>2.3927169654292269E-5</v>
      </c>
    </row>
    <row r="1963" spans="2:11" ht="15.75" x14ac:dyDescent="0.25">
      <c r="B1963" s="667" t="s">
        <v>100</v>
      </c>
      <c r="C1963" s="110">
        <v>2037</v>
      </c>
      <c r="D1963" s="687" t="s">
        <v>2746</v>
      </c>
      <c r="E1963" s="688">
        <v>2.591499298151587E-2</v>
      </c>
      <c r="F1963" s="310">
        <v>3.2886559414970163E-3</v>
      </c>
      <c r="G1963" s="311">
        <v>2.2368586780647279E-2</v>
      </c>
      <c r="H1963" s="311">
        <v>6.8016265636965502E-4</v>
      </c>
      <c r="I1963" s="394">
        <v>7.3882077629449955E-4</v>
      </c>
      <c r="J1963" s="689">
        <v>2.1676745885812052E-5</v>
      </c>
      <c r="K1963" s="690">
        <v>2.2656873249699146E-5</v>
      </c>
    </row>
    <row r="1964" spans="2:11" ht="15.75" x14ac:dyDescent="0.25">
      <c r="B1964" s="667" t="s">
        <v>100</v>
      </c>
      <c r="C1964" s="110">
        <v>2038</v>
      </c>
      <c r="D1964" s="687" t="s">
        <v>2747</v>
      </c>
      <c r="E1964" s="688">
        <v>2.5702244550737521E-2</v>
      </c>
      <c r="F1964" s="310">
        <v>3.0456924127879727E-3</v>
      </c>
      <c r="G1964" s="311">
        <v>2.1614828574686586E-2</v>
      </c>
      <c r="H1964" s="311">
        <v>6.4792966482394058E-4</v>
      </c>
      <c r="I1964" s="394">
        <v>7.0380838949726668E-4</v>
      </c>
      <c r="J1964" s="689">
        <v>2.0637768166339592E-5</v>
      </c>
      <c r="K1964" s="690">
        <v>2.1570915713697603E-5</v>
      </c>
    </row>
    <row r="1965" spans="2:11" ht="15.75" x14ac:dyDescent="0.25">
      <c r="B1965" s="667" t="s">
        <v>100</v>
      </c>
      <c r="C1965" s="110">
        <v>2039</v>
      </c>
      <c r="D1965" s="687" t="s">
        <v>2748</v>
      </c>
      <c r="E1965" s="688">
        <v>2.5523303825633486E-2</v>
      </c>
      <c r="F1965" s="310">
        <v>2.8210388617908753E-3</v>
      </c>
      <c r="G1965" s="311">
        <v>2.0921296086984831E-2</v>
      </c>
      <c r="H1965" s="311">
        <v>6.194130432284451E-4</v>
      </c>
      <c r="I1965" s="394">
        <v>6.7283166573811756E-4</v>
      </c>
      <c r="J1965" s="689">
        <v>1.9747079940869187E-5</v>
      </c>
      <c r="K1965" s="690">
        <v>2.0639954402633256E-5</v>
      </c>
    </row>
    <row r="1966" spans="2:11" ht="15.75" x14ac:dyDescent="0.25">
      <c r="B1966" s="667" t="s">
        <v>100</v>
      </c>
      <c r="C1966" s="110">
        <v>2040</v>
      </c>
      <c r="D1966" s="687" t="s">
        <v>2749</v>
      </c>
      <c r="E1966" s="688">
        <v>2.537421719960992E-2</v>
      </c>
      <c r="F1966" s="310">
        <v>2.6275314246726042E-3</v>
      </c>
      <c r="G1966" s="311">
        <v>2.0378297339010795E-2</v>
      </c>
      <c r="H1966" s="311">
        <v>5.9464788695374115E-4</v>
      </c>
      <c r="I1966" s="394">
        <v>6.4592918146570808E-4</v>
      </c>
      <c r="J1966" s="689">
        <v>1.8991425183726851E-5</v>
      </c>
      <c r="K1966" s="690">
        <v>1.9850129890466968E-5</v>
      </c>
    </row>
    <row r="1967" spans="2:11" ht="15.75" x14ac:dyDescent="0.25">
      <c r="B1967" s="667" t="s">
        <v>100</v>
      </c>
      <c r="C1967" s="110">
        <v>2041</v>
      </c>
      <c r="D1967" s="687" t="s">
        <v>2750</v>
      </c>
      <c r="E1967" s="688">
        <v>2.5251751842768295E-2</v>
      </c>
      <c r="F1967" s="310">
        <v>2.4804423404944241E-3</v>
      </c>
      <c r="G1967" s="311">
        <v>1.9961932119524177E-2</v>
      </c>
      <c r="H1967" s="311">
        <v>5.7525085363212671E-4</v>
      </c>
      <c r="I1967" s="394">
        <v>6.2485891564485264E-4</v>
      </c>
      <c r="J1967" s="689">
        <v>1.8391989101167073E-5</v>
      </c>
      <c r="K1967" s="690">
        <v>1.9223584743840356E-5</v>
      </c>
    </row>
    <row r="1968" spans="2:11" ht="15.75" x14ac:dyDescent="0.25">
      <c r="B1968" s="667" t="s">
        <v>100</v>
      </c>
      <c r="C1968" s="110">
        <v>2042</v>
      </c>
      <c r="D1968" s="687" t="s">
        <v>2751</v>
      </c>
      <c r="E1968" s="688">
        <v>2.5150822605425577E-2</v>
      </c>
      <c r="F1968" s="310">
        <v>2.3532212764570074E-3</v>
      </c>
      <c r="G1968" s="311">
        <v>1.9571830949262202E-2</v>
      </c>
      <c r="H1968" s="311">
        <v>5.5866457705872009E-4</v>
      </c>
      <c r="I1968" s="394">
        <v>6.0684105863669207E-4</v>
      </c>
      <c r="J1968" s="689">
        <v>1.7879812667215212E-5</v>
      </c>
      <c r="K1968" s="690">
        <v>1.8688257015657164E-5</v>
      </c>
    </row>
    <row r="1969" spans="2:11" ht="15.75" x14ac:dyDescent="0.25">
      <c r="B1969" s="667" t="s">
        <v>100</v>
      </c>
      <c r="C1969" s="110">
        <v>2043</v>
      </c>
      <c r="D1969" s="687" t="s">
        <v>2752</v>
      </c>
      <c r="E1969" s="688">
        <v>2.5068675589112927E-2</v>
      </c>
      <c r="F1969" s="310">
        <v>2.2592700323639902E-3</v>
      </c>
      <c r="G1969" s="311">
        <v>1.9291453571700541E-2</v>
      </c>
      <c r="H1969" s="311">
        <v>5.4469388839207026E-4</v>
      </c>
      <c r="I1969" s="394">
        <v>5.9166263140093605E-4</v>
      </c>
      <c r="J1969" s="689">
        <v>1.7487073294981179E-5</v>
      </c>
      <c r="K1969" s="690">
        <v>1.827775684527575E-5</v>
      </c>
    </row>
    <row r="1970" spans="2:11" ht="15.75" x14ac:dyDescent="0.25">
      <c r="B1970" s="667" t="s">
        <v>100</v>
      </c>
      <c r="C1970" s="110">
        <v>2044</v>
      </c>
      <c r="D1970" s="687" t="s">
        <v>2753</v>
      </c>
      <c r="E1970" s="688">
        <v>2.5001804779627986E-2</v>
      </c>
      <c r="F1970" s="310">
        <v>2.1906671896480918E-3</v>
      </c>
      <c r="G1970" s="311">
        <v>1.9080494380613489E-2</v>
      </c>
      <c r="H1970" s="311">
        <v>5.3300360242330481E-4</v>
      </c>
      <c r="I1970" s="394">
        <v>5.7896179337294353E-4</v>
      </c>
      <c r="J1970" s="689">
        <v>1.7181502283759771E-5</v>
      </c>
      <c r="K1970" s="690">
        <v>1.7958367220428151E-5</v>
      </c>
    </row>
    <row r="1971" spans="2:11" ht="15.75" x14ac:dyDescent="0.25">
      <c r="B1971" s="667" t="s">
        <v>100</v>
      </c>
      <c r="C1971" s="110">
        <v>2045</v>
      </c>
      <c r="D1971" s="687" t="s">
        <v>2754</v>
      </c>
      <c r="E1971" s="688">
        <v>2.4946928848972594E-2</v>
      </c>
      <c r="F1971" s="310">
        <v>2.1443860167648121E-3</v>
      </c>
      <c r="G1971" s="311">
        <v>1.8940792295061713E-2</v>
      </c>
      <c r="H1971" s="311">
        <v>5.2326319234569812E-4</v>
      </c>
      <c r="I1971" s="394">
        <v>5.6837900914286478E-4</v>
      </c>
      <c r="J1971" s="689">
        <v>1.6936810366081867E-5</v>
      </c>
      <c r="K1971" s="690">
        <v>1.7702611416464872E-5</v>
      </c>
    </row>
    <row r="1972" spans="2:11" ht="15.75" x14ac:dyDescent="0.25">
      <c r="B1972" s="667" t="s">
        <v>100</v>
      </c>
      <c r="C1972" s="110">
        <v>2046</v>
      </c>
      <c r="D1972" s="687" t="s">
        <v>2755</v>
      </c>
      <c r="E1972" s="688">
        <v>2.4901735581944369E-2</v>
      </c>
      <c r="F1972" s="310">
        <v>2.1050387244915011E-3</v>
      </c>
      <c r="G1972" s="311">
        <v>1.8829191717047316E-2</v>
      </c>
      <c r="H1972" s="311">
        <v>5.1528691694484904E-4</v>
      </c>
      <c r="I1972" s="394">
        <v>5.5971171577282692E-4</v>
      </c>
      <c r="J1972" s="689">
        <v>1.6746807030889997E-5</v>
      </c>
      <c r="K1972" s="690">
        <v>1.7504016805253963E-5</v>
      </c>
    </row>
    <row r="1973" spans="2:11" ht="15.75" x14ac:dyDescent="0.25">
      <c r="B1973" s="667" t="s">
        <v>100</v>
      </c>
      <c r="C1973" s="110">
        <v>2047</v>
      </c>
      <c r="D1973" s="687" t="s">
        <v>2756</v>
      </c>
      <c r="E1973" s="688">
        <v>2.4865301025391001E-2</v>
      </c>
      <c r="F1973" s="310">
        <v>2.0708582384973474E-3</v>
      </c>
      <c r="G1973" s="311">
        <v>1.8727555599104398E-2</v>
      </c>
      <c r="H1973" s="311">
        <v>5.0875267392137857E-4</v>
      </c>
      <c r="I1973" s="394">
        <v>5.526129269801302E-4</v>
      </c>
      <c r="J1973" s="689">
        <v>1.65777972185165E-5</v>
      </c>
      <c r="K1973" s="690">
        <v>1.7327370565601674E-5</v>
      </c>
    </row>
    <row r="1974" spans="2:11" ht="15.75" x14ac:dyDescent="0.25">
      <c r="B1974" s="667" t="s">
        <v>100</v>
      </c>
      <c r="C1974" s="110">
        <v>2048</v>
      </c>
      <c r="D1974" s="687" t="s">
        <v>2757</v>
      </c>
      <c r="E1974" s="688">
        <v>2.4836081152200103E-2</v>
      </c>
      <c r="F1974" s="310">
        <v>2.0430904166281018E-3</v>
      </c>
      <c r="G1974" s="311">
        <v>1.8642154609590816E-2</v>
      </c>
      <c r="H1974" s="311">
        <v>5.0342181974495637E-4</v>
      </c>
      <c r="I1974" s="394">
        <v>5.4682087653506713E-4</v>
      </c>
      <c r="J1974" s="689">
        <v>1.6435292169515375E-5</v>
      </c>
      <c r="K1974" s="690">
        <v>1.7178417241361416E-5</v>
      </c>
    </row>
    <row r="1975" spans="2:11" ht="15.75" x14ac:dyDescent="0.25">
      <c r="B1975" s="667" t="s">
        <v>100</v>
      </c>
      <c r="C1975" s="110">
        <v>2049</v>
      </c>
      <c r="D1975" s="687" t="s">
        <v>2758</v>
      </c>
      <c r="E1975" s="688">
        <v>2.4812949539911686E-2</v>
      </c>
      <c r="F1975" s="310">
        <v>2.0324203359902483E-3</v>
      </c>
      <c r="G1975" s="311">
        <v>1.8648459801637415E-2</v>
      </c>
      <c r="H1975" s="311">
        <v>4.999208337929836E-4</v>
      </c>
      <c r="I1975" s="394">
        <v>5.4301728941324892E-4</v>
      </c>
      <c r="J1975" s="689">
        <v>1.6327510797239431E-5</v>
      </c>
      <c r="K1975" s="690">
        <v>1.7065766509640082E-5</v>
      </c>
    </row>
    <row r="1976" spans="2:11" ht="15.75" x14ac:dyDescent="0.25">
      <c r="B1976" s="667" t="s">
        <v>100</v>
      </c>
      <c r="C1976" s="110">
        <v>2050</v>
      </c>
      <c r="D1976" s="687" t="s">
        <v>2759</v>
      </c>
      <c r="E1976" s="688">
        <v>2.4794949773486535E-2</v>
      </c>
      <c r="F1976" s="310">
        <v>2.0239498008186099E-3</v>
      </c>
      <c r="G1976" s="311">
        <v>1.8654946370732037E-2</v>
      </c>
      <c r="H1976" s="311">
        <v>4.97119935391375E-4</v>
      </c>
      <c r="I1976" s="394">
        <v>5.3997606047054563E-4</v>
      </c>
      <c r="J1976" s="689">
        <v>1.621791290844071E-5</v>
      </c>
      <c r="K1976" s="690">
        <v>1.6951216040653941E-5</v>
      </c>
    </row>
    <row r="1977" spans="2:11" ht="15.75" x14ac:dyDescent="0.25">
      <c r="B1977" s="667" t="s">
        <v>101</v>
      </c>
      <c r="C1977" s="110">
        <v>2015</v>
      </c>
      <c r="D1977" s="687" t="s">
        <v>317</v>
      </c>
      <c r="E1977" s="688">
        <v>4.3375704400339395E-2</v>
      </c>
      <c r="F1977" s="310">
        <v>0.1166021080693128</v>
      </c>
      <c r="G1977" s="311">
        <v>0.3332845159453095</v>
      </c>
      <c r="H1977" s="311">
        <v>3.8166533928066966E-3</v>
      </c>
      <c r="I1977" s="394">
        <v>4.1255508742137166E-3</v>
      </c>
      <c r="J1977" s="689">
        <v>3.7026604854901996E-4</v>
      </c>
      <c r="K1977" s="690">
        <v>3.8700783623315003E-4</v>
      </c>
    </row>
    <row r="1978" spans="2:11" ht="15.75" x14ac:dyDescent="0.25">
      <c r="B1978" s="667" t="s">
        <v>101</v>
      </c>
      <c r="C1978" s="110">
        <v>2016</v>
      </c>
      <c r="D1978" s="687" t="s">
        <v>318</v>
      </c>
      <c r="E1978" s="688">
        <v>4.257387128202849E-2</v>
      </c>
      <c r="F1978" s="310">
        <v>9.6964641671420604E-2</v>
      </c>
      <c r="G1978" s="311">
        <v>0.28861496204890591</v>
      </c>
      <c r="H1978" s="311">
        <v>3.4809452819321227E-3</v>
      </c>
      <c r="I1978" s="394">
        <v>3.7671054713294206E-3</v>
      </c>
      <c r="J1978" s="689">
        <v>2.8230152492551315E-4</v>
      </c>
      <c r="K1978" s="690">
        <v>2.9506594718818087E-4</v>
      </c>
    </row>
    <row r="1979" spans="2:11" ht="15.75" x14ac:dyDescent="0.25">
      <c r="B1979" s="667" t="s">
        <v>101</v>
      </c>
      <c r="C1979" s="110">
        <v>2017</v>
      </c>
      <c r="D1979" s="687" t="s">
        <v>2760</v>
      </c>
      <c r="E1979" s="688">
        <v>4.1590527903214873E-2</v>
      </c>
      <c r="F1979" s="310">
        <v>8.1189990887444205E-2</v>
      </c>
      <c r="G1979" s="311">
        <v>0.24937616553782346</v>
      </c>
      <c r="H1979" s="311">
        <v>3.2952255085337313E-3</v>
      </c>
      <c r="I1979" s="394">
        <v>3.5682679085922995E-3</v>
      </c>
      <c r="J1979" s="689">
        <v>2.5657907276625667E-4</v>
      </c>
      <c r="K1979" s="690">
        <v>2.6818043988397405E-4</v>
      </c>
    </row>
    <row r="1980" spans="2:11" ht="15.75" x14ac:dyDescent="0.25">
      <c r="B1980" s="667" t="s">
        <v>101</v>
      </c>
      <c r="C1980" s="110">
        <v>2018</v>
      </c>
      <c r="D1980" s="687" t="s">
        <v>2761</v>
      </c>
      <c r="E1980" s="688">
        <v>4.0552146372987319E-2</v>
      </c>
      <c r="F1980" s="310">
        <v>6.6946543232526676E-2</v>
      </c>
      <c r="G1980" s="311">
        <v>0.21436954628917224</v>
      </c>
      <c r="H1980" s="311">
        <v>3.1617524484504281E-3</v>
      </c>
      <c r="I1980" s="394">
        <v>3.4258660341160564E-3</v>
      </c>
      <c r="J1980" s="689">
        <v>2.3532071629528105E-4</v>
      </c>
      <c r="K1980" s="690">
        <v>2.4596087486594069E-4</v>
      </c>
    </row>
    <row r="1981" spans="2:11" ht="15.75" x14ac:dyDescent="0.25">
      <c r="B1981" s="667" t="s">
        <v>101</v>
      </c>
      <c r="C1981" s="110">
        <v>2019</v>
      </c>
      <c r="D1981" s="687" t="s">
        <v>2762</v>
      </c>
      <c r="E1981" s="688">
        <v>3.9473084627638884E-2</v>
      </c>
      <c r="F1981" s="310">
        <v>5.4977012656089987E-2</v>
      </c>
      <c r="G1981" s="311">
        <v>0.18421442213469416</v>
      </c>
      <c r="H1981" s="311">
        <v>3.0549719551146376E-3</v>
      </c>
      <c r="I1981" s="394">
        <v>3.3119006440563386E-3</v>
      </c>
      <c r="J1981" s="689">
        <v>2.1739152914210385E-4</v>
      </c>
      <c r="K1981" s="690">
        <v>2.2722100942928618E-4</v>
      </c>
    </row>
    <row r="1982" spans="2:11" ht="15.75" x14ac:dyDescent="0.25">
      <c r="B1982" s="667" t="s">
        <v>101</v>
      </c>
      <c r="C1982" s="110">
        <v>2020</v>
      </c>
      <c r="D1982" s="687" t="s">
        <v>2763</v>
      </c>
      <c r="E1982" s="688">
        <v>3.8367794449331763E-2</v>
      </c>
      <c r="F1982" s="310">
        <v>4.6423707213046367E-2</v>
      </c>
      <c r="G1982" s="311">
        <v>0.15896880388322973</v>
      </c>
      <c r="H1982" s="311">
        <v>2.919467802042967E-3</v>
      </c>
      <c r="I1982" s="394">
        <v>3.1656302583124903E-3</v>
      </c>
      <c r="J1982" s="689">
        <v>2.0272014110532966E-4</v>
      </c>
      <c r="K1982" s="690">
        <v>2.1188624632880937E-4</v>
      </c>
    </row>
    <row r="1983" spans="2:11" ht="15.75" x14ac:dyDescent="0.25">
      <c r="B1983" s="667" t="s">
        <v>101</v>
      </c>
      <c r="C1983" s="110">
        <v>2021</v>
      </c>
      <c r="D1983" s="687" t="s">
        <v>2764</v>
      </c>
      <c r="E1983" s="688">
        <v>3.724667538447439E-2</v>
      </c>
      <c r="F1983" s="310">
        <v>3.9310343059509395E-2</v>
      </c>
      <c r="G1983" s="311">
        <v>0.1369772400513696</v>
      </c>
      <c r="H1983" s="311">
        <v>2.7330031225492038E-3</v>
      </c>
      <c r="I1983" s="394">
        <v>2.9638309748964311E-3</v>
      </c>
      <c r="J1983" s="689">
        <v>1.8784128652589446E-4</v>
      </c>
      <c r="K1983" s="690">
        <v>1.9633463596923143E-4</v>
      </c>
    </row>
    <row r="1984" spans="2:11" ht="15.75" x14ac:dyDescent="0.25">
      <c r="B1984" s="667" t="s">
        <v>101</v>
      </c>
      <c r="C1984" s="110">
        <v>2022</v>
      </c>
      <c r="D1984" s="687" t="s">
        <v>2765</v>
      </c>
      <c r="E1984" s="688">
        <v>3.6137980733898012E-2</v>
      </c>
      <c r="F1984" s="310">
        <v>3.3150364881956156E-2</v>
      </c>
      <c r="G1984" s="311">
        <v>0.11854136986694688</v>
      </c>
      <c r="H1984" s="311">
        <v>2.5685288467225836E-3</v>
      </c>
      <c r="I1984" s="394">
        <v>2.7858720950432532E-3</v>
      </c>
      <c r="J1984" s="689">
        <v>1.7458107955503052E-4</v>
      </c>
      <c r="K1984" s="690">
        <v>1.8247486128044216E-4</v>
      </c>
    </row>
    <row r="1985" spans="2:11" ht="15.75" x14ac:dyDescent="0.25">
      <c r="B1985" s="667" t="s">
        <v>101</v>
      </c>
      <c r="C1985" s="110">
        <v>2023</v>
      </c>
      <c r="D1985" s="687" t="s">
        <v>2766</v>
      </c>
      <c r="E1985" s="688">
        <v>3.5035078370107983E-2</v>
      </c>
      <c r="F1985" s="310">
        <v>2.8574666075087882E-2</v>
      </c>
      <c r="G1985" s="311">
        <v>0.10317481470478394</v>
      </c>
      <c r="H1985" s="311">
        <v>2.4213267456766993E-3</v>
      </c>
      <c r="I1985" s="394">
        <v>2.6264029336953748E-3</v>
      </c>
      <c r="J1985" s="689">
        <v>1.6228242625134802E-4</v>
      </c>
      <c r="K1985" s="690">
        <v>1.6962011744883285E-4</v>
      </c>
    </row>
    <row r="1986" spans="2:11" ht="15.75" x14ac:dyDescent="0.25">
      <c r="B1986" s="667" t="s">
        <v>101</v>
      </c>
      <c r="C1986" s="110">
        <v>2024</v>
      </c>
      <c r="D1986" s="687" t="s">
        <v>2767</v>
      </c>
      <c r="E1986" s="688">
        <v>3.3943943824184683E-2</v>
      </c>
      <c r="F1986" s="310">
        <v>2.4689993642698138E-2</v>
      </c>
      <c r="G1986" s="311">
        <v>9.0200769403858544E-2</v>
      </c>
      <c r="H1986" s="311">
        <v>2.2790176095116967E-3</v>
      </c>
      <c r="I1986" s="394">
        <v>2.4727638539925605E-3</v>
      </c>
      <c r="J1986" s="689">
        <v>1.3752430248468528E-4</v>
      </c>
      <c r="K1986" s="690">
        <v>1.4374254118798874E-4</v>
      </c>
    </row>
    <row r="1987" spans="2:11" ht="15.75" x14ac:dyDescent="0.25">
      <c r="B1987" s="667" t="s">
        <v>101</v>
      </c>
      <c r="C1987" s="110">
        <v>2025</v>
      </c>
      <c r="D1987" s="687" t="s">
        <v>2768</v>
      </c>
      <c r="E1987" s="688">
        <v>3.2866756557175983E-2</v>
      </c>
      <c r="F1987" s="310">
        <v>2.149691667906977E-2</v>
      </c>
      <c r="G1987" s="311">
        <v>7.9572616088001313E-2</v>
      </c>
      <c r="H1987" s="311">
        <v>2.1698948406708588E-3</v>
      </c>
      <c r="I1987" s="394">
        <v>2.3545344306050791E-3</v>
      </c>
      <c r="J1987" s="689">
        <v>1.2787828022327213E-4</v>
      </c>
      <c r="K1987" s="690">
        <v>1.3366036860350421E-4</v>
      </c>
    </row>
    <row r="1988" spans="2:11" ht="15.75" x14ac:dyDescent="0.25">
      <c r="B1988" s="667" t="s">
        <v>101</v>
      </c>
      <c r="C1988" s="110">
        <v>2026</v>
      </c>
      <c r="D1988" s="687" t="s">
        <v>2769</v>
      </c>
      <c r="E1988" s="688">
        <v>3.1875274694064037E-2</v>
      </c>
      <c r="F1988" s="310">
        <v>1.8879081016997742E-2</v>
      </c>
      <c r="G1988" s="311">
        <v>7.0921334821351364E-2</v>
      </c>
      <c r="H1988" s="311">
        <v>2.060865380202719E-3</v>
      </c>
      <c r="I1988" s="394">
        <v>2.2366215567980628E-3</v>
      </c>
      <c r="J1988" s="689">
        <v>1.1223766268667071E-4</v>
      </c>
      <c r="K1988" s="690">
        <v>1.1731255174610946E-4</v>
      </c>
    </row>
    <row r="1989" spans="2:11" ht="15.75" x14ac:dyDescent="0.25">
      <c r="B1989" s="667" t="s">
        <v>101</v>
      </c>
      <c r="C1989" s="110">
        <v>2027</v>
      </c>
      <c r="D1989" s="687" t="s">
        <v>2770</v>
      </c>
      <c r="E1989" s="688">
        <v>3.0959282310544064E-2</v>
      </c>
      <c r="F1989" s="310">
        <v>1.6688889728323233E-2</v>
      </c>
      <c r="G1989" s="311">
        <v>6.3605102560694043E-2</v>
      </c>
      <c r="H1989" s="311">
        <v>1.9339049940496277E-3</v>
      </c>
      <c r="I1989" s="394">
        <v>2.0996133439702409E-3</v>
      </c>
      <c r="J1989" s="689">
        <v>8.6955262812413823E-5</v>
      </c>
      <c r="K1989" s="690">
        <v>9.0886993938527237E-5</v>
      </c>
    </row>
    <row r="1990" spans="2:11" ht="15.75" x14ac:dyDescent="0.25">
      <c r="B1990" s="667" t="s">
        <v>101</v>
      </c>
      <c r="C1990" s="110">
        <v>2028</v>
      </c>
      <c r="D1990" s="687" t="s">
        <v>2771</v>
      </c>
      <c r="E1990" s="688">
        <v>3.0126596055859683E-2</v>
      </c>
      <c r="F1990" s="310">
        <v>1.4807058241881972E-2</v>
      </c>
      <c r="G1990" s="311">
        <v>5.7274121641322139E-2</v>
      </c>
      <c r="H1990" s="311">
        <v>1.8066119888742566E-3</v>
      </c>
      <c r="I1990" s="394">
        <v>1.9618119521904584E-3</v>
      </c>
      <c r="J1990" s="689">
        <v>7.1820031960664719E-5</v>
      </c>
      <c r="K1990" s="690">
        <v>7.5067415109254145E-5</v>
      </c>
    </row>
    <row r="1991" spans="2:11" ht="15.75" x14ac:dyDescent="0.25">
      <c r="B1991" s="667" t="s">
        <v>101</v>
      </c>
      <c r="C1991" s="110">
        <v>2029</v>
      </c>
      <c r="D1991" s="687" t="s">
        <v>2772</v>
      </c>
      <c r="E1991" s="688">
        <v>2.9372519404292662E-2</v>
      </c>
      <c r="F1991" s="310">
        <v>1.3167173437967358E-2</v>
      </c>
      <c r="G1991" s="311">
        <v>5.1829298758625089E-2</v>
      </c>
      <c r="H1991" s="311">
        <v>1.6866575963593938E-3</v>
      </c>
      <c r="I1991" s="394">
        <v>1.8318922523210487E-3</v>
      </c>
      <c r="J1991" s="689">
        <v>5.9038012747277158E-5</v>
      </c>
      <c r="K1991" s="690">
        <v>6.1707449706407459E-5</v>
      </c>
    </row>
    <row r="1992" spans="2:11" ht="15.75" x14ac:dyDescent="0.25">
      <c r="B1992" s="667" t="s">
        <v>101</v>
      </c>
      <c r="C1992" s="110">
        <v>2030</v>
      </c>
      <c r="D1992" s="687" t="s">
        <v>2773</v>
      </c>
      <c r="E1992" s="688">
        <v>2.8695255831971179E-2</v>
      </c>
      <c r="F1992" s="310">
        <v>1.1802839823922865E-2</v>
      </c>
      <c r="G1992" s="311">
        <v>4.7225121492992232E-2</v>
      </c>
      <c r="H1992" s="311">
        <v>1.5750175052946949E-3</v>
      </c>
      <c r="I1992" s="394">
        <v>1.710928498635221E-3</v>
      </c>
      <c r="J1992" s="689">
        <v>4.829997845786461E-5</v>
      </c>
      <c r="K1992" s="690">
        <v>5.0483889155749189E-5</v>
      </c>
    </row>
    <row r="1993" spans="2:11" ht="15.75" x14ac:dyDescent="0.25">
      <c r="B1993" s="667" t="s">
        <v>101</v>
      </c>
      <c r="C1993" s="110">
        <v>2031</v>
      </c>
      <c r="D1993" s="687" t="s">
        <v>2774</v>
      </c>
      <c r="E1993" s="688">
        <v>2.8089317206724636E-2</v>
      </c>
      <c r="F1993" s="310">
        <v>1.0547077147433899E-2</v>
      </c>
      <c r="G1993" s="311">
        <v>4.2956135781984775E-2</v>
      </c>
      <c r="H1993" s="311">
        <v>1.4722657366370703E-3</v>
      </c>
      <c r="I1993" s="394">
        <v>1.5993991874235823E-3</v>
      </c>
      <c r="J1993" s="689">
        <v>4.3046673406953783E-5</v>
      </c>
      <c r="K1993" s="690">
        <v>4.4993052961632036E-5</v>
      </c>
    </row>
    <row r="1994" spans="2:11" ht="15.75" x14ac:dyDescent="0.25">
      <c r="B1994" s="667" t="s">
        <v>101</v>
      </c>
      <c r="C1994" s="110">
        <v>2032</v>
      </c>
      <c r="D1994" s="687" t="s">
        <v>2775</v>
      </c>
      <c r="E1994" s="688">
        <v>2.7550543570848653E-2</v>
      </c>
      <c r="F1994" s="310">
        <v>9.4847445631694016E-3</v>
      </c>
      <c r="G1994" s="311">
        <v>3.9498224323590028E-2</v>
      </c>
      <c r="H1994" s="311">
        <v>1.3802191366664412E-3</v>
      </c>
      <c r="I1994" s="394">
        <v>1.4994068211512189E-3</v>
      </c>
      <c r="J1994" s="689">
        <v>4.0292508453082426E-5</v>
      </c>
      <c r="K1994" s="690">
        <v>4.2114356889972582E-5</v>
      </c>
    </row>
    <row r="1995" spans="2:11" ht="15.75" x14ac:dyDescent="0.25">
      <c r="B1995" s="667" t="s">
        <v>101</v>
      </c>
      <c r="C1995" s="110">
        <v>2033</v>
      </c>
      <c r="D1995" s="687" t="s">
        <v>2776</v>
      </c>
      <c r="E1995" s="688">
        <v>2.7075243973388619E-2</v>
      </c>
      <c r="F1995" s="310">
        <v>8.5399227134074496E-3</v>
      </c>
      <c r="G1995" s="311">
        <v>3.6524881580301656E-2</v>
      </c>
      <c r="H1995" s="311">
        <v>1.2943491959143806E-3</v>
      </c>
      <c r="I1995" s="394">
        <v>1.4061200240953131E-3</v>
      </c>
      <c r="J1995" s="689">
        <v>3.7824150075358359E-5</v>
      </c>
      <c r="K1995" s="690">
        <v>3.953439029958597E-5</v>
      </c>
    </row>
    <row r="1996" spans="2:11" ht="15.75" x14ac:dyDescent="0.25">
      <c r="B1996" s="667" t="s">
        <v>101</v>
      </c>
      <c r="C1996" s="110">
        <v>2034</v>
      </c>
      <c r="D1996" s="687" t="s">
        <v>2777</v>
      </c>
      <c r="E1996" s="688">
        <v>2.6656874376713338E-2</v>
      </c>
      <c r="F1996" s="310">
        <v>7.7144814949257189E-3</v>
      </c>
      <c r="G1996" s="311">
        <v>3.4007081864152251E-2</v>
      </c>
      <c r="H1996" s="311">
        <v>1.2153150364425402E-3</v>
      </c>
      <c r="I1996" s="394">
        <v>1.320258162679806E-3</v>
      </c>
      <c r="J1996" s="689">
        <v>3.5582341569859202E-5</v>
      </c>
      <c r="K1996" s="690">
        <v>3.7191217161346004E-5</v>
      </c>
    </row>
    <row r="1997" spans="2:11" ht="15.75" x14ac:dyDescent="0.25">
      <c r="B1997" s="667" t="s">
        <v>101</v>
      </c>
      <c r="C1997" s="110">
        <v>2035</v>
      </c>
      <c r="D1997" s="687" t="s">
        <v>2778</v>
      </c>
      <c r="E1997" s="688">
        <v>2.6291777041762821E-2</v>
      </c>
      <c r="F1997" s="310">
        <v>7.0009090287262666E-3</v>
      </c>
      <c r="G1997" s="311">
        <v>3.198103642134062E-2</v>
      </c>
      <c r="H1997" s="311">
        <v>1.1429908651205978E-3</v>
      </c>
      <c r="I1997" s="394">
        <v>1.2416832202260819E-3</v>
      </c>
      <c r="J1997" s="689">
        <v>3.3595523116881463E-5</v>
      </c>
      <c r="K1997" s="690">
        <v>3.5114563594300965E-5</v>
      </c>
    </row>
    <row r="1998" spans="2:11" ht="15.75" x14ac:dyDescent="0.25">
      <c r="B1998" s="667" t="s">
        <v>101</v>
      </c>
      <c r="C1998" s="110">
        <v>2036</v>
      </c>
      <c r="D1998" s="687" t="s">
        <v>2779</v>
      </c>
      <c r="E1998" s="688">
        <v>2.5975325315322789E-2</v>
      </c>
      <c r="F1998" s="310">
        <v>6.3502364570813524E-3</v>
      </c>
      <c r="G1998" s="311">
        <v>3.0164102189391834E-2</v>
      </c>
      <c r="H1998" s="311">
        <v>1.0805382560639429E-3</v>
      </c>
      <c r="I1998" s="394">
        <v>1.1738384260358652E-3</v>
      </c>
      <c r="J1998" s="689">
        <v>3.175209800211464E-5</v>
      </c>
      <c r="K1998" s="690">
        <v>3.3187786975922159E-5</v>
      </c>
    </row>
    <row r="1999" spans="2:11" ht="15.75" x14ac:dyDescent="0.25">
      <c r="B1999" s="667" t="s">
        <v>101</v>
      </c>
      <c r="C1999" s="110">
        <v>2037</v>
      </c>
      <c r="D1999" s="687" t="s">
        <v>2780</v>
      </c>
      <c r="E1999" s="688">
        <v>2.5704530080452034E-2</v>
      </c>
      <c r="F1999" s="310">
        <v>5.8060989279809985E-3</v>
      </c>
      <c r="G1999" s="311">
        <v>2.868015142025972E-2</v>
      </c>
      <c r="H1999" s="311">
        <v>1.0249607921368308E-3</v>
      </c>
      <c r="I1999" s="394">
        <v>1.1134612997339257E-3</v>
      </c>
      <c r="J1999" s="689">
        <v>3.0137099540432479E-5</v>
      </c>
      <c r="K1999" s="690">
        <v>3.1499765450252239E-5</v>
      </c>
    </row>
    <row r="2000" spans="2:11" ht="15.75" x14ac:dyDescent="0.25">
      <c r="B2000" s="667" t="s">
        <v>101</v>
      </c>
      <c r="C2000" s="110">
        <v>2038</v>
      </c>
      <c r="D2000" s="687" t="s">
        <v>2781</v>
      </c>
      <c r="E2000" s="688">
        <v>2.5473747003941224E-2</v>
      </c>
      <c r="F2000" s="310">
        <v>5.3063129801699752E-3</v>
      </c>
      <c r="G2000" s="311">
        <v>2.7328063318977108E-2</v>
      </c>
      <c r="H2000" s="311">
        <v>9.7494773514090951E-4</v>
      </c>
      <c r="I2000" s="394">
        <v>1.0591273629829416E-3</v>
      </c>
      <c r="J2000" s="689">
        <v>2.8725299904571982E-5</v>
      </c>
      <c r="K2000" s="690">
        <v>3.0024130499626255E-5</v>
      </c>
    </row>
    <row r="2001" spans="2:11" ht="15.75" x14ac:dyDescent="0.25">
      <c r="B2001" s="667" t="s">
        <v>101</v>
      </c>
      <c r="C2001" s="110">
        <v>2039</v>
      </c>
      <c r="D2001" s="687" t="s">
        <v>2782</v>
      </c>
      <c r="E2001" s="688">
        <v>2.5277046094323994E-2</v>
      </c>
      <c r="F2001" s="310">
        <v>4.823319340209054E-3</v>
      </c>
      <c r="G2001" s="311">
        <v>2.6021307949532686E-2</v>
      </c>
      <c r="H2001" s="311">
        <v>9.298985284954403E-4</v>
      </c>
      <c r="I2001" s="394">
        <v>1.0101864906277955E-3</v>
      </c>
      <c r="J2001" s="689">
        <v>2.7445079668802248E-5</v>
      </c>
      <c r="K2001" s="690">
        <v>2.8686024385688113E-5</v>
      </c>
    </row>
    <row r="2002" spans="2:11" ht="15.75" x14ac:dyDescent="0.25">
      <c r="B2002" s="667" t="s">
        <v>101</v>
      </c>
      <c r="C2002" s="110">
        <v>2040</v>
      </c>
      <c r="D2002" s="687" t="s">
        <v>2783</v>
      </c>
      <c r="E2002" s="688">
        <v>2.5111235090449747E-2</v>
      </c>
      <c r="F2002" s="310">
        <v>4.3770229063005281E-3</v>
      </c>
      <c r="G2002" s="311">
        <v>2.4904286951138378E-2</v>
      </c>
      <c r="H2002" s="311">
        <v>8.8962572848502784E-4</v>
      </c>
      <c r="I2002" s="394">
        <v>9.6642904506323037E-4</v>
      </c>
      <c r="J2002" s="689">
        <v>2.643273074564327E-5</v>
      </c>
      <c r="K2002" s="690">
        <v>2.762790153645574E-5</v>
      </c>
    </row>
    <row r="2003" spans="2:11" ht="15.75" x14ac:dyDescent="0.25">
      <c r="B2003" s="667" t="s">
        <v>101</v>
      </c>
      <c r="C2003" s="110">
        <v>2041</v>
      </c>
      <c r="D2003" s="687" t="s">
        <v>2784</v>
      </c>
      <c r="E2003" s="688">
        <v>2.497344636290718E-2</v>
      </c>
      <c r="F2003" s="310">
        <v>4.0557881458280791E-3</v>
      </c>
      <c r="G2003" s="311">
        <v>2.4108278320298718E-2</v>
      </c>
      <c r="H2003" s="311">
        <v>8.5972663776489276E-4</v>
      </c>
      <c r="I2003" s="394">
        <v>9.3394939242987093E-4</v>
      </c>
      <c r="J2003" s="689">
        <v>2.5528048023353852E-5</v>
      </c>
      <c r="K2003" s="690">
        <v>2.6682313075934473E-5</v>
      </c>
    </row>
    <row r="2004" spans="2:11" ht="15.75" x14ac:dyDescent="0.25">
      <c r="B2004" s="667" t="s">
        <v>101</v>
      </c>
      <c r="C2004" s="110">
        <v>2042</v>
      </c>
      <c r="D2004" s="687" t="s">
        <v>2785</v>
      </c>
      <c r="E2004" s="688">
        <v>2.4858328576746653E-2</v>
      </c>
      <c r="F2004" s="310">
        <v>3.7682578563175235E-3</v>
      </c>
      <c r="G2004" s="311">
        <v>2.3337347215895771E-2</v>
      </c>
      <c r="H2004" s="311">
        <v>8.3360629606758871E-4</v>
      </c>
      <c r="I2004" s="394">
        <v>9.0557514970141624E-4</v>
      </c>
      <c r="J2004" s="689">
        <v>2.4725415202479987E-5</v>
      </c>
      <c r="K2004" s="690">
        <v>2.5843388760531149E-5</v>
      </c>
    </row>
    <row r="2005" spans="2:11" ht="15.75" x14ac:dyDescent="0.25">
      <c r="B2005" s="667" t="s">
        <v>101</v>
      </c>
      <c r="C2005" s="110">
        <v>2043</v>
      </c>
      <c r="D2005" s="687" t="s">
        <v>2786</v>
      </c>
      <c r="E2005" s="688">
        <v>2.4762399659715568E-2</v>
      </c>
      <c r="F2005" s="310">
        <v>3.5560496006030538E-3</v>
      </c>
      <c r="G2005" s="311">
        <v>2.2770946247134931E-2</v>
      </c>
      <c r="H2005" s="311">
        <v>8.1130125148777391E-4</v>
      </c>
      <c r="I2005" s="394">
        <v>8.8134000095154634E-4</v>
      </c>
      <c r="J2005" s="689">
        <v>2.416796424414828E-5</v>
      </c>
      <c r="K2005" s="690">
        <v>2.5260732343515643E-5</v>
      </c>
    </row>
    <row r="2006" spans="2:11" ht="15.75" x14ac:dyDescent="0.25">
      <c r="B2006" s="667" t="s">
        <v>101</v>
      </c>
      <c r="C2006" s="110">
        <v>2044</v>
      </c>
      <c r="D2006" s="687" t="s">
        <v>2787</v>
      </c>
      <c r="E2006" s="688">
        <v>2.4682143981996488E-2</v>
      </c>
      <c r="F2006" s="310">
        <v>3.4095114336768402E-3</v>
      </c>
      <c r="G2006" s="311">
        <v>2.2359032160971515E-2</v>
      </c>
      <c r="H2006" s="311">
        <v>7.9225840879593396E-4</v>
      </c>
      <c r="I2006" s="394">
        <v>8.6065047235471981E-4</v>
      </c>
      <c r="J2006" s="689">
        <v>2.3665309961174608E-5</v>
      </c>
      <c r="K2006" s="690">
        <v>2.4735350264361253E-5</v>
      </c>
    </row>
    <row r="2007" spans="2:11" ht="15.75" x14ac:dyDescent="0.25">
      <c r="B2007" s="667" t="s">
        <v>101</v>
      </c>
      <c r="C2007" s="110">
        <v>2045</v>
      </c>
      <c r="D2007" s="687" t="s">
        <v>2788</v>
      </c>
      <c r="E2007" s="688">
        <v>2.4613220513787854E-2</v>
      </c>
      <c r="F2007" s="310">
        <v>3.3140777427187748E-3</v>
      </c>
      <c r="G2007" s="311">
        <v>2.2082854068835457E-2</v>
      </c>
      <c r="H2007" s="311">
        <v>7.7594037187706595E-4</v>
      </c>
      <c r="I2007" s="394">
        <v>8.4292163463044645E-4</v>
      </c>
      <c r="J2007" s="689">
        <v>2.3228354195149934E-5</v>
      </c>
      <c r="K2007" s="690">
        <v>2.4278637297559418E-5</v>
      </c>
    </row>
    <row r="2008" spans="2:11" ht="15.75" x14ac:dyDescent="0.25">
      <c r="B2008" s="667" t="s">
        <v>101</v>
      </c>
      <c r="C2008" s="110">
        <v>2046</v>
      </c>
      <c r="D2008" s="687" t="s">
        <v>2789</v>
      </c>
      <c r="E2008" s="688">
        <v>2.4554916707836383E-2</v>
      </c>
      <c r="F2008" s="310">
        <v>3.2328538839995636E-3</v>
      </c>
      <c r="G2008" s="311">
        <v>2.186025820003586E-2</v>
      </c>
      <c r="H2008" s="311">
        <v>7.6216622660459045E-4</v>
      </c>
      <c r="I2008" s="394">
        <v>8.2796083680494379E-4</v>
      </c>
      <c r="J2008" s="689">
        <v>2.276011571059099E-5</v>
      </c>
      <c r="K2008" s="690">
        <v>2.3789227146506284E-5</v>
      </c>
    </row>
    <row r="2009" spans="2:11" ht="15.75" x14ac:dyDescent="0.25">
      <c r="B2009" s="667" t="s">
        <v>101</v>
      </c>
      <c r="C2009" s="110">
        <v>2047</v>
      </c>
      <c r="D2009" s="687" t="s">
        <v>2790</v>
      </c>
      <c r="E2009" s="688">
        <v>2.4505466793558209E-2</v>
      </c>
      <c r="F2009" s="310">
        <v>3.1601679672312913E-3</v>
      </c>
      <c r="G2009" s="311">
        <v>2.1654678084410548E-2</v>
      </c>
      <c r="H2009" s="311">
        <v>7.5077740573421142E-4</v>
      </c>
      <c r="I2009" s="394">
        <v>8.1558574244819631E-4</v>
      </c>
      <c r="J2009" s="689">
        <v>2.2493749100506465E-5</v>
      </c>
      <c r="K2009" s="690">
        <v>2.3510816620298039E-5</v>
      </c>
    </row>
    <row r="2010" spans="2:11" ht="15.75" x14ac:dyDescent="0.25">
      <c r="B2010" s="667" t="s">
        <v>101</v>
      </c>
      <c r="C2010" s="110">
        <v>2048</v>
      </c>
      <c r="D2010" s="687" t="s">
        <v>2791</v>
      </c>
      <c r="E2010" s="688">
        <v>2.4463820713236811E-2</v>
      </c>
      <c r="F2010" s="310">
        <v>3.1016816097298107E-3</v>
      </c>
      <c r="G2010" s="311">
        <v>2.1483865201566768E-2</v>
      </c>
      <c r="H2010" s="311">
        <v>7.4122622083012837E-4</v>
      </c>
      <c r="I2010" s="394">
        <v>8.0520932945406286E-4</v>
      </c>
      <c r="J2010" s="689">
        <v>2.2225386492828157E-5</v>
      </c>
      <c r="K2010" s="690">
        <v>2.3230319846341943E-5</v>
      </c>
    </row>
    <row r="2011" spans="2:11" ht="15.75" x14ac:dyDescent="0.25">
      <c r="B2011" s="667" t="s">
        <v>101</v>
      </c>
      <c r="C2011" s="110">
        <v>2049</v>
      </c>
      <c r="D2011" s="687" t="s">
        <v>2792</v>
      </c>
      <c r="E2011" s="688">
        <v>2.4428452259699116E-2</v>
      </c>
      <c r="F2011" s="310">
        <v>3.0807479582040595E-3</v>
      </c>
      <c r="G2011" s="311">
        <v>2.1485534706044512E-2</v>
      </c>
      <c r="H2011" s="311">
        <v>7.3528161348229465E-4</v>
      </c>
      <c r="I2011" s="394">
        <v>7.9875271260479008E-4</v>
      </c>
      <c r="J2011" s="689">
        <v>2.2020409651758586E-5</v>
      </c>
      <c r="K2011" s="690">
        <v>2.3016074862090483E-5</v>
      </c>
    </row>
    <row r="2012" spans="2:11" ht="15.75" x14ac:dyDescent="0.25">
      <c r="B2012" s="667" t="s">
        <v>101</v>
      </c>
      <c r="C2012" s="110">
        <v>2050</v>
      </c>
      <c r="D2012" s="687" t="s">
        <v>2793</v>
      </c>
      <c r="E2012" s="688">
        <v>2.4399608100783305E-2</v>
      </c>
      <c r="F2012" s="310">
        <v>3.0635234846512877E-3</v>
      </c>
      <c r="G2012" s="311">
        <v>2.148642888231626E-2</v>
      </c>
      <c r="H2012" s="311">
        <v>7.3031562905454634E-4</v>
      </c>
      <c r="I2012" s="394">
        <v>7.9336461165818034E-4</v>
      </c>
      <c r="J2012" s="689">
        <v>2.1716928507657032E-5</v>
      </c>
      <c r="K2012" s="690">
        <v>2.2698871647330254E-5</v>
      </c>
    </row>
    <row r="2013" spans="2:11" ht="15.75" x14ac:dyDescent="0.25">
      <c r="B2013" s="667" t="s">
        <v>102</v>
      </c>
      <c r="C2013" s="110">
        <v>2015</v>
      </c>
      <c r="D2013" s="687" t="s">
        <v>319</v>
      </c>
      <c r="E2013" s="688">
        <v>4.0947770089689875E-2</v>
      </c>
      <c r="F2013" s="310">
        <v>5.9815432091944065E-2</v>
      </c>
      <c r="G2013" s="311">
        <v>0.24202385760038106</v>
      </c>
      <c r="H2013" s="311">
        <v>1.8770109333771496E-3</v>
      </c>
      <c r="I2013" s="394">
        <v>2.0312338488494308E-3</v>
      </c>
      <c r="J2013" s="689">
        <v>1.2461239598336184E-4</v>
      </c>
      <c r="K2013" s="690">
        <v>1.3024681557041167E-4</v>
      </c>
    </row>
    <row r="2014" spans="2:11" ht="15.75" x14ac:dyDescent="0.25">
      <c r="B2014" s="667" t="s">
        <v>102</v>
      </c>
      <c r="C2014" s="110">
        <v>2016</v>
      </c>
      <c r="D2014" s="687" t="s">
        <v>320</v>
      </c>
      <c r="E2014" s="688">
        <v>4.0031575126183216E-2</v>
      </c>
      <c r="F2014" s="310">
        <v>4.9932125851037387E-2</v>
      </c>
      <c r="G2014" s="311">
        <v>0.20708309227350497</v>
      </c>
      <c r="H2014" s="311">
        <v>1.7454248610920952E-3</v>
      </c>
      <c r="I2014" s="394">
        <v>1.8898818055613231E-3</v>
      </c>
      <c r="J2014" s="689">
        <v>1.1439788696525252E-4</v>
      </c>
      <c r="K2014" s="690">
        <v>1.1957045178071621E-4</v>
      </c>
    </row>
    <row r="2015" spans="2:11" ht="15.75" x14ac:dyDescent="0.25">
      <c r="B2015" s="667" t="s">
        <v>102</v>
      </c>
      <c r="C2015" s="110">
        <v>2017</v>
      </c>
      <c r="D2015" s="687" t="s">
        <v>2794</v>
      </c>
      <c r="E2015" s="688">
        <v>3.9209546420441159E-2</v>
      </c>
      <c r="F2015" s="310">
        <v>4.1114496618404266E-2</v>
      </c>
      <c r="G2015" s="311">
        <v>0.17632078402642598</v>
      </c>
      <c r="H2015" s="311">
        <v>1.6536781551371048E-3</v>
      </c>
      <c r="I2015" s="394">
        <v>1.7917453364190347E-3</v>
      </c>
      <c r="J2015" s="689">
        <v>1.0408252654257568E-4</v>
      </c>
      <c r="K2015" s="690">
        <v>1.0878867653345967E-4</v>
      </c>
    </row>
    <row r="2016" spans="2:11" ht="15.75" x14ac:dyDescent="0.25">
      <c r="B2016" s="667" t="s">
        <v>102</v>
      </c>
      <c r="C2016" s="110">
        <v>2018</v>
      </c>
      <c r="D2016" s="687" t="s">
        <v>2795</v>
      </c>
      <c r="E2016" s="688">
        <v>3.8338075934885467E-2</v>
      </c>
      <c r="F2016" s="310">
        <v>3.3599298850251494E-2</v>
      </c>
      <c r="G2016" s="311">
        <v>0.14936189726918492</v>
      </c>
      <c r="H2016" s="311">
        <v>1.5914823276656812E-3</v>
      </c>
      <c r="I2016" s="394">
        <v>1.7254111701165706E-3</v>
      </c>
      <c r="J2016" s="689">
        <v>9.5298541156514045E-5</v>
      </c>
      <c r="K2016" s="690">
        <v>9.960751830659847E-5</v>
      </c>
    </row>
    <row r="2017" spans="2:11" ht="15.75" x14ac:dyDescent="0.25">
      <c r="B2017" s="667" t="s">
        <v>102</v>
      </c>
      <c r="C2017" s="110">
        <v>2019</v>
      </c>
      <c r="D2017" s="687" t="s">
        <v>2796</v>
      </c>
      <c r="E2017" s="688">
        <v>3.7425958261989058E-2</v>
      </c>
      <c r="F2017" s="310">
        <v>2.7436340152695509E-2</v>
      </c>
      <c r="G2017" s="311">
        <v>0.12688564195900034</v>
      </c>
      <c r="H2017" s="311">
        <v>1.5501633061126173E-3</v>
      </c>
      <c r="I2017" s="394">
        <v>1.6815533652459369E-3</v>
      </c>
      <c r="J2017" s="689">
        <v>8.6284411745096341E-5</v>
      </c>
      <c r="K2017" s="690">
        <v>9.0185809962803226E-5</v>
      </c>
    </row>
    <row r="2018" spans="2:11" ht="15.75" x14ac:dyDescent="0.25">
      <c r="B2018" s="667" t="s">
        <v>102</v>
      </c>
      <c r="C2018" s="110">
        <v>2020</v>
      </c>
      <c r="D2018" s="687" t="s">
        <v>2797</v>
      </c>
      <c r="E2018" s="688">
        <v>3.6494280112553817E-2</v>
      </c>
      <c r="F2018" s="310">
        <v>2.2810600508331287E-2</v>
      </c>
      <c r="G2018" s="311">
        <v>0.10830929889711298</v>
      </c>
      <c r="H2018" s="311">
        <v>1.4981646256565847E-3</v>
      </c>
      <c r="I2018" s="394">
        <v>1.625567661831479E-3</v>
      </c>
      <c r="J2018" s="689">
        <v>7.9858492919729658E-5</v>
      </c>
      <c r="K2018" s="690">
        <v>8.3469339602745783E-5</v>
      </c>
    </row>
    <row r="2019" spans="2:11" ht="15.75" x14ac:dyDescent="0.25">
      <c r="B2019" s="667" t="s">
        <v>102</v>
      </c>
      <c r="C2019" s="110">
        <v>2021</v>
      </c>
      <c r="D2019" s="687" t="s">
        <v>2798</v>
      </c>
      <c r="E2019" s="688">
        <v>3.5549094008671379E-2</v>
      </c>
      <c r="F2019" s="310">
        <v>1.9357917107258649E-2</v>
      </c>
      <c r="G2019" s="311">
        <v>9.2921484261823853E-2</v>
      </c>
      <c r="H2019" s="311">
        <v>1.4250198250382769E-3</v>
      </c>
      <c r="I2019" s="394">
        <v>1.5463962186202807E-3</v>
      </c>
      <c r="J2019" s="689">
        <v>7.3882782884067478E-5</v>
      </c>
      <c r="K2019" s="690">
        <v>7.7223434476091581E-5</v>
      </c>
    </row>
    <row r="2020" spans="2:11" ht="15.75" x14ac:dyDescent="0.25">
      <c r="B2020" s="667" t="s">
        <v>102</v>
      </c>
      <c r="C2020" s="110">
        <v>2022</v>
      </c>
      <c r="D2020" s="687" t="s">
        <v>2799</v>
      </c>
      <c r="E2020" s="688">
        <v>3.4621126214105187E-2</v>
      </c>
      <c r="F2020" s="310">
        <v>1.6004055207707011E-2</v>
      </c>
      <c r="G2020" s="311">
        <v>7.9286311845317717E-2</v>
      </c>
      <c r="H2020" s="311">
        <v>1.3513562532041256E-3</v>
      </c>
      <c r="I2020" s="394">
        <v>1.4667715029514439E-3</v>
      </c>
      <c r="J2020" s="689">
        <v>6.7713212907800907E-5</v>
      </c>
      <c r="K2020" s="690">
        <v>7.0774903922559521E-5</v>
      </c>
    </row>
    <row r="2021" spans="2:11" ht="15.75" x14ac:dyDescent="0.25">
      <c r="B2021" s="667" t="s">
        <v>102</v>
      </c>
      <c r="C2021" s="110">
        <v>2023</v>
      </c>
      <c r="D2021" s="687" t="s">
        <v>2800</v>
      </c>
      <c r="E2021" s="688">
        <v>3.3696779048722439E-2</v>
      </c>
      <c r="F2021" s="310">
        <v>1.3698912660700308E-2</v>
      </c>
      <c r="G2021" s="311">
        <v>6.8478677035673702E-2</v>
      </c>
      <c r="H2021" s="311">
        <v>1.2864257585795834E-3</v>
      </c>
      <c r="I2021" s="394">
        <v>1.3964074405623085E-3</v>
      </c>
      <c r="J2021" s="689">
        <v>6.262689070172408E-5</v>
      </c>
      <c r="K2021" s="690">
        <v>6.5458600796544427E-5</v>
      </c>
    </row>
    <row r="2022" spans="2:11" ht="15.75" x14ac:dyDescent="0.25">
      <c r="B2022" s="667" t="s">
        <v>102</v>
      </c>
      <c r="C2022" s="110">
        <v>2024</v>
      </c>
      <c r="D2022" s="687" t="s">
        <v>2801</v>
      </c>
      <c r="E2022" s="688">
        <v>3.2777362340350981E-2</v>
      </c>
      <c r="F2022" s="310">
        <v>1.1786186016122725E-2</v>
      </c>
      <c r="G2022" s="311">
        <v>5.9486497804692472E-2</v>
      </c>
      <c r="H2022" s="311">
        <v>1.2277780895310435E-3</v>
      </c>
      <c r="I2022" s="394">
        <v>1.3329635191910384E-3</v>
      </c>
      <c r="J2022" s="689">
        <v>5.5303344833019258E-5</v>
      </c>
      <c r="K2022" s="690">
        <v>5.7803916681410265E-5</v>
      </c>
    </row>
    <row r="2023" spans="2:11" ht="15.75" x14ac:dyDescent="0.25">
      <c r="B2023" s="667" t="s">
        <v>102</v>
      </c>
      <c r="C2023" s="110">
        <v>2025</v>
      </c>
      <c r="D2023" s="687" t="s">
        <v>2802</v>
      </c>
      <c r="E2023" s="688">
        <v>3.1857678564620205E-2</v>
      </c>
      <c r="F2023" s="310">
        <v>1.0224485558616063E-2</v>
      </c>
      <c r="G2023" s="311">
        <v>5.2282420750166196E-2</v>
      </c>
      <c r="H2023" s="311">
        <v>1.178759413068784E-3</v>
      </c>
      <c r="I2023" s="394">
        <v>1.2798834613088775E-3</v>
      </c>
      <c r="J2023" s="689">
        <v>5.0108879457752813E-5</v>
      </c>
      <c r="K2023" s="690">
        <v>5.2374580631972932E-5</v>
      </c>
    </row>
    <row r="2024" spans="2:11" ht="15.75" x14ac:dyDescent="0.25">
      <c r="B2024" s="667" t="s">
        <v>102</v>
      </c>
      <c r="C2024" s="110">
        <v>2026</v>
      </c>
      <c r="D2024" s="687" t="s">
        <v>2803</v>
      </c>
      <c r="E2024" s="688">
        <v>3.106768122813346E-2</v>
      </c>
      <c r="F2024" s="310">
        <v>8.9150425163856909E-3</v>
      </c>
      <c r="G2024" s="311">
        <v>4.632141697872532E-2</v>
      </c>
      <c r="H2024" s="311">
        <v>1.1241028677264756E-3</v>
      </c>
      <c r="I2024" s="394">
        <v>1.2206300004815518E-3</v>
      </c>
      <c r="J2024" s="689">
        <v>4.5637572055499681E-5</v>
      </c>
      <c r="K2024" s="690">
        <v>4.7701100550122735E-5</v>
      </c>
    </row>
    <row r="2025" spans="2:11" ht="15.75" x14ac:dyDescent="0.25">
      <c r="B2025" s="667" t="s">
        <v>102</v>
      </c>
      <c r="C2025" s="110">
        <v>2027</v>
      </c>
      <c r="D2025" s="687" t="s">
        <v>2804</v>
      </c>
      <c r="E2025" s="688">
        <v>3.0369748300211802E-2</v>
      </c>
      <c r="F2025" s="310">
        <v>7.8517304451950834E-3</v>
      </c>
      <c r="G2025" s="311">
        <v>4.1518324725910473E-2</v>
      </c>
      <c r="H2025" s="311">
        <v>1.0675561938867778E-3</v>
      </c>
      <c r="I2025" s="394">
        <v>1.1594146105788315E-3</v>
      </c>
      <c r="J2025" s="689">
        <v>3.8941088403888998E-5</v>
      </c>
      <c r="K2025" s="690">
        <v>4.0701831622992342E-5</v>
      </c>
    </row>
    <row r="2026" spans="2:11" ht="15.75" x14ac:dyDescent="0.25">
      <c r="B2026" s="667" t="s">
        <v>102</v>
      </c>
      <c r="C2026" s="110">
        <v>2028</v>
      </c>
      <c r="D2026" s="687" t="s">
        <v>2805</v>
      </c>
      <c r="E2026" s="688">
        <v>2.9747810690274351E-2</v>
      </c>
      <c r="F2026" s="310">
        <v>6.9837968927963729E-3</v>
      </c>
      <c r="G2026" s="311">
        <v>3.7614143278998043E-2</v>
      </c>
      <c r="H2026" s="311">
        <v>1.0076228626371571E-3</v>
      </c>
      <c r="I2026" s="394">
        <v>1.0944090694765725E-3</v>
      </c>
      <c r="J2026" s="689">
        <v>3.4754134745098454E-5</v>
      </c>
      <c r="K2026" s="690">
        <v>3.6325562499082945E-5</v>
      </c>
    </row>
    <row r="2027" spans="2:11" ht="15.75" x14ac:dyDescent="0.25">
      <c r="B2027" s="667" t="s">
        <v>102</v>
      </c>
      <c r="C2027" s="110">
        <v>2029</v>
      </c>
      <c r="D2027" s="687" t="s">
        <v>2806</v>
      </c>
      <c r="E2027" s="688">
        <v>2.9193671001985201E-2</v>
      </c>
      <c r="F2027" s="310">
        <v>6.2275483023510637E-3</v>
      </c>
      <c r="G2027" s="311">
        <v>3.4296024744845471E-2</v>
      </c>
      <c r="H2027" s="311">
        <v>9.4830847173413746E-4</v>
      </c>
      <c r="I2027" s="394">
        <v>1.0300526215254759E-3</v>
      </c>
      <c r="J2027" s="689">
        <v>3.1134981989837404E-5</v>
      </c>
      <c r="K2027" s="690">
        <v>3.2542767715981466E-5</v>
      </c>
    </row>
    <row r="2028" spans="2:11" ht="15.75" x14ac:dyDescent="0.25">
      <c r="B2028" s="667" t="s">
        <v>102</v>
      </c>
      <c r="C2028" s="110">
        <v>2030</v>
      </c>
      <c r="D2028" s="687" t="s">
        <v>2807</v>
      </c>
      <c r="E2028" s="688">
        <v>2.8702431983227257E-2</v>
      </c>
      <c r="F2028" s="310">
        <v>5.5977654977547994E-3</v>
      </c>
      <c r="G2028" s="311">
        <v>3.156050322131617E-2</v>
      </c>
      <c r="H2028" s="311">
        <v>8.9219077605729097E-4</v>
      </c>
      <c r="I2028" s="394">
        <v>9.6912013090450486E-4</v>
      </c>
      <c r="J2028" s="689">
        <v>2.8760420464913052E-5</v>
      </c>
      <c r="K2028" s="690">
        <v>3.0060839055860724E-5</v>
      </c>
    </row>
    <row r="2029" spans="2:11" ht="15.75" x14ac:dyDescent="0.25">
      <c r="B2029" s="667" t="s">
        <v>102</v>
      </c>
      <c r="C2029" s="110">
        <v>2031</v>
      </c>
      <c r="D2029" s="687" t="s">
        <v>2808</v>
      </c>
      <c r="E2029" s="688">
        <v>2.8266613669873639E-2</v>
      </c>
      <c r="F2029" s="310">
        <v>5.0493181124319098E-3</v>
      </c>
      <c r="G2029" s="311">
        <v>2.9217327516955462E-2</v>
      </c>
      <c r="H2029" s="311">
        <v>8.3887003100956755E-4</v>
      </c>
      <c r="I2029" s="394">
        <v>9.1119957328174804E-4</v>
      </c>
      <c r="J2029" s="689">
        <v>2.7093953969504499E-5</v>
      </c>
      <c r="K2029" s="690">
        <v>2.8319022340365368E-5</v>
      </c>
    </row>
    <row r="2030" spans="2:11" ht="15.75" x14ac:dyDescent="0.25">
      <c r="B2030" s="667" t="s">
        <v>102</v>
      </c>
      <c r="C2030" s="110">
        <v>2032</v>
      </c>
      <c r="D2030" s="687" t="s">
        <v>2809</v>
      </c>
      <c r="E2030" s="688">
        <v>2.7881544317124612E-2</v>
      </c>
      <c r="F2030" s="310">
        <v>4.5766326914688776E-3</v>
      </c>
      <c r="G2030" s="311">
        <v>2.7287274693400448E-2</v>
      </c>
      <c r="H2030" s="311">
        <v>7.884341647559841E-4</v>
      </c>
      <c r="I2030" s="394">
        <v>8.564170796888606E-4</v>
      </c>
      <c r="J2030" s="689">
        <v>2.541580335730219E-5</v>
      </c>
      <c r="K2030" s="690">
        <v>2.6564993204162331E-5</v>
      </c>
    </row>
    <row r="2031" spans="2:11" ht="15.75" x14ac:dyDescent="0.25">
      <c r="B2031" s="667" t="s">
        <v>102</v>
      </c>
      <c r="C2031" s="110">
        <v>2033</v>
      </c>
      <c r="D2031" s="687" t="s">
        <v>2810</v>
      </c>
      <c r="E2031" s="688">
        <v>2.7543354267010222E-2</v>
      </c>
      <c r="F2031" s="310">
        <v>4.1596448155050885E-3</v>
      </c>
      <c r="G2031" s="311">
        <v>2.5634856225830043E-2</v>
      </c>
      <c r="H2031" s="311">
        <v>7.4104648504776842E-4</v>
      </c>
      <c r="I2031" s="394">
        <v>8.0493396748085961E-4</v>
      </c>
      <c r="J2031" s="689">
        <v>2.4110498751128167E-5</v>
      </c>
      <c r="K2031" s="690">
        <v>2.5200668515900568E-5</v>
      </c>
    </row>
    <row r="2032" spans="2:11" ht="15.75" x14ac:dyDescent="0.25">
      <c r="B2032" s="667" t="s">
        <v>102</v>
      </c>
      <c r="C2032" s="110">
        <v>2034</v>
      </c>
      <c r="D2032" s="687" t="s">
        <v>2811</v>
      </c>
      <c r="E2032" s="688">
        <v>2.724707786156497E-2</v>
      </c>
      <c r="F2032" s="310">
        <v>3.7896213403570797E-3</v>
      </c>
      <c r="G2032" s="311">
        <v>2.4246551250861292E-2</v>
      </c>
      <c r="H2032" s="311">
        <v>6.9670218877671062E-4</v>
      </c>
      <c r="I2032" s="394">
        <v>7.5675662433953063E-4</v>
      </c>
      <c r="J2032" s="689">
        <v>2.2904026833319644E-5</v>
      </c>
      <c r="K2032" s="690">
        <v>2.3939645291608497E-5</v>
      </c>
    </row>
    <row r="2033" spans="2:11" ht="15.75" x14ac:dyDescent="0.25">
      <c r="B2033" s="667" t="s">
        <v>102</v>
      </c>
      <c r="C2033" s="110">
        <v>2035</v>
      </c>
      <c r="D2033" s="687" t="s">
        <v>2812</v>
      </c>
      <c r="E2033" s="688">
        <v>2.6988679671353672E-2</v>
      </c>
      <c r="F2033" s="310">
        <v>3.4658919653671304E-3</v>
      </c>
      <c r="G2033" s="311">
        <v>2.3098884147956612E-2</v>
      </c>
      <c r="H2033" s="311">
        <v>6.5580708363271914E-4</v>
      </c>
      <c r="I2033" s="394">
        <v>7.1232700246316922E-4</v>
      </c>
      <c r="J2033" s="689">
        <v>2.1782244838561445E-5</v>
      </c>
      <c r="K2033" s="690">
        <v>2.2767141292881286E-5</v>
      </c>
    </row>
    <row r="2034" spans="2:11" ht="15.75" x14ac:dyDescent="0.25">
      <c r="B2034" s="667" t="s">
        <v>102</v>
      </c>
      <c r="C2034" s="110">
        <v>2036</v>
      </c>
      <c r="D2034" s="687" t="s">
        <v>2813</v>
      </c>
      <c r="E2034" s="688">
        <v>2.6765595035298954E-2</v>
      </c>
      <c r="F2034" s="310">
        <v>3.1817361432717561E-3</v>
      </c>
      <c r="G2034" s="311">
        <v>2.2131471562995036E-2</v>
      </c>
      <c r="H2034" s="311">
        <v>6.1967434100955671E-4</v>
      </c>
      <c r="I2034" s="394">
        <v>6.730761533652092E-4</v>
      </c>
      <c r="J2034" s="689">
        <v>2.0677712954211946E-5</v>
      </c>
      <c r="K2034" s="690">
        <v>2.1612667378009131E-5</v>
      </c>
    </row>
    <row r="2035" spans="2:11" ht="15.75" x14ac:dyDescent="0.25">
      <c r="B2035" s="667" t="s">
        <v>102</v>
      </c>
      <c r="C2035" s="110">
        <v>2037</v>
      </c>
      <c r="D2035" s="687" t="s">
        <v>2814</v>
      </c>
      <c r="E2035" s="688">
        <v>2.6574724772723931E-2</v>
      </c>
      <c r="F2035" s="310">
        <v>2.9332741339650704E-3</v>
      </c>
      <c r="G2035" s="311">
        <v>2.1321123691135417E-2</v>
      </c>
      <c r="H2035" s="311">
        <v>5.8714676598713817E-4</v>
      </c>
      <c r="I2035" s="394">
        <v>6.3774097717498289E-4</v>
      </c>
      <c r="J2035" s="689">
        <v>1.9697681654495349E-5</v>
      </c>
      <c r="K2035" s="690">
        <v>2.0588323411743814E-5</v>
      </c>
    </row>
    <row r="2036" spans="2:11" ht="15.75" x14ac:dyDescent="0.25">
      <c r="B2036" s="667" t="s">
        <v>102</v>
      </c>
      <c r="C2036" s="110">
        <v>2038</v>
      </c>
      <c r="D2036" s="687" t="s">
        <v>2815</v>
      </c>
      <c r="E2036" s="688">
        <v>2.6412970195335346E-2</v>
      </c>
      <c r="F2036" s="310">
        <v>2.714334627793111E-3</v>
      </c>
      <c r="G2036" s="311">
        <v>2.0619175572688799E-2</v>
      </c>
      <c r="H2036" s="311">
        <v>5.5821012600567037E-4</v>
      </c>
      <c r="I2036" s="394">
        <v>6.0630461843105745E-4</v>
      </c>
      <c r="J2036" s="689">
        <v>1.8874628391660032E-5</v>
      </c>
      <c r="K2036" s="690">
        <v>1.9728055332607862E-5</v>
      </c>
    </row>
    <row r="2037" spans="2:11" ht="15.75" x14ac:dyDescent="0.25">
      <c r="B2037" s="667" t="s">
        <v>102</v>
      </c>
      <c r="C2037" s="110">
        <v>2039</v>
      </c>
      <c r="D2037" s="687" t="s">
        <v>2816</v>
      </c>
      <c r="E2037" s="688">
        <v>2.6276710234574303E-2</v>
      </c>
      <c r="F2037" s="310">
        <v>2.506644310424569E-3</v>
      </c>
      <c r="G2037" s="311">
        <v>1.9953271293507935E-2</v>
      </c>
      <c r="H2037" s="311">
        <v>5.3250736704804115E-4</v>
      </c>
      <c r="I2037" s="394">
        <v>5.78380458446904E-4</v>
      </c>
      <c r="J2037" s="689">
        <v>1.8168196643489367E-5</v>
      </c>
      <c r="K2037" s="690">
        <v>1.8989681875529358E-5</v>
      </c>
    </row>
    <row r="2038" spans="2:11" ht="15.75" x14ac:dyDescent="0.25">
      <c r="B2038" s="667" t="s">
        <v>102</v>
      </c>
      <c r="C2038" s="110">
        <v>2040</v>
      </c>
      <c r="D2038" s="687" t="s">
        <v>2817</v>
      </c>
      <c r="E2038" s="688">
        <v>2.616356376103976E-2</v>
      </c>
      <c r="F2038" s="310">
        <v>2.3275873266741295E-3</v>
      </c>
      <c r="G2038" s="311">
        <v>1.9418743675820478E-2</v>
      </c>
      <c r="H2038" s="311">
        <v>5.1015534457030673E-4</v>
      </c>
      <c r="I2038" s="394">
        <v>5.5409672548372671E-4</v>
      </c>
      <c r="J2038" s="689">
        <v>1.7551548119828939E-5</v>
      </c>
      <c r="K2038" s="690">
        <v>1.834515124196633E-5</v>
      </c>
    </row>
    <row r="2039" spans="2:11" ht="15.75" x14ac:dyDescent="0.25">
      <c r="B2039" s="667" t="s">
        <v>102</v>
      </c>
      <c r="C2039" s="110">
        <v>2041</v>
      </c>
      <c r="D2039" s="687" t="s">
        <v>2818</v>
      </c>
      <c r="E2039" s="688">
        <v>2.6070712444133934E-2</v>
      </c>
      <c r="F2039" s="310">
        <v>2.1963241065105074E-3</v>
      </c>
      <c r="G2039" s="311">
        <v>1.9016824312533591E-2</v>
      </c>
      <c r="H2039" s="311">
        <v>4.925695587132432E-4</v>
      </c>
      <c r="I2039" s="394">
        <v>5.3499130367503517E-4</v>
      </c>
      <c r="J2039" s="689">
        <v>1.706247386317949E-5</v>
      </c>
      <c r="K2039" s="690">
        <v>1.7833963217666062E-5</v>
      </c>
    </row>
    <row r="2040" spans="2:11" ht="15.75" x14ac:dyDescent="0.25">
      <c r="B2040" s="667" t="s">
        <v>102</v>
      </c>
      <c r="C2040" s="110">
        <v>2042</v>
      </c>
      <c r="D2040" s="687" t="s">
        <v>2819</v>
      </c>
      <c r="E2040" s="688">
        <v>2.5994197408851193E-2</v>
      </c>
      <c r="F2040" s="310">
        <v>2.0812117352464413E-3</v>
      </c>
      <c r="G2040" s="311">
        <v>1.8632201804985368E-2</v>
      </c>
      <c r="H2040" s="311">
        <v>4.775999593592716E-4</v>
      </c>
      <c r="I2040" s="394">
        <v>5.1872718107976237E-4</v>
      </c>
      <c r="J2040" s="689">
        <v>1.6668791869303647E-5</v>
      </c>
      <c r="K2040" s="690">
        <v>1.7422480670965108E-5</v>
      </c>
    </row>
    <row r="2041" spans="2:11" ht="15.75" x14ac:dyDescent="0.25">
      <c r="B2041" s="667" t="s">
        <v>102</v>
      </c>
      <c r="C2041" s="110">
        <v>2043</v>
      </c>
      <c r="D2041" s="687" t="s">
        <v>2820</v>
      </c>
      <c r="E2041" s="688">
        <v>2.5931811406203886E-2</v>
      </c>
      <c r="F2041" s="310">
        <v>1.9969333951348053E-3</v>
      </c>
      <c r="G2041" s="311">
        <v>1.836283084608888E-2</v>
      </c>
      <c r="H2041" s="311">
        <v>4.6506567803221264E-4</v>
      </c>
      <c r="I2041" s="394">
        <v>5.0510827531720251E-4</v>
      </c>
      <c r="J2041" s="689">
        <v>1.6355668399591705E-5</v>
      </c>
      <c r="K2041" s="690">
        <v>1.709519914741762E-5</v>
      </c>
    </row>
    <row r="2042" spans="2:11" ht="15.75" x14ac:dyDescent="0.25">
      <c r="B2042" s="667" t="s">
        <v>102</v>
      </c>
      <c r="C2042" s="110">
        <v>2044</v>
      </c>
      <c r="D2042" s="687" t="s">
        <v>2821</v>
      </c>
      <c r="E2042" s="688">
        <v>2.5881005651103225E-2</v>
      </c>
      <c r="F2042" s="310">
        <v>1.931987722933897E-3</v>
      </c>
      <c r="G2042" s="311">
        <v>1.8139161478033475E-2</v>
      </c>
      <c r="H2042" s="311">
        <v>4.5454052720136028E-4</v>
      </c>
      <c r="I2042" s="394">
        <v>4.9367165560811358E-4</v>
      </c>
      <c r="J2042" s="689">
        <v>1.6109250079923317E-5</v>
      </c>
      <c r="K2042" s="690">
        <v>1.6837638884798938E-5</v>
      </c>
    </row>
    <row r="2043" spans="2:11" ht="15.75" x14ac:dyDescent="0.25">
      <c r="B2043" s="667" t="s">
        <v>102</v>
      </c>
      <c r="C2043" s="110">
        <v>2045</v>
      </c>
      <c r="D2043" s="687" t="s">
        <v>2822</v>
      </c>
      <c r="E2043" s="688">
        <v>2.5839041557564457E-2</v>
      </c>
      <c r="F2043" s="310">
        <v>1.8857890503913473E-3</v>
      </c>
      <c r="G2043" s="311">
        <v>1.7983852438599571E-2</v>
      </c>
      <c r="H2043" s="311">
        <v>4.4575731289123692E-4</v>
      </c>
      <c r="I2043" s="394">
        <v>4.8412733862147661E-4</v>
      </c>
      <c r="J2043" s="689">
        <v>1.5915035754239646E-5</v>
      </c>
      <c r="K2043" s="690">
        <v>1.6634643049121144E-5</v>
      </c>
    </row>
    <row r="2044" spans="2:11" ht="15.75" x14ac:dyDescent="0.25">
      <c r="B2044" s="667" t="s">
        <v>102</v>
      </c>
      <c r="C2044" s="110">
        <v>2046</v>
      </c>
      <c r="D2044" s="687" t="s">
        <v>2823</v>
      </c>
      <c r="E2044" s="688">
        <v>2.5805373149462119E-2</v>
      </c>
      <c r="F2044" s="310">
        <v>1.8454146415076398E-3</v>
      </c>
      <c r="G2044" s="311">
        <v>1.7855033446329473E-2</v>
      </c>
      <c r="H2044" s="311">
        <v>4.3851479098588696E-4</v>
      </c>
      <c r="I2044" s="394">
        <v>4.76256747869081E-4</v>
      </c>
      <c r="J2044" s="689">
        <v>1.5766067431659175E-5</v>
      </c>
      <c r="K2044" s="690">
        <v>1.6478939040030719E-5</v>
      </c>
    </row>
    <row r="2045" spans="2:11" ht="15.75" x14ac:dyDescent="0.25">
      <c r="B2045" s="667" t="s">
        <v>102</v>
      </c>
      <c r="C2045" s="110">
        <v>2047</v>
      </c>
      <c r="D2045" s="687" t="s">
        <v>2824</v>
      </c>
      <c r="E2045" s="688">
        <v>2.5777942378879641E-2</v>
      </c>
      <c r="F2045" s="310">
        <v>1.8108439473375837E-3</v>
      </c>
      <c r="G2045" s="311">
        <v>1.774084179433431E-2</v>
      </c>
      <c r="H2045" s="311">
        <v>4.3263088822112115E-4</v>
      </c>
      <c r="I2045" s="394">
        <v>4.6986243031491069E-4</v>
      </c>
      <c r="J2045" s="689">
        <v>1.5648935266401651E-5</v>
      </c>
      <c r="K2045" s="690">
        <v>1.6356510678026529E-5</v>
      </c>
    </row>
    <row r="2046" spans="2:11" ht="15.75" x14ac:dyDescent="0.25">
      <c r="B2046" s="667" t="s">
        <v>102</v>
      </c>
      <c r="C2046" s="110">
        <v>2048</v>
      </c>
      <c r="D2046" s="687" t="s">
        <v>2825</v>
      </c>
      <c r="E2046" s="688">
        <v>2.5755856251426762E-2</v>
      </c>
      <c r="F2046" s="310">
        <v>1.783143985055766E-3</v>
      </c>
      <c r="G2046" s="311">
        <v>1.7647442002273358E-2</v>
      </c>
      <c r="H2046" s="311">
        <v>4.2784221513282003E-4</v>
      </c>
      <c r="I2046" s="394">
        <v>4.6465837016136451E-4</v>
      </c>
      <c r="J2046" s="689">
        <v>1.5553155024772714E-5</v>
      </c>
      <c r="K2046" s="690">
        <v>1.6256399678889663E-5</v>
      </c>
    </row>
    <row r="2047" spans="2:11" ht="15.75" x14ac:dyDescent="0.25">
      <c r="B2047" s="667" t="s">
        <v>102</v>
      </c>
      <c r="C2047" s="110">
        <v>2049</v>
      </c>
      <c r="D2047" s="687" t="s">
        <v>2826</v>
      </c>
      <c r="E2047" s="688">
        <v>2.5737430854745502E-2</v>
      </c>
      <c r="F2047" s="310">
        <v>1.77267832203054E-3</v>
      </c>
      <c r="G2047" s="311">
        <v>1.7652815439109511E-2</v>
      </c>
      <c r="H2047" s="311">
        <v>4.2473785706703779E-4</v>
      </c>
      <c r="I2047" s="394">
        <v>4.6128534465596991E-4</v>
      </c>
      <c r="J2047" s="689">
        <v>1.547652768518276E-5</v>
      </c>
      <c r="K2047" s="690">
        <v>1.6176307591032237E-5</v>
      </c>
    </row>
    <row r="2048" spans="2:11" ht="15.75" x14ac:dyDescent="0.25">
      <c r="B2048" s="667" t="s">
        <v>102</v>
      </c>
      <c r="C2048" s="110">
        <v>2050</v>
      </c>
      <c r="D2048" s="687" t="s">
        <v>2827</v>
      </c>
      <c r="E2048" s="688">
        <v>2.5723378742327059E-2</v>
      </c>
      <c r="F2048" s="310">
        <v>1.7644626746200689E-3</v>
      </c>
      <c r="G2048" s="311">
        <v>1.7660286272041477E-2</v>
      </c>
      <c r="H2048" s="311">
        <v>4.2228466410464962E-4</v>
      </c>
      <c r="I2048" s="394">
        <v>4.5862027020549933E-4</v>
      </c>
      <c r="J2048" s="689">
        <v>1.5405809581758988E-5</v>
      </c>
      <c r="K2048" s="690">
        <v>1.6102391928778585E-5</v>
      </c>
    </row>
    <row r="2049" spans="2:11" ht="15.75" x14ac:dyDescent="0.25">
      <c r="B2049" s="667" t="s">
        <v>103</v>
      </c>
      <c r="C2049" s="110">
        <v>2015</v>
      </c>
      <c r="D2049" s="687" t="s">
        <v>321</v>
      </c>
      <c r="E2049" s="688">
        <v>4.2815164581856718E-2</v>
      </c>
      <c r="F2049" s="310">
        <v>0.10642775053246198</v>
      </c>
      <c r="G2049" s="311">
        <v>0.37122816095523958</v>
      </c>
      <c r="H2049" s="311">
        <v>3.2294707371760545E-3</v>
      </c>
      <c r="I2049" s="394">
        <v>3.4924873276453248E-3</v>
      </c>
      <c r="J2049" s="689">
        <v>2.6092190840573378E-4</v>
      </c>
      <c r="K2049" s="690">
        <v>2.7271963928002089E-4</v>
      </c>
    </row>
    <row r="2050" spans="2:11" ht="15.75" x14ac:dyDescent="0.25">
      <c r="B2050" s="667" t="s">
        <v>103</v>
      </c>
      <c r="C2050" s="110">
        <v>2016</v>
      </c>
      <c r="D2050" s="687" t="s">
        <v>322</v>
      </c>
      <c r="E2050" s="688">
        <v>4.2021988571603601E-2</v>
      </c>
      <c r="F2050" s="310">
        <v>9.1878645724254998E-2</v>
      </c>
      <c r="G2050" s="311">
        <v>0.32901238205853622</v>
      </c>
      <c r="H2050" s="311">
        <v>2.9675268921614943E-3</v>
      </c>
      <c r="I2050" s="394">
        <v>3.2107352286676692E-3</v>
      </c>
      <c r="J2050" s="689">
        <v>2.3607692880887391E-4</v>
      </c>
      <c r="K2050" s="690">
        <v>2.467512799537547E-4</v>
      </c>
    </row>
    <row r="2051" spans="2:11" ht="15.75" x14ac:dyDescent="0.25">
      <c r="B2051" s="667" t="s">
        <v>103</v>
      </c>
      <c r="C2051" s="110">
        <v>2017</v>
      </c>
      <c r="D2051" s="687" t="s">
        <v>2828</v>
      </c>
      <c r="E2051" s="688">
        <v>4.1056001526082048E-2</v>
      </c>
      <c r="F2051" s="310">
        <v>7.9127001592180959E-2</v>
      </c>
      <c r="G2051" s="311">
        <v>0.29140309164631562</v>
      </c>
      <c r="H2051" s="311">
        <v>2.7767947733221671E-3</v>
      </c>
      <c r="I2051" s="394">
        <v>3.0058593916873376E-3</v>
      </c>
      <c r="J2051" s="689">
        <v>2.1846391302814957E-4</v>
      </c>
      <c r="K2051" s="690">
        <v>2.2834188175602615E-4</v>
      </c>
    </row>
    <row r="2052" spans="2:11" ht="15.75" x14ac:dyDescent="0.25">
      <c r="B2052" s="667" t="s">
        <v>103</v>
      </c>
      <c r="C2052" s="110">
        <v>2018</v>
      </c>
      <c r="D2052" s="687" t="s">
        <v>2829</v>
      </c>
      <c r="E2052" s="688">
        <v>4.0042915643214348E-2</v>
      </c>
      <c r="F2052" s="310">
        <v>6.8264034408666907E-2</v>
      </c>
      <c r="G2052" s="311">
        <v>0.25718815370512565</v>
      </c>
      <c r="H2052" s="311">
        <v>2.6312122148811645E-3</v>
      </c>
      <c r="I2052" s="394">
        <v>2.8494821671837217E-3</v>
      </c>
      <c r="J2052" s="689">
        <v>2.0283610494559957E-4</v>
      </c>
      <c r="K2052" s="690">
        <v>2.1200745353935438E-4</v>
      </c>
    </row>
    <row r="2053" spans="2:11" ht="15.75" x14ac:dyDescent="0.25">
      <c r="B2053" s="667" t="s">
        <v>103</v>
      </c>
      <c r="C2053" s="110">
        <v>2019</v>
      </c>
      <c r="D2053" s="687" t="s">
        <v>2830</v>
      </c>
      <c r="E2053" s="688">
        <v>3.8993558754613217E-2</v>
      </c>
      <c r="F2053" s="310">
        <v>5.8394639958340142E-2</v>
      </c>
      <c r="G2053" s="311">
        <v>0.22606658134610355</v>
      </c>
      <c r="H2053" s="311">
        <v>2.5092134910137589E-3</v>
      </c>
      <c r="I2053" s="394">
        <v>2.718525639768809E-3</v>
      </c>
      <c r="J2053" s="689">
        <v>1.8851911354825031E-4</v>
      </c>
      <c r="K2053" s="690">
        <v>1.9704311132172532E-4</v>
      </c>
    </row>
    <row r="2054" spans="2:11" ht="15.75" x14ac:dyDescent="0.25">
      <c r="B2054" s="667" t="s">
        <v>103</v>
      </c>
      <c r="C2054" s="110">
        <v>2020</v>
      </c>
      <c r="D2054" s="687" t="s">
        <v>2831</v>
      </c>
      <c r="E2054" s="688">
        <v>3.7920136161460484E-2</v>
      </c>
      <c r="F2054" s="310">
        <v>5.0099041711371382E-2</v>
      </c>
      <c r="G2054" s="311">
        <v>0.19832125888379179</v>
      </c>
      <c r="H2054" s="311">
        <v>2.3811998864837224E-3</v>
      </c>
      <c r="I2054" s="394">
        <v>2.5805834145907055E-3</v>
      </c>
      <c r="J2054" s="689">
        <v>1.7439059915020418E-4</v>
      </c>
      <c r="K2054" s="690">
        <v>1.8227576819695339E-4</v>
      </c>
    </row>
    <row r="2055" spans="2:11" ht="15.75" x14ac:dyDescent="0.25">
      <c r="B2055" s="667" t="s">
        <v>103</v>
      </c>
      <c r="C2055" s="110">
        <v>2021</v>
      </c>
      <c r="D2055" s="687" t="s">
        <v>2832</v>
      </c>
      <c r="E2055" s="688">
        <v>3.6830724430329052E-2</v>
      </c>
      <c r="F2055" s="310">
        <v>4.2792852522706475E-2</v>
      </c>
      <c r="G2055" s="311">
        <v>0.17259320289753829</v>
      </c>
      <c r="H2055" s="311">
        <v>2.2321885102237395E-3</v>
      </c>
      <c r="I2055" s="394">
        <v>2.4195979895101478E-3</v>
      </c>
      <c r="J2055" s="689">
        <v>1.614654490236058E-4</v>
      </c>
      <c r="K2055" s="690">
        <v>1.6876620013613454E-4</v>
      </c>
    </row>
    <row r="2056" spans="2:11" ht="15.75" x14ac:dyDescent="0.25">
      <c r="B2056" s="667" t="s">
        <v>103</v>
      </c>
      <c r="C2056" s="110">
        <v>2022</v>
      </c>
      <c r="D2056" s="687" t="s">
        <v>2833</v>
      </c>
      <c r="E2056" s="688">
        <v>3.5750942907902011E-2</v>
      </c>
      <c r="F2056" s="310">
        <v>3.4645186805388105E-2</v>
      </c>
      <c r="G2056" s="311">
        <v>0.14815799850422315</v>
      </c>
      <c r="H2056" s="311">
        <v>2.0815169667455775E-3</v>
      </c>
      <c r="I2056" s="394">
        <v>2.2573658580978041E-3</v>
      </c>
      <c r="J2056" s="689">
        <v>1.4452487749405348E-4</v>
      </c>
      <c r="K2056" s="690">
        <v>1.5105965113468915E-4</v>
      </c>
    </row>
    <row r="2057" spans="2:11" ht="15.75" x14ac:dyDescent="0.25">
      <c r="B2057" s="667" t="s">
        <v>103</v>
      </c>
      <c r="C2057" s="110">
        <v>2023</v>
      </c>
      <c r="D2057" s="687" t="s">
        <v>2834</v>
      </c>
      <c r="E2057" s="688">
        <v>3.467704108828415E-2</v>
      </c>
      <c r="F2057" s="310">
        <v>2.990044220895758E-2</v>
      </c>
      <c r="G2057" s="311">
        <v>0.12907935271724894</v>
      </c>
      <c r="H2057" s="311">
        <v>1.9464532243783155E-3</v>
      </c>
      <c r="I2057" s="394">
        <v>2.1112186028400207E-3</v>
      </c>
      <c r="J2057" s="689">
        <v>1.304477545217627E-4</v>
      </c>
      <c r="K2057" s="690">
        <v>1.3634602312789931E-4</v>
      </c>
    </row>
    <row r="2058" spans="2:11" ht="15.75" x14ac:dyDescent="0.25">
      <c r="B2058" s="667" t="s">
        <v>103</v>
      </c>
      <c r="C2058" s="110">
        <v>2024</v>
      </c>
      <c r="D2058" s="687" t="s">
        <v>2835</v>
      </c>
      <c r="E2058" s="688">
        <v>3.3615766160363665E-2</v>
      </c>
      <c r="F2058" s="310">
        <v>2.5636130260426899E-2</v>
      </c>
      <c r="G2058" s="311">
        <v>0.11213933316464379</v>
      </c>
      <c r="H2058" s="311">
        <v>1.818984875267198E-3</v>
      </c>
      <c r="I2058" s="394">
        <v>1.9733420657501392E-3</v>
      </c>
      <c r="J2058" s="689">
        <v>1.1627437803456949E-4</v>
      </c>
      <c r="K2058" s="690">
        <v>1.2153178944938175E-4</v>
      </c>
    </row>
    <row r="2059" spans="2:11" ht="15.75" x14ac:dyDescent="0.25">
      <c r="B2059" s="667" t="s">
        <v>103</v>
      </c>
      <c r="C2059" s="110">
        <v>2025</v>
      </c>
      <c r="D2059" s="687" t="s">
        <v>2836</v>
      </c>
      <c r="E2059" s="688">
        <v>3.2567060335006573E-2</v>
      </c>
      <c r="F2059" s="310">
        <v>2.2484255231817959E-2</v>
      </c>
      <c r="G2059" s="311">
        <v>9.9120258613673753E-2</v>
      </c>
      <c r="H2059" s="311">
        <v>1.7271754165234308E-3</v>
      </c>
      <c r="I2059" s="394">
        <v>1.8739242362990417E-3</v>
      </c>
      <c r="J2059" s="689">
        <v>1.0691729298795815E-4</v>
      </c>
      <c r="K2059" s="690">
        <v>1.1175161853841257E-4</v>
      </c>
    </row>
    <row r="2060" spans="2:11" ht="15.75" x14ac:dyDescent="0.25">
      <c r="B2060" s="667" t="s">
        <v>103</v>
      </c>
      <c r="C2060" s="110">
        <v>2026</v>
      </c>
      <c r="D2060" s="687" t="s">
        <v>2837</v>
      </c>
      <c r="E2060" s="688">
        <v>3.1537671714192472E-2</v>
      </c>
      <c r="F2060" s="310">
        <v>1.9841117161772844E-2</v>
      </c>
      <c r="G2060" s="311">
        <v>8.827537541390805E-2</v>
      </c>
      <c r="H2060" s="311">
        <v>1.6402422873995307E-3</v>
      </c>
      <c r="I2060" s="394">
        <v>1.7798943044782444E-3</v>
      </c>
      <c r="J2060" s="689">
        <v>9.4803545954458908E-5</v>
      </c>
      <c r="K2060" s="690">
        <v>9.9090141618014843E-5</v>
      </c>
    </row>
    <row r="2061" spans="2:11" ht="15.75" x14ac:dyDescent="0.25">
      <c r="B2061" s="667" t="s">
        <v>103</v>
      </c>
      <c r="C2061" s="110">
        <v>2027</v>
      </c>
      <c r="D2061" s="687" t="s">
        <v>2838</v>
      </c>
      <c r="E2061" s="688">
        <v>3.0644544664405669E-2</v>
      </c>
      <c r="F2061" s="310">
        <v>1.7569204836876157E-2</v>
      </c>
      <c r="G2061" s="311">
        <v>7.891806139961148E-2</v>
      </c>
      <c r="H2061" s="311">
        <v>1.5473638212530226E-3</v>
      </c>
      <c r="I2061" s="394">
        <v>1.67948973558429E-3</v>
      </c>
      <c r="J2061" s="689">
        <v>8.046131636697621E-5</v>
      </c>
      <c r="K2061" s="690">
        <v>8.4099420051287504E-5</v>
      </c>
    </row>
    <row r="2062" spans="2:11" ht="15.75" x14ac:dyDescent="0.25">
      <c r="B2062" s="667" t="s">
        <v>103</v>
      </c>
      <c r="C2062" s="110">
        <v>2028</v>
      </c>
      <c r="D2062" s="687" t="s">
        <v>2839</v>
      </c>
      <c r="E2062" s="688">
        <v>2.9831381415997688E-2</v>
      </c>
      <c r="F2062" s="310">
        <v>1.554302069637736E-2</v>
      </c>
      <c r="G2062" s="311">
        <v>7.0697113181626386E-2</v>
      </c>
      <c r="H2062" s="311">
        <v>1.4474108800642831E-3</v>
      </c>
      <c r="I2062" s="394">
        <v>1.5714572129424541E-3</v>
      </c>
      <c r="J2062" s="689">
        <v>6.4522440064330818E-5</v>
      </c>
      <c r="K2062" s="690">
        <v>6.743985848995255E-5</v>
      </c>
    </row>
    <row r="2063" spans="2:11" ht="15.75" x14ac:dyDescent="0.25">
      <c r="B2063" s="667" t="s">
        <v>103</v>
      </c>
      <c r="C2063" s="110">
        <v>2029</v>
      </c>
      <c r="D2063" s="687" t="s">
        <v>2840</v>
      </c>
      <c r="E2063" s="688">
        <v>2.9091938090279188E-2</v>
      </c>
      <c r="F2063" s="310">
        <v>1.3638409157071835E-2</v>
      </c>
      <c r="G2063" s="311">
        <v>6.3147678415662378E-2</v>
      </c>
      <c r="H2063" s="311">
        <v>1.3537715249005231E-3</v>
      </c>
      <c r="I2063" s="394">
        <v>1.469995012878918E-3</v>
      </c>
      <c r="J2063" s="689">
        <v>5.5575269683675499E-5</v>
      </c>
      <c r="K2063" s="690">
        <v>5.8088136767164438E-5</v>
      </c>
    </row>
    <row r="2064" spans="2:11" ht="15.75" x14ac:dyDescent="0.25">
      <c r="B2064" s="667" t="s">
        <v>103</v>
      </c>
      <c r="C2064" s="110">
        <v>2030</v>
      </c>
      <c r="D2064" s="687" t="s">
        <v>2841</v>
      </c>
      <c r="E2064" s="688">
        <v>2.8424781000449054E-2</v>
      </c>
      <c r="F2064" s="310">
        <v>1.2139070639184677E-2</v>
      </c>
      <c r="G2064" s="311">
        <v>5.6975350410088596E-2</v>
      </c>
      <c r="H2064" s="311">
        <v>1.2674507993329534E-3</v>
      </c>
      <c r="I2064" s="394">
        <v>1.3763961560940227E-3</v>
      </c>
      <c r="J2064" s="689">
        <v>4.8901435547597166E-5</v>
      </c>
      <c r="K2064" s="690">
        <v>5.111254146615303E-5</v>
      </c>
    </row>
    <row r="2065" spans="2:11" ht="15.75" x14ac:dyDescent="0.25">
      <c r="B2065" s="667" t="s">
        <v>103</v>
      </c>
      <c r="C2065" s="110">
        <v>2031</v>
      </c>
      <c r="D2065" s="687" t="s">
        <v>2842</v>
      </c>
      <c r="E2065" s="688">
        <v>2.7825183473056556E-2</v>
      </c>
      <c r="F2065" s="310">
        <v>1.0766399618814674E-2</v>
      </c>
      <c r="G2065" s="311">
        <v>5.1355903103773394E-2</v>
      </c>
      <c r="H2065" s="311">
        <v>1.1860368344866054E-3</v>
      </c>
      <c r="I2065" s="394">
        <v>1.2879982857371677E-3</v>
      </c>
      <c r="J2065" s="689">
        <v>4.5426690106584157E-5</v>
      </c>
      <c r="K2065" s="690">
        <v>4.7480683455252089E-5</v>
      </c>
    </row>
    <row r="2066" spans="2:11" ht="15.75" x14ac:dyDescent="0.25">
      <c r="B2066" s="667" t="s">
        <v>103</v>
      </c>
      <c r="C2066" s="110">
        <v>2032</v>
      </c>
      <c r="D2066" s="687" t="s">
        <v>2843</v>
      </c>
      <c r="E2066" s="688">
        <v>2.7289743393382911E-2</v>
      </c>
      <c r="F2066" s="310">
        <v>9.5969908429086835E-3</v>
      </c>
      <c r="G2066" s="311">
        <v>4.6706891720174233E-2</v>
      </c>
      <c r="H2066" s="311">
        <v>1.1099117125482167E-3</v>
      </c>
      <c r="I2066" s="394">
        <v>1.2053729936390527E-3</v>
      </c>
      <c r="J2066" s="689">
        <v>4.1468671276617669E-5</v>
      </c>
      <c r="K2066" s="690">
        <v>4.334370057724286E-5</v>
      </c>
    </row>
    <row r="2067" spans="2:11" ht="15.75" x14ac:dyDescent="0.25">
      <c r="B2067" s="667" t="s">
        <v>103</v>
      </c>
      <c r="C2067" s="110">
        <v>2033</v>
      </c>
      <c r="D2067" s="687" t="s">
        <v>2844</v>
      </c>
      <c r="E2067" s="688">
        <v>2.6813806197046292E-2</v>
      </c>
      <c r="F2067" s="310">
        <v>8.5954760233636959E-3</v>
      </c>
      <c r="G2067" s="311">
        <v>4.2832864177771414E-2</v>
      </c>
      <c r="H2067" s="311">
        <v>1.039372822706114E-3</v>
      </c>
      <c r="I2067" s="394">
        <v>1.1288041283603874E-3</v>
      </c>
      <c r="J2067" s="689">
        <v>3.796162523881661E-5</v>
      </c>
      <c r="K2067" s="690">
        <v>3.9678081479898751E-5</v>
      </c>
    </row>
    <row r="2068" spans="2:11" ht="15.75" x14ac:dyDescent="0.25">
      <c r="B2068" s="667" t="s">
        <v>103</v>
      </c>
      <c r="C2068" s="110">
        <v>2034</v>
      </c>
      <c r="D2068" s="687" t="s">
        <v>2845</v>
      </c>
      <c r="E2068" s="688">
        <v>2.6390597642120935E-2</v>
      </c>
      <c r="F2068" s="310">
        <v>7.6459407576710331E-3</v>
      </c>
      <c r="G2068" s="311">
        <v>3.9274960898239536E-2</v>
      </c>
      <c r="H2068" s="311">
        <v>9.7167428780741197E-4</v>
      </c>
      <c r="I2068" s="394">
        <v>1.0552952283719287E-3</v>
      </c>
      <c r="J2068" s="689">
        <v>3.5143178614197779E-5</v>
      </c>
      <c r="K2068" s="690">
        <v>3.6732197205586239E-5</v>
      </c>
    </row>
    <row r="2069" spans="2:11" ht="15.75" x14ac:dyDescent="0.25">
      <c r="B2069" s="667" t="s">
        <v>103</v>
      </c>
      <c r="C2069" s="110">
        <v>2035</v>
      </c>
      <c r="D2069" s="687" t="s">
        <v>2846</v>
      </c>
      <c r="E2069" s="688">
        <v>2.6017932404183191E-2</v>
      </c>
      <c r="F2069" s="310">
        <v>6.8209961090141503E-3</v>
      </c>
      <c r="G2069" s="311">
        <v>3.6278956160128897E-2</v>
      </c>
      <c r="H2069" s="311">
        <v>9.0959287987914749E-4</v>
      </c>
      <c r="I2069" s="394">
        <v>9.878687267776663E-4</v>
      </c>
      <c r="J2069" s="689">
        <v>3.2955747203969046E-5</v>
      </c>
      <c r="K2069" s="690">
        <v>3.4445859853570188E-5</v>
      </c>
    </row>
    <row r="2070" spans="2:11" ht="15.75" x14ac:dyDescent="0.25">
      <c r="B2070" s="667" t="s">
        <v>103</v>
      </c>
      <c r="C2070" s="110">
        <v>2036</v>
      </c>
      <c r="D2070" s="687" t="s">
        <v>2847</v>
      </c>
      <c r="E2070" s="688">
        <v>2.5691159327450898E-2</v>
      </c>
      <c r="F2070" s="310">
        <v>6.1332994348323785E-3</v>
      </c>
      <c r="G2070" s="311">
        <v>3.384674452820597E-2</v>
      </c>
      <c r="H2070" s="311">
        <v>8.5815250142508488E-4</v>
      </c>
      <c r="I2070" s="394">
        <v>9.3200548997418825E-4</v>
      </c>
      <c r="J2070" s="689">
        <v>3.1000186047088429E-5</v>
      </c>
      <c r="K2070" s="690">
        <v>3.2401876898849571E-5</v>
      </c>
    </row>
    <row r="2071" spans="2:11" ht="15.75" x14ac:dyDescent="0.25">
      <c r="B2071" s="667" t="s">
        <v>103</v>
      </c>
      <c r="C2071" s="110">
        <v>2037</v>
      </c>
      <c r="D2071" s="687" t="s">
        <v>2848</v>
      </c>
      <c r="E2071" s="688">
        <v>2.5408360525502133E-2</v>
      </c>
      <c r="F2071" s="310">
        <v>5.4782844127501586E-3</v>
      </c>
      <c r="G2071" s="311">
        <v>3.1541313120430819E-2</v>
      </c>
      <c r="H2071" s="311">
        <v>8.104932423810895E-4</v>
      </c>
      <c r="I2071" s="394">
        <v>8.8024485446795632E-4</v>
      </c>
      <c r="J2071" s="689">
        <v>2.9273790634177461E-5</v>
      </c>
      <c r="K2071" s="690">
        <v>3.0597421546132852E-5</v>
      </c>
    </row>
    <row r="2072" spans="2:11" ht="15.75" x14ac:dyDescent="0.25">
      <c r="B2072" s="667" t="s">
        <v>103</v>
      </c>
      <c r="C2072" s="110">
        <v>2038</v>
      </c>
      <c r="D2072" s="687" t="s">
        <v>2849</v>
      </c>
      <c r="E2072" s="688">
        <v>2.5164014952349809E-2</v>
      </c>
      <c r="F2072" s="310">
        <v>4.8906892795655453E-3</v>
      </c>
      <c r="G2072" s="311">
        <v>2.9481904150953107E-2</v>
      </c>
      <c r="H2072" s="311">
        <v>7.6728046315733785E-4</v>
      </c>
      <c r="I2072" s="394">
        <v>8.3331003940703631E-4</v>
      </c>
      <c r="J2072" s="689">
        <v>2.7786496052726972E-5</v>
      </c>
      <c r="K2072" s="690">
        <v>2.9042878103481215E-5</v>
      </c>
    </row>
    <row r="2073" spans="2:11" ht="15.75" x14ac:dyDescent="0.25">
      <c r="B2073" s="667" t="s">
        <v>103</v>
      </c>
      <c r="C2073" s="110">
        <v>2039</v>
      </c>
      <c r="D2073" s="687" t="s">
        <v>2850</v>
      </c>
      <c r="E2073" s="688">
        <v>2.4954055704232838E-2</v>
      </c>
      <c r="F2073" s="310">
        <v>4.3191131764210196E-3</v>
      </c>
      <c r="G2073" s="311">
        <v>2.7497100104389497E-2</v>
      </c>
      <c r="H2073" s="311">
        <v>7.2776516576253587E-4</v>
      </c>
      <c r="I2073" s="394">
        <v>7.9038599493476565E-4</v>
      </c>
      <c r="J2073" s="689">
        <v>2.6548831972422393E-5</v>
      </c>
      <c r="K2073" s="690">
        <v>2.7749252345518265E-5</v>
      </c>
    </row>
    <row r="2074" spans="2:11" ht="15.75" x14ac:dyDescent="0.25">
      <c r="B2074" s="667" t="s">
        <v>103</v>
      </c>
      <c r="C2074" s="110">
        <v>2040</v>
      </c>
      <c r="D2074" s="687" t="s">
        <v>2851</v>
      </c>
      <c r="E2074" s="688">
        <v>2.4774767742777336E-2</v>
      </c>
      <c r="F2074" s="310">
        <v>3.8119882260612531E-3</v>
      </c>
      <c r="G2074" s="311">
        <v>2.5802259818180334E-2</v>
      </c>
      <c r="H2074" s="311">
        <v>6.9170581245402802E-4</v>
      </c>
      <c r="I2074" s="394">
        <v>7.5122363664919753E-4</v>
      </c>
      <c r="J2074" s="689">
        <v>2.5239625214513869E-5</v>
      </c>
      <c r="K2074" s="690">
        <v>2.6380849067536119E-5</v>
      </c>
    </row>
    <row r="2075" spans="2:11" ht="15.75" x14ac:dyDescent="0.25">
      <c r="B2075" s="667" t="s">
        <v>103</v>
      </c>
      <c r="C2075" s="110">
        <v>2041</v>
      </c>
      <c r="D2075" s="687" t="s">
        <v>2852</v>
      </c>
      <c r="E2075" s="688">
        <v>2.4624075905154155E-2</v>
      </c>
      <c r="F2075" s="310">
        <v>3.4716469727836745E-3</v>
      </c>
      <c r="G2075" s="311">
        <v>2.4584213119989547E-2</v>
      </c>
      <c r="H2075" s="311">
        <v>6.6568394357860927E-4</v>
      </c>
      <c r="I2075" s="394">
        <v>7.2296678336002617E-4</v>
      </c>
      <c r="J2075" s="689">
        <v>2.4194134670835057E-5</v>
      </c>
      <c r="K2075" s="690">
        <v>2.5288086080767672E-5</v>
      </c>
    </row>
    <row r="2076" spans="2:11" ht="15.75" x14ac:dyDescent="0.25">
      <c r="B2076" s="667" t="s">
        <v>103</v>
      </c>
      <c r="C2076" s="110">
        <v>2042</v>
      </c>
      <c r="D2076" s="687" t="s">
        <v>2853</v>
      </c>
      <c r="E2076" s="688">
        <v>2.4495909528018011E-2</v>
      </c>
      <c r="F2076" s="310">
        <v>3.1747586564268462E-3</v>
      </c>
      <c r="G2076" s="311">
        <v>2.3454172584951406E-2</v>
      </c>
      <c r="H2076" s="311">
        <v>6.4284251341823221E-4</v>
      </c>
      <c r="I2076" s="394">
        <v>6.98156445333183E-4</v>
      </c>
      <c r="J2076" s="689">
        <v>2.3443672473414728E-5</v>
      </c>
      <c r="K2076" s="690">
        <v>2.4503691312906662E-5</v>
      </c>
    </row>
    <row r="2077" spans="2:11" ht="15.75" x14ac:dyDescent="0.25">
      <c r="B2077" s="667" t="s">
        <v>103</v>
      </c>
      <c r="C2077" s="110">
        <v>2043</v>
      </c>
      <c r="D2077" s="687" t="s">
        <v>2854</v>
      </c>
      <c r="E2077" s="688">
        <v>2.4388735230126968E-2</v>
      </c>
      <c r="F2077" s="310">
        <v>2.9456628849459754E-3</v>
      </c>
      <c r="G2077" s="311">
        <v>2.2553327162373685E-2</v>
      </c>
      <c r="H2077" s="311">
        <v>6.2291222184279879E-4</v>
      </c>
      <c r="I2077" s="394">
        <v>6.765145658459515E-4</v>
      </c>
      <c r="J2077" s="689">
        <v>2.2638232662787107E-5</v>
      </c>
      <c r="K2077" s="690">
        <v>2.3661833088128731E-5</v>
      </c>
    </row>
    <row r="2078" spans="2:11" ht="15.75" x14ac:dyDescent="0.25">
      <c r="B2078" s="667" t="s">
        <v>103</v>
      </c>
      <c r="C2078" s="110">
        <v>2044</v>
      </c>
      <c r="D2078" s="687" t="s">
        <v>2855</v>
      </c>
      <c r="E2078" s="688">
        <v>2.4298213928482616E-2</v>
      </c>
      <c r="F2078" s="310">
        <v>2.7565904899158949E-3</v>
      </c>
      <c r="G2078" s="311">
        <v>2.1747600525950862E-2</v>
      </c>
      <c r="H2078" s="311">
        <v>6.0553969374451864E-4</v>
      </c>
      <c r="I2078" s="394">
        <v>6.5764378037465332E-4</v>
      </c>
      <c r="J2078" s="689">
        <v>2.2085464631791354E-5</v>
      </c>
      <c r="K2078" s="690">
        <v>2.3084071339643138E-5</v>
      </c>
    </row>
    <row r="2079" spans="2:11" ht="15.75" x14ac:dyDescent="0.25">
      <c r="B2079" s="667" t="s">
        <v>103</v>
      </c>
      <c r="C2079" s="110">
        <v>2045</v>
      </c>
      <c r="D2079" s="687" t="s">
        <v>2856</v>
      </c>
      <c r="E2079" s="688">
        <v>2.4220451906735819E-2</v>
      </c>
      <c r="F2079" s="310">
        <v>2.6282756009893132E-3</v>
      </c>
      <c r="G2079" s="311">
        <v>2.1205238394957686E-2</v>
      </c>
      <c r="H2079" s="311">
        <v>5.9073185668896569E-4</v>
      </c>
      <c r="I2079" s="394">
        <v>6.4155685972638388E-4</v>
      </c>
      <c r="J2079" s="689">
        <v>2.1661796377176648E-5</v>
      </c>
      <c r="K2079" s="690">
        <v>2.2641246686554775E-5</v>
      </c>
    </row>
    <row r="2080" spans="2:11" ht="15.75" x14ac:dyDescent="0.25">
      <c r="B2080" s="667" t="s">
        <v>103</v>
      </c>
      <c r="C2080" s="110">
        <v>2046</v>
      </c>
      <c r="D2080" s="687" t="s">
        <v>2857</v>
      </c>
      <c r="E2080" s="688">
        <v>2.4154827639831199E-2</v>
      </c>
      <c r="F2080" s="310">
        <v>2.5169550191373072E-3</v>
      </c>
      <c r="G2080" s="311">
        <v>2.0766591194470156E-2</v>
      </c>
      <c r="H2080" s="311">
        <v>5.7793268230694236E-4</v>
      </c>
      <c r="I2080" s="394">
        <v>6.2765512287354323E-4</v>
      </c>
      <c r="J2080" s="689">
        <v>2.1224444192374149E-5</v>
      </c>
      <c r="K2080" s="690">
        <v>2.2184119376677092E-5</v>
      </c>
    </row>
    <row r="2081" spans="2:11" ht="15.75" x14ac:dyDescent="0.25">
      <c r="B2081" s="667" t="s">
        <v>103</v>
      </c>
      <c r="C2081" s="110">
        <v>2047</v>
      </c>
      <c r="D2081" s="687" t="s">
        <v>2858</v>
      </c>
      <c r="E2081" s="688">
        <v>2.4099496346096105E-2</v>
      </c>
      <c r="F2081" s="310">
        <v>2.4159889691876429E-3</v>
      </c>
      <c r="G2081" s="311">
        <v>2.0357615689264436E-2</v>
      </c>
      <c r="H2081" s="311">
        <v>5.6694621497590917E-4</v>
      </c>
      <c r="I2081" s="394">
        <v>6.1572327741069336E-4</v>
      </c>
      <c r="J2081" s="689">
        <v>2.0824682460485757E-5</v>
      </c>
      <c r="K2081" s="690">
        <v>2.1766282193189112E-5</v>
      </c>
    </row>
    <row r="2082" spans="2:11" ht="15.75" x14ac:dyDescent="0.25">
      <c r="B2082" s="667" t="s">
        <v>103</v>
      </c>
      <c r="C2082" s="110">
        <v>2048</v>
      </c>
      <c r="D2082" s="687" t="s">
        <v>2859</v>
      </c>
      <c r="E2082" s="688">
        <v>2.4052207159385563E-2</v>
      </c>
      <c r="F2082" s="310">
        <v>2.3352206143579931E-3</v>
      </c>
      <c r="G2082" s="311">
        <v>2.0023010000031708E-2</v>
      </c>
      <c r="H2082" s="311">
        <v>5.5758150745954219E-4</v>
      </c>
      <c r="I2082" s="394">
        <v>6.0555530500010343E-4</v>
      </c>
      <c r="J2082" s="689">
        <v>2.0423474544679269E-5</v>
      </c>
      <c r="K2082" s="690">
        <v>2.1346933435763602E-5</v>
      </c>
    </row>
    <row r="2083" spans="2:11" ht="15.75" x14ac:dyDescent="0.25">
      <c r="B2083" s="667" t="s">
        <v>103</v>
      </c>
      <c r="C2083" s="110">
        <v>2049</v>
      </c>
      <c r="D2083" s="687" t="s">
        <v>2860</v>
      </c>
      <c r="E2083" s="688">
        <v>2.4013542436966982E-2</v>
      </c>
      <c r="F2083" s="310">
        <v>2.3101706757626536E-3</v>
      </c>
      <c r="G2083" s="311">
        <v>1.9995431147251507E-2</v>
      </c>
      <c r="H2083" s="311">
        <v>5.5237208357798771E-4</v>
      </c>
      <c r="I2083" s="394">
        <v>5.9989929064966881E-4</v>
      </c>
      <c r="J2083" s="689">
        <v>2.0194347046540059E-5</v>
      </c>
      <c r="K2083" s="690">
        <v>2.110744580889676E-5</v>
      </c>
    </row>
    <row r="2084" spans="2:11" ht="15.75" x14ac:dyDescent="0.25">
      <c r="B2084" s="667" t="s">
        <v>103</v>
      </c>
      <c r="C2084" s="110">
        <v>2050</v>
      </c>
      <c r="D2084" s="687" t="s">
        <v>2861</v>
      </c>
      <c r="E2084" s="688">
        <v>2.3982812480493068E-2</v>
      </c>
      <c r="F2084" s="310">
        <v>2.2886063386944591E-3</v>
      </c>
      <c r="G2084" s="311">
        <v>1.9969457932865663E-2</v>
      </c>
      <c r="H2084" s="311">
        <v>5.4802817248019082E-4</v>
      </c>
      <c r="I2084" s="394">
        <v>5.9518764769350295E-4</v>
      </c>
      <c r="J2084" s="689">
        <v>1.9893308680877538E-5</v>
      </c>
      <c r="K2084" s="690">
        <v>2.079279582417693E-5</v>
      </c>
    </row>
    <row r="2085" spans="2:11" ht="15.75" x14ac:dyDescent="0.25">
      <c r="B2085" s="667" t="s">
        <v>104</v>
      </c>
      <c r="C2085" s="110">
        <v>2015</v>
      </c>
      <c r="D2085" s="687" t="s">
        <v>323</v>
      </c>
      <c r="E2085" s="688">
        <v>4.1684946102352932E-2</v>
      </c>
      <c r="F2085" s="310">
        <v>4.6697744532864537E-2</v>
      </c>
      <c r="G2085" s="311">
        <v>0.17767082298428144</v>
      </c>
      <c r="H2085" s="311">
        <v>1.8463394886001998E-3</v>
      </c>
      <c r="I2085" s="394">
        <v>1.998189502680102E-3</v>
      </c>
      <c r="J2085" s="689">
        <v>1.621635516734342E-4</v>
      </c>
      <c r="K2085" s="690">
        <v>1.6949586789000384E-4</v>
      </c>
    </row>
    <row r="2086" spans="2:11" ht="15.75" x14ac:dyDescent="0.25">
      <c r="B2086" s="667" t="s">
        <v>104</v>
      </c>
      <c r="C2086" s="110">
        <v>2016</v>
      </c>
      <c r="D2086" s="687" t="s">
        <v>324</v>
      </c>
      <c r="E2086" s="688">
        <v>4.0840271046063414E-2</v>
      </c>
      <c r="F2086" s="310">
        <v>3.9129388518210753E-2</v>
      </c>
      <c r="G2086" s="311">
        <v>0.1529138911868711</v>
      </c>
      <c r="H2086" s="311">
        <v>1.7680110714071568E-3</v>
      </c>
      <c r="I2086" s="394">
        <v>1.914852574673494E-3</v>
      </c>
      <c r="J2086" s="689">
        <v>1.4124626980320594E-4</v>
      </c>
      <c r="K2086" s="690">
        <v>1.4763279935266723E-4</v>
      </c>
    </row>
    <row r="2087" spans="2:11" ht="15.75" x14ac:dyDescent="0.25">
      <c r="B2087" s="667" t="s">
        <v>104</v>
      </c>
      <c r="C2087" s="110">
        <v>2017</v>
      </c>
      <c r="D2087" s="687" t="s">
        <v>2862</v>
      </c>
      <c r="E2087" s="688">
        <v>3.9899479202001188E-2</v>
      </c>
      <c r="F2087" s="310">
        <v>3.2791668406830378E-2</v>
      </c>
      <c r="G2087" s="311">
        <v>0.13111513724416518</v>
      </c>
      <c r="H2087" s="311">
        <v>1.7298442951263438E-3</v>
      </c>
      <c r="I2087" s="394">
        <v>1.8745757559700052E-3</v>
      </c>
      <c r="J2087" s="689">
        <v>1.2840068835664916E-4</v>
      </c>
      <c r="K2087" s="690">
        <v>1.3420639771452079E-4</v>
      </c>
    </row>
    <row r="2088" spans="2:11" ht="15.75" x14ac:dyDescent="0.25">
      <c r="B2088" s="667" t="s">
        <v>104</v>
      </c>
      <c r="C2088" s="110">
        <v>2018</v>
      </c>
      <c r="D2088" s="687" t="s">
        <v>2863</v>
      </c>
      <c r="E2088" s="688">
        <v>3.8901275206457968E-2</v>
      </c>
      <c r="F2088" s="310">
        <v>2.7448673159913235E-2</v>
      </c>
      <c r="G2088" s="311">
        <v>0.11236590251525376</v>
      </c>
      <c r="H2088" s="311">
        <v>1.7201451304588713E-3</v>
      </c>
      <c r="I2088" s="394">
        <v>1.864997649390975E-3</v>
      </c>
      <c r="J2088" s="689">
        <v>1.1775771676389602E-4</v>
      </c>
      <c r="K2088" s="690">
        <v>1.2308219817383086E-4</v>
      </c>
    </row>
    <row r="2089" spans="2:11" ht="15.75" x14ac:dyDescent="0.25">
      <c r="B2089" s="667" t="s">
        <v>104</v>
      </c>
      <c r="C2089" s="110">
        <v>2019</v>
      </c>
      <c r="D2089" s="687" t="s">
        <v>2864</v>
      </c>
      <c r="E2089" s="688">
        <v>3.7874855315884748E-2</v>
      </c>
      <c r="F2089" s="310">
        <v>2.3112880090258553E-2</v>
      </c>
      <c r="G2089" s="311">
        <v>9.6557350255051064E-2</v>
      </c>
      <c r="H2089" s="311">
        <v>1.7280828264106495E-3</v>
      </c>
      <c r="I2089" s="394">
        <v>1.8744076940592138E-3</v>
      </c>
      <c r="J2089" s="689">
        <v>1.0885578426346228E-4</v>
      </c>
      <c r="K2089" s="690">
        <v>1.1377775978746712E-4</v>
      </c>
    </row>
    <row r="2090" spans="2:11" ht="15.75" x14ac:dyDescent="0.25">
      <c r="B2090" s="667" t="s">
        <v>104</v>
      </c>
      <c r="C2090" s="110">
        <v>2020</v>
      </c>
      <c r="D2090" s="687" t="s">
        <v>2865</v>
      </c>
      <c r="E2090" s="688">
        <v>3.6831052977090495E-2</v>
      </c>
      <c r="F2090" s="310">
        <v>1.9641636332607553E-2</v>
      </c>
      <c r="G2090" s="311">
        <v>8.3308479096579652E-2</v>
      </c>
      <c r="H2090" s="311">
        <v>1.6848283003641099E-3</v>
      </c>
      <c r="I2090" s="394">
        <v>1.8278535556853076E-3</v>
      </c>
      <c r="J2090" s="689">
        <v>1.0104863422596291E-4</v>
      </c>
      <c r="K2090" s="690">
        <v>1.0561760506898742E-4</v>
      </c>
    </row>
    <row r="2091" spans="2:11" ht="15.75" x14ac:dyDescent="0.25">
      <c r="B2091" s="667" t="s">
        <v>104</v>
      </c>
      <c r="C2091" s="110">
        <v>2021</v>
      </c>
      <c r="D2091" s="687" t="s">
        <v>2866</v>
      </c>
      <c r="E2091" s="688">
        <v>3.5777753042256465E-2</v>
      </c>
      <c r="F2091" s="310">
        <v>1.7080794515757069E-2</v>
      </c>
      <c r="G2091" s="311">
        <v>7.2361241702284029E-2</v>
      </c>
      <c r="H2091" s="311">
        <v>1.6173338150981687E-3</v>
      </c>
      <c r="I2091" s="394">
        <v>1.7548783836399738E-3</v>
      </c>
      <c r="J2091" s="689">
        <v>9.2802312945164449E-5</v>
      </c>
      <c r="K2091" s="690">
        <v>9.6998421732380174E-5</v>
      </c>
    </row>
    <row r="2092" spans="2:11" ht="15.75" x14ac:dyDescent="0.25">
      <c r="B2092" s="667" t="s">
        <v>104</v>
      </c>
      <c r="C2092" s="110">
        <v>2022</v>
      </c>
      <c r="D2092" s="687" t="s">
        <v>2867</v>
      </c>
      <c r="E2092" s="688">
        <v>3.4741509166897208E-2</v>
      </c>
      <c r="F2092" s="310">
        <v>1.4507790409669543E-2</v>
      </c>
      <c r="G2092" s="311">
        <v>6.2802944821427897E-2</v>
      </c>
      <c r="H2092" s="311">
        <v>1.5341165439656614E-3</v>
      </c>
      <c r="I2092" s="394">
        <v>1.664832215728599E-3</v>
      </c>
      <c r="J2092" s="689">
        <v>8.5048780392070548E-5</v>
      </c>
      <c r="K2092" s="690">
        <v>8.889430884302649E-5</v>
      </c>
    </row>
    <row r="2093" spans="2:11" ht="15.75" x14ac:dyDescent="0.25">
      <c r="B2093" s="667" t="s">
        <v>104</v>
      </c>
      <c r="C2093" s="110">
        <v>2023</v>
      </c>
      <c r="D2093" s="687" t="s">
        <v>2868</v>
      </c>
      <c r="E2093" s="688">
        <v>3.371259640315008E-2</v>
      </c>
      <c r="F2093" s="310">
        <v>1.2612670607786208E-2</v>
      </c>
      <c r="G2093" s="311">
        <v>5.5059251338598313E-2</v>
      </c>
      <c r="H2093" s="311">
        <v>1.460706075997076E-3</v>
      </c>
      <c r="I2093" s="394">
        <v>1.5853339616723498E-3</v>
      </c>
      <c r="J2093" s="689">
        <v>7.7545286676048558E-5</v>
      </c>
      <c r="K2093" s="690">
        <v>8.1051540437426168E-5</v>
      </c>
    </row>
    <row r="2094" spans="2:11" ht="15.75" x14ac:dyDescent="0.25">
      <c r="B2094" s="667" t="s">
        <v>104</v>
      </c>
      <c r="C2094" s="110">
        <v>2024</v>
      </c>
      <c r="D2094" s="687" t="s">
        <v>2869</v>
      </c>
      <c r="E2094" s="688">
        <v>3.2695767645374345E-2</v>
      </c>
      <c r="F2094" s="310">
        <v>1.110609190312052E-2</v>
      </c>
      <c r="G2094" s="311">
        <v>4.8694055429581405E-2</v>
      </c>
      <c r="H2094" s="311">
        <v>1.4076689943899976E-3</v>
      </c>
      <c r="I2094" s="394">
        <v>1.5280283754978538E-3</v>
      </c>
      <c r="J2094" s="689">
        <v>6.9162040957840051E-5</v>
      </c>
      <c r="K2094" s="690">
        <v>7.228924154794221E-5</v>
      </c>
    </row>
    <row r="2095" spans="2:11" ht="15.75" x14ac:dyDescent="0.25">
      <c r="B2095" s="667" t="s">
        <v>104</v>
      </c>
      <c r="C2095" s="110">
        <v>2025</v>
      </c>
      <c r="D2095" s="687" t="s">
        <v>2870</v>
      </c>
      <c r="E2095" s="688">
        <v>3.1689412517089392E-2</v>
      </c>
      <c r="F2095" s="310">
        <v>9.7650726413138836E-3</v>
      </c>
      <c r="G2095" s="311">
        <v>4.3461705883747107E-2</v>
      </c>
      <c r="H2095" s="311">
        <v>1.3516540026003478E-3</v>
      </c>
      <c r="I2095" s="394">
        <v>1.4674030841759164E-3</v>
      </c>
      <c r="J2095" s="689">
        <v>6.2362927564886035E-5</v>
      </c>
      <c r="K2095" s="690">
        <v>6.5182702417977529E-5</v>
      </c>
    </row>
    <row r="2096" spans="2:11" ht="15.75" x14ac:dyDescent="0.25">
      <c r="B2096" s="667" t="s">
        <v>104</v>
      </c>
      <c r="C2096" s="110">
        <v>2026</v>
      </c>
      <c r="D2096" s="687" t="s">
        <v>2871</v>
      </c>
      <c r="E2096" s="688">
        <v>3.0779184448600012E-2</v>
      </c>
      <c r="F2096" s="310">
        <v>8.6503569860655119E-3</v>
      </c>
      <c r="G2096" s="311">
        <v>3.9213901651068847E-2</v>
      </c>
      <c r="H2096" s="311">
        <v>1.2912287442788878E-3</v>
      </c>
      <c r="I2096" s="394">
        <v>1.4019740437918029E-3</v>
      </c>
      <c r="J2096" s="689">
        <v>5.5565001502706109E-5</v>
      </c>
      <c r="K2096" s="690">
        <v>5.8077404304616085E-5</v>
      </c>
    </row>
    <row r="2097" spans="2:11" ht="15.75" x14ac:dyDescent="0.25">
      <c r="B2097" s="667" t="s">
        <v>104</v>
      </c>
      <c r="C2097" s="110">
        <v>2027</v>
      </c>
      <c r="D2097" s="687" t="s">
        <v>2872</v>
      </c>
      <c r="E2097" s="688">
        <v>2.9951595886241404E-2</v>
      </c>
      <c r="F2097" s="310">
        <v>7.6948294556806211E-3</v>
      </c>
      <c r="G2097" s="311">
        <v>3.563227931077604E-2</v>
      </c>
      <c r="H2097" s="311">
        <v>1.2199764448569716E-3</v>
      </c>
      <c r="I2097" s="394">
        <v>1.324812126332138E-3</v>
      </c>
      <c r="J2097" s="689">
        <v>4.7753080303056131E-5</v>
      </c>
      <c r="K2097" s="690">
        <v>4.9912262693204828E-5</v>
      </c>
    </row>
    <row r="2098" spans="2:11" ht="15.75" x14ac:dyDescent="0.25">
      <c r="B2098" s="667" t="s">
        <v>104</v>
      </c>
      <c r="C2098" s="110">
        <v>2028</v>
      </c>
      <c r="D2098" s="687" t="s">
        <v>2873</v>
      </c>
      <c r="E2098" s="688">
        <v>2.9209188156934306E-2</v>
      </c>
      <c r="F2098" s="310">
        <v>6.8975792142576056E-3</v>
      </c>
      <c r="G2098" s="311">
        <v>3.2675831467303552E-2</v>
      </c>
      <c r="H2098" s="311">
        <v>1.1422590615520892E-3</v>
      </c>
      <c r="I2098" s="394">
        <v>1.24054455219385E-3</v>
      </c>
      <c r="J2098" s="689">
        <v>4.1684240389307069E-5</v>
      </c>
      <c r="K2098" s="690">
        <v>4.3569016768634355E-5</v>
      </c>
    </row>
    <row r="2099" spans="2:11" ht="15.75" x14ac:dyDescent="0.25">
      <c r="B2099" s="667" t="s">
        <v>104</v>
      </c>
      <c r="C2099" s="110">
        <v>2029</v>
      </c>
      <c r="D2099" s="687" t="s">
        <v>2874</v>
      </c>
      <c r="E2099" s="688">
        <v>2.8545239716955412E-2</v>
      </c>
      <c r="F2099" s="310">
        <v>6.19267501565012E-3</v>
      </c>
      <c r="G2099" s="311">
        <v>3.0139672612809656E-2</v>
      </c>
      <c r="H2099" s="311">
        <v>1.0686873892752267E-3</v>
      </c>
      <c r="I2099" s="394">
        <v>1.1607278977365536E-3</v>
      </c>
      <c r="J2099" s="689">
        <v>3.6982206214133693E-5</v>
      </c>
      <c r="K2099" s="690">
        <v>3.8654377473027187E-5</v>
      </c>
    </row>
    <row r="2100" spans="2:11" ht="15.75" x14ac:dyDescent="0.25">
      <c r="B2100" s="667" t="s">
        <v>104</v>
      </c>
      <c r="C2100" s="110">
        <v>2030</v>
      </c>
      <c r="D2100" s="687" t="s">
        <v>2875</v>
      </c>
      <c r="E2100" s="688">
        <v>2.7954797594323819E-2</v>
      </c>
      <c r="F2100" s="310">
        <v>5.599072486029393E-3</v>
      </c>
      <c r="G2100" s="311">
        <v>2.8029860510758162E-2</v>
      </c>
      <c r="H2100" s="311">
        <v>1.0005658608405869E-3</v>
      </c>
      <c r="I2100" s="394">
        <v>1.0867996533022587E-3</v>
      </c>
      <c r="J2100" s="689">
        <v>3.320331198306666E-5</v>
      </c>
      <c r="K2100" s="690">
        <v>3.4704618413426172E-5</v>
      </c>
    </row>
    <row r="2101" spans="2:11" ht="15.75" x14ac:dyDescent="0.25">
      <c r="B2101" s="667" t="s">
        <v>104</v>
      </c>
      <c r="C2101" s="110">
        <v>2031</v>
      </c>
      <c r="D2101" s="687" t="s">
        <v>2876</v>
      </c>
      <c r="E2101" s="688">
        <v>2.7430972222317818E-2</v>
      </c>
      <c r="F2101" s="310">
        <v>5.1314338982828261E-3</v>
      </c>
      <c r="G2101" s="311">
        <v>2.6271258633635896E-2</v>
      </c>
      <c r="H2101" s="311">
        <v>9.4772874921912511E-4</v>
      </c>
      <c r="I2101" s="394">
        <v>1.0294417494207727E-3</v>
      </c>
      <c r="J2101" s="689">
        <v>3.0671767581270027E-5</v>
      </c>
      <c r="K2101" s="690">
        <v>3.2058608807342129E-5</v>
      </c>
    </row>
    <row r="2102" spans="2:11" ht="15.75" x14ac:dyDescent="0.25">
      <c r="B2102" s="667" t="s">
        <v>104</v>
      </c>
      <c r="C2102" s="110">
        <v>2032</v>
      </c>
      <c r="D2102" s="687" t="s">
        <v>2877</v>
      </c>
      <c r="E2102" s="688">
        <v>2.6968891357335992E-2</v>
      </c>
      <c r="F2102" s="310">
        <v>4.6725284971556409E-3</v>
      </c>
      <c r="G2102" s="311">
        <v>2.473368238604157E-2</v>
      </c>
      <c r="H2102" s="311">
        <v>8.8903869448576922E-4</v>
      </c>
      <c r="I2102" s="394">
        <v>9.6571924178304918E-4</v>
      </c>
      <c r="J2102" s="689">
        <v>2.8116485374200711E-5</v>
      </c>
      <c r="K2102" s="690">
        <v>2.9387788077766034E-5</v>
      </c>
    </row>
    <row r="2103" spans="2:11" ht="15.75" x14ac:dyDescent="0.25">
      <c r="B2103" s="667" t="s">
        <v>104</v>
      </c>
      <c r="C2103" s="110">
        <v>2033</v>
      </c>
      <c r="D2103" s="687" t="s">
        <v>2878</v>
      </c>
      <c r="E2103" s="688">
        <v>2.6563934208592269E-2</v>
      </c>
      <c r="F2103" s="310">
        <v>4.2758702584416563E-3</v>
      </c>
      <c r="G2103" s="311">
        <v>2.3456229544178333E-2</v>
      </c>
      <c r="H2103" s="311">
        <v>8.357237602687179E-4</v>
      </c>
      <c r="I2103" s="394">
        <v>9.0781019347265792E-4</v>
      </c>
      <c r="J2103" s="689">
        <v>2.6327554672133247E-5</v>
      </c>
      <c r="K2103" s="690">
        <v>2.7517969867613498E-5</v>
      </c>
    </row>
    <row r="2104" spans="2:11" ht="15.75" x14ac:dyDescent="0.25">
      <c r="B2104" s="667" t="s">
        <v>104</v>
      </c>
      <c r="C2104" s="110">
        <v>2034</v>
      </c>
      <c r="D2104" s="687" t="s">
        <v>2879</v>
      </c>
      <c r="E2104" s="688">
        <v>2.6209830379657378E-2</v>
      </c>
      <c r="F2104" s="310">
        <v>3.9219752317174597E-3</v>
      </c>
      <c r="G2104" s="311">
        <v>2.2376574729382863E-2</v>
      </c>
      <c r="H2104" s="311">
        <v>7.8673156389616711E-4</v>
      </c>
      <c r="I2104" s="394">
        <v>8.5459460454918922E-4</v>
      </c>
      <c r="J2104" s="689">
        <v>2.4725344977879916E-5</v>
      </c>
      <c r="K2104" s="690">
        <v>2.5843315360686295E-5</v>
      </c>
    </row>
    <row r="2105" spans="2:11" ht="15.75" x14ac:dyDescent="0.25">
      <c r="B2105" s="667" t="s">
        <v>104</v>
      </c>
      <c r="C2105" s="110">
        <v>2035</v>
      </c>
      <c r="D2105" s="687" t="s">
        <v>2880</v>
      </c>
      <c r="E2105" s="688">
        <v>2.5902877613399961E-2</v>
      </c>
      <c r="F2105" s="310">
        <v>3.6117477960692455E-3</v>
      </c>
      <c r="G2105" s="311">
        <v>2.1478955160512726E-2</v>
      </c>
      <c r="H2105" s="311">
        <v>7.4230000976608474E-4</v>
      </c>
      <c r="I2105" s="394">
        <v>8.0633167803856375E-4</v>
      </c>
      <c r="J2105" s="689">
        <v>2.329899424635945E-5</v>
      </c>
      <c r="K2105" s="690">
        <v>2.4352471378424036E-5</v>
      </c>
    </row>
    <row r="2106" spans="2:11" ht="15.75" x14ac:dyDescent="0.25">
      <c r="B2106" s="667" t="s">
        <v>104</v>
      </c>
      <c r="C2106" s="110">
        <v>2036</v>
      </c>
      <c r="D2106" s="687" t="s">
        <v>2881</v>
      </c>
      <c r="E2106" s="688">
        <v>2.5638704233048124E-2</v>
      </c>
      <c r="F2106" s="310">
        <v>3.3419537385774695E-3</v>
      </c>
      <c r="G2106" s="311">
        <v>2.0728155444518555E-2</v>
      </c>
      <c r="H2106" s="311">
        <v>7.038231049204004E-4</v>
      </c>
      <c r="I2106" s="394">
        <v>7.6453802991686135E-4</v>
      </c>
      <c r="J2106" s="689">
        <v>2.2036558655637352E-5</v>
      </c>
      <c r="K2106" s="690">
        <v>2.3032954052264479E-5</v>
      </c>
    </row>
    <row r="2107" spans="2:11" ht="15.75" x14ac:dyDescent="0.25">
      <c r="B2107" s="667" t="s">
        <v>104</v>
      </c>
      <c r="C2107" s="110">
        <v>2037</v>
      </c>
      <c r="D2107" s="687" t="s">
        <v>2882</v>
      </c>
      <c r="E2107" s="688">
        <v>2.5413890582011722E-2</v>
      </c>
      <c r="F2107" s="310">
        <v>3.1138635250955241E-3</v>
      </c>
      <c r="G2107" s="311">
        <v>2.0116581500256307E-2</v>
      </c>
      <c r="H2107" s="311">
        <v>6.6994425157517216E-4</v>
      </c>
      <c r="I2107" s="394">
        <v>7.2773602808224886E-4</v>
      </c>
      <c r="J2107" s="689">
        <v>2.0990149103122231E-5</v>
      </c>
      <c r="K2107" s="690">
        <v>2.1939230503158286E-5</v>
      </c>
    </row>
    <row r="2108" spans="2:11" ht="15.75" x14ac:dyDescent="0.25">
      <c r="B2108" s="667" t="s">
        <v>104</v>
      </c>
      <c r="C2108" s="110">
        <v>2038</v>
      </c>
      <c r="D2108" s="687" t="s">
        <v>2883</v>
      </c>
      <c r="E2108" s="688">
        <v>2.5224301694479475E-2</v>
      </c>
      <c r="F2108" s="310">
        <v>2.9088812779084002E-3</v>
      </c>
      <c r="G2108" s="311">
        <v>1.9569136146419936E-2</v>
      </c>
      <c r="H2108" s="311">
        <v>6.4022313084114292E-4</v>
      </c>
      <c r="I2108" s="394">
        <v>6.9544824689703037E-4</v>
      </c>
      <c r="J2108" s="689">
        <v>2.0125280490075473E-5</v>
      </c>
      <c r="K2108" s="690">
        <v>2.1035256369227118E-5</v>
      </c>
    </row>
    <row r="2109" spans="2:11" ht="15.75" x14ac:dyDescent="0.25">
      <c r="B2109" s="667" t="s">
        <v>104</v>
      </c>
      <c r="C2109" s="110">
        <v>2039</v>
      </c>
      <c r="D2109" s="687" t="s">
        <v>2884</v>
      </c>
      <c r="E2109" s="688">
        <v>2.5065483371611876E-2</v>
      </c>
      <c r="F2109" s="310">
        <v>2.7160288063878221E-3</v>
      </c>
      <c r="G2109" s="311">
        <v>1.9052941180657732E-2</v>
      </c>
      <c r="H2109" s="311">
        <v>6.1420228240613916E-4</v>
      </c>
      <c r="I2109" s="394">
        <v>6.671788675918491E-4</v>
      </c>
      <c r="J2109" s="689">
        <v>1.9401574484376312E-5</v>
      </c>
      <c r="K2109" s="690">
        <v>2.0278827589348117E-5</v>
      </c>
    </row>
    <row r="2110" spans="2:11" ht="15.75" x14ac:dyDescent="0.25">
      <c r="B2110" s="667" t="s">
        <v>104</v>
      </c>
      <c r="C2110" s="110">
        <v>2040</v>
      </c>
      <c r="D2110" s="687" t="s">
        <v>2885</v>
      </c>
      <c r="E2110" s="688">
        <v>2.4933012507104241E-2</v>
      </c>
      <c r="F2110" s="310">
        <v>2.5479673463056378E-3</v>
      </c>
      <c r="G2110" s="311">
        <v>1.8632394273172353E-2</v>
      </c>
      <c r="H2110" s="311">
        <v>5.9182632082291841E-4</v>
      </c>
      <c r="I2110" s="394">
        <v>6.4286885053136289E-4</v>
      </c>
      <c r="J2110" s="689">
        <v>1.8790781580694771E-5</v>
      </c>
      <c r="K2110" s="690">
        <v>1.964041734091547E-5</v>
      </c>
    </row>
    <row r="2111" spans="2:11" ht="15.75" x14ac:dyDescent="0.25">
      <c r="B2111" s="667" t="s">
        <v>104</v>
      </c>
      <c r="C2111" s="110">
        <v>2041</v>
      </c>
      <c r="D2111" s="687" t="s">
        <v>2886</v>
      </c>
      <c r="E2111" s="688">
        <v>2.4824471551326718E-2</v>
      </c>
      <c r="F2111" s="310">
        <v>2.4179766011840497E-3</v>
      </c>
      <c r="G2111" s="311">
        <v>1.8304416616860136E-2</v>
      </c>
      <c r="H2111" s="311">
        <v>5.7438706408725025E-4</v>
      </c>
      <c r="I2111" s="394">
        <v>6.2392330277021165E-4</v>
      </c>
      <c r="J2111" s="689">
        <v>1.8289666016430588E-5</v>
      </c>
      <c r="K2111" s="690">
        <v>1.9116643554502655E-5</v>
      </c>
    </row>
    <row r="2112" spans="2:11" ht="15.75" x14ac:dyDescent="0.25">
      <c r="B2112" s="667" t="s">
        <v>104</v>
      </c>
      <c r="C2112" s="110">
        <v>2042</v>
      </c>
      <c r="D2112" s="687" t="s">
        <v>2887</v>
      </c>
      <c r="E2112" s="688">
        <v>2.4734733850055757E-2</v>
      </c>
      <c r="F2112" s="310">
        <v>2.3084188063534137E-3</v>
      </c>
      <c r="G2112" s="311">
        <v>1.8009739974373926E-2</v>
      </c>
      <c r="H2112" s="311">
        <v>5.5969344750526429E-4</v>
      </c>
      <c r="I2112" s="394">
        <v>6.0795994669510527E-4</v>
      </c>
      <c r="J2112" s="689">
        <v>1.7881587209435377E-5</v>
      </c>
      <c r="K2112" s="690">
        <v>1.8690113234677988E-5</v>
      </c>
    </row>
    <row r="2113" spans="2:11" ht="15.75" x14ac:dyDescent="0.25">
      <c r="B2113" s="667" t="s">
        <v>104</v>
      </c>
      <c r="C2113" s="110">
        <v>2043</v>
      </c>
      <c r="D2113" s="687" t="s">
        <v>2888</v>
      </c>
      <c r="E2113" s="688">
        <v>2.4661527178936635E-2</v>
      </c>
      <c r="F2113" s="310">
        <v>2.2261062001788729E-3</v>
      </c>
      <c r="G2113" s="311">
        <v>1.7791201110179705E-2</v>
      </c>
      <c r="H2113" s="311">
        <v>5.4743909943964222E-4</v>
      </c>
      <c r="I2113" s="394">
        <v>5.9464573909373498E-4</v>
      </c>
      <c r="J2113" s="689">
        <v>1.7562677448375309E-5</v>
      </c>
      <c r="K2113" s="690">
        <v>1.8356783789363888E-5</v>
      </c>
    </row>
    <row r="2114" spans="2:11" ht="15.75" x14ac:dyDescent="0.25">
      <c r="B2114" s="667" t="s">
        <v>104</v>
      </c>
      <c r="C2114" s="110">
        <v>2044</v>
      </c>
      <c r="D2114" s="687" t="s">
        <v>2889</v>
      </c>
      <c r="E2114" s="688">
        <v>2.4601694880685344E-2</v>
      </c>
      <c r="F2114" s="310">
        <v>2.1651462112928111E-3</v>
      </c>
      <c r="G2114" s="311">
        <v>1.7618900984829995E-2</v>
      </c>
      <c r="H2114" s="311">
        <v>5.372119613622872E-4</v>
      </c>
      <c r="I2114" s="394">
        <v>5.8353382617501676E-4</v>
      </c>
      <c r="J2114" s="689">
        <v>1.7302318820925865E-5</v>
      </c>
      <c r="K2114" s="690">
        <v>1.8084652900105472E-5</v>
      </c>
    </row>
    <row r="2115" spans="2:11" ht="15.75" x14ac:dyDescent="0.25">
      <c r="B2115" s="667" t="s">
        <v>104</v>
      </c>
      <c r="C2115" s="110">
        <v>2045</v>
      </c>
      <c r="D2115" s="687" t="s">
        <v>2890</v>
      </c>
      <c r="E2115" s="688">
        <v>2.4551121309409781E-2</v>
      </c>
      <c r="F2115" s="310">
        <v>2.124271348988425E-3</v>
      </c>
      <c r="G2115" s="311">
        <v>1.7503016667657939E-2</v>
      </c>
      <c r="H2115" s="311">
        <v>5.2871167061905948E-4</v>
      </c>
      <c r="I2115" s="394">
        <v>5.7429757400059638E-4</v>
      </c>
      <c r="J2115" s="689">
        <v>1.7099618046443332E-5</v>
      </c>
      <c r="K2115" s="690">
        <v>1.7872786896072216E-5</v>
      </c>
    </row>
    <row r="2116" spans="2:11" ht="15.75" x14ac:dyDescent="0.25">
      <c r="B2116" s="667" t="s">
        <v>104</v>
      </c>
      <c r="C2116" s="110">
        <v>2046</v>
      </c>
      <c r="D2116" s="687" t="s">
        <v>2891</v>
      </c>
      <c r="E2116" s="688">
        <v>2.4509865596380506E-2</v>
      </c>
      <c r="F2116" s="310">
        <v>2.0890527657369605E-3</v>
      </c>
      <c r="G2116" s="311">
        <v>1.740716366912191E-2</v>
      </c>
      <c r="H2116" s="311">
        <v>5.2174198373013841E-4</v>
      </c>
      <c r="I2116" s="394">
        <v>5.66724082512817E-4</v>
      </c>
      <c r="J2116" s="689">
        <v>1.6942005837627502E-5</v>
      </c>
      <c r="K2116" s="690">
        <v>1.7708048162567546E-5</v>
      </c>
    </row>
    <row r="2117" spans="2:11" ht="15.75" x14ac:dyDescent="0.25">
      <c r="B2117" s="667" t="s">
        <v>104</v>
      </c>
      <c r="C2117" s="110">
        <v>2047</v>
      </c>
      <c r="D2117" s="687" t="s">
        <v>2892</v>
      </c>
      <c r="E2117" s="688">
        <v>2.4476837600941926E-2</v>
      </c>
      <c r="F2117" s="310">
        <v>2.0567618051196739E-3</v>
      </c>
      <c r="G2117" s="311">
        <v>1.7312032092166339E-2</v>
      </c>
      <c r="H2117" s="311">
        <v>5.1600625578747839E-4</v>
      </c>
      <c r="I2117" s="394">
        <v>5.6049149442826567E-4</v>
      </c>
      <c r="J2117" s="689">
        <v>1.6811284958239987E-5</v>
      </c>
      <c r="K2117" s="690">
        <v>1.7571416665079451E-5</v>
      </c>
    </row>
    <row r="2118" spans="2:11" ht="15.75" x14ac:dyDescent="0.25">
      <c r="B2118" s="667" t="s">
        <v>104</v>
      </c>
      <c r="C2118" s="110">
        <v>2048</v>
      </c>
      <c r="D2118" s="687" t="s">
        <v>2893</v>
      </c>
      <c r="E2118" s="688">
        <v>2.4450231240525151E-2</v>
      </c>
      <c r="F2118" s="310">
        <v>2.0297472444610943E-3</v>
      </c>
      <c r="G2118" s="311">
        <v>1.722836544450328E-2</v>
      </c>
      <c r="H2118" s="311">
        <v>5.1129086861264174E-4</v>
      </c>
      <c r="I2118" s="394">
        <v>5.5536773946205297E-4</v>
      </c>
      <c r="J2118" s="689">
        <v>1.670134400473843E-5</v>
      </c>
      <c r="K2118" s="690">
        <v>1.7456504669516301E-5</v>
      </c>
    </row>
    <row r="2119" spans="2:11" ht="15.75" x14ac:dyDescent="0.25">
      <c r="B2119" s="667" t="s">
        <v>104</v>
      </c>
      <c r="C2119" s="110">
        <v>2049</v>
      </c>
      <c r="D2119" s="687" t="s">
        <v>2894</v>
      </c>
      <c r="E2119" s="688">
        <v>2.4428039660366708E-2</v>
      </c>
      <c r="F2119" s="310">
        <v>2.0200552661887249E-3</v>
      </c>
      <c r="G2119" s="311">
        <v>1.7234805220969446E-2</v>
      </c>
      <c r="H2119" s="311">
        <v>5.0829699913289609E-4</v>
      </c>
      <c r="I2119" s="394">
        <v>5.5211509912881599E-4</v>
      </c>
      <c r="J2119" s="689">
        <v>1.6619554416993459E-5</v>
      </c>
      <c r="K2119" s="690">
        <v>1.7371016919549421E-5</v>
      </c>
    </row>
    <row r="2120" spans="2:11" ht="15.75" x14ac:dyDescent="0.25">
      <c r="B2120" s="667" t="s">
        <v>104</v>
      </c>
      <c r="C2120" s="110">
        <v>2050</v>
      </c>
      <c r="D2120" s="687" t="s">
        <v>2895</v>
      </c>
      <c r="E2120" s="688">
        <v>2.4410381632361765E-2</v>
      </c>
      <c r="F2120" s="310">
        <v>2.0126402625666616E-3</v>
      </c>
      <c r="G2120" s="311">
        <v>1.7243997352866813E-2</v>
      </c>
      <c r="H2120" s="311">
        <v>5.0589791514042757E-4</v>
      </c>
      <c r="I2120" s="394">
        <v>5.4950899452609883E-4</v>
      </c>
      <c r="J2120" s="689">
        <v>1.6545971320706651E-5</v>
      </c>
      <c r="K2120" s="690">
        <v>1.729410672216866E-5</v>
      </c>
    </row>
    <row r="2121" spans="2:11" ht="15.75" x14ac:dyDescent="0.25">
      <c r="B2121" s="667" t="s">
        <v>105</v>
      </c>
      <c r="C2121" s="110">
        <v>2015</v>
      </c>
      <c r="D2121" s="687" t="s">
        <v>325</v>
      </c>
      <c r="E2121" s="688">
        <v>4.5261570737754095E-2</v>
      </c>
      <c r="F2121" s="310">
        <v>4.3729125037586337E-2</v>
      </c>
      <c r="G2121" s="311">
        <v>0.17663293576332481</v>
      </c>
      <c r="H2121" s="311">
        <v>1.6612325318122385E-3</v>
      </c>
      <c r="I2121" s="394">
        <v>1.7966110729751808E-3</v>
      </c>
      <c r="J2121" s="689">
        <v>1.6858798463170933E-4</v>
      </c>
      <c r="K2121" s="690">
        <v>1.7621078519865303E-4</v>
      </c>
    </row>
    <row r="2122" spans="2:11" ht="15.75" x14ac:dyDescent="0.25">
      <c r="B2122" s="667" t="s">
        <v>105</v>
      </c>
      <c r="C2122" s="110">
        <v>2016</v>
      </c>
      <c r="D2122" s="687" t="s">
        <v>326</v>
      </c>
      <c r="E2122" s="688">
        <v>4.4441884003429022E-2</v>
      </c>
      <c r="F2122" s="310">
        <v>3.5788740001263204E-2</v>
      </c>
      <c r="G2122" s="311">
        <v>0.14858152713279657</v>
      </c>
      <c r="H2122" s="311">
        <v>1.5655279565538784E-3</v>
      </c>
      <c r="I2122" s="394">
        <v>1.6944383760478016E-3</v>
      </c>
      <c r="J2122" s="689">
        <v>1.4583262000748015E-4</v>
      </c>
      <c r="K2122" s="690">
        <v>1.5242652396155112E-4</v>
      </c>
    </row>
    <row r="2123" spans="2:11" ht="15.75" x14ac:dyDescent="0.25">
      <c r="B2123" s="667" t="s">
        <v>105</v>
      </c>
      <c r="C2123" s="110">
        <v>2017</v>
      </c>
      <c r="D2123" s="687" t="s">
        <v>2896</v>
      </c>
      <c r="E2123" s="688">
        <v>4.3401623333680507E-2</v>
      </c>
      <c r="F2123" s="310">
        <v>2.9389876528208615E-2</v>
      </c>
      <c r="G2123" s="311">
        <v>0.12572947276103894</v>
      </c>
      <c r="H2123" s="311">
        <v>1.5287102928756833E-3</v>
      </c>
      <c r="I2123" s="394">
        <v>1.6557586383302333E-3</v>
      </c>
      <c r="J2123" s="689">
        <v>1.3128880873634582E-4</v>
      </c>
      <c r="K2123" s="690">
        <v>1.3722510608194335E-4</v>
      </c>
    </row>
    <row r="2124" spans="2:11" ht="15.75" x14ac:dyDescent="0.25">
      <c r="B2124" s="667" t="s">
        <v>105</v>
      </c>
      <c r="C2124" s="110">
        <v>2018</v>
      </c>
      <c r="D2124" s="687" t="s">
        <v>2897</v>
      </c>
      <c r="E2124" s="688">
        <v>4.2308017997280956E-2</v>
      </c>
      <c r="F2124" s="310">
        <v>2.4089817320735799E-2</v>
      </c>
      <c r="G2124" s="311">
        <v>0.10628475018688373</v>
      </c>
      <c r="H2124" s="311">
        <v>1.5230146577407721E-3</v>
      </c>
      <c r="I2124" s="394">
        <v>1.6506317042306925E-3</v>
      </c>
      <c r="J2124" s="689">
        <v>1.1904838874454268E-4</v>
      </c>
      <c r="K2124" s="690">
        <v>1.2443122861416944E-4</v>
      </c>
    </row>
    <row r="2125" spans="2:11" ht="15.75" x14ac:dyDescent="0.25">
      <c r="B2125" s="667" t="s">
        <v>105</v>
      </c>
      <c r="C2125" s="110">
        <v>2019</v>
      </c>
      <c r="D2125" s="687" t="s">
        <v>2898</v>
      </c>
      <c r="E2125" s="688">
        <v>4.1178108118524515E-2</v>
      </c>
      <c r="F2125" s="310">
        <v>1.954170115111609E-2</v>
      </c>
      <c r="G2125" s="311">
        <v>8.9825692414296957E-2</v>
      </c>
      <c r="H2125" s="311">
        <v>1.5114963118228234E-3</v>
      </c>
      <c r="I2125" s="394">
        <v>1.6389731039720148E-3</v>
      </c>
      <c r="J2125" s="689">
        <v>1.0793483674873183E-4</v>
      </c>
      <c r="K2125" s="690">
        <v>1.1281517111276477E-4</v>
      </c>
    </row>
    <row r="2126" spans="2:11" ht="15.75" x14ac:dyDescent="0.25">
      <c r="B2126" s="667" t="s">
        <v>105</v>
      </c>
      <c r="C2126" s="110">
        <v>2020</v>
      </c>
      <c r="D2126" s="687" t="s">
        <v>2899</v>
      </c>
      <c r="E2126" s="688">
        <v>4.0025487091471586E-2</v>
      </c>
      <c r="F2126" s="310">
        <v>1.6304610792078719E-2</v>
      </c>
      <c r="G2126" s="311">
        <v>7.6499958866353801E-2</v>
      </c>
      <c r="H2126" s="311">
        <v>1.4839274047102012E-3</v>
      </c>
      <c r="I2126" s="394">
        <v>1.6095129143068746E-3</v>
      </c>
      <c r="J2126" s="689">
        <v>9.8965927732871318E-5</v>
      </c>
      <c r="K2126" s="690">
        <v>1.0344072783015152E-4</v>
      </c>
    </row>
    <row r="2127" spans="2:11" ht="15.75" x14ac:dyDescent="0.25">
      <c r="B2127" s="667" t="s">
        <v>105</v>
      </c>
      <c r="C2127" s="110">
        <v>2021</v>
      </c>
      <c r="D2127" s="687" t="s">
        <v>2900</v>
      </c>
      <c r="E2127" s="688">
        <v>3.8957576200193335E-2</v>
      </c>
      <c r="F2127" s="310">
        <v>1.3809059208034231E-2</v>
      </c>
      <c r="G2127" s="311">
        <v>6.5536895136817708E-2</v>
      </c>
      <c r="H2127" s="311">
        <v>1.4168026917419387E-3</v>
      </c>
      <c r="I2127" s="394">
        <v>1.5369964091326556E-3</v>
      </c>
      <c r="J2127" s="689">
        <v>8.9204672820805439E-5</v>
      </c>
      <c r="K2127" s="690">
        <v>9.3238112285889155E-5</v>
      </c>
    </row>
    <row r="2128" spans="2:11" ht="15.75" x14ac:dyDescent="0.25">
      <c r="B2128" s="667" t="s">
        <v>105</v>
      </c>
      <c r="C2128" s="110">
        <v>2022</v>
      </c>
      <c r="D2128" s="687" t="s">
        <v>2901</v>
      </c>
      <c r="E2128" s="688">
        <v>3.7800653105665952E-2</v>
      </c>
      <c r="F2128" s="310">
        <v>1.1649161431288337E-2</v>
      </c>
      <c r="G2128" s="311">
        <v>5.6423941758158992E-2</v>
      </c>
      <c r="H2128" s="311">
        <v>1.3475984566667914E-3</v>
      </c>
      <c r="I2128" s="394">
        <v>1.4621848373819993E-3</v>
      </c>
      <c r="J2128" s="689">
        <v>8.0600608051950581E-5</v>
      </c>
      <c r="K2128" s="690">
        <v>8.4245009888158615E-5</v>
      </c>
    </row>
    <row r="2129" spans="2:11" ht="15.75" x14ac:dyDescent="0.25">
      <c r="B2129" s="667" t="s">
        <v>105</v>
      </c>
      <c r="C2129" s="110">
        <v>2023</v>
      </c>
      <c r="D2129" s="687" t="s">
        <v>2902</v>
      </c>
      <c r="E2129" s="688">
        <v>3.6653691519165407E-2</v>
      </c>
      <c r="F2129" s="310">
        <v>1.0052203700024666E-2</v>
      </c>
      <c r="G2129" s="311">
        <v>4.9133878877934356E-2</v>
      </c>
      <c r="H2129" s="311">
        <v>1.2844689450656767E-3</v>
      </c>
      <c r="I2129" s="394">
        <v>1.393856352921795E-3</v>
      </c>
      <c r="J2129" s="689">
        <v>7.3146590141599671E-5</v>
      </c>
      <c r="K2129" s="690">
        <v>7.6453954364616233E-5</v>
      </c>
    </row>
    <row r="2130" spans="2:11" ht="15.75" x14ac:dyDescent="0.25">
      <c r="B2130" s="667" t="s">
        <v>105</v>
      </c>
      <c r="C2130" s="110">
        <v>2024</v>
      </c>
      <c r="D2130" s="687" t="s">
        <v>2903</v>
      </c>
      <c r="E2130" s="688">
        <v>3.5523881604787817E-2</v>
      </c>
      <c r="F2130" s="310">
        <v>8.712078505231655E-3</v>
      </c>
      <c r="G2130" s="311">
        <v>4.3125213457483907E-2</v>
      </c>
      <c r="H2130" s="311">
        <v>1.2257290032707687E-3</v>
      </c>
      <c r="I2130" s="394">
        <v>1.3303487201149907E-3</v>
      </c>
      <c r="J2130" s="689">
        <v>6.4573068779781695E-5</v>
      </c>
      <c r="K2130" s="690">
        <v>6.7492776411254431E-5</v>
      </c>
    </row>
    <row r="2131" spans="2:11" ht="15.75" x14ac:dyDescent="0.25">
      <c r="B2131" s="667" t="s">
        <v>105</v>
      </c>
      <c r="C2131" s="110">
        <v>2025</v>
      </c>
      <c r="D2131" s="687" t="s">
        <v>2904</v>
      </c>
      <c r="E2131" s="688">
        <v>3.441231628145669E-2</v>
      </c>
      <c r="F2131" s="310">
        <v>7.6016552350741361E-3</v>
      </c>
      <c r="G2131" s="311">
        <v>3.8260330932873857E-2</v>
      </c>
      <c r="H2131" s="311">
        <v>1.1759459958155343E-3</v>
      </c>
      <c r="I2131" s="394">
        <v>1.2764796374287784E-3</v>
      </c>
      <c r="J2131" s="689">
        <v>5.8249944980060732E-5</v>
      </c>
      <c r="K2131" s="690">
        <v>6.0883749011756467E-5</v>
      </c>
    </row>
    <row r="2132" spans="2:11" ht="15.75" x14ac:dyDescent="0.25">
      <c r="B2132" s="667" t="s">
        <v>105</v>
      </c>
      <c r="C2132" s="110">
        <v>2026</v>
      </c>
      <c r="D2132" s="687" t="s">
        <v>2905</v>
      </c>
      <c r="E2132" s="688">
        <v>3.3386427628274915E-2</v>
      </c>
      <c r="F2132" s="310">
        <v>6.6984541757450968E-3</v>
      </c>
      <c r="G2132" s="311">
        <v>3.4392282525539983E-2</v>
      </c>
      <c r="H2132" s="311">
        <v>1.1243507115661845E-3</v>
      </c>
      <c r="I2132" s="394">
        <v>1.2206125545965655E-3</v>
      </c>
      <c r="J2132" s="689">
        <v>5.2419607281115952E-5</v>
      </c>
      <c r="K2132" s="690">
        <v>5.4789789313805702E-5</v>
      </c>
    </row>
    <row r="2133" spans="2:11" ht="15.75" x14ac:dyDescent="0.25">
      <c r="B2133" s="667" t="s">
        <v>105</v>
      </c>
      <c r="C2133" s="110">
        <v>2027</v>
      </c>
      <c r="D2133" s="687" t="s">
        <v>2906</v>
      </c>
      <c r="E2133" s="688">
        <v>3.2435269455174963E-2</v>
      </c>
      <c r="F2133" s="310">
        <v>5.9479443048152088E-3</v>
      </c>
      <c r="G2133" s="311">
        <v>3.1234689872614328E-2</v>
      </c>
      <c r="H2133" s="311">
        <v>1.0635577697420608E-3</v>
      </c>
      <c r="I2133" s="394">
        <v>1.1548184574135985E-3</v>
      </c>
      <c r="J2133" s="689">
        <v>4.4781752152547328E-5</v>
      </c>
      <c r="K2133" s="690">
        <v>4.6806584268803463E-5</v>
      </c>
    </row>
    <row r="2134" spans="2:11" ht="15.75" x14ac:dyDescent="0.25">
      <c r="B2134" s="667" t="s">
        <v>105</v>
      </c>
      <c r="C2134" s="110">
        <v>2028</v>
      </c>
      <c r="D2134" s="687" t="s">
        <v>2907</v>
      </c>
      <c r="E2134" s="688">
        <v>3.1566425188454504E-2</v>
      </c>
      <c r="F2134" s="310">
        <v>5.3269292482877326E-3</v>
      </c>
      <c r="G2134" s="311">
        <v>2.8682172976822892E-2</v>
      </c>
      <c r="H2134" s="311">
        <v>9.9675386368726121E-4</v>
      </c>
      <c r="I2134" s="394">
        <v>1.0824312084756163E-3</v>
      </c>
      <c r="J2134" s="689">
        <v>3.8455147972843367E-5</v>
      </c>
      <c r="K2134" s="690">
        <v>4.0193919121983532E-5</v>
      </c>
    </row>
    <row r="2135" spans="2:11" ht="15.75" x14ac:dyDescent="0.25">
      <c r="B2135" s="667" t="s">
        <v>105</v>
      </c>
      <c r="C2135" s="110">
        <v>2029</v>
      </c>
      <c r="D2135" s="687" t="s">
        <v>2908</v>
      </c>
      <c r="E2135" s="688">
        <v>3.0774346427656512E-2</v>
      </c>
      <c r="F2135" s="310">
        <v>4.792631685969116E-3</v>
      </c>
      <c r="G2135" s="311">
        <v>2.6558537089159319E-2</v>
      </c>
      <c r="H2135" s="311">
        <v>9.3229940199351989E-4</v>
      </c>
      <c r="I2135" s="394">
        <v>1.0125338430005484E-3</v>
      </c>
      <c r="J2135" s="689">
        <v>3.3670740819996481E-5</v>
      </c>
      <c r="K2135" s="690">
        <v>3.5193182308177161E-5</v>
      </c>
    </row>
    <row r="2136" spans="2:11" ht="15.75" x14ac:dyDescent="0.25">
      <c r="B2136" s="667" t="s">
        <v>105</v>
      </c>
      <c r="C2136" s="110">
        <v>2030</v>
      </c>
      <c r="D2136" s="687" t="s">
        <v>2909</v>
      </c>
      <c r="E2136" s="688">
        <v>3.0060749732118398E-2</v>
      </c>
      <c r="F2136" s="310">
        <v>4.3493391242595937E-3</v>
      </c>
      <c r="G2136" s="311">
        <v>2.4845333666812811E-2</v>
      </c>
      <c r="H2136" s="311">
        <v>8.7233751872293824E-4</v>
      </c>
      <c r="I2136" s="394">
        <v>9.4747253398401346E-4</v>
      </c>
      <c r="J2136" s="689">
        <v>3.0067022341312626E-5</v>
      </c>
      <c r="K2136" s="690">
        <v>3.1426519671151157E-5</v>
      </c>
    </row>
    <row r="2137" spans="2:11" ht="15.75" x14ac:dyDescent="0.25">
      <c r="B2137" s="667" t="s">
        <v>105</v>
      </c>
      <c r="C2137" s="110">
        <v>2031</v>
      </c>
      <c r="D2137" s="687" t="s">
        <v>2910</v>
      </c>
      <c r="E2137" s="688">
        <v>2.941787010965476E-2</v>
      </c>
      <c r="F2137" s="310">
        <v>3.9673233489325391E-3</v>
      </c>
      <c r="G2137" s="311">
        <v>2.3423395339685047E-2</v>
      </c>
      <c r="H2137" s="311">
        <v>8.1741923830338289E-4</v>
      </c>
      <c r="I2137" s="394">
        <v>8.8783280852035512E-4</v>
      </c>
      <c r="J2137" s="689">
        <v>2.7968760126716142E-5</v>
      </c>
      <c r="K2137" s="690">
        <v>2.9233383350111284E-5</v>
      </c>
    </row>
    <row r="2138" spans="2:11" ht="15.75" x14ac:dyDescent="0.25">
      <c r="B2138" s="667" t="s">
        <v>105</v>
      </c>
      <c r="C2138" s="110">
        <v>2032</v>
      </c>
      <c r="D2138" s="687" t="s">
        <v>2911</v>
      </c>
      <c r="E2138" s="688">
        <v>2.8843971777566854E-2</v>
      </c>
      <c r="F2138" s="310">
        <v>3.6403897912802132E-3</v>
      </c>
      <c r="G2138" s="311">
        <v>2.2273336738494937E-2</v>
      </c>
      <c r="H2138" s="311">
        <v>7.6632045208568521E-4</v>
      </c>
      <c r="I2138" s="394">
        <v>8.3235931867037987E-4</v>
      </c>
      <c r="J2138" s="689">
        <v>2.558289956199996E-5</v>
      </c>
      <c r="K2138" s="690">
        <v>2.6739644757758118E-5</v>
      </c>
    </row>
    <row r="2139" spans="2:11" ht="15.75" x14ac:dyDescent="0.25">
      <c r="B2139" s="667" t="s">
        <v>105</v>
      </c>
      <c r="C2139" s="110">
        <v>2033</v>
      </c>
      <c r="D2139" s="687" t="s">
        <v>2912</v>
      </c>
      <c r="E2139" s="688">
        <v>2.8334880959080228E-2</v>
      </c>
      <c r="F2139" s="310">
        <v>3.3610021533852629E-3</v>
      </c>
      <c r="G2139" s="311">
        <v>2.1341114029471562E-2</v>
      </c>
      <c r="H2139" s="311">
        <v>7.2021608325562557E-4</v>
      </c>
      <c r="I2139" s="394">
        <v>7.8228415581603787E-4</v>
      </c>
      <c r="J2139" s="689">
        <v>2.3988946284152461E-5</v>
      </c>
      <c r="K2139" s="690">
        <v>2.5073619985749262E-5</v>
      </c>
    </row>
    <row r="2140" spans="2:11" ht="15.75" x14ac:dyDescent="0.25">
      <c r="B2140" s="667" t="s">
        <v>105</v>
      </c>
      <c r="C2140" s="110">
        <v>2034</v>
      </c>
      <c r="D2140" s="687" t="s">
        <v>2913</v>
      </c>
      <c r="E2140" s="688">
        <v>2.7881982598669568E-2</v>
      </c>
      <c r="F2140" s="310">
        <v>3.1144257214773259E-3</v>
      </c>
      <c r="G2140" s="311">
        <v>2.0568035652187032E-2</v>
      </c>
      <c r="H2140" s="311">
        <v>6.7830343457818073E-4</v>
      </c>
      <c r="I2140" s="394">
        <v>7.3676022683394652E-4</v>
      </c>
      <c r="J2140" s="689">
        <v>2.2575385397433303E-5</v>
      </c>
      <c r="K2140" s="690">
        <v>2.3596144148316204E-5</v>
      </c>
    </row>
    <row r="2141" spans="2:11" ht="15.75" x14ac:dyDescent="0.25">
      <c r="B2141" s="667" t="s">
        <v>105</v>
      </c>
      <c r="C2141" s="110">
        <v>2035</v>
      </c>
      <c r="D2141" s="687" t="s">
        <v>2914</v>
      </c>
      <c r="E2141" s="688">
        <v>2.7483208041432183E-2</v>
      </c>
      <c r="F2141" s="310">
        <v>2.8969217707506788E-3</v>
      </c>
      <c r="G2141" s="311">
        <v>1.992633396580739E-2</v>
      </c>
      <c r="H2141" s="311">
        <v>6.4045994349031465E-4</v>
      </c>
      <c r="I2141" s="394">
        <v>6.956554283571116E-4</v>
      </c>
      <c r="J2141" s="689">
        <v>2.1314026131325181E-5</v>
      </c>
      <c r="K2141" s="690">
        <v>2.2277751813393601E-5</v>
      </c>
    </row>
    <row r="2142" spans="2:11" ht="15.75" x14ac:dyDescent="0.25">
      <c r="B2142" s="667" t="s">
        <v>105</v>
      </c>
      <c r="C2142" s="110">
        <v>2036</v>
      </c>
      <c r="D2142" s="687" t="s">
        <v>2915</v>
      </c>
      <c r="E2142" s="688">
        <v>2.7134216934054534E-2</v>
      </c>
      <c r="F2142" s="310">
        <v>2.7098200658783318E-3</v>
      </c>
      <c r="G2142" s="311">
        <v>1.94103517535534E-2</v>
      </c>
      <c r="H2142" s="311">
        <v>6.0744216651612503E-4</v>
      </c>
      <c r="I2142" s="394">
        <v>6.5979528103673817E-4</v>
      </c>
      <c r="J2142" s="689">
        <v>2.0141237590093842E-5</v>
      </c>
      <c r="K2142" s="690">
        <v>2.1051934978499722E-5</v>
      </c>
    </row>
    <row r="2143" spans="2:11" ht="15.75" x14ac:dyDescent="0.25">
      <c r="B2143" s="667" t="s">
        <v>105</v>
      </c>
      <c r="C2143" s="110">
        <v>2037</v>
      </c>
      <c r="D2143" s="687" t="s">
        <v>2916</v>
      </c>
      <c r="E2143" s="688">
        <v>2.68319166499063E-2</v>
      </c>
      <c r="F2143" s="310">
        <v>2.5500004595984784E-3</v>
      </c>
      <c r="G2143" s="311">
        <v>1.8991182893373679E-2</v>
      </c>
      <c r="H2143" s="311">
        <v>5.7852146696265564E-4</v>
      </c>
      <c r="I2143" s="394">
        <v>6.2838086425399617E-4</v>
      </c>
      <c r="J2143" s="689">
        <v>1.9209506625780833E-5</v>
      </c>
      <c r="K2143" s="690">
        <v>2.0078075274475424E-5</v>
      </c>
    </row>
    <row r="2144" spans="2:11" ht="15.75" x14ac:dyDescent="0.25">
      <c r="B2144" s="667" t="s">
        <v>105</v>
      </c>
      <c r="C2144" s="110">
        <v>2038</v>
      </c>
      <c r="D2144" s="687" t="s">
        <v>2917</v>
      </c>
      <c r="E2144" s="688">
        <v>2.6571221907747231E-2</v>
      </c>
      <c r="F2144" s="310">
        <v>2.4071929169299359E-3</v>
      </c>
      <c r="G2144" s="311">
        <v>1.8618466562910354E-2</v>
      </c>
      <c r="H2144" s="311">
        <v>5.5321916463161561E-4</v>
      </c>
      <c r="I2144" s="394">
        <v>6.0089478951215946E-4</v>
      </c>
      <c r="J2144" s="689">
        <v>1.8442848752874434E-5</v>
      </c>
      <c r="K2144" s="690">
        <v>1.9276752534550106E-5</v>
      </c>
    </row>
    <row r="2145" spans="2:11" ht="15.75" x14ac:dyDescent="0.25">
      <c r="B2145" s="667" t="s">
        <v>105</v>
      </c>
      <c r="C2145" s="110">
        <v>2039</v>
      </c>
      <c r="D2145" s="687" t="s">
        <v>2918</v>
      </c>
      <c r="E2145" s="688">
        <v>2.6346945239874624E-2</v>
      </c>
      <c r="F2145" s="310">
        <v>2.2777884256824413E-3</v>
      </c>
      <c r="G2145" s="311">
        <v>1.8287647063999438E-2</v>
      </c>
      <c r="H2145" s="311">
        <v>5.3121014681533252E-4</v>
      </c>
      <c r="I2145" s="394">
        <v>5.7698486730144486E-4</v>
      </c>
      <c r="J2145" s="689">
        <v>1.7808220880710928E-5</v>
      </c>
      <c r="K2145" s="690">
        <v>1.861342960612688E-5</v>
      </c>
    </row>
    <row r="2146" spans="2:11" ht="15.75" x14ac:dyDescent="0.25">
      <c r="B2146" s="667" t="s">
        <v>105</v>
      </c>
      <c r="C2146" s="110">
        <v>2040</v>
      </c>
      <c r="D2146" s="687" t="s">
        <v>2919</v>
      </c>
      <c r="E2146" s="688">
        <v>2.6155013622059544E-2</v>
      </c>
      <c r="F2146" s="310">
        <v>2.1637998643395137E-3</v>
      </c>
      <c r="G2146" s="311">
        <v>1.8009358444875116E-2</v>
      </c>
      <c r="H2146" s="311">
        <v>5.1223206462469866E-4</v>
      </c>
      <c r="I2146" s="394">
        <v>5.5636779163404531E-4</v>
      </c>
      <c r="J2146" s="689">
        <v>1.7257898321024421E-5</v>
      </c>
      <c r="K2146" s="690">
        <v>1.8038223902311516E-5</v>
      </c>
    </row>
    <row r="2147" spans="2:11" ht="15.75" x14ac:dyDescent="0.25">
      <c r="B2147" s="667" t="s">
        <v>105</v>
      </c>
      <c r="C2147" s="110">
        <v>2041</v>
      </c>
      <c r="D2147" s="687" t="s">
        <v>2920</v>
      </c>
      <c r="E2147" s="688">
        <v>2.5992451610701552E-2</v>
      </c>
      <c r="F2147" s="310">
        <v>2.0726926645016834E-3</v>
      </c>
      <c r="G2147" s="311">
        <v>1.778568310703664E-2</v>
      </c>
      <c r="H2147" s="311">
        <v>4.9710053368088398E-4</v>
      </c>
      <c r="I2147" s="394">
        <v>5.3992928630729653E-4</v>
      </c>
      <c r="J2147" s="689">
        <v>1.6823328550782742E-5</v>
      </c>
      <c r="K2147" s="690">
        <v>1.7584004815434323E-5</v>
      </c>
    </row>
    <row r="2148" spans="2:11" ht="15.75" x14ac:dyDescent="0.25">
      <c r="B2148" s="667" t="s">
        <v>105</v>
      </c>
      <c r="C2148" s="110">
        <v>2042</v>
      </c>
      <c r="D2148" s="687" t="s">
        <v>2921</v>
      </c>
      <c r="E2148" s="688">
        <v>2.5852758919095862E-2</v>
      </c>
      <c r="F2148" s="310">
        <v>1.9955931277024679E-3</v>
      </c>
      <c r="G2148" s="311">
        <v>1.758279593034023E-2</v>
      </c>
      <c r="H2148" s="311">
        <v>4.8444955257271406E-4</v>
      </c>
      <c r="I2148" s="394">
        <v>5.2618497969014223E-4</v>
      </c>
      <c r="J2148" s="689">
        <v>1.64743164483676E-5</v>
      </c>
      <c r="K2148" s="690">
        <v>1.7219211934466242E-5</v>
      </c>
    </row>
    <row r="2149" spans="2:11" ht="15.75" x14ac:dyDescent="0.25">
      <c r="B2149" s="667" t="s">
        <v>105</v>
      </c>
      <c r="C2149" s="110">
        <v>2043</v>
      </c>
      <c r="D2149" s="687" t="s">
        <v>2922</v>
      </c>
      <c r="E2149" s="688">
        <v>2.5735019958138285E-2</v>
      </c>
      <c r="F2149" s="310">
        <v>1.9369062858326034E-3</v>
      </c>
      <c r="G2149" s="311">
        <v>1.743268222692225E-2</v>
      </c>
      <c r="H2149" s="311">
        <v>4.7397070333315082E-4</v>
      </c>
      <c r="I2149" s="394">
        <v>5.148001952908442E-4</v>
      </c>
      <c r="J2149" s="689">
        <v>1.6193017161015819E-5</v>
      </c>
      <c r="K2149" s="690">
        <v>1.6925193541587513E-5</v>
      </c>
    </row>
    <row r="2150" spans="2:11" ht="15.75" x14ac:dyDescent="0.25">
      <c r="B2150" s="667" t="s">
        <v>105</v>
      </c>
      <c r="C2150" s="110">
        <v>2044</v>
      </c>
      <c r="D2150" s="687" t="s">
        <v>2923</v>
      </c>
      <c r="E2150" s="688">
        <v>2.5635073435103291E-2</v>
      </c>
      <c r="F2150" s="310">
        <v>1.8923379092322182E-3</v>
      </c>
      <c r="G2150" s="311">
        <v>1.7311819148682479E-2</v>
      </c>
      <c r="H2150" s="311">
        <v>4.6532131495791249E-4</v>
      </c>
      <c r="I2150" s="394">
        <v>5.0540256528295332E-4</v>
      </c>
      <c r="J2150" s="689">
        <v>1.597192269536323E-5</v>
      </c>
      <c r="K2150" s="690">
        <v>1.6694102165290286E-5</v>
      </c>
    </row>
    <row r="2151" spans="2:11" ht="15.75" x14ac:dyDescent="0.25">
      <c r="B2151" s="667" t="s">
        <v>105</v>
      </c>
      <c r="C2151" s="110">
        <v>2045</v>
      </c>
      <c r="D2151" s="687" t="s">
        <v>2924</v>
      </c>
      <c r="E2151" s="688">
        <v>2.5547096231663933E-2</v>
      </c>
      <c r="F2151" s="310">
        <v>1.8621911558227722E-3</v>
      </c>
      <c r="G2151" s="311">
        <v>1.7234388684781311E-2</v>
      </c>
      <c r="H2151" s="311">
        <v>4.582107640464611E-4</v>
      </c>
      <c r="I2151" s="394">
        <v>4.9767663261641201E-4</v>
      </c>
      <c r="J2151" s="689">
        <v>1.5796345032607973E-5</v>
      </c>
      <c r="K2151" s="690">
        <v>1.6510585659739553E-5</v>
      </c>
    </row>
    <row r="2152" spans="2:11" ht="15.75" x14ac:dyDescent="0.25">
      <c r="B2152" s="667" t="s">
        <v>105</v>
      </c>
      <c r="C2152" s="110">
        <v>2046</v>
      </c>
      <c r="D2152" s="687" t="s">
        <v>2925</v>
      </c>
      <c r="E2152" s="688">
        <v>2.5471163646803869E-2</v>
      </c>
      <c r="F2152" s="310">
        <v>1.8364132621728601E-3</v>
      </c>
      <c r="G2152" s="311">
        <v>1.7170821610826066E-2</v>
      </c>
      <c r="H2152" s="311">
        <v>4.5240624975472377E-4</v>
      </c>
      <c r="I2152" s="394">
        <v>4.9136945147510412E-4</v>
      </c>
      <c r="J2152" s="689">
        <v>1.5660470867191679E-5</v>
      </c>
      <c r="K2152" s="690">
        <v>1.6368567867495824E-5</v>
      </c>
    </row>
    <row r="2153" spans="2:11" ht="15.75" x14ac:dyDescent="0.25">
      <c r="B2153" s="667" t="s">
        <v>105</v>
      </c>
      <c r="C2153" s="110">
        <v>2047</v>
      </c>
      <c r="D2153" s="687" t="s">
        <v>2926</v>
      </c>
      <c r="E2153" s="688">
        <v>2.5408416320695487E-2</v>
      </c>
      <c r="F2153" s="310">
        <v>1.8139149988987879E-3</v>
      </c>
      <c r="G2153" s="311">
        <v>1.7110272470876545E-2</v>
      </c>
      <c r="H2153" s="311">
        <v>4.476839143132089E-4</v>
      </c>
      <c r="I2153" s="394">
        <v>4.8623836142043107E-4</v>
      </c>
      <c r="J2153" s="689">
        <v>1.5545296120934998E-5</v>
      </c>
      <c r="K2153" s="690">
        <v>1.6248185430293791E-5</v>
      </c>
    </row>
    <row r="2154" spans="2:11" ht="15.75" x14ac:dyDescent="0.25">
      <c r="B2154" s="667" t="s">
        <v>105</v>
      </c>
      <c r="C2154" s="110">
        <v>2048</v>
      </c>
      <c r="D2154" s="687" t="s">
        <v>2927</v>
      </c>
      <c r="E2154" s="688">
        <v>2.5356230945525339E-2</v>
      </c>
      <c r="F2154" s="310">
        <v>1.7958209688215222E-3</v>
      </c>
      <c r="G2154" s="311">
        <v>1.7060120414794228E-2</v>
      </c>
      <c r="H2154" s="311">
        <v>4.4385846585600464E-4</v>
      </c>
      <c r="I2154" s="394">
        <v>4.8208202258502705E-4</v>
      </c>
      <c r="J2154" s="689">
        <v>1.544652722234919E-5</v>
      </c>
      <c r="K2154" s="690">
        <v>1.6144950640394427E-5</v>
      </c>
    </row>
    <row r="2155" spans="2:11" ht="15.75" x14ac:dyDescent="0.25">
      <c r="B2155" s="667" t="s">
        <v>105</v>
      </c>
      <c r="C2155" s="110">
        <v>2049</v>
      </c>
      <c r="D2155" s="687" t="s">
        <v>2928</v>
      </c>
      <c r="E2155" s="688">
        <v>2.5311231697957067E-2</v>
      </c>
      <c r="F2155" s="310">
        <v>1.7883734483682301E-3</v>
      </c>
      <c r="G2155" s="311">
        <v>1.7067378920964341E-2</v>
      </c>
      <c r="H2155" s="311">
        <v>4.4131164857881772E-4</v>
      </c>
      <c r="I2155" s="394">
        <v>4.7931489928466881E-4</v>
      </c>
      <c r="J2155" s="689">
        <v>1.5381091988455631E-5</v>
      </c>
      <c r="K2155" s="690">
        <v>1.6076556715588759E-5</v>
      </c>
    </row>
    <row r="2156" spans="2:11" ht="15.75" x14ac:dyDescent="0.25">
      <c r="B2156" s="667" t="s">
        <v>105</v>
      </c>
      <c r="C2156" s="110">
        <v>2050</v>
      </c>
      <c r="D2156" s="687" t="s">
        <v>2929</v>
      </c>
      <c r="E2156" s="688">
        <v>2.5275196169471926E-2</v>
      </c>
      <c r="F2156" s="310">
        <v>1.7824107174323289E-3</v>
      </c>
      <c r="G2156" s="311">
        <v>1.7074220673796148E-2</v>
      </c>
      <c r="H2156" s="311">
        <v>4.3930587603753876E-4</v>
      </c>
      <c r="I2156" s="394">
        <v>4.7713623368207566E-4</v>
      </c>
      <c r="J2156" s="689">
        <v>1.5315133292262558E-5</v>
      </c>
      <c r="K2156" s="690">
        <v>1.600761565984119E-5</v>
      </c>
    </row>
    <row r="2157" spans="2:11" ht="15.75" x14ac:dyDescent="0.25">
      <c r="B2157" s="667" t="s">
        <v>106</v>
      </c>
      <c r="C2157" s="110">
        <v>2015</v>
      </c>
      <c r="D2157" s="687" t="s">
        <v>327</v>
      </c>
      <c r="E2157" s="688">
        <v>4.6148092726537346E-2</v>
      </c>
      <c r="F2157" s="310">
        <v>6.8654692401963854E-2</v>
      </c>
      <c r="G2157" s="311">
        <v>0.27724371279434751</v>
      </c>
      <c r="H2157" s="311">
        <v>2.2066005999234022E-3</v>
      </c>
      <c r="I2157" s="394">
        <v>2.3869186837909995E-3</v>
      </c>
      <c r="J2157" s="689">
        <v>1.9713363446835139E-4</v>
      </c>
      <c r="K2157" s="690">
        <v>2.0604714265146291E-4</v>
      </c>
    </row>
    <row r="2158" spans="2:11" ht="15.75" x14ac:dyDescent="0.25">
      <c r="B2158" s="667" t="s">
        <v>106</v>
      </c>
      <c r="C2158" s="110">
        <v>2016</v>
      </c>
      <c r="D2158" s="687" t="s">
        <v>328</v>
      </c>
      <c r="E2158" s="688">
        <v>4.5244486953744188E-2</v>
      </c>
      <c r="F2158" s="310">
        <v>5.6369348658965285E-2</v>
      </c>
      <c r="G2158" s="311">
        <v>0.23573217453629966</v>
      </c>
      <c r="H2158" s="311">
        <v>1.9970150299087998E-3</v>
      </c>
      <c r="I2158" s="394">
        <v>2.1618809930784204E-3</v>
      </c>
      <c r="J2158" s="689">
        <v>1.663360039399862E-4</v>
      </c>
      <c r="K2158" s="690">
        <v>1.7385697993306637E-4</v>
      </c>
    </row>
    <row r="2159" spans="2:11" ht="15.75" x14ac:dyDescent="0.25">
      <c r="B2159" s="667" t="s">
        <v>106</v>
      </c>
      <c r="C2159" s="110">
        <v>2017</v>
      </c>
      <c r="D2159" s="687" t="s">
        <v>2930</v>
      </c>
      <c r="E2159" s="688">
        <v>4.4047492726792953E-2</v>
      </c>
      <c r="F2159" s="310">
        <v>4.7299838470102905E-2</v>
      </c>
      <c r="G2159" s="311">
        <v>0.2018431526952226</v>
      </c>
      <c r="H2159" s="311">
        <v>1.8777963845978119E-3</v>
      </c>
      <c r="I2159" s="394">
        <v>2.0338237646801301E-3</v>
      </c>
      <c r="J2159" s="689">
        <v>1.503443645470082E-4</v>
      </c>
      <c r="K2159" s="690">
        <v>1.5714226956858635E-4</v>
      </c>
    </row>
    <row r="2160" spans="2:11" ht="15.75" x14ac:dyDescent="0.25">
      <c r="B2160" s="667" t="s">
        <v>106</v>
      </c>
      <c r="C2160" s="110">
        <v>2018</v>
      </c>
      <c r="D2160" s="687" t="s">
        <v>2931</v>
      </c>
      <c r="E2160" s="688">
        <v>4.2813164803635582E-2</v>
      </c>
      <c r="F2160" s="310">
        <v>3.9132721841329911E-2</v>
      </c>
      <c r="G2160" s="311">
        <v>0.17155328878231571</v>
      </c>
      <c r="H2160" s="311">
        <v>1.7956100613352351E-3</v>
      </c>
      <c r="I2160" s="394">
        <v>1.9457997057247135E-3</v>
      </c>
      <c r="J2160" s="689">
        <v>1.3717132253965894E-4</v>
      </c>
      <c r="K2160" s="690">
        <v>1.4337360105617358E-4</v>
      </c>
    </row>
    <row r="2161" spans="2:11" ht="15.75" x14ac:dyDescent="0.25">
      <c r="B2161" s="667" t="s">
        <v>106</v>
      </c>
      <c r="C2161" s="110">
        <v>2019</v>
      </c>
      <c r="D2161" s="687" t="s">
        <v>2932</v>
      </c>
      <c r="E2161" s="688">
        <v>4.1552786889020719E-2</v>
      </c>
      <c r="F2161" s="310">
        <v>3.1841118393801347E-2</v>
      </c>
      <c r="G2161" s="311">
        <v>0.14494570469651072</v>
      </c>
      <c r="H2161" s="311">
        <v>1.708984486239572E-3</v>
      </c>
      <c r="I2161" s="394">
        <v>1.8527181197147279E-3</v>
      </c>
      <c r="J2161" s="689">
        <v>1.2361692608989645E-4</v>
      </c>
      <c r="K2161" s="690">
        <v>1.2920633494569622E-4</v>
      </c>
    </row>
    <row r="2162" spans="2:11" ht="15.75" x14ac:dyDescent="0.25">
      <c r="B2162" s="667" t="s">
        <v>106</v>
      </c>
      <c r="C2162" s="110">
        <v>2020</v>
      </c>
      <c r="D2162" s="687" t="s">
        <v>2933</v>
      </c>
      <c r="E2162" s="688">
        <v>4.0278426931378515E-2</v>
      </c>
      <c r="F2162" s="310">
        <v>2.6606701974274845E-2</v>
      </c>
      <c r="G2162" s="311">
        <v>0.12303991211157657</v>
      </c>
      <c r="H2162" s="311">
        <v>1.644116986937845E-3</v>
      </c>
      <c r="I2162" s="394">
        <v>1.782784822967934E-3</v>
      </c>
      <c r="J2162" s="689">
        <v>1.1466126700678402E-4</v>
      </c>
      <c r="K2162" s="690">
        <v>1.1984574069899432E-4</v>
      </c>
    </row>
    <row r="2163" spans="2:11" ht="15.75" x14ac:dyDescent="0.25">
      <c r="B2163" s="667" t="s">
        <v>106</v>
      </c>
      <c r="C2163" s="110">
        <v>2021</v>
      </c>
      <c r="D2163" s="687" t="s">
        <v>2934</v>
      </c>
      <c r="E2163" s="688">
        <v>3.9001055088149959E-2</v>
      </c>
      <c r="F2163" s="310">
        <v>2.2320952542283775E-2</v>
      </c>
      <c r="G2163" s="311">
        <v>0.10447074511379291</v>
      </c>
      <c r="H2163" s="311">
        <v>1.5583628735938058E-3</v>
      </c>
      <c r="I2163" s="394">
        <v>1.6900676295985228E-3</v>
      </c>
      <c r="J2163" s="689">
        <v>1.0531450564384165E-4</v>
      </c>
      <c r="K2163" s="690">
        <v>1.1007636026285829E-4</v>
      </c>
    </row>
    <row r="2164" spans="2:11" ht="15.75" x14ac:dyDescent="0.25">
      <c r="B2164" s="667" t="s">
        <v>106</v>
      </c>
      <c r="C2164" s="110">
        <v>2022</v>
      </c>
      <c r="D2164" s="687" t="s">
        <v>2935</v>
      </c>
      <c r="E2164" s="688">
        <v>3.7749480588756663E-2</v>
      </c>
      <c r="F2164" s="310">
        <v>1.8269253040542183E-2</v>
      </c>
      <c r="G2164" s="311">
        <v>8.8319331357122083E-2</v>
      </c>
      <c r="H2164" s="311">
        <v>1.4721596567940482E-3</v>
      </c>
      <c r="I2164" s="394">
        <v>1.5969291220584215E-3</v>
      </c>
      <c r="J2164" s="689">
        <v>9.6663606460939064E-5</v>
      </c>
      <c r="K2164" s="690">
        <v>1.0103430580670187E-4</v>
      </c>
    </row>
    <row r="2165" spans="2:11" ht="15.75" x14ac:dyDescent="0.25">
      <c r="B2165" s="667" t="s">
        <v>106</v>
      </c>
      <c r="C2165" s="110">
        <v>2023</v>
      </c>
      <c r="D2165" s="687" t="s">
        <v>2936</v>
      </c>
      <c r="E2165" s="688">
        <v>3.6520643624981433E-2</v>
      </c>
      <c r="F2165" s="310">
        <v>1.5434392053490403E-2</v>
      </c>
      <c r="G2165" s="311">
        <v>7.5373138800564524E-2</v>
      </c>
      <c r="H2165" s="311">
        <v>1.3906061928682118E-3</v>
      </c>
      <c r="I2165" s="394">
        <v>1.5087169206648287E-3</v>
      </c>
      <c r="J2165" s="689">
        <v>8.6221234821908026E-5</v>
      </c>
      <c r="K2165" s="690">
        <v>9.011977645949171E-5</v>
      </c>
    </row>
    <row r="2166" spans="2:11" ht="15.75" x14ac:dyDescent="0.25">
      <c r="B2166" s="667" t="s">
        <v>106</v>
      </c>
      <c r="C2166" s="110">
        <v>2024</v>
      </c>
      <c r="D2166" s="687" t="s">
        <v>2937</v>
      </c>
      <c r="E2166" s="688">
        <v>3.5318531964213196E-2</v>
      </c>
      <c r="F2166" s="310">
        <v>1.3124652107983839E-2</v>
      </c>
      <c r="G2166" s="311">
        <v>6.4846189388816297E-2</v>
      </c>
      <c r="H2166" s="311">
        <v>1.321155644075634E-3</v>
      </c>
      <c r="I2166" s="394">
        <v>1.4335893680706498E-3</v>
      </c>
      <c r="J2166" s="689">
        <v>7.7276882150138172E-5</v>
      </c>
      <c r="K2166" s="690">
        <v>8.0770999849881587E-5</v>
      </c>
    </row>
    <row r="2167" spans="2:11" ht="15.75" x14ac:dyDescent="0.25">
      <c r="B2167" s="667" t="s">
        <v>106</v>
      </c>
      <c r="C2167" s="110">
        <v>2025</v>
      </c>
      <c r="D2167" s="687" t="s">
        <v>2938</v>
      </c>
      <c r="E2167" s="688">
        <v>3.4143865999657304E-2</v>
      </c>
      <c r="F2167" s="310">
        <v>1.126543262838188E-2</v>
      </c>
      <c r="G2167" s="311">
        <v>5.6395252518420029E-2</v>
      </c>
      <c r="H2167" s="311">
        <v>1.2634338393566218E-3</v>
      </c>
      <c r="I2167" s="394">
        <v>1.3711497545013291E-3</v>
      </c>
      <c r="J2167" s="689">
        <v>6.9548360585513792E-5</v>
      </c>
      <c r="K2167" s="690">
        <v>7.2693028834911364E-5</v>
      </c>
    </row>
    <row r="2168" spans="2:11" ht="15.75" x14ac:dyDescent="0.25">
      <c r="B2168" s="667" t="s">
        <v>106</v>
      </c>
      <c r="C2168" s="110">
        <v>2026</v>
      </c>
      <c r="D2168" s="687" t="s">
        <v>2939</v>
      </c>
      <c r="E2168" s="688">
        <v>3.3077481552661499E-2</v>
      </c>
      <c r="F2168" s="310">
        <v>9.7575225876946683E-3</v>
      </c>
      <c r="G2168" s="311">
        <v>4.9635341919287854E-2</v>
      </c>
      <c r="H2168" s="311">
        <v>1.209083509812183E-3</v>
      </c>
      <c r="I2168" s="394">
        <v>1.312297136323639E-3</v>
      </c>
      <c r="J2168" s="689">
        <v>6.34994638730372E-5</v>
      </c>
      <c r="K2168" s="690">
        <v>6.6370627854678231E-5</v>
      </c>
    </row>
    <row r="2169" spans="2:11" ht="15.75" x14ac:dyDescent="0.25">
      <c r="B2169" s="667" t="s">
        <v>106</v>
      </c>
      <c r="C2169" s="110">
        <v>2027</v>
      </c>
      <c r="D2169" s="687" t="s">
        <v>2940</v>
      </c>
      <c r="E2169" s="688">
        <v>3.2106114262241185E-2</v>
      </c>
      <c r="F2169" s="310">
        <v>8.5038934430391837E-3</v>
      </c>
      <c r="G2169" s="311">
        <v>4.4045974535557933E-2</v>
      </c>
      <c r="H2169" s="311">
        <v>1.1474346677265615E-3</v>
      </c>
      <c r="I2169" s="394">
        <v>1.2456201362482033E-3</v>
      </c>
      <c r="J2169" s="689">
        <v>5.4742671765347164E-5</v>
      </c>
      <c r="K2169" s="690">
        <v>5.721789246556789E-5</v>
      </c>
    </row>
    <row r="2170" spans="2:11" ht="15.75" x14ac:dyDescent="0.25">
      <c r="B2170" s="667" t="s">
        <v>106</v>
      </c>
      <c r="C2170" s="110">
        <v>2028</v>
      </c>
      <c r="D2170" s="687" t="s">
        <v>2941</v>
      </c>
      <c r="E2170" s="688">
        <v>3.1235076505931322E-2</v>
      </c>
      <c r="F2170" s="310">
        <v>7.475182031109499E-3</v>
      </c>
      <c r="G2170" s="311">
        <v>3.9524299025795677E-2</v>
      </c>
      <c r="H2170" s="311">
        <v>1.0814311757129246E-3</v>
      </c>
      <c r="I2170" s="394">
        <v>1.1741523111640441E-3</v>
      </c>
      <c r="J2170" s="689">
        <v>4.7262090693109641E-5</v>
      </c>
      <c r="K2170" s="690">
        <v>4.939907271183071E-5</v>
      </c>
    </row>
    <row r="2171" spans="2:11" ht="15.75" x14ac:dyDescent="0.25">
      <c r="B2171" s="667" t="s">
        <v>106</v>
      </c>
      <c r="C2171" s="110">
        <v>2029</v>
      </c>
      <c r="D2171" s="687" t="s">
        <v>2942</v>
      </c>
      <c r="E2171" s="688">
        <v>3.0455438733590488E-2</v>
      </c>
      <c r="F2171" s="310">
        <v>6.6315621678583667E-3</v>
      </c>
      <c r="G2171" s="311">
        <v>3.585192768247196E-2</v>
      </c>
      <c r="H2171" s="311">
        <v>1.0168355045607311E-3</v>
      </c>
      <c r="I2171" s="394">
        <v>1.104181128313646E-3</v>
      </c>
      <c r="J2171" s="689">
        <v>4.0595453025003626E-5</v>
      </c>
      <c r="K2171" s="690">
        <v>4.2430999271139412E-5</v>
      </c>
    </row>
    <row r="2172" spans="2:11" ht="15.75" x14ac:dyDescent="0.25">
      <c r="B2172" s="667" t="s">
        <v>106</v>
      </c>
      <c r="C2172" s="110">
        <v>2030</v>
      </c>
      <c r="D2172" s="687" t="s">
        <v>2943</v>
      </c>
      <c r="E2172" s="688">
        <v>2.9761091817037216E-2</v>
      </c>
      <c r="F2172" s="310">
        <v>5.9231120360326356E-3</v>
      </c>
      <c r="G2172" s="311">
        <v>3.2818961149439593E-2</v>
      </c>
      <c r="H2172" s="311">
        <v>9.5675459260934537E-4</v>
      </c>
      <c r="I2172" s="394">
        <v>1.0390009208662905E-3</v>
      </c>
      <c r="J2172" s="689">
        <v>3.6742626561331913E-5</v>
      </c>
      <c r="K2172" s="690">
        <v>3.8403965091444692E-5</v>
      </c>
    </row>
    <row r="2173" spans="2:11" ht="15.75" x14ac:dyDescent="0.25">
      <c r="B2173" s="667" t="s">
        <v>106</v>
      </c>
      <c r="C2173" s="110">
        <v>2031</v>
      </c>
      <c r="D2173" s="687" t="s">
        <v>2944</v>
      </c>
      <c r="E2173" s="688">
        <v>2.9145799884873622E-2</v>
      </c>
      <c r="F2173" s="310">
        <v>5.2917756111101012E-3</v>
      </c>
      <c r="G2173" s="311">
        <v>3.0191278715035054E-2</v>
      </c>
      <c r="H2173" s="311">
        <v>8.9913124225923281E-4</v>
      </c>
      <c r="I2173" s="394">
        <v>9.7646337233514579E-4</v>
      </c>
      <c r="J2173" s="689">
        <v>3.3601613016094049E-5</v>
      </c>
      <c r="K2173" s="690">
        <v>3.5120928851732368E-5</v>
      </c>
    </row>
    <row r="2174" spans="2:11" ht="15.75" x14ac:dyDescent="0.25">
      <c r="B2174" s="667" t="s">
        <v>106</v>
      </c>
      <c r="C2174" s="110">
        <v>2032</v>
      </c>
      <c r="D2174" s="687" t="s">
        <v>2945</v>
      </c>
      <c r="E2174" s="688">
        <v>2.8603227156943228E-2</v>
      </c>
      <c r="F2174" s="310">
        <v>4.7662096733936E-3</v>
      </c>
      <c r="G2174" s="311">
        <v>2.8093062609321939E-2</v>
      </c>
      <c r="H2174" s="311">
        <v>8.4536515476162858E-4</v>
      </c>
      <c r="I2174" s="394">
        <v>9.1811121133040748E-4</v>
      </c>
      <c r="J2174" s="689">
        <v>3.0690395573849528E-5</v>
      </c>
      <c r="K2174" s="690">
        <v>3.2078079075085625E-5</v>
      </c>
    </row>
    <row r="2175" spans="2:11" ht="15.75" x14ac:dyDescent="0.25">
      <c r="B2175" s="667" t="s">
        <v>106</v>
      </c>
      <c r="C2175" s="110">
        <v>2033</v>
      </c>
      <c r="D2175" s="687" t="s">
        <v>2946</v>
      </c>
      <c r="E2175" s="688">
        <v>2.8127323270724161E-2</v>
      </c>
      <c r="F2175" s="310">
        <v>4.3230843650047639E-3</v>
      </c>
      <c r="G2175" s="311">
        <v>2.6403110388400854E-2</v>
      </c>
      <c r="H2175" s="311">
        <v>7.956764541492959E-4</v>
      </c>
      <c r="I2175" s="394">
        <v>8.6415470566235636E-4</v>
      </c>
      <c r="J2175" s="689">
        <v>2.8696565815902352E-5</v>
      </c>
      <c r="K2175" s="690">
        <v>2.9994097182972594E-5</v>
      </c>
    </row>
    <row r="2176" spans="2:11" ht="15.75" x14ac:dyDescent="0.25">
      <c r="B2176" s="667" t="s">
        <v>106</v>
      </c>
      <c r="C2176" s="110">
        <v>2034</v>
      </c>
      <c r="D2176" s="687" t="s">
        <v>2947</v>
      </c>
      <c r="E2176" s="688">
        <v>2.7710545829551923E-2</v>
      </c>
      <c r="F2176" s="310">
        <v>3.9273403078637498E-3</v>
      </c>
      <c r="G2176" s="311">
        <v>2.4946604753890649E-2</v>
      </c>
      <c r="H2176" s="311">
        <v>7.4877705751793166E-4</v>
      </c>
      <c r="I2176" s="394">
        <v>8.1322447013856337E-4</v>
      </c>
      <c r="J2176" s="689">
        <v>2.687624203775072E-5</v>
      </c>
      <c r="K2176" s="690">
        <v>2.8091466441140062E-5</v>
      </c>
    </row>
    <row r="2177" spans="2:11" ht="15.75" x14ac:dyDescent="0.25">
      <c r="B2177" s="667" t="s">
        <v>106</v>
      </c>
      <c r="C2177" s="110">
        <v>2035</v>
      </c>
      <c r="D2177" s="687" t="s">
        <v>2948</v>
      </c>
      <c r="E2177" s="688">
        <v>2.7349592415419413E-2</v>
      </c>
      <c r="F2177" s="310">
        <v>3.5893027351062007E-3</v>
      </c>
      <c r="G2177" s="311">
        <v>2.3777483563596765E-2</v>
      </c>
      <c r="H2177" s="311">
        <v>7.0557468078367752E-4</v>
      </c>
      <c r="I2177" s="394">
        <v>7.6630834293314807E-4</v>
      </c>
      <c r="J2177" s="689">
        <v>2.5214927845537292E-5</v>
      </c>
      <c r="K2177" s="690">
        <v>2.6355034993127327E-5</v>
      </c>
    </row>
    <row r="2178" spans="2:11" ht="15.75" x14ac:dyDescent="0.25">
      <c r="B2178" s="667" t="s">
        <v>106</v>
      </c>
      <c r="C2178" s="110">
        <v>2036</v>
      </c>
      <c r="D2178" s="687" t="s">
        <v>2949</v>
      </c>
      <c r="E2178" s="688">
        <v>2.7037339756971358E-2</v>
      </c>
      <c r="F2178" s="310">
        <v>3.6802498691236116E-3</v>
      </c>
      <c r="G2178" s="311">
        <v>2.3341149045713681E-2</v>
      </c>
      <c r="H2178" s="311">
        <v>7.4141387240263766E-4</v>
      </c>
      <c r="I2178" s="394">
        <v>8.0529316164369182E-4</v>
      </c>
      <c r="J2178" s="689">
        <v>2.5063241171838417E-5</v>
      </c>
      <c r="K2178" s="690">
        <v>2.6196489721143443E-5</v>
      </c>
    </row>
    <row r="2179" spans="2:11" ht="15.75" x14ac:dyDescent="0.25">
      <c r="B2179" s="667" t="s">
        <v>106</v>
      </c>
      <c r="C2179" s="110">
        <v>2037</v>
      </c>
      <c r="D2179" s="687" t="s">
        <v>2950</v>
      </c>
      <c r="E2179" s="688">
        <v>2.6771607206541748E-2</v>
      </c>
      <c r="F2179" s="310">
        <v>3.3861828064678558E-3</v>
      </c>
      <c r="G2179" s="311">
        <v>2.2472824366029914E-2</v>
      </c>
      <c r="H2179" s="311">
        <v>7.0217669546513177E-4</v>
      </c>
      <c r="I2179" s="394">
        <v>7.6269511107846151E-4</v>
      </c>
      <c r="J2179" s="689">
        <v>2.3270717919617966E-5</v>
      </c>
      <c r="K2179" s="690">
        <v>2.4322916521661704E-5</v>
      </c>
    </row>
    <row r="2180" spans="2:11" ht="15.75" x14ac:dyDescent="0.25">
      <c r="B2180" s="667" t="s">
        <v>106</v>
      </c>
      <c r="C2180" s="110">
        <v>2038</v>
      </c>
      <c r="D2180" s="687" t="s">
        <v>2951</v>
      </c>
      <c r="E2180" s="688">
        <v>2.6546621189971711E-2</v>
      </c>
      <c r="F2180" s="310">
        <v>3.1350951794797922E-3</v>
      </c>
      <c r="G2180" s="311">
        <v>2.1760065671391521E-2</v>
      </c>
      <c r="H2180" s="311">
        <v>6.6736833882627064E-4</v>
      </c>
      <c r="I2180" s="394">
        <v>7.2488790454205098E-4</v>
      </c>
      <c r="J2180" s="689">
        <v>2.2089444715368085E-5</v>
      </c>
      <c r="K2180" s="690">
        <v>2.3088231384937777E-5</v>
      </c>
    </row>
    <row r="2181" spans="2:11" ht="15.75" x14ac:dyDescent="0.25">
      <c r="B2181" s="667" t="s">
        <v>106</v>
      </c>
      <c r="C2181" s="110">
        <v>2039</v>
      </c>
      <c r="D2181" s="687" t="s">
        <v>2952</v>
      </c>
      <c r="E2181" s="688">
        <v>2.6355537669043853E-2</v>
      </c>
      <c r="F2181" s="310">
        <v>2.8870921197574439E-3</v>
      </c>
      <c r="G2181" s="311">
        <v>2.1057681381700714E-2</v>
      </c>
      <c r="H2181" s="311">
        <v>6.3597736738991496E-4</v>
      </c>
      <c r="I2181" s="394">
        <v>6.9078899056654525E-4</v>
      </c>
      <c r="J2181" s="689">
        <v>2.1107003774681966E-5</v>
      </c>
      <c r="K2181" s="690">
        <v>2.2061368824430928E-5</v>
      </c>
    </row>
    <row r="2182" spans="2:11" ht="15.75" x14ac:dyDescent="0.25">
      <c r="B2182" s="667" t="s">
        <v>106</v>
      </c>
      <c r="C2182" s="110">
        <v>2040</v>
      </c>
      <c r="D2182" s="687" t="s">
        <v>2953</v>
      </c>
      <c r="E2182" s="688">
        <v>2.6195950938153804E-2</v>
      </c>
      <c r="F2182" s="310">
        <v>2.6837913130629463E-3</v>
      </c>
      <c r="G2182" s="311">
        <v>2.0521539297489434E-2</v>
      </c>
      <c r="H2182" s="311">
        <v>6.0848106420387639E-4</v>
      </c>
      <c r="I2182" s="394">
        <v>6.6092017969720195E-4</v>
      </c>
      <c r="J2182" s="689">
        <v>2.0259167617418636E-5</v>
      </c>
      <c r="K2182" s="690">
        <v>2.1175197278353443E-5</v>
      </c>
    </row>
    <row r="2183" spans="2:11" ht="15.75" x14ac:dyDescent="0.25">
      <c r="B2183" s="667" t="s">
        <v>106</v>
      </c>
      <c r="C2183" s="110">
        <v>2041</v>
      </c>
      <c r="D2183" s="687" t="s">
        <v>2954</v>
      </c>
      <c r="E2183" s="688">
        <v>2.6064262779876675E-2</v>
      </c>
      <c r="F2183" s="310">
        <v>2.539834674545118E-3</v>
      </c>
      <c r="G2183" s="311">
        <v>2.0133519072954492E-2</v>
      </c>
      <c r="H2183" s="311">
        <v>5.8627896279008819E-4</v>
      </c>
      <c r="I2183" s="394">
        <v>6.3680709556642855E-4</v>
      </c>
      <c r="J2183" s="689">
        <v>1.9463265410146788E-5</v>
      </c>
      <c r="K2183" s="690">
        <v>2.0343307905032493E-5</v>
      </c>
    </row>
    <row r="2184" spans="2:11" ht="15.75" x14ac:dyDescent="0.25">
      <c r="B2184" s="667" t="s">
        <v>106</v>
      </c>
      <c r="C2184" s="110">
        <v>2042</v>
      </c>
      <c r="D2184" s="687" t="s">
        <v>2955</v>
      </c>
      <c r="E2184" s="688">
        <v>2.595438421258434E-2</v>
      </c>
      <c r="F2184" s="310">
        <v>2.4198280579879618E-3</v>
      </c>
      <c r="G2184" s="311">
        <v>1.9795175432139277E-2</v>
      </c>
      <c r="H2184" s="311">
        <v>5.6738862265596969E-4</v>
      </c>
      <c r="I2184" s="394">
        <v>6.1628698911816234E-4</v>
      </c>
      <c r="J2184" s="689">
        <v>1.887656049450876E-5</v>
      </c>
      <c r="K2184" s="690">
        <v>1.9730074796573844E-5</v>
      </c>
    </row>
    <row r="2185" spans="2:11" ht="15.75" x14ac:dyDescent="0.25">
      <c r="B2185" s="667" t="s">
        <v>106</v>
      </c>
      <c r="C2185" s="110">
        <v>2043</v>
      </c>
      <c r="D2185" s="687" t="s">
        <v>2956</v>
      </c>
      <c r="E2185" s="688">
        <v>2.5864274936046153E-2</v>
      </c>
      <c r="F2185" s="310">
        <v>2.3277533380345336E-3</v>
      </c>
      <c r="G2185" s="311">
        <v>1.9546156414396783E-2</v>
      </c>
      <c r="H2185" s="311">
        <v>5.5149046757723731E-4</v>
      </c>
      <c r="I2185" s="394">
        <v>5.9901529228070414E-4</v>
      </c>
      <c r="J2185" s="689">
        <v>1.8428252101225878E-5</v>
      </c>
      <c r="K2185" s="690">
        <v>1.9261495887085732E-5</v>
      </c>
    </row>
    <row r="2186" spans="2:11" ht="15.75" x14ac:dyDescent="0.25">
      <c r="B2186" s="667" t="s">
        <v>106</v>
      </c>
      <c r="C2186" s="110">
        <v>2044</v>
      </c>
      <c r="D2186" s="687" t="s">
        <v>2957</v>
      </c>
      <c r="E2186" s="688">
        <v>2.5788836563878148E-2</v>
      </c>
      <c r="F2186" s="310">
        <v>2.2521225284334702E-3</v>
      </c>
      <c r="G2186" s="311">
        <v>1.9319822799084792E-2</v>
      </c>
      <c r="H2186" s="311">
        <v>5.3805057443378243E-4</v>
      </c>
      <c r="I2186" s="394">
        <v>5.8441322951586171E-4</v>
      </c>
      <c r="J2186" s="689">
        <v>1.8073159347837874E-5</v>
      </c>
      <c r="K2186" s="690">
        <v>1.8890347415090237E-5</v>
      </c>
    </row>
    <row r="2187" spans="2:11" ht="15.75" x14ac:dyDescent="0.25">
      <c r="B2187" s="667" t="s">
        <v>106</v>
      </c>
      <c r="C2187" s="110">
        <v>2045</v>
      </c>
      <c r="D2187" s="687" t="s">
        <v>2958</v>
      </c>
      <c r="E2187" s="688">
        <v>2.5725192863854298E-2</v>
      </c>
      <c r="F2187" s="310">
        <v>2.1951956543499848E-3</v>
      </c>
      <c r="G2187" s="311">
        <v>1.9154164113706833E-2</v>
      </c>
      <c r="H2187" s="311">
        <v>5.2677817153948562E-4</v>
      </c>
      <c r="I2187" s="394">
        <v>5.7216515313476726E-4</v>
      </c>
      <c r="J2187" s="689">
        <v>1.7797287176998476E-5</v>
      </c>
      <c r="K2187" s="690">
        <v>1.8602001528850166E-5</v>
      </c>
    </row>
    <row r="2188" spans="2:11" ht="15.75" x14ac:dyDescent="0.25">
      <c r="B2188" s="667" t="s">
        <v>106</v>
      </c>
      <c r="C2188" s="110">
        <v>2046</v>
      </c>
      <c r="D2188" s="687" t="s">
        <v>2959</v>
      </c>
      <c r="E2188" s="688">
        <v>2.5672571432961581E-2</v>
      </c>
      <c r="F2188" s="310">
        <v>2.1470920632690378E-3</v>
      </c>
      <c r="G2188" s="311">
        <v>1.9025567695870035E-2</v>
      </c>
      <c r="H2188" s="311">
        <v>5.1747786413548096E-4</v>
      </c>
      <c r="I2188" s="394">
        <v>5.6206008743869427E-4</v>
      </c>
      <c r="J2188" s="689">
        <v>1.7564437241152312E-5</v>
      </c>
      <c r="K2188" s="690">
        <v>1.8358623152161277E-5</v>
      </c>
    </row>
    <row r="2189" spans="2:11" ht="15.75" x14ac:dyDescent="0.25">
      <c r="B2189" s="667" t="s">
        <v>106</v>
      </c>
      <c r="C2189" s="110">
        <v>2047</v>
      </c>
      <c r="D2189" s="687" t="s">
        <v>2960</v>
      </c>
      <c r="E2189" s="688">
        <v>2.5629494099065248E-2</v>
      </c>
      <c r="F2189" s="310">
        <v>2.1058003350207348E-3</v>
      </c>
      <c r="G2189" s="311">
        <v>1.8910969940263606E-2</v>
      </c>
      <c r="H2189" s="311">
        <v>5.0992542570149732E-4</v>
      </c>
      <c r="I2189" s="394">
        <v>5.5385371057640716E-4</v>
      </c>
      <c r="J2189" s="689">
        <v>1.7385348054359792E-5</v>
      </c>
      <c r="K2189" s="690">
        <v>1.8171436347038525E-5</v>
      </c>
    </row>
    <row r="2190" spans="2:11" ht="15.75" x14ac:dyDescent="0.25">
      <c r="B2190" s="667" t="s">
        <v>106</v>
      </c>
      <c r="C2190" s="110">
        <v>2048</v>
      </c>
      <c r="D2190" s="687" t="s">
        <v>2961</v>
      </c>
      <c r="E2190" s="688">
        <v>2.5593533789930237E-2</v>
      </c>
      <c r="F2190" s="310">
        <v>2.0738805772406613E-3</v>
      </c>
      <c r="G2190" s="311">
        <v>1.8821971360481145E-2</v>
      </c>
      <c r="H2190" s="311">
        <v>5.0381559203719413E-4</v>
      </c>
      <c r="I2190" s="394">
        <v>5.4721715973909176E-4</v>
      </c>
      <c r="J2190" s="689">
        <v>1.7185923773105996E-5</v>
      </c>
      <c r="K2190" s="690">
        <v>1.7962994984718577E-5</v>
      </c>
    </row>
    <row r="2191" spans="2:11" ht="15.75" x14ac:dyDescent="0.25">
      <c r="B2191" s="667" t="s">
        <v>106</v>
      </c>
      <c r="C2191" s="110">
        <v>2049</v>
      </c>
      <c r="D2191" s="687" t="s">
        <v>2962</v>
      </c>
      <c r="E2191" s="688">
        <v>2.5562984596955617E-2</v>
      </c>
      <c r="F2191" s="310">
        <v>2.0618366189590668E-3</v>
      </c>
      <c r="G2191" s="311">
        <v>1.8829770222769319E-2</v>
      </c>
      <c r="H2191" s="311">
        <v>4.9979904213821869E-4</v>
      </c>
      <c r="I2191" s="394">
        <v>5.4285421810771912E-4</v>
      </c>
      <c r="J2191" s="689">
        <v>1.705795278809155E-5</v>
      </c>
      <c r="K2191" s="690">
        <v>1.7829237719624603E-5</v>
      </c>
    </row>
    <row r="2192" spans="2:11" ht="15.75" x14ac:dyDescent="0.25">
      <c r="B2192" s="667" t="s">
        <v>106</v>
      </c>
      <c r="C2192" s="110">
        <v>2050</v>
      </c>
      <c r="D2192" s="687" t="s">
        <v>2963</v>
      </c>
      <c r="E2192" s="688">
        <v>2.5538477834818298E-2</v>
      </c>
      <c r="F2192" s="310">
        <v>2.0522394874164258E-3</v>
      </c>
      <c r="G2192" s="311">
        <v>1.8837457901409633E-2</v>
      </c>
      <c r="H2192" s="311">
        <v>4.9665969359804888E-4</v>
      </c>
      <c r="I2192" s="394">
        <v>5.3944497437360495E-4</v>
      </c>
      <c r="J2192" s="689">
        <v>1.6937972638301545E-5</v>
      </c>
      <c r="K2192" s="690">
        <v>1.7703832599865131E-5</v>
      </c>
    </row>
    <row r="2193" spans="2:11" ht="15.75" x14ac:dyDescent="0.25">
      <c r="B2193" s="667" t="s">
        <v>214</v>
      </c>
      <c r="C2193" s="110">
        <v>2015</v>
      </c>
      <c r="D2193" s="687" t="s">
        <v>860</v>
      </c>
      <c r="E2193" s="688">
        <v>4.8650513184686536E-2</v>
      </c>
      <c r="F2193" s="310">
        <v>6.5722301834164082E-2</v>
      </c>
      <c r="G2193" s="311">
        <v>0.24935873252320492</v>
      </c>
      <c r="H2193" s="311">
        <v>2.2286641158813488E-3</v>
      </c>
      <c r="I2193" s="394">
        <v>2.4107060258131241E-3</v>
      </c>
      <c r="J2193" s="689">
        <v>1.8805240183411922E-4</v>
      </c>
      <c r="K2193" s="690">
        <v>1.965552969748836E-4</v>
      </c>
    </row>
    <row r="2194" spans="2:11" ht="15.75" x14ac:dyDescent="0.25">
      <c r="B2194" s="667" t="s">
        <v>214</v>
      </c>
      <c r="C2194" s="110">
        <v>2016</v>
      </c>
      <c r="D2194" s="687" t="s">
        <v>861</v>
      </c>
      <c r="E2194" s="688">
        <v>4.7706502124935803E-2</v>
      </c>
      <c r="F2194" s="310">
        <v>5.4461632369476376E-2</v>
      </c>
      <c r="G2194" s="311">
        <v>0.21383389477462778</v>
      </c>
      <c r="H2194" s="311">
        <v>2.0837365952385144E-3</v>
      </c>
      <c r="I2194" s="394">
        <v>2.2555732393281969E-3</v>
      </c>
      <c r="J2194" s="689">
        <v>1.6594816357327875E-4</v>
      </c>
      <c r="K2194" s="690">
        <v>1.7345160314599263E-4</v>
      </c>
    </row>
    <row r="2195" spans="2:11" ht="15.75" x14ac:dyDescent="0.25">
      <c r="B2195" s="667" t="s">
        <v>214</v>
      </c>
      <c r="C2195" s="110">
        <v>2017</v>
      </c>
      <c r="D2195" s="687" t="s">
        <v>862</v>
      </c>
      <c r="E2195" s="688">
        <v>4.6549254431920505E-2</v>
      </c>
      <c r="F2195" s="310">
        <v>4.5687176325112995E-2</v>
      </c>
      <c r="G2195" s="311">
        <v>0.18386384546929632</v>
      </c>
      <c r="H2195" s="311">
        <v>2.0011218330248603E-3</v>
      </c>
      <c r="I2195" s="394">
        <v>2.1674282012553144E-3</v>
      </c>
      <c r="J2195" s="689">
        <v>1.5051237677374732E-4</v>
      </c>
      <c r="K2195" s="690">
        <v>1.5731787856267587E-4</v>
      </c>
    </row>
    <row r="2196" spans="2:11" ht="15.75" x14ac:dyDescent="0.25">
      <c r="B2196" s="667" t="s">
        <v>214</v>
      </c>
      <c r="C2196" s="110">
        <v>2018</v>
      </c>
      <c r="D2196" s="687" t="s">
        <v>863</v>
      </c>
      <c r="E2196" s="688">
        <v>4.5366684942113822E-2</v>
      </c>
      <c r="F2196" s="310">
        <v>3.7874618271284875E-2</v>
      </c>
      <c r="G2196" s="311">
        <v>0.15754158856526831</v>
      </c>
      <c r="H2196" s="311">
        <v>1.9508378406799395E-3</v>
      </c>
      <c r="I2196" s="394">
        <v>2.1141993600712833E-3</v>
      </c>
      <c r="J2196" s="689">
        <v>1.3788377161794559E-4</v>
      </c>
      <c r="K2196" s="690">
        <v>1.4411826392033439E-4</v>
      </c>
    </row>
    <row r="2197" spans="2:11" ht="15.75" x14ac:dyDescent="0.25">
      <c r="B2197" s="667" t="s">
        <v>214</v>
      </c>
      <c r="C2197" s="110">
        <v>2019</v>
      </c>
      <c r="D2197" s="687" t="s">
        <v>864</v>
      </c>
      <c r="E2197" s="688">
        <v>4.4142378535393975E-2</v>
      </c>
      <c r="F2197" s="310">
        <v>3.1402369666954956E-2</v>
      </c>
      <c r="G2197" s="311">
        <v>0.1351466628522259</v>
      </c>
      <c r="H2197" s="311">
        <v>1.9126316934895326E-3</v>
      </c>
      <c r="I2197" s="394">
        <v>2.0737963947571013E-3</v>
      </c>
      <c r="J2197" s="689">
        <v>1.2698124114808069E-4</v>
      </c>
      <c r="K2197" s="690">
        <v>1.3272276940188462E-4</v>
      </c>
    </row>
    <row r="2198" spans="2:11" ht="15.75" x14ac:dyDescent="0.25">
      <c r="B2198" s="667" t="s">
        <v>214</v>
      </c>
      <c r="C2198" s="110">
        <v>2020</v>
      </c>
      <c r="D2198" s="687" t="s">
        <v>865</v>
      </c>
      <c r="E2198" s="688">
        <v>4.2876779325859073E-2</v>
      </c>
      <c r="F2198" s="310">
        <v>2.6577242176251663E-2</v>
      </c>
      <c r="G2198" s="311">
        <v>0.11639894690687068</v>
      </c>
      <c r="H2198" s="311">
        <v>1.8448153046995777E-3</v>
      </c>
      <c r="I2198" s="394">
        <v>2.0007068786348217E-3</v>
      </c>
      <c r="J2198" s="689">
        <v>1.178363551877467E-4</v>
      </c>
      <c r="K2198" s="690">
        <v>1.2316439227825495E-4</v>
      </c>
    </row>
    <row r="2199" spans="2:11" ht="15.75" x14ac:dyDescent="0.25">
      <c r="B2199" s="667" t="s">
        <v>214</v>
      </c>
      <c r="C2199" s="110">
        <v>2021</v>
      </c>
      <c r="D2199" s="687" t="s">
        <v>866</v>
      </c>
      <c r="E2199" s="688">
        <v>4.1599753030730637E-2</v>
      </c>
      <c r="F2199" s="310">
        <v>2.2503660039745989E-2</v>
      </c>
      <c r="G2199" s="311">
        <v>0.10011728041415754</v>
      </c>
      <c r="H2199" s="311">
        <v>1.7363419270385743E-3</v>
      </c>
      <c r="I2199" s="394">
        <v>1.8833731259423818E-3</v>
      </c>
      <c r="J2199" s="689">
        <v>1.0792641421661673E-4</v>
      </c>
      <c r="K2199" s="690">
        <v>1.1280636775112207E-4</v>
      </c>
    </row>
    <row r="2200" spans="2:11" ht="15.75" x14ac:dyDescent="0.25">
      <c r="B2200" s="667" t="s">
        <v>214</v>
      </c>
      <c r="C2200" s="110">
        <v>2022</v>
      </c>
      <c r="D2200" s="687" t="s">
        <v>867</v>
      </c>
      <c r="E2200" s="688">
        <v>4.0329671885160519E-2</v>
      </c>
      <c r="F2200" s="310">
        <v>1.8398020194770361E-2</v>
      </c>
      <c r="G2200" s="311">
        <v>8.567553347539171E-2</v>
      </c>
      <c r="H2200" s="311">
        <v>1.6323461484442981E-3</v>
      </c>
      <c r="I2200" s="394">
        <v>1.7710687948596182E-3</v>
      </c>
      <c r="J2200" s="689">
        <v>9.7436920185247342E-5</v>
      </c>
      <c r="K2200" s="690">
        <v>1.0184258534609452E-4</v>
      </c>
    </row>
    <row r="2201" spans="2:11" ht="15.75" x14ac:dyDescent="0.25">
      <c r="B2201" s="667" t="s">
        <v>214</v>
      </c>
      <c r="C2201" s="110">
        <v>2023</v>
      </c>
      <c r="D2201" s="687" t="s">
        <v>868</v>
      </c>
      <c r="E2201" s="688">
        <v>3.9079913676726009E-2</v>
      </c>
      <c r="F2201" s="310">
        <v>1.583145297982707E-2</v>
      </c>
      <c r="G2201" s="311">
        <v>7.4496047304460244E-2</v>
      </c>
      <c r="H2201" s="311">
        <v>1.5425686817582039E-3</v>
      </c>
      <c r="I2201" s="394">
        <v>1.6739002600388718E-3</v>
      </c>
      <c r="J2201" s="689">
        <v>8.7613297597525388E-5</v>
      </c>
      <c r="K2201" s="690">
        <v>9.1574782136635353E-5</v>
      </c>
    </row>
    <row r="2202" spans="2:11" ht="15.75" x14ac:dyDescent="0.25">
      <c r="B2202" s="667" t="s">
        <v>214</v>
      </c>
      <c r="C2202" s="110">
        <v>2024</v>
      </c>
      <c r="D2202" s="687" t="s">
        <v>869</v>
      </c>
      <c r="E2202" s="688">
        <v>3.7840620651809369E-2</v>
      </c>
      <c r="F2202" s="310">
        <v>1.3623293113957888E-2</v>
      </c>
      <c r="G2202" s="311">
        <v>6.5049117680725702E-2</v>
      </c>
      <c r="H2202" s="311">
        <v>1.4614838048490827E-3</v>
      </c>
      <c r="I2202" s="394">
        <v>1.586199985215358E-3</v>
      </c>
      <c r="J2202" s="689">
        <v>7.7425109467411655E-5</v>
      </c>
      <c r="K2202" s="690">
        <v>8.0925929348693137E-5</v>
      </c>
    </row>
    <row r="2203" spans="2:11" ht="15.75" x14ac:dyDescent="0.25">
      <c r="B2203" s="667" t="s">
        <v>214</v>
      </c>
      <c r="C2203" s="110">
        <v>2025</v>
      </c>
      <c r="D2203" s="687" t="s">
        <v>870</v>
      </c>
      <c r="E2203" s="688">
        <v>3.6623200388191605E-2</v>
      </c>
      <c r="F2203" s="310">
        <v>1.1918124957730064E-2</v>
      </c>
      <c r="G2203" s="311">
        <v>5.7656886121113422E-2</v>
      </c>
      <c r="H2203" s="311">
        <v>1.3987503193175618E-3</v>
      </c>
      <c r="I2203" s="394">
        <v>1.5182315588432541E-3</v>
      </c>
      <c r="J2203" s="689">
        <v>7.1631301142154472E-5</v>
      </c>
      <c r="K2203" s="690">
        <v>7.4870150720611454E-5</v>
      </c>
    </row>
    <row r="2204" spans="2:11" ht="15.75" x14ac:dyDescent="0.25">
      <c r="B2204" s="667" t="s">
        <v>214</v>
      </c>
      <c r="C2204" s="110">
        <v>2026</v>
      </c>
      <c r="D2204" s="687" t="s">
        <v>871</v>
      </c>
      <c r="E2204" s="688">
        <v>3.552763674430879E-2</v>
      </c>
      <c r="F2204" s="310">
        <v>1.0541690098980525E-2</v>
      </c>
      <c r="G2204" s="311">
        <v>5.1718439226228895E-2</v>
      </c>
      <c r="H2204" s="311">
        <v>1.3345524416834131E-3</v>
      </c>
      <c r="I2204" s="394">
        <v>1.4487078364204429E-3</v>
      </c>
      <c r="J2204" s="689">
        <v>6.4635496365841164E-5</v>
      </c>
      <c r="K2204" s="690">
        <v>6.7558026695737234E-5</v>
      </c>
    </row>
    <row r="2205" spans="2:11" ht="15.75" x14ac:dyDescent="0.25">
      <c r="B2205" s="667" t="s">
        <v>214</v>
      </c>
      <c r="C2205" s="110">
        <v>2027</v>
      </c>
      <c r="D2205" s="687" t="s">
        <v>872</v>
      </c>
      <c r="E2205" s="688">
        <v>3.4527584094135859E-2</v>
      </c>
      <c r="F2205" s="310">
        <v>9.3450038876615928E-3</v>
      </c>
      <c r="G2205" s="311">
        <v>4.6637496307129003E-2</v>
      </c>
      <c r="H2205" s="311">
        <v>1.2585400715260163E-3</v>
      </c>
      <c r="I2205" s="394">
        <v>1.3664849365056869E-3</v>
      </c>
      <c r="J2205" s="689">
        <v>5.4092858657565531E-5</v>
      </c>
      <c r="K2205" s="690">
        <v>5.6538697692555381E-5</v>
      </c>
    </row>
    <row r="2206" spans="2:11" ht="15.75" x14ac:dyDescent="0.25">
      <c r="B2206" s="667" t="s">
        <v>214</v>
      </c>
      <c r="C2206" s="110">
        <v>2028</v>
      </c>
      <c r="D2206" s="687" t="s">
        <v>873</v>
      </c>
      <c r="E2206" s="688">
        <v>3.3624968657941852E-2</v>
      </c>
      <c r="F2206" s="310">
        <v>8.3436664913057474E-3</v>
      </c>
      <c r="G2206" s="311">
        <v>4.2400499786775424E-2</v>
      </c>
      <c r="H2206" s="311">
        <v>1.1781268637408024E-3</v>
      </c>
      <c r="I2206" s="394">
        <v>1.2793711756637978E-3</v>
      </c>
      <c r="J2206" s="689">
        <v>4.600001838429032E-5</v>
      </c>
      <c r="K2206" s="690">
        <v>4.8079935093569537E-5</v>
      </c>
    </row>
    <row r="2207" spans="2:11" ht="15.75" x14ac:dyDescent="0.25">
      <c r="B2207" s="667" t="s">
        <v>214</v>
      </c>
      <c r="C2207" s="110">
        <v>2029</v>
      </c>
      <c r="D2207" s="687" t="s">
        <v>874</v>
      </c>
      <c r="E2207" s="688">
        <v>3.2809021348110506E-2</v>
      </c>
      <c r="F2207" s="310">
        <v>7.4409362008915876E-3</v>
      </c>
      <c r="G2207" s="311">
        <v>3.8676942106799943E-2</v>
      </c>
      <c r="H2207" s="311">
        <v>1.1029938742600832E-3</v>
      </c>
      <c r="I2207" s="394">
        <v>1.1978745909230169E-3</v>
      </c>
      <c r="J2207" s="689">
        <v>4.0869799165310911E-5</v>
      </c>
      <c r="K2207" s="690">
        <v>4.2717750126518441E-5</v>
      </c>
    </row>
    <row r="2208" spans="2:11" ht="15.75" x14ac:dyDescent="0.25">
      <c r="B2208" s="667" t="s">
        <v>214</v>
      </c>
      <c r="C2208" s="110">
        <v>2030</v>
      </c>
      <c r="D2208" s="687" t="s">
        <v>875</v>
      </c>
      <c r="E2208" s="688">
        <v>3.2080954242159031E-2</v>
      </c>
      <c r="F2208" s="310">
        <v>6.7080706572696562E-3</v>
      </c>
      <c r="G2208" s="311">
        <v>3.5636821546926732E-2</v>
      </c>
      <c r="H2208" s="311">
        <v>1.0326348750615783E-3</v>
      </c>
      <c r="I2208" s="394">
        <v>1.1215746938780132E-3</v>
      </c>
      <c r="J2208" s="689">
        <v>3.5632497747882164E-5</v>
      </c>
      <c r="K2208" s="690">
        <v>3.7243641179174373E-5</v>
      </c>
    </row>
    <row r="2209" spans="2:11" ht="15.75" x14ac:dyDescent="0.25">
      <c r="B2209" s="667" t="s">
        <v>214</v>
      </c>
      <c r="C2209" s="110">
        <v>2031</v>
      </c>
      <c r="D2209" s="687" t="s">
        <v>876</v>
      </c>
      <c r="E2209" s="688">
        <v>3.1429429551282646E-2</v>
      </c>
      <c r="F2209" s="310">
        <v>6.0586191265871924E-3</v>
      </c>
      <c r="G2209" s="311">
        <v>3.2983053657491379E-2</v>
      </c>
      <c r="H2209" s="311">
        <v>9.6886336970045117E-4</v>
      </c>
      <c r="I2209" s="394">
        <v>1.0523157159625443E-3</v>
      </c>
      <c r="J2209" s="689">
        <v>3.3311526457544951E-5</v>
      </c>
      <c r="K2209" s="690">
        <v>3.4817725866245727E-5</v>
      </c>
    </row>
    <row r="2210" spans="2:11" ht="15.75" x14ac:dyDescent="0.25">
      <c r="B2210" s="667" t="s">
        <v>214</v>
      </c>
      <c r="C2210" s="110">
        <v>2032</v>
      </c>
      <c r="D2210" s="687" t="s">
        <v>877</v>
      </c>
      <c r="E2210" s="688">
        <v>3.0852985506854912E-2</v>
      </c>
      <c r="F2210" s="310">
        <v>5.4938991292706697E-3</v>
      </c>
      <c r="G2210" s="311">
        <v>3.0756499292926821E-2</v>
      </c>
      <c r="H2210" s="311">
        <v>9.0983960839109148E-4</v>
      </c>
      <c r="I2210" s="394">
        <v>9.8820874646564599E-4</v>
      </c>
      <c r="J2210" s="689">
        <v>3.1264212758461833E-5</v>
      </c>
      <c r="K2210" s="690">
        <v>3.2677841726510086E-5</v>
      </c>
    </row>
    <row r="2211" spans="2:11" ht="15.75" x14ac:dyDescent="0.25">
      <c r="B2211" s="667" t="s">
        <v>214</v>
      </c>
      <c r="C2211" s="110">
        <v>2033</v>
      </c>
      <c r="D2211" s="687" t="s">
        <v>878</v>
      </c>
      <c r="E2211" s="688">
        <v>3.0346784352120286E-2</v>
      </c>
      <c r="F2211" s="310">
        <v>4.9911636447552577E-3</v>
      </c>
      <c r="G2211" s="311">
        <v>2.8835627197862673E-2</v>
      </c>
      <c r="H2211" s="311">
        <v>8.5480254583157004E-4</v>
      </c>
      <c r="I2211" s="394">
        <v>9.2843580961698242E-4</v>
      </c>
      <c r="J2211" s="689">
        <v>2.9260933566346198E-5</v>
      </c>
      <c r="K2211" s="690">
        <v>3.0583983138746745E-5</v>
      </c>
    </row>
    <row r="2212" spans="2:11" ht="15.75" x14ac:dyDescent="0.25">
      <c r="B2212" s="667" t="s">
        <v>214</v>
      </c>
      <c r="C2212" s="110">
        <v>2034</v>
      </c>
      <c r="D2212" s="687" t="s">
        <v>879</v>
      </c>
      <c r="E2212" s="688">
        <v>2.9897006888419717E-2</v>
      </c>
      <c r="F2212" s="310">
        <v>4.5449680476178436E-3</v>
      </c>
      <c r="G2212" s="311">
        <v>2.7203013440695457E-2</v>
      </c>
      <c r="H2212" s="311">
        <v>8.0430364737613244E-4</v>
      </c>
      <c r="I2212" s="394">
        <v>8.7358293084869437E-4</v>
      </c>
      <c r="J2212" s="689">
        <v>2.7626013053200281E-5</v>
      </c>
      <c r="K2212" s="690">
        <v>2.8875138774848672E-5</v>
      </c>
    </row>
    <row r="2213" spans="2:11" ht="15.75" x14ac:dyDescent="0.25">
      <c r="B2213" s="667" t="s">
        <v>214</v>
      </c>
      <c r="C2213" s="110">
        <v>2035</v>
      </c>
      <c r="D2213" s="687" t="s">
        <v>880</v>
      </c>
      <c r="E2213" s="688">
        <v>2.9499323340936599E-2</v>
      </c>
      <c r="F2213" s="310">
        <v>4.1554897899981572E-3</v>
      </c>
      <c r="G2213" s="311">
        <v>2.5855506933198283E-2</v>
      </c>
      <c r="H2213" s="311">
        <v>7.5704358677316445E-4</v>
      </c>
      <c r="I2213" s="394">
        <v>8.2230018817642115E-4</v>
      </c>
      <c r="J2213" s="689">
        <v>2.4867702450507007E-5</v>
      </c>
      <c r="K2213" s="690">
        <v>2.5992109606523582E-5</v>
      </c>
    </row>
    <row r="2214" spans="2:11" ht="15.75" x14ac:dyDescent="0.25">
      <c r="B2214" s="667" t="s">
        <v>214</v>
      </c>
      <c r="C2214" s="110">
        <v>2036</v>
      </c>
      <c r="D2214" s="687" t="s">
        <v>881</v>
      </c>
      <c r="E2214" s="688">
        <v>2.91554659220714E-2</v>
      </c>
      <c r="F2214" s="310">
        <v>3.8134599177977626E-3</v>
      </c>
      <c r="G2214" s="311">
        <v>2.4701484923322345E-2</v>
      </c>
      <c r="H2214" s="311">
        <v>7.1720096895569669E-4</v>
      </c>
      <c r="I2214" s="394">
        <v>7.7902915986800586E-4</v>
      </c>
      <c r="J2214" s="689">
        <v>2.3417487471558612E-5</v>
      </c>
      <c r="K2214" s="690">
        <v>2.4476322341460829E-5</v>
      </c>
    </row>
    <row r="2215" spans="2:11" ht="15.75" x14ac:dyDescent="0.25">
      <c r="B2215" s="667" t="s">
        <v>214</v>
      </c>
      <c r="C2215" s="110">
        <v>2037</v>
      </c>
      <c r="D2215" s="687" t="s">
        <v>882</v>
      </c>
      <c r="E2215" s="688">
        <v>2.8858828832057488E-2</v>
      </c>
      <c r="F2215" s="310">
        <v>3.5199783588389841E-3</v>
      </c>
      <c r="G2215" s="311">
        <v>2.3744368478440914E-2</v>
      </c>
      <c r="H2215" s="311">
        <v>6.8173187703595177E-4</v>
      </c>
      <c r="I2215" s="394">
        <v>7.4050636787114884E-4</v>
      </c>
      <c r="J2215" s="689">
        <v>2.216484210994657E-5</v>
      </c>
      <c r="K2215" s="690">
        <v>2.3167037915128221E-5</v>
      </c>
    </row>
    <row r="2216" spans="2:11" ht="15.75" x14ac:dyDescent="0.25">
      <c r="B2216" s="667" t="s">
        <v>214</v>
      </c>
      <c r="C2216" s="110">
        <v>2038</v>
      </c>
      <c r="D2216" s="687" t="s">
        <v>883</v>
      </c>
      <c r="E2216" s="688">
        <v>2.8607123539999082E-2</v>
      </c>
      <c r="F2216" s="310">
        <v>3.2479700978758582E-3</v>
      </c>
      <c r="G2216" s="311">
        <v>2.2851159824739935E-2</v>
      </c>
      <c r="H2216" s="311">
        <v>6.5017288265994022E-4</v>
      </c>
      <c r="I2216" s="394">
        <v>7.0622235959612832E-4</v>
      </c>
      <c r="J2216" s="689">
        <v>2.123795242349742E-5</v>
      </c>
      <c r="K2216" s="690">
        <v>2.2198238390069827E-5</v>
      </c>
    </row>
    <row r="2217" spans="2:11" ht="15.75" x14ac:dyDescent="0.25">
      <c r="B2217" s="667" t="s">
        <v>214</v>
      </c>
      <c r="C2217" s="110">
        <v>2039</v>
      </c>
      <c r="D2217" s="687" t="s">
        <v>884</v>
      </c>
      <c r="E2217" s="688">
        <v>2.839156308915337E-2</v>
      </c>
      <c r="F2217" s="310">
        <v>2.9949226074947664E-3</v>
      </c>
      <c r="G2217" s="311">
        <v>2.202674158675192E-2</v>
      </c>
      <c r="H2217" s="311">
        <v>6.2210499201087617E-4</v>
      </c>
      <c r="I2217" s="394">
        <v>6.7573111327101751E-4</v>
      </c>
      <c r="J2217" s="689">
        <v>2.0408568775246762E-5</v>
      </c>
      <c r="K2217" s="690">
        <v>2.1331353693580754E-5</v>
      </c>
    </row>
    <row r="2218" spans="2:11" ht="15.75" x14ac:dyDescent="0.25">
      <c r="B2218" s="667" t="s">
        <v>214</v>
      </c>
      <c r="C2218" s="110">
        <v>2040</v>
      </c>
      <c r="D2218" s="687" t="s">
        <v>885</v>
      </c>
      <c r="E2218" s="688">
        <v>2.8208138067981666E-2</v>
      </c>
      <c r="F2218" s="310">
        <v>2.7753636341890219E-3</v>
      </c>
      <c r="G2218" s="311">
        <v>2.1360586230139395E-2</v>
      </c>
      <c r="H2218" s="311">
        <v>5.9767365133941909E-4</v>
      </c>
      <c r="I2218" s="394">
        <v>6.4918677745298453E-4</v>
      </c>
      <c r="J2218" s="689">
        <v>1.9771970137185186E-5</v>
      </c>
      <c r="K2218" s="690">
        <v>2.066597088997065E-5</v>
      </c>
    </row>
    <row r="2219" spans="2:11" ht="15.75" x14ac:dyDescent="0.25">
      <c r="B2219" s="667" t="s">
        <v>214</v>
      </c>
      <c r="C2219" s="110">
        <v>2041</v>
      </c>
      <c r="D2219" s="687" t="s">
        <v>886</v>
      </c>
      <c r="E2219" s="688">
        <v>2.8056057675791054E-2</v>
      </c>
      <c r="F2219" s="310">
        <v>2.6018378206495965E-3</v>
      </c>
      <c r="G2219" s="311">
        <v>2.0812077924331981E-2</v>
      </c>
      <c r="H2219" s="311">
        <v>5.7868664841764718E-4</v>
      </c>
      <c r="I2219" s="394">
        <v>6.285591751617383E-4</v>
      </c>
      <c r="J2219" s="689">
        <v>1.9241104842385161E-5</v>
      </c>
      <c r="K2219" s="690">
        <v>2.0111102222219605E-5</v>
      </c>
    </row>
    <row r="2220" spans="2:11" ht="15.75" x14ac:dyDescent="0.25">
      <c r="B2220" s="667" t="s">
        <v>214</v>
      </c>
      <c r="C2220" s="110">
        <v>2042</v>
      </c>
      <c r="D2220" s="687" t="s">
        <v>887</v>
      </c>
      <c r="E2220" s="688">
        <v>2.792666640667275E-2</v>
      </c>
      <c r="F2220" s="310">
        <v>2.4538501986315388E-3</v>
      </c>
      <c r="G2220" s="311">
        <v>2.0314218766582362E-2</v>
      </c>
      <c r="H2220" s="311">
        <v>5.6238668955407823E-4</v>
      </c>
      <c r="I2220" s="394">
        <v>6.1085113612978966E-4</v>
      </c>
      <c r="J2220" s="689">
        <v>1.8777313925277547E-5</v>
      </c>
      <c r="K2220" s="690">
        <v>1.9626340737882111E-5</v>
      </c>
    </row>
    <row r="2221" spans="2:11" ht="15.75" x14ac:dyDescent="0.25">
      <c r="B2221" s="667" t="s">
        <v>214</v>
      </c>
      <c r="C2221" s="110">
        <v>2043</v>
      </c>
      <c r="D2221" s="687" t="s">
        <v>888</v>
      </c>
      <c r="E2221" s="688">
        <v>2.7819427777630894E-2</v>
      </c>
      <c r="F2221" s="310">
        <v>2.3423136926722559E-3</v>
      </c>
      <c r="G2221" s="311">
        <v>1.9941512187311439E-2</v>
      </c>
      <c r="H2221" s="311">
        <v>5.4855636051737253E-4</v>
      </c>
      <c r="I2221" s="394">
        <v>5.9582548747087554E-4</v>
      </c>
      <c r="J2221" s="689">
        <v>1.8397471985731335E-5</v>
      </c>
      <c r="K2221" s="690">
        <v>1.9229324031353282E-5</v>
      </c>
    </row>
    <row r="2222" spans="2:11" ht="15.75" x14ac:dyDescent="0.25">
      <c r="B2222" s="667" t="s">
        <v>214</v>
      </c>
      <c r="C2222" s="110">
        <v>2044</v>
      </c>
      <c r="D2222" s="687" t="s">
        <v>889</v>
      </c>
      <c r="E2222" s="688">
        <v>2.7727448816865893E-2</v>
      </c>
      <c r="F2222" s="310">
        <v>2.2585594002450349E-3</v>
      </c>
      <c r="G2222" s="311">
        <v>1.9642166923576222E-2</v>
      </c>
      <c r="H2222" s="311">
        <v>5.3675124578114329E-4</v>
      </c>
      <c r="I2222" s="394">
        <v>5.8300192387283846E-4</v>
      </c>
      <c r="J2222" s="689">
        <v>1.802990768370462E-5</v>
      </c>
      <c r="K2222" s="690">
        <v>1.8845140102631312E-5</v>
      </c>
    </row>
    <row r="2223" spans="2:11" ht="15.75" x14ac:dyDescent="0.25">
      <c r="B2223" s="667" t="s">
        <v>214</v>
      </c>
      <c r="C2223" s="110">
        <v>2045</v>
      </c>
      <c r="D2223" s="687" t="s">
        <v>890</v>
      </c>
      <c r="E2223" s="688">
        <v>2.7647778859353753E-2</v>
      </c>
      <c r="F2223" s="310">
        <v>2.2024790856883503E-3</v>
      </c>
      <c r="G2223" s="311">
        <v>1.9443480182078473E-2</v>
      </c>
      <c r="H2223" s="311">
        <v>5.2680714770501761E-4</v>
      </c>
      <c r="I2223" s="394">
        <v>5.7219768216229549E-4</v>
      </c>
      <c r="J2223" s="689">
        <v>1.777333939037626E-5</v>
      </c>
      <c r="K2223" s="690">
        <v>1.8576970929583606E-5</v>
      </c>
    </row>
    <row r="2224" spans="2:11" ht="15.75" x14ac:dyDescent="0.25">
      <c r="B2224" s="667" t="s">
        <v>214</v>
      </c>
      <c r="C2224" s="110">
        <v>2046</v>
      </c>
      <c r="D2224" s="687" t="s">
        <v>891</v>
      </c>
      <c r="E2224" s="688">
        <v>2.758263021262037E-2</v>
      </c>
      <c r="F2224" s="310">
        <v>2.1530705908785579E-3</v>
      </c>
      <c r="G2224" s="311">
        <v>1.9277203538276552E-2</v>
      </c>
      <c r="H2224" s="311">
        <v>5.1844456024242272E-4</v>
      </c>
      <c r="I2224" s="394">
        <v>5.6311198309795345E-4</v>
      </c>
      <c r="J2224" s="689">
        <v>1.7552037657675806E-5</v>
      </c>
      <c r="K2224" s="690">
        <v>1.8345662914542336E-5</v>
      </c>
    </row>
    <row r="2225" spans="2:11" ht="15.75" x14ac:dyDescent="0.25">
      <c r="B2225" s="667" t="s">
        <v>214</v>
      </c>
      <c r="C2225" s="110">
        <v>2047</v>
      </c>
      <c r="D2225" s="687" t="s">
        <v>892</v>
      </c>
      <c r="E2225" s="688">
        <v>2.7524961234389064E-2</v>
      </c>
      <c r="F2225" s="310">
        <v>2.1097379979315282E-3</v>
      </c>
      <c r="G2225" s="311">
        <v>1.9126068412177247E-2</v>
      </c>
      <c r="H2225" s="311">
        <v>5.1147815054337572E-4</v>
      </c>
      <c r="I2225" s="394">
        <v>5.5554396613266088E-4</v>
      </c>
      <c r="J2225" s="689">
        <v>1.7349345828612315E-5</v>
      </c>
      <c r="K2225" s="690">
        <v>1.8133806260400248E-5</v>
      </c>
    </row>
    <row r="2226" spans="2:11" ht="15.75" x14ac:dyDescent="0.25">
      <c r="B2226" s="667" t="s">
        <v>214</v>
      </c>
      <c r="C2226" s="110">
        <v>2048</v>
      </c>
      <c r="D2226" s="687" t="s">
        <v>893</v>
      </c>
      <c r="E2226" s="688">
        <v>2.7478302090373448E-2</v>
      </c>
      <c r="F2226" s="310">
        <v>2.0747719852289158E-3</v>
      </c>
      <c r="G2226" s="311">
        <v>1.9000761477569624E-2</v>
      </c>
      <c r="H2226" s="311">
        <v>5.0566710294257483E-4</v>
      </c>
      <c r="I2226" s="394">
        <v>5.4923202325098878E-4</v>
      </c>
      <c r="J2226" s="689">
        <v>1.7158160941563191E-5</v>
      </c>
      <c r="K2226" s="690">
        <v>1.7933976841129123E-5</v>
      </c>
    </row>
    <row r="2227" spans="2:11" ht="15.75" x14ac:dyDescent="0.25">
      <c r="B2227" s="667" t="s">
        <v>214</v>
      </c>
      <c r="C2227" s="110">
        <v>2049</v>
      </c>
      <c r="D2227" s="687" t="s">
        <v>894</v>
      </c>
      <c r="E2227" s="688">
        <v>2.7437207052038996E-2</v>
      </c>
      <c r="F2227" s="310">
        <v>2.0616177018062663E-3</v>
      </c>
      <c r="G2227" s="311">
        <v>1.9001454259801955E-2</v>
      </c>
      <c r="H2227" s="311">
        <v>5.0200074012141983E-4</v>
      </c>
      <c r="I2227" s="394">
        <v>5.4525054212519982E-4</v>
      </c>
      <c r="J2227" s="689">
        <v>1.7016028364277121E-5</v>
      </c>
      <c r="K2227" s="690">
        <v>1.7785417659402177E-5</v>
      </c>
    </row>
    <row r="2228" spans="2:11" ht="15.75" x14ac:dyDescent="0.25">
      <c r="B2228" s="667" t="s">
        <v>214</v>
      </c>
      <c r="C2228" s="110">
        <v>2050</v>
      </c>
      <c r="D2228" s="687" t="s">
        <v>895</v>
      </c>
      <c r="E2228" s="688">
        <v>2.740417818086377E-2</v>
      </c>
      <c r="F2228" s="310">
        <v>2.0513328237001483E-3</v>
      </c>
      <c r="G2228" s="311">
        <v>1.9006060722862241E-2</v>
      </c>
      <c r="H2228" s="311">
        <v>4.9901781290093649E-4</v>
      </c>
      <c r="I2228" s="394">
        <v>5.420122993188216E-4</v>
      </c>
      <c r="J2228" s="689">
        <v>1.6875317677688399E-5</v>
      </c>
      <c r="K2228" s="690">
        <v>1.7638344659960338E-5</v>
      </c>
    </row>
    <row r="2229" spans="2:11" ht="15.75" x14ac:dyDescent="0.25">
      <c r="B2229" s="667" t="s">
        <v>226</v>
      </c>
      <c r="C2229" s="110">
        <v>2015</v>
      </c>
      <c r="D2229" s="687" t="s">
        <v>1066</v>
      </c>
      <c r="E2229" s="688">
        <v>4.8260611278034465E-2</v>
      </c>
      <c r="F2229" s="310">
        <v>0.11034545706501209</v>
      </c>
      <c r="G2229" s="311">
        <v>0.38564736053027615</v>
      </c>
      <c r="H2229" s="311">
        <v>3.4129201496763029E-3</v>
      </c>
      <c r="I2229" s="394">
        <v>3.6854777982756339E-3</v>
      </c>
      <c r="J2229" s="689">
        <v>3.8668613815877068E-4</v>
      </c>
      <c r="K2229" s="690">
        <v>4.0417036943198601E-4</v>
      </c>
    </row>
    <row r="2230" spans="2:11" ht="15.75" x14ac:dyDescent="0.25">
      <c r="B2230" s="667" t="s">
        <v>226</v>
      </c>
      <c r="C2230" s="110">
        <v>2016</v>
      </c>
      <c r="D2230" s="687" t="s">
        <v>1067</v>
      </c>
      <c r="E2230" s="688">
        <v>4.7364348605140535E-2</v>
      </c>
      <c r="F2230" s="310">
        <v>9.2288804480581146E-2</v>
      </c>
      <c r="G2230" s="311">
        <v>0.33705688951560592</v>
      </c>
      <c r="H2230" s="311">
        <v>3.0770690344034137E-3</v>
      </c>
      <c r="I2230" s="394">
        <v>3.3248077493728901E-3</v>
      </c>
      <c r="J2230" s="689">
        <v>3.5249188852613946E-4</v>
      </c>
      <c r="K2230" s="690">
        <v>3.6843000756570229E-4</v>
      </c>
    </row>
    <row r="2231" spans="2:11" ht="15.75" x14ac:dyDescent="0.25">
      <c r="B2231" s="667" t="s">
        <v>226</v>
      </c>
      <c r="C2231" s="110">
        <v>2017</v>
      </c>
      <c r="D2231" s="687" t="s">
        <v>1068</v>
      </c>
      <c r="E2231" s="688">
        <v>4.6232526560177713E-2</v>
      </c>
      <c r="F2231" s="310">
        <v>7.7762139227578075E-2</v>
      </c>
      <c r="G2231" s="311">
        <v>0.29419677168578873</v>
      </c>
      <c r="H2231" s="311">
        <v>2.8348818185211411E-3</v>
      </c>
      <c r="I2231" s="394">
        <v>3.0650856779042891E-3</v>
      </c>
      <c r="J2231" s="689">
        <v>3.1845403518396319E-4</v>
      </c>
      <c r="K2231" s="690">
        <v>3.3285311353613008E-4</v>
      </c>
    </row>
    <row r="2232" spans="2:11" ht="15.75" x14ac:dyDescent="0.25">
      <c r="B2232" s="667" t="s">
        <v>226</v>
      </c>
      <c r="C2232" s="110">
        <v>2018</v>
      </c>
      <c r="D2232" s="687" t="s">
        <v>1069</v>
      </c>
      <c r="E2232" s="688">
        <v>4.5060864424509364E-2</v>
      </c>
      <c r="F2232" s="310">
        <v>6.4758276846356641E-2</v>
      </c>
      <c r="G2232" s="311">
        <v>0.2550725901376068</v>
      </c>
      <c r="H2232" s="311">
        <v>2.6410685732531063E-3</v>
      </c>
      <c r="I2232" s="394">
        <v>2.8573392827576168E-3</v>
      </c>
      <c r="J2232" s="689">
        <v>2.9103782118635553E-4</v>
      </c>
      <c r="K2232" s="690">
        <v>3.0419725999919798E-4</v>
      </c>
    </row>
    <row r="2233" spans="2:11" ht="15.75" x14ac:dyDescent="0.25">
      <c r="B2233" s="667" t="s">
        <v>226</v>
      </c>
      <c r="C2233" s="110">
        <v>2019</v>
      </c>
      <c r="D2233" s="687" t="s">
        <v>1070</v>
      </c>
      <c r="E2233" s="688">
        <v>4.3837401526688982E-2</v>
      </c>
      <c r="F2233" s="310">
        <v>5.4182150376771716E-2</v>
      </c>
      <c r="G2233" s="311">
        <v>0.22117956984114467</v>
      </c>
      <c r="H2233" s="311">
        <v>2.4862070765770987E-3</v>
      </c>
      <c r="I2233" s="394">
        <v>2.6911891048300822E-3</v>
      </c>
      <c r="J2233" s="689">
        <v>2.6677125857807747E-4</v>
      </c>
      <c r="K2233" s="690">
        <v>2.7883347111105049E-4</v>
      </c>
    </row>
    <row r="2234" spans="2:11" ht="15.75" x14ac:dyDescent="0.25">
      <c r="B2234" s="667" t="s">
        <v>226</v>
      </c>
      <c r="C2234" s="110">
        <v>2020</v>
      </c>
      <c r="D2234" s="687" t="s">
        <v>1071</v>
      </c>
      <c r="E2234" s="688">
        <v>4.2587144192337563E-2</v>
      </c>
      <c r="F2234" s="310">
        <v>4.6532625801637487E-2</v>
      </c>
      <c r="G2234" s="311">
        <v>0.19237744943854182</v>
      </c>
      <c r="H2234" s="311">
        <v>2.3406764582444366E-3</v>
      </c>
      <c r="I2234" s="394">
        <v>2.534335011412306E-3</v>
      </c>
      <c r="J2234" s="689">
        <v>2.4264436074346107E-4</v>
      </c>
      <c r="K2234" s="690">
        <v>2.5361566201787639E-4</v>
      </c>
    </row>
    <row r="2235" spans="2:11" ht="15.75" x14ac:dyDescent="0.25">
      <c r="B2235" s="667" t="s">
        <v>226</v>
      </c>
      <c r="C2235" s="110">
        <v>2021</v>
      </c>
      <c r="D2235" s="687" t="s">
        <v>1072</v>
      </c>
      <c r="E2235" s="688">
        <v>4.1316248392716741E-2</v>
      </c>
      <c r="F2235" s="310">
        <v>3.9668755845462693E-2</v>
      </c>
      <c r="G2235" s="311">
        <v>0.16603151758594423</v>
      </c>
      <c r="H2235" s="311">
        <v>2.1710029428026081E-3</v>
      </c>
      <c r="I2235" s="394">
        <v>2.3512737445479186E-3</v>
      </c>
      <c r="J2235" s="689">
        <v>2.1657249625065849E-4</v>
      </c>
      <c r="K2235" s="690">
        <v>2.2636494350489458E-4</v>
      </c>
    </row>
    <row r="2236" spans="2:11" ht="15.75" x14ac:dyDescent="0.25">
      <c r="B2236" s="667" t="s">
        <v>226</v>
      </c>
      <c r="C2236" s="110">
        <v>2022</v>
      </c>
      <c r="D2236" s="687" t="s">
        <v>1073</v>
      </c>
      <c r="E2236" s="688">
        <v>4.0046508861335983E-2</v>
      </c>
      <c r="F2236" s="310">
        <v>3.3254495493116043E-2</v>
      </c>
      <c r="G2236" s="311">
        <v>0.14285685071965387</v>
      </c>
      <c r="H2236" s="311">
        <v>2.0114974646287163E-3</v>
      </c>
      <c r="I2236" s="394">
        <v>2.1792149344140475E-3</v>
      </c>
      <c r="J2236" s="689">
        <v>1.9370020662826717E-4</v>
      </c>
      <c r="K2236" s="690">
        <v>2.0245847044006047E-4</v>
      </c>
    </row>
    <row r="2237" spans="2:11" ht="15.75" x14ac:dyDescent="0.25">
      <c r="B2237" s="667" t="s">
        <v>226</v>
      </c>
      <c r="C2237" s="110">
        <v>2023</v>
      </c>
      <c r="D2237" s="687" t="s">
        <v>1074</v>
      </c>
      <c r="E2237" s="688">
        <v>3.8792870690157744E-2</v>
      </c>
      <c r="F2237" s="310">
        <v>2.8606637942129101E-2</v>
      </c>
      <c r="G2237" s="311">
        <v>0.1237702962692644</v>
      </c>
      <c r="H2237" s="311">
        <v>1.8687165699354986E-3</v>
      </c>
      <c r="I2237" s="394">
        <v>2.0249273742981881E-3</v>
      </c>
      <c r="J2237" s="689">
        <v>1.7256233328172692E-4</v>
      </c>
      <c r="K2237" s="690">
        <v>1.8036483625871407E-4</v>
      </c>
    </row>
    <row r="2238" spans="2:11" ht="15.75" x14ac:dyDescent="0.25">
      <c r="B2238" s="667" t="s">
        <v>226</v>
      </c>
      <c r="C2238" s="110">
        <v>2024</v>
      </c>
      <c r="D2238" s="687" t="s">
        <v>1075</v>
      </c>
      <c r="E2238" s="688">
        <v>3.7560908532043816E-2</v>
      </c>
      <c r="F2238" s="310">
        <v>2.4468051584997014E-2</v>
      </c>
      <c r="G2238" s="311">
        <v>0.10705096624192377</v>
      </c>
      <c r="H2238" s="311">
        <v>1.7321372960835948E-3</v>
      </c>
      <c r="I2238" s="394">
        <v>1.8775434536210617E-3</v>
      </c>
      <c r="J2238" s="689">
        <v>1.4817779321747214E-4</v>
      </c>
      <c r="K2238" s="690">
        <v>1.5487773549754732E-4</v>
      </c>
    </row>
    <row r="2239" spans="2:11" ht="15.75" x14ac:dyDescent="0.25">
      <c r="B2239" s="667" t="s">
        <v>226</v>
      </c>
      <c r="C2239" s="110">
        <v>2025</v>
      </c>
      <c r="D2239" s="687" t="s">
        <v>1076</v>
      </c>
      <c r="E2239" s="688">
        <v>3.6352922595448658E-2</v>
      </c>
      <c r="F2239" s="310">
        <v>2.1263317201350176E-2</v>
      </c>
      <c r="G2239" s="311">
        <v>9.3773456677834321E-2</v>
      </c>
      <c r="H2239" s="311">
        <v>1.6308875943260076E-3</v>
      </c>
      <c r="I2239" s="394">
        <v>1.7681479935293383E-3</v>
      </c>
      <c r="J2239" s="689">
        <v>1.3187480763296496E-4</v>
      </c>
      <c r="K2239" s="690">
        <v>1.3783760124833533E-4</v>
      </c>
    </row>
    <row r="2240" spans="2:11" ht="15.75" x14ac:dyDescent="0.25">
      <c r="B2240" s="667" t="s">
        <v>226</v>
      </c>
      <c r="C2240" s="110">
        <v>2026</v>
      </c>
      <c r="D2240" s="687" t="s">
        <v>1077</v>
      </c>
      <c r="E2240" s="688">
        <v>3.5250736066788808E-2</v>
      </c>
      <c r="F2240" s="310">
        <v>1.8649231874449401E-2</v>
      </c>
      <c r="G2240" s="311">
        <v>8.2943361854827188E-2</v>
      </c>
      <c r="H2240" s="311">
        <v>1.5432059488644729E-3</v>
      </c>
      <c r="I2240" s="394">
        <v>1.6734590326373852E-3</v>
      </c>
      <c r="J2240" s="689">
        <v>1.1603697655305448E-4</v>
      </c>
      <c r="K2240" s="690">
        <v>1.2128365372632611E-4</v>
      </c>
    </row>
    <row r="2241" spans="2:11" ht="15.75" x14ac:dyDescent="0.25">
      <c r="B2241" s="667" t="s">
        <v>226</v>
      </c>
      <c r="C2241" s="110">
        <v>2027</v>
      </c>
      <c r="D2241" s="687" t="s">
        <v>1078</v>
      </c>
      <c r="E2241" s="688">
        <v>3.4239216135635714E-2</v>
      </c>
      <c r="F2241" s="310">
        <v>1.6388299449979014E-2</v>
      </c>
      <c r="G2241" s="311">
        <v>7.3582199757532621E-2</v>
      </c>
      <c r="H2241" s="311">
        <v>1.4456265352555044E-3</v>
      </c>
      <c r="I2241" s="394">
        <v>1.5683684996794871E-3</v>
      </c>
      <c r="J2241" s="689">
        <v>9.1615233006380232E-5</v>
      </c>
      <c r="K2241" s="690">
        <v>9.5757667306353226E-5</v>
      </c>
    </row>
    <row r="2242" spans="2:11" ht="15.75" x14ac:dyDescent="0.25">
      <c r="B2242" s="667" t="s">
        <v>226</v>
      </c>
      <c r="C2242" s="110">
        <v>2028</v>
      </c>
      <c r="D2242" s="687" t="s">
        <v>1079</v>
      </c>
      <c r="E2242" s="688">
        <v>3.3324384726205226E-2</v>
      </c>
      <c r="F2242" s="310">
        <v>1.4495529832113366E-2</v>
      </c>
      <c r="G2242" s="311">
        <v>6.5711432476752332E-2</v>
      </c>
      <c r="H2242" s="311">
        <v>1.3519361720388512E-3</v>
      </c>
      <c r="I2242" s="394">
        <v>1.4672581831114901E-3</v>
      </c>
      <c r="J2242" s="689">
        <v>7.3055015157846967E-5</v>
      </c>
      <c r="K2242" s="690">
        <v>7.6358238766456262E-5</v>
      </c>
    </row>
    <row r="2243" spans="2:11" ht="15.75" x14ac:dyDescent="0.25">
      <c r="B2243" s="667" t="s">
        <v>226</v>
      </c>
      <c r="C2243" s="110">
        <v>2029</v>
      </c>
      <c r="D2243" s="687" t="s">
        <v>1080</v>
      </c>
      <c r="E2243" s="688">
        <v>3.2497355103754344E-2</v>
      </c>
      <c r="F2243" s="310">
        <v>1.2768020519724348E-2</v>
      </c>
      <c r="G2243" s="311">
        <v>5.8664054189038681E-2</v>
      </c>
      <c r="H2243" s="311">
        <v>1.2669189749471544E-3</v>
      </c>
      <c r="I2243" s="394">
        <v>1.3751990392945716E-3</v>
      </c>
      <c r="J2243" s="689">
        <v>6.3502010227381567E-5</v>
      </c>
      <c r="K2243" s="690">
        <v>6.6373289343866761E-5</v>
      </c>
    </row>
    <row r="2244" spans="2:11" ht="15.75" x14ac:dyDescent="0.25">
      <c r="B2244" s="667" t="s">
        <v>226</v>
      </c>
      <c r="C2244" s="110">
        <v>2030</v>
      </c>
      <c r="D2244" s="687" t="s">
        <v>1081</v>
      </c>
      <c r="E2244" s="688">
        <v>3.1754427723000377E-2</v>
      </c>
      <c r="F2244" s="310">
        <v>1.1308152026278391E-2</v>
      </c>
      <c r="G2244" s="311">
        <v>5.2678770726484983E-2</v>
      </c>
      <c r="H2244" s="311">
        <v>1.1820404368989522E-3</v>
      </c>
      <c r="I2244" s="394">
        <v>1.283405306210511E-3</v>
      </c>
      <c r="J2244" s="689">
        <v>5.1244473445930341E-5</v>
      </c>
      <c r="K2244" s="690">
        <v>5.3561521141172219E-5</v>
      </c>
    </row>
    <row r="2245" spans="2:11" ht="15.75" x14ac:dyDescent="0.25">
      <c r="B2245" s="667" t="s">
        <v>226</v>
      </c>
      <c r="C2245" s="110">
        <v>2031</v>
      </c>
      <c r="D2245" s="687" t="s">
        <v>1082</v>
      </c>
      <c r="E2245" s="688">
        <v>3.1088635392551276E-2</v>
      </c>
      <c r="F2245" s="310">
        <v>1.0000675751446999E-2</v>
      </c>
      <c r="G2245" s="311">
        <v>4.7395371608266866E-2</v>
      </c>
      <c r="H2245" s="311">
        <v>1.1069786530478437E-3</v>
      </c>
      <c r="I2245" s="394">
        <v>1.2019586085922694E-3</v>
      </c>
      <c r="J2245" s="689">
        <v>4.6764521022648468E-5</v>
      </c>
      <c r="K2245" s="690">
        <v>4.8879005148803968E-5</v>
      </c>
    </row>
    <row r="2246" spans="2:11" ht="15.75" x14ac:dyDescent="0.25">
      <c r="B2246" s="667" t="s">
        <v>226</v>
      </c>
      <c r="C2246" s="110">
        <v>2032</v>
      </c>
      <c r="D2246" s="687" t="s">
        <v>1083</v>
      </c>
      <c r="E2246" s="688">
        <v>3.0497659157920694E-2</v>
      </c>
      <c r="F2246" s="310">
        <v>8.8762797800318628E-3</v>
      </c>
      <c r="G2246" s="311">
        <v>4.2958351467664427E-2</v>
      </c>
      <c r="H2246" s="311">
        <v>1.0366989523867582E-3</v>
      </c>
      <c r="I2246" s="394">
        <v>1.1257389446190089E-3</v>
      </c>
      <c r="J2246" s="689">
        <v>4.1669077463142709E-5</v>
      </c>
      <c r="K2246" s="690">
        <v>4.355316824223327E-5</v>
      </c>
    </row>
    <row r="2247" spans="2:11" ht="15.75" x14ac:dyDescent="0.25">
      <c r="B2247" s="667" t="s">
        <v>226</v>
      </c>
      <c r="C2247" s="110">
        <v>2033</v>
      </c>
      <c r="D2247" s="687" t="s">
        <v>1084</v>
      </c>
      <c r="E2247" s="688">
        <v>2.9972778327304724E-2</v>
      </c>
      <c r="F2247" s="310">
        <v>7.9138445677881218E-3</v>
      </c>
      <c r="G2247" s="311">
        <v>3.9259406404778818E-2</v>
      </c>
      <c r="H2247" s="311">
        <v>9.7335977344264655E-4</v>
      </c>
      <c r="I2247" s="394">
        <v>1.0569659666330507E-3</v>
      </c>
      <c r="J2247" s="689">
        <v>3.8975120871073904E-5</v>
      </c>
      <c r="K2247" s="690">
        <v>4.0737402887326399E-5</v>
      </c>
    </row>
    <row r="2248" spans="2:11" ht="15.75" x14ac:dyDescent="0.25">
      <c r="B2248" s="667" t="s">
        <v>226</v>
      </c>
      <c r="C2248" s="110">
        <v>2034</v>
      </c>
      <c r="D2248" s="687" t="s">
        <v>1085</v>
      </c>
      <c r="E2248" s="688">
        <v>2.9509310419159905E-2</v>
      </c>
      <c r="F2248" s="310">
        <v>7.0546847196869249E-3</v>
      </c>
      <c r="G2248" s="311">
        <v>3.607786941100579E-2</v>
      </c>
      <c r="H2248" s="311">
        <v>9.1325113598697766E-4</v>
      </c>
      <c r="I2248" s="394">
        <v>9.916969274441456E-4</v>
      </c>
      <c r="J2248" s="689">
        <v>3.6506997338027376E-5</v>
      </c>
      <c r="K2248" s="690">
        <v>3.8157681760251573E-5</v>
      </c>
    </row>
    <row r="2249" spans="2:11" ht="15.75" x14ac:dyDescent="0.25">
      <c r="B2249" s="667" t="s">
        <v>226</v>
      </c>
      <c r="C2249" s="110">
        <v>2035</v>
      </c>
      <c r="D2249" s="687" t="s">
        <v>1086</v>
      </c>
      <c r="E2249" s="688">
        <v>2.9101919442699759E-2</v>
      </c>
      <c r="F2249" s="310">
        <v>6.2885541739320337E-3</v>
      </c>
      <c r="G2249" s="311">
        <v>3.3358247925898692E-2</v>
      </c>
      <c r="H2249" s="311">
        <v>8.5610303708387047E-4</v>
      </c>
      <c r="I2249" s="394">
        <v>9.2965023983356378E-4</v>
      </c>
      <c r="J2249" s="689">
        <v>3.3979977278009536E-5</v>
      </c>
      <c r="K2249" s="690">
        <v>3.5516401066605135E-5</v>
      </c>
    </row>
    <row r="2250" spans="2:11" ht="15.75" x14ac:dyDescent="0.25">
      <c r="B2250" s="667" t="s">
        <v>226</v>
      </c>
      <c r="C2250" s="110">
        <v>2036</v>
      </c>
      <c r="D2250" s="687" t="s">
        <v>1087</v>
      </c>
      <c r="E2250" s="688">
        <v>2.8747304003284718E-2</v>
      </c>
      <c r="F2250" s="310">
        <v>5.6103286378974687E-3</v>
      </c>
      <c r="G2250" s="311">
        <v>3.1016530655386818E-2</v>
      </c>
      <c r="H2250" s="311">
        <v>8.0680185360501241E-4</v>
      </c>
      <c r="I2250" s="394">
        <v>8.7615692473067821E-4</v>
      </c>
      <c r="J2250" s="689">
        <v>3.1001376850355416E-5</v>
      </c>
      <c r="K2250" s="690">
        <v>3.2403121544956122E-5</v>
      </c>
    </row>
    <row r="2251" spans="2:11" ht="15.75" x14ac:dyDescent="0.25">
      <c r="B2251" s="667" t="s">
        <v>226</v>
      </c>
      <c r="C2251" s="110">
        <v>2037</v>
      </c>
      <c r="D2251" s="687" t="s">
        <v>1088</v>
      </c>
      <c r="E2251" s="688">
        <v>2.8440479301910685E-2</v>
      </c>
      <c r="F2251" s="310">
        <v>5.0225326234866041E-3</v>
      </c>
      <c r="G2251" s="311">
        <v>2.9032459399116903E-2</v>
      </c>
      <c r="H2251" s="311">
        <v>7.6272406102239189E-4</v>
      </c>
      <c r="I2251" s="394">
        <v>8.2829292864728928E-4</v>
      </c>
      <c r="J2251" s="689">
        <v>2.9240341992860759E-5</v>
      </c>
      <c r="K2251" s="690">
        <v>3.0562460505682046E-5</v>
      </c>
    </row>
    <row r="2252" spans="2:11" ht="15.75" x14ac:dyDescent="0.25">
      <c r="B2252" s="667" t="s">
        <v>226</v>
      </c>
      <c r="C2252" s="110">
        <v>2038</v>
      </c>
      <c r="D2252" s="687" t="s">
        <v>1089</v>
      </c>
      <c r="E2252" s="688">
        <v>2.8177985226714834E-2</v>
      </c>
      <c r="F2252" s="310">
        <v>4.4925925690122593E-3</v>
      </c>
      <c r="G2252" s="311">
        <v>2.7252028095521262E-2</v>
      </c>
      <c r="H2252" s="311">
        <v>7.2213085738238316E-4</v>
      </c>
      <c r="I2252" s="394">
        <v>7.8421347273325767E-4</v>
      </c>
      <c r="J2252" s="689">
        <v>2.7603629456322457E-5</v>
      </c>
      <c r="K2252" s="690">
        <v>2.8851743091045797E-5</v>
      </c>
    </row>
    <row r="2253" spans="2:11" ht="15.75" x14ac:dyDescent="0.25">
      <c r="B2253" s="667" t="s">
        <v>226</v>
      </c>
      <c r="C2253" s="110">
        <v>2039</v>
      </c>
      <c r="D2253" s="687" t="s">
        <v>1090</v>
      </c>
      <c r="E2253" s="688">
        <v>2.795223560692844E-2</v>
      </c>
      <c r="F2253" s="310">
        <v>3.9911369085122933E-3</v>
      </c>
      <c r="G2253" s="311">
        <v>2.559010124172063E-2</v>
      </c>
      <c r="H2253" s="311">
        <v>6.8459239213776847E-4</v>
      </c>
      <c r="I2253" s="394">
        <v>7.4344590674214146E-4</v>
      </c>
      <c r="J2253" s="689">
        <v>2.6212737152017157E-5</v>
      </c>
      <c r="K2253" s="690">
        <v>2.7397960808733002E-5</v>
      </c>
    </row>
    <row r="2254" spans="2:11" ht="15.75" x14ac:dyDescent="0.25">
      <c r="B2254" s="667" t="s">
        <v>226</v>
      </c>
      <c r="C2254" s="110">
        <v>2040</v>
      </c>
      <c r="D2254" s="687" t="s">
        <v>1091</v>
      </c>
      <c r="E2254" s="688">
        <v>2.7760005620661228E-2</v>
      </c>
      <c r="F2254" s="310">
        <v>3.5278474752778177E-3</v>
      </c>
      <c r="G2254" s="311">
        <v>2.4138967542960046E-2</v>
      </c>
      <c r="H2254" s="311">
        <v>6.4983238373528924E-4</v>
      </c>
      <c r="I2254" s="394">
        <v>7.0569475722765816E-4</v>
      </c>
      <c r="J2254" s="689">
        <v>2.4949485235806293E-5</v>
      </c>
      <c r="K2254" s="690">
        <v>2.6077590246468365E-5</v>
      </c>
    </row>
    <row r="2255" spans="2:11" ht="15.75" x14ac:dyDescent="0.25">
      <c r="B2255" s="667" t="s">
        <v>226</v>
      </c>
      <c r="C2255" s="110">
        <v>2041</v>
      </c>
      <c r="D2255" s="687" t="s">
        <v>1092</v>
      </c>
      <c r="E2255" s="688">
        <v>2.7599732778667351E-2</v>
      </c>
      <c r="F2255" s="310">
        <v>3.1639819894409026E-3</v>
      </c>
      <c r="G2255" s="311">
        <v>2.2976436444433618E-2</v>
      </c>
      <c r="H2255" s="311">
        <v>6.2408027504268844E-4</v>
      </c>
      <c r="I2255" s="394">
        <v>6.7773401410324953E-4</v>
      </c>
      <c r="J2255" s="689">
        <v>2.3839775005217282E-5</v>
      </c>
      <c r="K2255" s="690">
        <v>2.4917703843518389E-5</v>
      </c>
    </row>
    <row r="2256" spans="2:11" ht="15.75" x14ac:dyDescent="0.25">
      <c r="B2256" s="667" t="s">
        <v>226</v>
      </c>
      <c r="C2256" s="110">
        <v>2042</v>
      </c>
      <c r="D2256" s="687" t="s">
        <v>1093</v>
      </c>
      <c r="E2256" s="688">
        <v>2.7462817560581821E-2</v>
      </c>
      <c r="F2256" s="310">
        <v>2.852834911381366E-3</v>
      </c>
      <c r="G2256" s="311">
        <v>2.1945403863406408E-2</v>
      </c>
      <c r="H2256" s="311">
        <v>6.0125167101806004E-4</v>
      </c>
      <c r="I2256" s="394">
        <v>6.529425451145969E-4</v>
      </c>
      <c r="J2256" s="689">
        <v>2.2973221561785667E-5</v>
      </c>
      <c r="K2256" s="690">
        <v>2.4011968698648725E-5</v>
      </c>
    </row>
    <row r="2257" spans="2:11" ht="15.75" x14ac:dyDescent="0.25">
      <c r="B2257" s="667" t="s">
        <v>226</v>
      </c>
      <c r="C2257" s="110">
        <v>2043</v>
      </c>
      <c r="D2257" s="687" t="s">
        <v>1094</v>
      </c>
      <c r="E2257" s="688">
        <v>2.7348248807696891E-2</v>
      </c>
      <c r="F2257" s="310">
        <v>2.6229028950161509E-3</v>
      </c>
      <c r="G2257" s="311">
        <v>2.1179045449773556E-2</v>
      </c>
      <c r="H2257" s="311">
        <v>5.8108908232777851E-4</v>
      </c>
      <c r="I2257" s="394">
        <v>6.310493216028347E-4</v>
      </c>
      <c r="J2257" s="689">
        <v>2.2137097101126044E-5</v>
      </c>
      <c r="K2257" s="690">
        <v>2.3138038400125396E-5</v>
      </c>
    </row>
    <row r="2258" spans="2:11" ht="15.75" x14ac:dyDescent="0.25">
      <c r="B2258" s="667" t="s">
        <v>226</v>
      </c>
      <c r="C2258" s="110">
        <v>2044</v>
      </c>
      <c r="D2258" s="687" t="s">
        <v>1095</v>
      </c>
      <c r="E2258" s="688">
        <v>2.7250336784758952E-2</v>
      </c>
      <c r="F2258" s="310">
        <v>2.4614547453913073E-3</v>
      </c>
      <c r="G2258" s="311">
        <v>2.0614499353536053E-2</v>
      </c>
      <c r="H2258" s="311">
        <v>5.6349136864829532E-4</v>
      </c>
      <c r="I2258" s="394">
        <v>6.1193727231380389E-4</v>
      </c>
      <c r="J2258" s="689">
        <v>2.1498288017788825E-5</v>
      </c>
      <c r="K2258" s="690">
        <v>2.2470345204712997E-5</v>
      </c>
    </row>
    <row r="2259" spans="2:11" ht="15.75" x14ac:dyDescent="0.25">
      <c r="B2259" s="667" t="s">
        <v>226</v>
      </c>
      <c r="C2259" s="110">
        <v>2045</v>
      </c>
      <c r="D2259" s="687" t="s">
        <v>1096</v>
      </c>
      <c r="E2259" s="688">
        <v>2.716528393999499E-2</v>
      </c>
      <c r="F2259" s="310">
        <v>2.3634936717470091E-3</v>
      </c>
      <c r="G2259" s="311">
        <v>2.0263450715067223E-2</v>
      </c>
      <c r="H2259" s="311">
        <v>5.4815550114693627E-4</v>
      </c>
      <c r="I2259" s="394">
        <v>5.9528182880134637E-4</v>
      </c>
      <c r="J2259" s="689">
        <v>2.0938729936370562E-5</v>
      </c>
      <c r="K2259" s="690">
        <v>2.1885486389855233E-5</v>
      </c>
    </row>
    <row r="2260" spans="2:11" ht="15.75" x14ac:dyDescent="0.25">
      <c r="B2260" s="667" t="s">
        <v>226</v>
      </c>
      <c r="C2260" s="110">
        <v>2046</v>
      </c>
      <c r="D2260" s="687" t="s">
        <v>1097</v>
      </c>
      <c r="E2260" s="688">
        <v>2.7092546182150998E-2</v>
      </c>
      <c r="F2260" s="310">
        <v>2.2800087241163104E-3</v>
      </c>
      <c r="G2260" s="311">
        <v>1.9984760541382894E-2</v>
      </c>
      <c r="H2260" s="311">
        <v>5.3485083767732737E-4</v>
      </c>
      <c r="I2260" s="394">
        <v>5.8083314455954663E-4</v>
      </c>
      <c r="J2260" s="689">
        <v>2.0434874625974992E-5</v>
      </c>
      <c r="K2260" s="690">
        <v>2.13588489781484E-5</v>
      </c>
    </row>
    <row r="2261" spans="2:11" ht="15.75" x14ac:dyDescent="0.25">
      <c r="B2261" s="667" t="s">
        <v>226</v>
      </c>
      <c r="C2261" s="110">
        <v>2047</v>
      </c>
      <c r="D2261" s="687" t="s">
        <v>1098</v>
      </c>
      <c r="E2261" s="688">
        <v>2.7031961526009406E-2</v>
      </c>
      <c r="F2261" s="310">
        <v>2.2094083037866694E-3</v>
      </c>
      <c r="G2261" s="311">
        <v>1.9746514894919766E-2</v>
      </c>
      <c r="H2261" s="311">
        <v>5.2346974744278988E-4</v>
      </c>
      <c r="I2261" s="394">
        <v>5.68476292418498E-4</v>
      </c>
      <c r="J2261" s="689">
        <v>1.9936430459528953E-5</v>
      </c>
      <c r="K2261" s="690">
        <v>2.0837867378308918E-5</v>
      </c>
    </row>
    <row r="2262" spans="2:11" ht="15.75" x14ac:dyDescent="0.25">
      <c r="B2262" s="667" t="s">
        <v>226</v>
      </c>
      <c r="C2262" s="110">
        <v>2048</v>
      </c>
      <c r="D2262" s="687" t="s">
        <v>1099</v>
      </c>
      <c r="E2262" s="688">
        <v>2.6980207296573685E-2</v>
      </c>
      <c r="F2262" s="310">
        <v>2.1516478666529599E-3</v>
      </c>
      <c r="G2262" s="311">
        <v>1.954899479661263E-2</v>
      </c>
      <c r="H2262" s="311">
        <v>5.1374444159671406E-4</v>
      </c>
      <c r="I2262" s="394">
        <v>5.5791819406219136E-4</v>
      </c>
      <c r="J2262" s="689">
        <v>1.9486665464963275E-5</v>
      </c>
      <c r="K2262" s="690">
        <v>2.0367766006491581E-5</v>
      </c>
    </row>
    <row r="2263" spans="2:11" ht="15.75" x14ac:dyDescent="0.25">
      <c r="B2263" s="667" t="s">
        <v>226</v>
      </c>
      <c r="C2263" s="110">
        <v>2049</v>
      </c>
      <c r="D2263" s="687" t="s">
        <v>1100</v>
      </c>
      <c r="E2263" s="688">
        <v>2.6935344512812372E-2</v>
      </c>
      <c r="F2263" s="310">
        <v>2.1293421243360083E-3</v>
      </c>
      <c r="G2263" s="311">
        <v>1.9546139416047988E-2</v>
      </c>
      <c r="H2263" s="311">
        <v>5.0757529861011506E-4</v>
      </c>
      <c r="I2263" s="394">
        <v>5.512246934766355E-4</v>
      </c>
      <c r="J2263" s="689">
        <v>1.9108965543258039E-5</v>
      </c>
      <c r="K2263" s="690">
        <v>1.9972988170345411E-5</v>
      </c>
    </row>
    <row r="2264" spans="2:11" ht="15.75" x14ac:dyDescent="0.25">
      <c r="B2264" s="667" t="s">
        <v>226</v>
      </c>
      <c r="C2264" s="110">
        <v>2050</v>
      </c>
      <c r="D2264" s="687" t="s">
        <v>1101</v>
      </c>
      <c r="E2264" s="688">
        <v>2.6897878375638444E-2</v>
      </c>
      <c r="F2264" s="310">
        <v>2.1111141936358069E-3</v>
      </c>
      <c r="G2264" s="311">
        <v>1.955000092503336E-2</v>
      </c>
      <c r="H2264" s="311">
        <v>5.0255058234030027E-4</v>
      </c>
      <c r="I2264" s="394">
        <v>5.4577032257912606E-4</v>
      </c>
      <c r="J2264" s="689">
        <v>1.886197231870564E-5</v>
      </c>
      <c r="K2264" s="690">
        <v>1.9714827008194959E-5</v>
      </c>
    </row>
    <row r="2265" spans="2:11" ht="15.75" x14ac:dyDescent="0.25">
      <c r="B2265" s="667" t="s">
        <v>227</v>
      </c>
      <c r="C2265" s="110">
        <v>2015</v>
      </c>
      <c r="D2265" s="687" t="s">
        <v>1102</v>
      </c>
      <c r="E2265" s="688">
        <v>4.3932865872492503E-2</v>
      </c>
      <c r="F2265" s="310">
        <v>0.11395692681705674</v>
      </c>
      <c r="G2265" s="311">
        <v>0.37847720719701416</v>
      </c>
      <c r="H2265" s="311">
        <v>3.3439990217983885E-3</v>
      </c>
      <c r="I2265" s="394">
        <v>3.6110330506330898E-3</v>
      </c>
      <c r="J2265" s="689">
        <v>4.2699500664083963E-4</v>
      </c>
      <c r="K2265" s="690">
        <v>4.4630182607885828E-4</v>
      </c>
    </row>
    <row r="2266" spans="2:11" ht="15.75" x14ac:dyDescent="0.25">
      <c r="B2266" s="667" t="s">
        <v>227</v>
      </c>
      <c r="C2266" s="110">
        <v>2016</v>
      </c>
      <c r="D2266" s="687" t="s">
        <v>1103</v>
      </c>
      <c r="E2266" s="688">
        <v>4.3223603338233635E-2</v>
      </c>
      <c r="F2266" s="310">
        <v>9.2189672849319546E-2</v>
      </c>
      <c r="G2266" s="311">
        <v>0.32732091502840338</v>
      </c>
      <c r="H2266" s="311">
        <v>2.8829220347683475E-3</v>
      </c>
      <c r="I2266" s="394">
        <v>3.1202959576771519E-3</v>
      </c>
      <c r="J2266" s="689">
        <v>2.3722917740764016E-4</v>
      </c>
      <c r="K2266" s="690">
        <v>2.4795562812112982E-4</v>
      </c>
    </row>
    <row r="2267" spans="2:11" ht="15.75" x14ac:dyDescent="0.25">
      <c r="B2267" s="667" t="s">
        <v>227</v>
      </c>
      <c r="C2267" s="110">
        <v>2017</v>
      </c>
      <c r="D2267" s="687" t="s">
        <v>1104</v>
      </c>
      <c r="E2267" s="688">
        <v>4.2215307876071202E-2</v>
      </c>
      <c r="F2267" s="310">
        <v>7.7861582168873178E-2</v>
      </c>
      <c r="G2267" s="311">
        <v>0.28868338493600976</v>
      </c>
      <c r="H2267" s="311">
        <v>2.71747636259122E-3</v>
      </c>
      <c r="I2267" s="394">
        <v>2.942629488370479E-3</v>
      </c>
      <c r="J2267" s="689">
        <v>2.2096741557913656E-4</v>
      </c>
      <c r="K2267" s="690">
        <v>2.3095858158324038E-4</v>
      </c>
    </row>
    <row r="2268" spans="2:11" ht="15.75" x14ac:dyDescent="0.25">
      <c r="B2268" s="667" t="s">
        <v>227</v>
      </c>
      <c r="C2268" s="110">
        <v>2018</v>
      </c>
      <c r="D2268" s="687" t="s">
        <v>1105</v>
      </c>
      <c r="E2268" s="688">
        <v>4.1135670534754337E-2</v>
      </c>
      <c r="F2268" s="310">
        <v>6.533438867764467E-2</v>
      </c>
      <c r="G2268" s="311">
        <v>0.25296376669225834</v>
      </c>
      <c r="H2268" s="311">
        <v>2.5897108196934002E-3</v>
      </c>
      <c r="I2268" s="394">
        <v>2.8055752570421495E-3</v>
      </c>
      <c r="J2268" s="689">
        <v>2.0564152342075564E-4</v>
      </c>
      <c r="K2268" s="690">
        <v>2.1493972058909676E-4</v>
      </c>
    </row>
    <row r="2269" spans="2:11" ht="15.75" x14ac:dyDescent="0.25">
      <c r="B2269" s="667" t="s">
        <v>227</v>
      </c>
      <c r="C2269" s="110">
        <v>2019</v>
      </c>
      <c r="D2269" s="687" t="s">
        <v>1106</v>
      </c>
      <c r="E2269" s="688">
        <v>4.001631588338863E-2</v>
      </c>
      <c r="F2269" s="310">
        <v>5.419416505678127E-2</v>
      </c>
      <c r="G2269" s="311">
        <v>0.2208092649266368</v>
      </c>
      <c r="H2269" s="311">
        <v>2.4852336369390253E-3</v>
      </c>
      <c r="I2269" s="394">
        <v>2.6935726503330821E-3</v>
      </c>
      <c r="J2269" s="689">
        <v>1.9199521134386833E-4</v>
      </c>
      <c r="K2269" s="690">
        <v>2.0067638283470594E-4</v>
      </c>
    </row>
    <row r="2270" spans="2:11" ht="15.75" x14ac:dyDescent="0.25">
      <c r="B2270" s="667" t="s">
        <v>227</v>
      </c>
      <c r="C2270" s="110">
        <v>2020</v>
      </c>
      <c r="D2270" s="687" t="s">
        <v>1107</v>
      </c>
      <c r="E2270" s="688">
        <v>3.8872906472282337E-2</v>
      </c>
      <c r="F2270" s="310">
        <v>4.607459232960931E-2</v>
      </c>
      <c r="G2270" s="311">
        <v>0.19226455540367923</v>
      </c>
      <c r="H2270" s="311">
        <v>2.3573525703449406E-3</v>
      </c>
      <c r="I2270" s="394">
        <v>2.5558083075215491E-3</v>
      </c>
      <c r="J2270" s="689">
        <v>1.69096843570132E-4</v>
      </c>
      <c r="K2270" s="690">
        <v>1.7674265248024339E-4</v>
      </c>
    </row>
    <row r="2271" spans="2:11" ht="15.75" x14ac:dyDescent="0.25">
      <c r="B2271" s="667" t="s">
        <v>227</v>
      </c>
      <c r="C2271" s="110">
        <v>2021</v>
      </c>
      <c r="D2271" s="687" t="s">
        <v>1108</v>
      </c>
      <c r="E2271" s="688">
        <v>3.7713588279926075E-2</v>
      </c>
      <c r="F2271" s="310">
        <v>3.9009404564435378E-2</v>
      </c>
      <c r="G2271" s="311">
        <v>0.16702210136633697</v>
      </c>
      <c r="H2271" s="311">
        <v>2.2052482497953319E-3</v>
      </c>
      <c r="I2271" s="394">
        <v>2.3914979392497993E-3</v>
      </c>
      <c r="J2271" s="689">
        <v>1.5006495320228877E-4</v>
      </c>
      <c r="K2271" s="690">
        <v>1.5685022448272878E-4</v>
      </c>
    </row>
    <row r="2272" spans="2:11" ht="15.75" x14ac:dyDescent="0.25">
      <c r="B2272" s="667" t="s">
        <v>227</v>
      </c>
      <c r="C2272" s="110">
        <v>2022</v>
      </c>
      <c r="D2272" s="687" t="s">
        <v>1109</v>
      </c>
      <c r="E2272" s="688">
        <v>3.6568015522878208E-2</v>
      </c>
      <c r="F2272" s="310">
        <v>3.2564665906487905E-2</v>
      </c>
      <c r="G2272" s="311">
        <v>0.14535752787511264</v>
      </c>
      <c r="H2272" s="311">
        <v>2.073345566710984E-3</v>
      </c>
      <c r="I2272" s="394">
        <v>2.2488631556716568E-3</v>
      </c>
      <c r="J2272" s="689">
        <v>1.3870173460117392E-4</v>
      </c>
      <c r="K2272" s="690">
        <v>1.4497321156000685E-4</v>
      </c>
    </row>
    <row r="2273" spans="2:11" ht="15.75" x14ac:dyDescent="0.25">
      <c r="B2273" s="667" t="s">
        <v>227</v>
      </c>
      <c r="C2273" s="110">
        <v>2023</v>
      </c>
      <c r="D2273" s="687" t="s">
        <v>1110</v>
      </c>
      <c r="E2273" s="688">
        <v>3.542774872341873E-2</v>
      </c>
      <c r="F2273" s="310">
        <v>2.7977954310364019E-2</v>
      </c>
      <c r="G2273" s="311">
        <v>0.12691886760740315</v>
      </c>
      <c r="H2273" s="311">
        <v>1.9525231429557324E-3</v>
      </c>
      <c r="I2273" s="394">
        <v>2.1179822473517624E-3</v>
      </c>
      <c r="J2273" s="689">
        <v>1.283651901447331E-4</v>
      </c>
      <c r="K2273" s="690">
        <v>1.3416929443098289E-4</v>
      </c>
    </row>
    <row r="2274" spans="2:11" ht="15.75" x14ac:dyDescent="0.25">
      <c r="B2274" s="667" t="s">
        <v>227</v>
      </c>
      <c r="C2274" s="110">
        <v>2024</v>
      </c>
      <c r="D2274" s="687" t="s">
        <v>1111</v>
      </c>
      <c r="E2274" s="688">
        <v>3.4301354282464128E-2</v>
      </c>
      <c r="F2274" s="310">
        <v>2.383293659483391E-2</v>
      </c>
      <c r="G2274" s="311">
        <v>0.11087767532563522</v>
      </c>
      <c r="H2274" s="311">
        <v>1.8389687972846021E-3</v>
      </c>
      <c r="I2274" s="394">
        <v>1.9949990063229707E-3</v>
      </c>
      <c r="J2274" s="689">
        <v>1.1864726252717738E-4</v>
      </c>
      <c r="K2274" s="690">
        <v>1.2401196524922657E-4</v>
      </c>
    </row>
    <row r="2275" spans="2:11" ht="15.75" x14ac:dyDescent="0.25">
      <c r="B2275" s="667" t="s">
        <v>227</v>
      </c>
      <c r="C2275" s="110">
        <v>2025</v>
      </c>
      <c r="D2275" s="687" t="s">
        <v>1112</v>
      </c>
      <c r="E2275" s="688">
        <v>3.3188714799727202E-2</v>
      </c>
      <c r="F2275" s="310">
        <v>2.0825252747095152E-2</v>
      </c>
      <c r="G2275" s="311">
        <v>9.7752410416140675E-2</v>
      </c>
      <c r="H2275" s="311">
        <v>1.7433059230942381E-3</v>
      </c>
      <c r="I2275" s="394">
        <v>1.8916835651137213E-3</v>
      </c>
      <c r="J2275" s="689">
        <v>1.018671632051349E-4</v>
      </c>
      <c r="K2275" s="690">
        <v>1.0647314429642912E-4</v>
      </c>
    </row>
    <row r="2276" spans="2:11" ht="15.75" x14ac:dyDescent="0.25">
      <c r="B2276" s="667" t="s">
        <v>227</v>
      </c>
      <c r="C2276" s="110">
        <v>2026</v>
      </c>
      <c r="D2276" s="687" t="s">
        <v>1113</v>
      </c>
      <c r="E2276" s="688">
        <v>3.221697831529332E-2</v>
      </c>
      <c r="F2276" s="310">
        <v>1.8290737320637532E-2</v>
      </c>
      <c r="G2276" s="311">
        <v>8.6769120702372637E-2</v>
      </c>
      <c r="H2276" s="311">
        <v>1.6553954683212659E-3</v>
      </c>
      <c r="I2276" s="394">
        <v>1.796666651425185E-3</v>
      </c>
      <c r="J2276" s="689">
        <v>8.7921452609554627E-5</v>
      </c>
      <c r="K2276" s="690">
        <v>9.1896870550890953E-5</v>
      </c>
    </row>
    <row r="2277" spans="2:11" ht="15.75" x14ac:dyDescent="0.25">
      <c r="B2277" s="667" t="s">
        <v>227</v>
      </c>
      <c r="C2277" s="110">
        <v>2027</v>
      </c>
      <c r="D2277" s="687" t="s">
        <v>1114</v>
      </c>
      <c r="E2277" s="688">
        <v>3.1289065119913112E-2</v>
      </c>
      <c r="F2277" s="310">
        <v>1.6104861162991351E-2</v>
      </c>
      <c r="G2277" s="311">
        <v>7.7361577584247262E-2</v>
      </c>
      <c r="H2277" s="311">
        <v>1.5686383192102373E-3</v>
      </c>
      <c r="I2277" s="394">
        <v>1.7025972237621285E-3</v>
      </c>
      <c r="J2277" s="689">
        <v>8.1180348030273375E-5</v>
      </c>
      <c r="K2277" s="690">
        <v>8.4850963135743105E-5</v>
      </c>
    </row>
    <row r="2278" spans="2:11" ht="15.75" x14ac:dyDescent="0.25">
      <c r="B2278" s="667" t="s">
        <v>227</v>
      </c>
      <c r="C2278" s="110">
        <v>2028</v>
      </c>
      <c r="D2278" s="687" t="s">
        <v>1115</v>
      </c>
      <c r="E2278" s="688">
        <v>3.0455779934005042E-2</v>
      </c>
      <c r="F2278" s="310">
        <v>1.4223436792919882E-2</v>
      </c>
      <c r="G2278" s="311">
        <v>6.9256679607524144E-2</v>
      </c>
      <c r="H2278" s="311">
        <v>1.4728808263919876E-3</v>
      </c>
      <c r="I2278" s="394">
        <v>1.5988375731975167E-3</v>
      </c>
      <c r="J2278" s="689">
        <v>7.2086455304009935E-5</v>
      </c>
      <c r="K2278" s="690">
        <v>7.534588493394942E-5</v>
      </c>
    </row>
    <row r="2279" spans="2:11" ht="15.75" x14ac:dyDescent="0.25">
      <c r="B2279" s="667" t="s">
        <v>227</v>
      </c>
      <c r="C2279" s="110">
        <v>2029</v>
      </c>
      <c r="D2279" s="687" t="s">
        <v>1116</v>
      </c>
      <c r="E2279" s="688">
        <v>2.9710970826404559E-2</v>
      </c>
      <c r="F2279" s="310">
        <v>1.2538796035087211E-2</v>
      </c>
      <c r="G2279" s="311">
        <v>6.2223948884771493E-2</v>
      </c>
      <c r="H2279" s="311">
        <v>1.3795509864056852E-3</v>
      </c>
      <c r="I2279" s="394">
        <v>1.4976924915153747E-3</v>
      </c>
      <c r="J2279" s="689">
        <v>6.3599634239254932E-5</v>
      </c>
      <c r="K2279" s="690">
        <v>6.6475327480356868E-5</v>
      </c>
    </row>
    <row r="2280" spans="2:11" ht="15.75" x14ac:dyDescent="0.25">
      <c r="B2280" s="667" t="s">
        <v>227</v>
      </c>
      <c r="C2280" s="110">
        <v>2030</v>
      </c>
      <c r="D2280" s="687" t="s">
        <v>1117</v>
      </c>
      <c r="E2280" s="688">
        <v>2.9050316791926267E-2</v>
      </c>
      <c r="F2280" s="310">
        <v>1.1134383972664011E-2</v>
      </c>
      <c r="G2280" s="311">
        <v>5.618484064049608E-2</v>
      </c>
      <c r="H2280" s="311">
        <v>1.2908853244316134E-3</v>
      </c>
      <c r="I2280" s="394">
        <v>1.4015054327960557E-3</v>
      </c>
      <c r="J2280" s="689">
        <v>5.7819464578098298E-5</v>
      </c>
      <c r="K2280" s="690">
        <v>6.0433804196245752E-5</v>
      </c>
    </row>
    <row r="2281" spans="2:11" ht="15.75" x14ac:dyDescent="0.25">
      <c r="B2281" s="667" t="s">
        <v>227</v>
      </c>
      <c r="C2281" s="110">
        <v>2031</v>
      </c>
      <c r="D2281" s="687" t="s">
        <v>1118</v>
      </c>
      <c r="E2281" s="688">
        <v>2.8466985282394996E-2</v>
      </c>
      <c r="F2281" s="310">
        <v>9.8890941157416968E-3</v>
      </c>
      <c r="G2281" s="311">
        <v>5.089870160371493E-2</v>
      </c>
      <c r="H2281" s="311">
        <v>1.2079171557967093E-3</v>
      </c>
      <c r="I2281" s="394">
        <v>1.3114437669903074E-3</v>
      </c>
      <c r="J2281" s="689">
        <v>5.3718346200251121E-5</v>
      </c>
      <c r="K2281" s="690">
        <v>5.6147251443795584E-5</v>
      </c>
    </row>
    <row r="2282" spans="2:11" ht="15.75" x14ac:dyDescent="0.25">
      <c r="B2282" s="667" t="s">
        <v>227</v>
      </c>
      <c r="C2282" s="110">
        <v>2032</v>
      </c>
      <c r="D2282" s="687" t="s">
        <v>1119</v>
      </c>
      <c r="E2282" s="688">
        <v>2.7954215078310581E-2</v>
      </c>
      <c r="F2282" s="310">
        <v>8.8002951786398127E-3</v>
      </c>
      <c r="G2282" s="311">
        <v>4.6388247375561076E-2</v>
      </c>
      <c r="H2282" s="311">
        <v>1.1274001765505738E-3</v>
      </c>
      <c r="I2282" s="394">
        <v>1.2241303792436492E-3</v>
      </c>
      <c r="J2282" s="689">
        <v>4.7673047731005891E-5</v>
      </c>
      <c r="K2282" s="690">
        <v>4.9828611403385742E-5</v>
      </c>
    </row>
    <row r="2283" spans="2:11" ht="15.75" x14ac:dyDescent="0.25">
      <c r="B2283" s="667" t="s">
        <v>227</v>
      </c>
      <c r="C2283" s="110">
        <v>2033</v>
      </c>
      <c r="D2283" s="687" t="s">
        <v>1120</v>
      </c>
      <c r="E2283" s="688">
        <v>2.750620057208171E-2</v>
      </c>
      <c r="F2283" s="310">
        <v>7.8575921726398313E-3</v>
      </c>
      <c r="G2283" s="311">
        <v>4.2584635851285489E-2</v>
      </c>
      <c r="H2283" s="311">
        <v>1.0547602519335743E-3</v>
      </c>
      <c r="I2283" s="394">
        <v>1.1452659440746014E-3</v>
      </c>
      <c r="J2283" s="689">
        <v>4.4413853122143909E-5</v>
      </c>
      <c r="K2283" s="690">
        <v>4.6422050476772939E-5</v>
      </c>
    </row>
    <row r="2284" spans="2:11" ht="15.75" x14ac:dyDescent="0.25">
      <c r="B2284" s="667" t="s">
        <v>227</v>
      </c>
      <c r="C2284" s="110">
        <v>2034</v>
      </c>
      <c r="D2284" s="687" t="s">
        <v>1121</v>
      </c>
      <c r="E2284" s="688">
        <v>2.7116888379651576E-2</v>
      </c>
      <c r="F2284" s="310">
        <v>7.0268786187086358E-3</v>
      </c>
      <c r="G2284" s="311">
        <v>3.9375863967633568E-2</v>
      </c>
      <c r="H2284" s="311">
        <v>9.8416158752168744E-4</v>
      </c>
      <c r="I2284" s="394">
        <v>1.0687274037148654E-3</v>
      </c>
      <c r="J2284" s="689">
        <v>3.8657044455188492E-5</v>
      </c>
      <c r="K2284" s="690">
        <v>4.0404944467357825E-5</v>
      </c>
    </row>
    <row r="2285" spans="2:11" ht="15.75" x14ac:dyDescent="0.25">
      <c r="B2285" s="667" t="s">
        <v>227</v>
      </c>
      <c r="C2285" s="110">
        <v>2035</v>
      </c>
      <c r="D2285" s="687" t="s">
        <v>1122</v>
      </c>
      <c r="E2285" s="688">
        <v>2.678063084609195E-2</v>
      </c>
      <c r="F2285" s="310">
        <v>6.2640065298993882E-3</v>
      </c>
      <c r="G2285" s="311">
        <v>3.6476342452556286E-2</v>
      </c>
      <c r="H2285" s="311">
        <v>9.195690264174216E-4</v>
      </c>
      <c r="I2285" s="394">
        <v>9.9858425029094081E-4</v>
      </c>
      <c r="J2285" s="689">
        <v>3.6128465253817999E-5</v>
      </c>
      <c r="K2285" s="690">
        <v>3.7762034134905401E-5</v>
      </c>
    </row>
    <row r="2286" spans="2:11" ht="15.75" x14ac:dyDescent="0.25">
      <c r="B2286" s="667" t="s">
        <v>227</v>
      </c>
      <c r="C2286" s="110">
        <v>2036</v>
      </c>
      <c r="D2286" s="687" t="s">
        <v>1123</v>
      </c>
      <c r="E2286" s="688">
        <v>2.6492478424167212E-2</v>
      </c>
      <c r="F2286" s="310">
        <v>5.6236517446306379E-3</v>
      </c>
      <c r="G2286" s="311">
        <v>3.4107446512701096E-2</v>
      </c>
      <c r="H2286" s="311">
        <v>8.6565871459765682E-4</v>
      </c>
      <c r="I2286" s="394">
        <v>9.4008726194748805E-4</v>
      </c>
      <c r="J2286" s="689">
        <v>3.2933363959612616E-5</v>
      </c>
      <c r="K2286" s="690">
        <v>3.4422464538228119E-5</v>
      </c>
    </row>
    <row r="2287" spans="2:11" ht="15.75" x14ac:dyDescent="0.25">
      <c r="B2287" s="667" t="s">
        <v>227</v>
      </c>
      <c r="C2287" s="110">
        <v>2037</v>
      </c>
      <c r="D2287" s="687" t="s">
        <v>1124</v>
      </c>
      <c r="E2287" s="688">
        <v>2.6247950606120504E-2</v>
      </c>
      <c r="F2287" s="310">
        <v>5.0638683085602459E-3</v>
      </c>
      <c r="G2287" s="311">
        <v>3.2073568675411591E-2</v>
      </c>
      <c r="H2287" s="311">
        <v>8.1802600110259947E-4</v>
      </c>
      <c r="I2287" s="394">
        <v>8.8836225176359789E-4</v>
      </c>
      <c r="J2287" s="689">
        <v>3.10475701346481E-5</v>
      </c>
      <c r="K2287" s="690">
        <v>3.2451403484584893E-5</v>
      </c>
    </row>
    <row r="2288" spans="2:11" ht="15.75" x14ac:dyDescent="0.25">
      <c r="B2288" s="667" t="s">
        <v>227</v>
      </c>
      <c r="C2288" s="110">
        <v>2038</v>
      </c>
      <c r="D2288" s="687" t="s">
        <v>1125</v>
      </c>
      <c r="E2288" s="688">
        <v>2.6042192637806178E-2</v>
      </c>
      <c r="F2288" s="310">
        <v>4.5557820118903537E-3</v>
      </c>
      <c r="G2288" s="311">
        <v>3.0218811280208046E-2</v>
      </c>
      <c r="H2288" s="311">
        <v>7.7510164149072994E-4</v>
      </c>
      <c r="I2288" s="394">
        <v>8.4174642739331354E-4</v>
      </c>
      <c r="J2288" s="689">
        <v>2.9435013910938782E-5</v>
      </c>
      <c r="K2288" s="690">
        <v>3.076593462405173E-5</v>
      </c>
    </row>
    <row r="2289" spans="2:11" ht="15.75" x14ac:dyDescent="0.25">
      <c r="B2289" s="667" t="s">
        <v>227</v>
      </c>
      <c r="C2289" s="110">
        <v>2039</v>
      </c>
      <c r="D2289" s="687" t="s">
        <v>1126</v>
      </c>
      <c r="E2289" s="688">
        <v>2.5870345787621617E-2</v>
      </c>
      <c r="F2289" s="310">
        <v>4.091802161822893E-3</v>
      </c>
      <c r="G2289" s="311">
        <v>2.8529542727720455E-2</v>
      </c>
      <c r="H2289" s="311">
        <v>7.3669512487409142E-4</v>
      </c>
      <c r="I2289" s="394">
        <v>8.0003557638358587E-4</v>
      </c>
      <c r="J2289" s="689">
        <v>2.8025241667392593E-5</v>
      </c>
      <c r="K2289" s="690">
        <v>2.9292418735423926E-5</v>
      </c>
    </row>
    <row r="2290" spans="2:11" ht="15.75" x14ac:dyDescent="0.25">
      <c r="B2290" s="667" t="s">
        <v>227</v>
      </c>
      <c r="C2290" s="110">
        <v>2040</v>
      </c>
      <c r="D2290" s="687" t="s">
        <v>1127</v>
      </c>
      <c r="E2290" s="688">
        <v>2.5727479010984076E-2</v>
      </c>
      <c r="F2290" s="310">
        <v>3.6551077771368049E-3</v>
      </c>
      <c r="G2290" s="311">
        <v>2.7033330889760187E-2</v>
      </c>
      <c r="H2290" s="311">
        <v>7.0147981972738241E-4</v>
      </c>
      <c r="I2290" s="394">
        <v>7.6179571438074955E-4</v>
      </c>
      <c r="J2290" s="689">
        <v>2.6609443221462216E-5</v>
      </c>
      <c r="K2290" s="690">
        <v>2.7812604166281264E-5</v>
      </c>
    </row>
    <row r="2291" spans="2:11" ht="15.75" x14ac:dyDescent="0.25">
      <c r="B2291" s="667" t="s">
        <v>227</v>
      </c>
      <c r="C2291" s="110">
        <v>2041</v>
      </c>
      <c r="D2291" s="687" t="s">
        <v>1128</v>
      </c>
      <c r="E2291" s="688">
        <v>2.5610757439984127E-2</v>
      </c>
      <c r="F2291" s="310">
        <v>3.2773555689781966E-3</v>
      </c>
      <c r="G2291" s="311">
        <v>2.5710869645935795E-2</v>
      </c>
      <c r="H2291" s="311">
        <v>6.7552231079496801E-4</v>
      </c>
      <c r="I2291" s="394">
        <v>7.3361158835873804E-4</v>
      </c>
      <c r="J2291" s="689">
        <v>2.5499529947717787E-5</v>
      </c>
      <c r="K2291" s="690">
        <v>2.6652505539465248E-5</v>
      </c>
    </row>
    <row r="2292" spans="2:11" ht="15.75" x14ac:dyDescent="0.25">
      <c r="B2292" s="667" t="s">
        <v>227</v>
      </c>
      <c r="C2292" s="110">
        <v>2042</v>
      </c>
      <c r="D2292" s="687" t="s">
        <v>1129</v>
      </c>
      <c r="E2292" s="688">
        <v>2.551502507092273E-2</v>
      </c>
      <c r="F2292" s="310">
        <v>2.9696743517282288E-3</v>
      </c>
      <c r="G2292" s="311">
        <v>2.4579745782841795E-2</v>
      </c>
      <c r="H2292" s="311">
        <v>6.5297027496828382E-4</v>
      </c>
      <c r="I2292" s="394">
        <v>7.0912403747402572E-4</v>
      </c>
      <c r="J2292" s="689">
        <v>2.4559232449287222E-5</v>
      </c>
      <c r="K2292" s="690">
        <v>2.566969196066416E-5</v>
      </c>
    </row>
    <row r="2293" spans="2:11" ht="15.75" x14ac:dyDescent="0.25">
      <c r="B2293" s="667" t="s">
        <v>227</v>
      </c>
      <c r="C2293" s="110">
        <v>2043</v>
      </c>
      <c r="D2293" s="687" t="s">
        <v>1130</v>
      </c>
      <c r="E2293" s="688">
        <v>2.5437377547120676E-2</v>
      </c>
      <c r="F2293" s="310">
        <v>2.7419045403684564E-3</v>
      </c>
      <c r="G2293" s="311">
        <v>2.373385200256278E-2</v>
      </c>
      <c r="H2293" s="311">
        <v>6.3343909473621558E-4</v>
      </c>
      <c r="I2293" s="394">
        <v>6.879207860639796E-4</v>
      </c>
      <c r="J2293" s="689">
        <v>2.36462291449621E-5</v>
      </c>
      <c r="K2293" s="690">
        <v>2.4715406698309476E-5</v>
      </c>
    </row>
    <row r="2294" spans="2:11" ht="15.75" x14ac:dyDescent="0.25">
      <c r="B2294" s="667" t="s">
        <v>227</v>
      </c>
      <c r="C2294" s="110">
        <v>2044</v>
      </c>
      <c r="D2294" s="687" t="s">
        <v>1131</v>
      </c>
      <c r="E2294" s="688">
        <v>2.5374040904555594E-2</v>
      </c>
      <c r="F2294" s="310">
        <v>2.582741855391652E-3</v>
      </c>
      <c r="G2294" s="311">
        <v>2.3093691497316635E-2</v>
      </c>
      <c r="H2294" s="311">
        <v>6.1688680008859919E-4</v>
      </c>
      <c r="I2294" s="394">
        <v>6.6994641176943998E-4</v>
      </c>
      <c r="J2294" s="689">
        <v>2.2991221798473699E-5</v>
      </c>
      <c r="K2294" s="690">
        <v>2.4030782826164913E-5</v>
      </c>
    </row>
    <row r="2295" spans="2:11" ht="15.75" x14ac:dyDescent="0.25">
      <c r="B2295" s="667" t="s">
        <v>227</v>
      </c>
      <c r="C2295" s="110">
        <v>2045</v>
      </c>
      <c r="D2295" s="687" t="s">
        <v>1132</v>
      </c>
      <c r="E2295" s="688">
        <v>2.5321895705285629E-2</v>
      </c>
      <c r="F2295" s="310">
        <v>2.4836617412221547E-3</v>
      </c>
      <c r="G2295" s="311">
        <v>2.2673850538790567E-2</v>
      </c>
      <c r="H2295" s="311">
        <v>6.0284840888878352E-4</v>
      </c>
      <c r="I2295" s="394">
        <v>6.5469994650128557E-4</v>
      </c>
      <c r="J2295" s="689">
        <v>2.2482296924234029E-5</v>
      </c>
      <c r="K2295" s="690">
        <v>2.3498846627432763E-5</v>
      </c>
    </row>
    <row r="2296" spans="2:11" ht="15.75" x14ac:dyDescent="0.25">
      <c r="B2296" s="667" t="s">
        <v>227</v>
      </c>
      <c r="C2296" s="110">
        <v>2046</v>
      </c>
      <c r="D2296" s="687" t="s">
        <v>1133</v>
      </c>
      <c r="E2296" s="688">
        <v>2.5278874867530849E-2</v>
      </c>
      <c r="F2296" s="310">
        <v>2.4026666027201979E-3</v>
      </c>
      <c r="G2296" s="311">
        <v>2.2354301876097896E-2</v>
      </c>
      <c r="H2296" s="311">
        <v>5.9103259929896008E-4</v>
      </c>
      <c r="I2296" s="394">
        <v>6.4186832791967186E-4</v>
      </c>
      <c r="J2296" s="689">
        <v>2.2030329359378903E-5</v>
      </c>
      <c r="K2296" s="690">
        <v>2.3026443094871354E-5</v>
      </c>
    </row>
    <row r="2297" spans="2:11" ht="15.75" x14ac:dyDescent="0.25">
      <c r="B2297" s="667" t="s">
        <v>227</v>
      </c>
      <c r="C2297" s="110">
        <v>2047</v>
      </c>
      <c r="D2297" s="687" t="s">
        <v>1134</v>
      </c>
      <c r="E2297" s="688">
        <v>2.52439915862907E-2</v>
      </c>
      <c r="F2297" s="310">
        <v>2.3294658547936605E-3</v>
      </c>
      <c r="G2297" s="311">
        <v>2.2055277190395461E-2</v>
      </c>
      <c r="H2297" s="311">
        <v>5.8101925701588058E-4</v>
      </c>
      <c r="I2297" s="394">
        <v>6.3099542194725846E-4</v>
      </c>
      <c r="J2297" s="689">
        <v>2.161694632326578E-5</v>
      </c>
      <c r="K2297" s="690">
        <v>2.2594368712225249E-5</v>
      </c>
    </row>
    <row r="2298" spans="2:11" ht="15.75" x14ac:dyDescent="0.25">
      <c r="B2298" s="667" t="s">
        <v>227</v>
      </c>
      <c r="C2298" s="110">
        <v>2048</v>
      </c>
      <c r="D2298" s="687" t="s">
        <v>1135</v>
      </c>
      <c r="E2298" s="688">
        <v>2.5215364510988283E-2</v>
      </c>
      <c r="F2298" s="310">
        <v>2.2722299867926729E-3</v>
      </c>
      <c r="G2298" s="311">
        <v>2.1821733563329278E-2</v>
      </c>
      <c r="H2298" s="311">
        <v>5.7254351115905639E-4</v>
      </c>
      <c r="I2298" s="394">
        <v>6.2179624936375369E-4</v>
      </c>
      <c r="J2298" s="689">
        <v>2.1169180741142003E-5</v>
      </c>
      <c r="K2298" s="690">
        <v>2.2126357157408128E-5</v>
      </c>
    </row>
    <row r="2299" spans="2:11" ht="15.75" x14ac:dyDescent="0.25">
      <c r="B2299" s="667" t="s">
        <v>227</v>
      </c>
      <c r="C2299" s="110">
        <v>2049</v>
      </c>
      <c r="D2299" s="687" t="s">
        <v>1136</v>
      </c>
      <c r="E2299" s="688">
        <v>2.5191938831112457E-2</v>
      </c>
      <c r="F2299" s="310">
        <v>2.253057205440348E-3</v>
      </c>
      <c r="G2299" s="311">
        <v>2.181786310106042E-2</v>
      </c>
      <c r="H2299" s="311">
        <v>5.6763935468416094E-4</v>
      </c>
      <c r="I2299" s="394">
        <v>6.1647313919025706E-4</v>
      </c>
      <c r="J2299" s="689">
        <v>2.091886138560081E-5</v>
      </c>
      <c r="K2299" s="690">
        <v>2.1864719471385056E-5</v>
      </c>
    </row>
    <row r="2300" spans="2:11" ht="15.75" x14ac:dyDescent="0.25">
      <c r="B2300" s="667" t="s">
        <v>227</v>
      </c>
      <c r="C2300" s="110">
        <v>2050</v>
      </c>
      <c r="D2300" s="687" t="s">
        <v>1137</v>
      </c>
      <c r="E2300" s="688">
        <v>2.5173293535511829E-2</v>
      </c>
      <c r="F2300" s="310">
        <v>2.2369001891404776E-3</v>
      </c>
      <c r="G2300" s="311">
        <v>2.1814361213587565E-2</v>
      </c>
      <c r="H2300" s="311">
        <v>5.6349073275825797E-4</v>
      </c>
      <c r="I2300" s="394">
        <v>6.1197521002715708E-4</v>
      </c>
      <c r="J2300" s="689">
        <v>2.0586696668015908E-5</v>
      </c>
      <c r="K2300" s="690">
        <v>2.1517535739230062E-5</v>
      </c>
    </row>
    <row r="2301" spans="2:11" ht="15.75" x14ac:dyDescent="0.25">
      <c r="B2301" s="667" t="s">
        <v>248</v>
      </c>
      <c r="C2301" s="110">
        <v>2015</v>
      </c>
      <c r="D2301" s="687" t="s">
        <v>1444</v>
      </c>
      <c r="E2301" s="688">
        <v>4.4416935032855598E-2</v>
      </c>
      <c r="F2301" s="310">
        <v>5.5849284636230304E-2</v>
      </c>
      <c r="G2301" s="311">
        <v>0.21735259806768537</v>
      </c>
      <c r="H2301" s="311">
        <v>1.8609408762695287E-3</v>
      </c>
      <c r="I2301" s="394">
        <v>2.0127755002970235E-3</v>
      </c>
      <c r="J2301" s="689">
        <v>1.5099532304251097E-4</v>
      </c>
      <c r="K2301" s="690">
        <v>1.5782266151867069E-4</v>
      </c>
    </row>
    <row r="2302" spans="2:11" ht="15.75" x14ac:dyDescent="0.25">
      <c r="B2302" s="667" t="s">
        <v>248</v>
      </c>
      <c r="C2302" s="110">
        <v>2016</v>
      </c>
      <c r="D2302" s="687" t="s">
        <v>1445</v>
      </c>
      <c r="E2302" s="688">
        <v>4.3523070866780811E-2</v>
      </c>
      <c r="F2302" s="310">
        <v>4.620184606331118E-2</v>
      </c>
      <c r="G2302" s="311">
        <v>0.18630502174234048</v>
      </c>
      <c r="H2302" s="311">
        <v>1.7443948152365788E-3</v>
      </c>
      <c r="I2302" s="394">
        <v>1.8883888672336059E-3</v>
      </c>
      <c r="J2302" s="689">
        <v>1.2938172138442632E-4</v>
      </c>
      <c r="K2302" s="690">
        <v>1.3523178870254463E-4</v>
      </c>
    </row>
    <row r="2303" spans="2:11" ht="15.75" x14ac:dyDescent="0.25">
      <c r="B2303" s="667" t="s">
        <v>248</v>
      </c>
      <c r="C2303" s="110">
        <v>2017</v>
      </c>
      <c r="D2303" s="687" t="s">
        <v>1446</v>
      </c>
      <c r="E2303" s="688">
        <v>4.2441753909546596E-2</v>
      </c>
      <c r="F2303" s="310">
        <v>3.8277764207524524E-2</v>
      </c>
      <c r="G2303" s="311">
        <v>0.15905351641769891</v>
      </c>
      <c r="H2303" s="311">
        <v>1.678402341728581E-3</v>
      </c>
      <c r="I2303" s="394">
        <v>1.8181903185935065E-3</v>
      </c>
      <c r="J2303" s="689">
        <v>1.1738565141617266E-4</v>
      </c>
      <c r="K2303" s="690">
        <v>1.2269330968209851E-4</v>
      </c>
    </row>
    <row r="2304" spans="2:11" ht="15.75" x14ac:dyDescent="0.25">
      <c r="B2304" s="667" t="s">
        <v>248</v>
      </c>
      <c r="C2304" s="110">
        <v>2018</v>
      </c>
      <c r="D2304" s="687" t="s">
        <v>1447</v>
      </c>
      <c r="E2304" s="688">
        <v>4.1304178423688789E-2</v>
      </c>
      <c r="F2304" s="310">
        <v>3.1307102115195565E-2</v>
      </c>
      <c r="G2304" s="311">
        <v>0.1353020676463412</v>
      </c>
      <c r="H2304" s="311">
        <v>1.6394435032124378E-3</v>
      </c>
      <c r="I2304" s="394">
        <v>1.7771615802805211E-3</v>
      </c>
      <c r="J2304" s="689">
        <v>1.0719749452296501E-4</v>
      </c>
      <c r="K2304" s="690">
        <v>1.1204448954345626E-4</v>
      </c>
    </row>
    <row r="2305" spans="2:11" ht="15.75" x14ac:dyDescent="0.25">
      <c r="B2305" s="667" t="s">
        <v>248</v>
      </c>
      <c r="C2305" s="110">
        <v>2019</v>
      </c>
      <c r="D2305" s="687" t="s">
        <v>1448</v>
      </c>
      <c r="E2305" s="688">
        <v>4.0132420206986701E-2</v>
      </c>
      <c r="F2305" s="310">
        <v>2.5715807932581162E-2</v>
      </c>
      <c r="G2305" s="311">
        <v>0.1153543461443042</v>
      </c>
      <c r="H2305" s="311">
        <v>1.612401879164617E-3</v>
      </c>
      <c r="I2305" s="394">
        <v>1.7487601588041946E-3</v>
      </c>
      <c r="J2305" s="689">
        <v>9.8222905647087972E-5</v>
      </c>
      <c r="K2305" s="690">
        <v>1.0266410958276089E-4</v>
      </c>
    </row>
    <row r="2306" spans="2:11" ht="15.75" x14ac:dyDescent="0.25">
      <c r="B2306" s="667" t="s">
        <v>248</v>
      </c>
      <c r="C2306" s="110">
        <v>2020</v>
      </c>
      <c r="D2306" s="687" t="s">
        <v>1449</v>
      </c>
      <c r="E2306" s="688">
        <v>3.8940629948611721E-2</v>
      </c>
      <c r="F2306" s="310">
        <v>2.1580064761390402E-2</v>
      </c>
      <c r="G2306" s="311">
        <v>9.8949686195769548E-2</v>
      </c>
      <c r="H2306" s="311">
        <v>1.5608931327148192E-3</v>
      </c>
      <c r="I2306" s="394">
        <v>1.6932924120639686E-3</v>
      </c>
      <c r="J2306" s="689">
        <v>9.1165099456162217E-5</v>
      </c>
      <c r="K2306" s="690">
        <v>9.5287180714432484E-5</v>
      </c>
    </row>
    <row r="2307" spans="2:11" ht="15.75" x14ac:dyDescent="0.25">
      <c r="B2307" s="667" t="s">
        <v>248</v>
      </c>
      <c r="C2307" s="110">
        <v>2021</v>
      </c>
      <c r="D2307" s="687" t="s">
        <v>1450</v>
      </c>
      <c r="E2307" s="688">
        <v>3.774012752307055E-2</v>
      </c>
      <c r="F2307" s="310">
        <v>1.8402681394003733E-2</v>
      </c>
      <c r="G2307" s="311">
        <v>8.5112013956730487E-2</v>
      </c>
      <c r="H2307" s="311">
        <v>1.4826252349372652E-3</v>
      </c>
      <c r="I2307" s="394">
        <v>1.6086353286501253E-3</v>
      </c>
      <c r="J2307" s="689">
        <v>8.360060790770219E-5</v>
      </c>
      <c r="K2307" s="690">
        <v>8.7380656425085139E-5</v>
      </c>
    </row>
    <row r="2308" spans="2:11" ht="15.75" x14ac:dyDescent="0.25">
      <c r="B2308" s="667" t="s">
        <v>248</v>
      </c>
      <c r="C2308" s="110">
        <v>2022</v>
      </c>
      <c r="D2308" s="687" t="s">
        <v>1451</v>
      </c>
      <c r="E2308" s="688">
        <v>3.6556053059362291E-2</v>
      </c>
      <c r="F2308" s="310">
        <v>1.5246472590478547E-2</v>
      </c>
      <c r="G2308" s="311">
        <v>7.3013510466164014E-2</v>
      </c>
      <c r="H2308" s="311">
        <v>1.3997871320527702E-3</v>
      </c>
      <c r="I2308" s="394">
        <v>1.5190718474688062E-3</v>
      </c>
      <c r="J2308" s="689">
        <v>7.6529116105456357E-5</v>
      </c>
      <c r="K2308" s="690">
        <v>7.9989423142821884E-5</v>
      </c>
    </row>
    <row r="2309" spans="2:11" ht="15.75" x14ac:dyDescent="0.25">
      <c r="B2309" s="667" t="s">
        <v>248</v>
      </c>
      <c r="C2309" s="110">
        <v>2023</v>
      </c>
      <c r="D2309" s="687" t="s">
        <v>1452</v>
      </c>
      <c r="E2309" s="688">
        <v>3.5389804847566132E-2</v>
      </c>
      <c r="F2309" s="310">
        <v>1.3117724466005795E-2</v>
      </c>
      <c r="G2309" s="311">
        <v>6.3473150055965599E-2</v>
      </c>
      <c r="H2309" s="311">
        <v>1.3261756059641016E-3</v>
      </c>
      <c r="I2309" s="394">
        <v>1.4393494555538463E-3</v>
      </c>
      <c r="J2309" s="689">
        <v>6.9429580219680843E-5</v>
      </c>
      <c r="K2309" s="690">
        <v>7.2568877748015507E-5</v>
      </c>
    </row>
    <row r="2310" spans="2:11" ht="15.75" x14ac:dyDescent="0.25">
      <c r="B2310" s="667" t="s">
        <v>248</v>
      </c>
      <c r="C2310" s="110">
        <v>2024</v>
      </c>
      <c r="D2310" s="687" t="s">
        <v>1453</v>
      </c>
      <c r="E2310" s="688">
        <v>3.4245017043790717E-2</v>
      </c>
      <c r="F2310" s="310">
        <v>1.1320976811788574E-2</v>
      </c>
      <c r="G2310" s="311">
        <v>5.5488597701789238E-2</v>
      </c>
      <c r="H2310" s="311">
        <v>1.2605455095107227E-3</v>
      </c>
      <c r="I2310" s="394">
        <v>1.3683357599258783E-3</v>
      </c>
      <c r="J2310" s="689">
        <v>6.1575121298229293E-5</v>
      </c>
      <c r="K2310" s="690">
        <v>6.4359275047781234E-5</v>
      </c>
    </row>
    <row r="2311" spans="2:11" ht="15.75" x14ac:dyDescent="0.25">
      <c r="B2311" s="667" t="s">
        <v>248</v>
      </c>
      <c r="C2311" s="110">
        <v>2025</v>
      </c>
      <c r="D2311" s="687" t="s">
        <v>1454</v>
      </c>
      <c r="E2311" s="688">
        <v>3.3125506719401336E-2</v>
      </c>
      <c r="F2311" s="310">
        <v>9.8787618042942733E-3</v>
      </c>
      <c r="G2311" s="311">
        <v>4.9149319016560798E-2</v>
      </c>
      <c r="H2311" s="311">
        <v>1.2069044024694033E-3</v>
      </c>
      <c r="I2311" s="394">
        <v>1.3102632364053761E-3</v>
      </c>
      <c r="J2311" s="689">
        <v>5.554125943978111E-5</v>
      </c>
      <c r="K2311" s="690">
        <v>5.8052588730959463E-5</v>
      </c>
    </row>
    <row r="2312" spans="2:11" ht="15.75" x14ac:dyDescent="0.25">
      <c r="B2312" s="667" t="s">
        <v>248</v>
      </c>
      <c r="C2312" s="110">
        <v>2026</v>
      </c>
      <c r="D2312" s="687" t="s">
        <v>1455</v>
      </c>
      <c r="E2312" s="688">
        <v>3.2095371200163605E-2</v>
      </c>
      <c r="F2312" s="310">
        <v>8.7004261110772696E-3</v>
      </c>
      <c r="G2312" s="311">
        <v>4.4052217372966745E-2</v>
      </c>
      <c r="H2312" s="311">
        <v>1.152611764074432E-3</v>
      </c>
      <c r="I2312" s="394">
        <v>1.2514655981914089E-3</v>
      </c>
      <c r="J2312" s="689">
        <v>4.9657939236607274E-5</v>
      </c>
      <c r="K2312" s="690">
        <v>5.1903250895044792E-5</v>
      </c>
    </row>
    <row r="2313" spans="2:11" ht="15.75" x14ac:dyDescent="0.25">
      <c r="B2313" s="667" t="s">
        <v>248</v>
      </c>
      <c r="C2313" s="110">
        <v>2027</v>
      </c>
      <c r="D2313" s="687" t="s">
        <v>1456</v>
      </c>
      <c r="E2313" s="688">
        <v>3.1161327308038382E-2</v>
      </c>
      <c r="F2313" s="310">
        <v>7.7029329592553722E-3</v>
      </c>
      <c r="G2313" s="311">
        <v>3.9775943301618162E-2</v>
      </c>
      <c r="H2313" s="311">
        <v>1.0896445650961464E-3</v>
      </c>
      <c r="I2313" s="394">
        <v>1.1833111459156607E-3</v>
      </c>
      <c r="J2313" s="689">
        <v>4.1928266916411563E-5</v>
      </c>
      <c r="K2313" s="690">
        <v>4.3824077092442787E-5</v>
      </c>
    </row>
    <row r="2314" spans="2:11" ht="15.75" x14ac:dyDescent="0.25">
      <c r="B2314" s="667" t="s">
        <v>248</v>
      </c>
      <c r="C2314" s="110">
        <v>2028</v>
      </c>
      <c r="D2314" s="687" t="s">
        <v>1457</v>
      </c>
      <c r="E2314" s="688">
        <v>3.031843408210104E-2</v>
      </c>
      <c r="F2314" s="310">
        <v>6.8783225523398215E-3</v>
      </c>
      <c r="G2314" s="311">
        <v>3.6256174341108977E-2</v>
      </c>
      <c r="H2314" s="311">
        <v>1.0229896972259673E-3</v>
      </c>
      <c r="I2314" s="394">
        <v>1.1110394367004129E-3</v>
      </c>
      <c r="J2314" s="689">
        <v>3.6700238694996763E-5</v>
      </c>
      <c r="K2314" s="690">
        <v>3.8359660633887211E-5</v>
      </c>
    </row>
    <row r="2315" spans="2:11" ht="15.75" x14ac:dyDescent="0.25">
      <c r="B2315" s="667" t="s">
        <v>248</v>
      </c>
      <c r="C2315" s="110">
        <v>2029</v>
      </c>
      <c r="D2315" s="687" t="s">
        <v>1458</v>
      </c>
      <c r="E2315" s="688">
        <v>2.9560617690343446E-2</v>
      </c>
      <c r="F2315" s="310">
        <v>6.1516128040215359E-3</v>
      </c>
      <c r="G2315" s="311">
        <v>3.3235724946787913E-2</v>
      </c>
      <c r="H2315" s="311">
        <v>9.5902738962440988E-4</v>
      </c>
      <c r="I2315" s="394">
        <v>1.0416608286450708E-3</v>
      </c>
      <c r="J2315" s="689">
        <v>3.2305325250653358E-5</v>
      </c>
      <c r="K2315" s="690">
        <v>3.3766028705730306E-5</v>
      </c>
    </row>
    <row r="2316" spans="2:11" ht="15.75" x14ac:dyDescent="0.25">
      <c r="B2316" s="667" t="s">
        <v>248</v>
      </c>
      <c r="C2316" s="110">
        <v>2030</v>
      </c>
      <c r="D2316" s="687" t="s">
        <v>1459</v>
      </c>
      <c r="E2316" s="688">
        <v>2.8882709968122366E-2</v>
      </c>
      <c r="F2316" s="310">
        <v>5.5511187674918052E-3</v>
      </c>
      <c r="G2316" s="311">
        <v>3.0747544560187346E-2</v>
      </c>
      <c r="H2316" s="311">
        <v>8.9976867181674536E-4</v>
      </c>
      <c r="I2316" s="394">
        <v>9.7735143204107935E-4</v>
      </c>
      <c r="J2316" s="689">
        <v>2.9004709549856759E-5</v>
      </c>
      <c r="K2316" s="690">
        <v>3.0316173809208832E-5</v>
      </c>
    </row>
    <row r="2317" spans="2:11" ht="15.75" x14ac:dyDescent="0.25">
      <c r="B2317" s="667" t="s">
        <v>248</v>
      </c>
      <c r="C2317" s="110">
        <v>2031</v>
      </c>
      <c r="D2317" s="687" t="s">
        <v>1460</v>
      </c>
      <c r="E2317" s="688">
        <v>2.8278129087355025E-2</v>
      </c>
      <c r="F2317" s="310">
        <v>5.0573663809880777E-3</v>
      </c>
      <c r="G2317" s="311">
        <v>2.861829093170546E-2</v>
      </c>
      <c r="H2317" s="311">
        <v>8.4975027455194013E-4</v>
      </c>
      <c r="I2317" s="394">
        <v>9.2303724312150712E-4</v>
      </c>
      <c r="J2317" s="689">
        <v>2.6989831400747664E-5</v>
      </c>
      <c r="K2317" s="690">
        <v>2.8210191811086365E-5</v>
      </c>
    </row>
    <row r="2318" spans="2:11" ht="15.75" x14ac:dyDescent="0.25">
      <c r="B2318" s="667" t="s">
        <v>248</v>
      </c>
      <c r="C2318" s="110">
        <v>2032</v>
      </c>
      <c r="D2318" s="687" t="s">
        <v>1461</v>
      </c>
      <c r="E2318" s="688">
        <v>2.7743707464665722E-2</v>
      </c>
      <c r="F2318" s="310">
        <v>4.6013231854834915E-3</v>
      </c>
      <c r="G2318" s="311">
        <v>2.6838572751800308E-2</v>
      </c>
      <c r="H2318" s="311">
        <v>7.9860907055765687E-4</v>
      </c>
      <c r="I2318" s="394">
        <v>8.674992707932345E-4</v>
      </c>
      <c r="J2318" s="689">
        <v>2.5036985167776325E-5</v>
      </c>
      <c r="K2318" s="690">
        <v>2.6169046537086958E-5</v>
      </c>
    </row>
    <row r="2319" spans="2:11" ht="15.75" x14ac:dyDescent="0.25">
      <c r="B2319" s="667" t="s">
        <v>248</v>
      </c>
      <c r="C2319" s="110">
        <v>2033</v>
      </c>
      <c r="D2319" s="687" t="s">
        <v>1462</v>
      </c>
      <c r="E2319" s="688">
        <v>2.7272164079013148E-2</v>
      </c>
      <c r="F2319" s="310">
        <v>4.1993723835656114E-3</v>
      </c>
      <c r="G2319" s="311">
        <v>2.5322826924594366E-2</v>
      </c>
      <c r="H2319" s="311">
        <v>7.5153269868944155E-4</v>
      </c>
      <c r="I2319" s="394">
        <v>8.1635558261407878E-4</v>
      </c>
      <c r="J2319" s="689">
        <v>2.3711660850335962E-5</v>
      </c>
      <c r="K2319" s="690">
        <v>2.4783796935051394E-5</v>
      </c>
    </row>
    <row r="2320" spans="2:11" ht="15.75" x14ac:dyDescent="0.25">
      <c r="B2320" s="667" t="s">
        <v>248</v>
      </c>
      <c r="C2320" s="110">
        <v>2034</v>
      </c>
      <c r="D2320" s="687" t="s">
        <v>1463</v>
      </c>
      <c r="E2320" s="688">
        <v>2.6858373923928792E-2</v>
      </c>
      <c r="F2320" s="310">
        <v>3.8395965207379959E-3</v>
      </c>
      <c r="G2320" s="311">
        <v>2.4028273984494038E-2</v>
      </c>
      <c r="H2320" s="311">
        <v>7.0787506088045916E-4</v>
      </c>
      <c r="I2320" s="394">
        <v>7.6892587352020945E-4</v>
      </c>
      <c r="J2320" s="689">
        <v>2.248559470616072E-5</v>
      </c>
      <c r="K2320" s="690">
        <v>2.3502293520424562E-5</v>
      </c>
    </row>
    <row r="2321" spans="2:11" ht="15.75" x14ac:dyDescent="0.25">
      <c r="B2321" s="667" t="s">
        <v>248</v>
      </c>
      <c r="C2321" s="110">
        <v>2035</v>
      </c>
      <c r="D2321" s="687" t="s">
        <v>1464</v>
      </c>
      <c r="E2321" s="688">
        <v>2.6497881335304764E-2</v>
      </c>
      <c r="F2321" s="310">
        <v>3.5239183811851785E-3</v>
      </c>
      <c r="G2321" s="311">
        <v>2.2954766744853979E-2</v>
      </c>
      <c r="H2321" s="311">
        <v>6.6786497359704522E-4</v>
      </c>
      <c r="I2321" s="394">
        <v>7.2545890568016423E-4</v>
      </c>
      <c r="J2321" s="689">
        <v>2.1361066722719934E-5</v>
      </c>
      <c r="K2321" s="690">
        <v>2.2326919371591677E-5</v>
      </c>
    </row>
    <row r="2322" spans="2:11" ht="15.75" x14ac:dyDescent="0.25">
      <c r="B2322" s="667" t="s">
        <v>248</v>
      </c>
      <c r="C2322" s="110">
        <v>2036</v>
      </c>
      <c r="D2322" s="687" t="s">
        <v>1465</v>
      </c>
      <c r="E2322" s="688">
        <v>2.6186449818317949E-2</v>
      </c>
      <c r="F2322" s="310">
        <v>3.2481556517829509E-3</v>
      </c>
      <c r="G2322" s="311">
        <v>2.205083749340005E-2</v>
      </c>
      <c r="H2322" s="311">
        <v>6.3294476695151941E-4</v>
      </c>
      <c r="I2322" s="394">
        <v>6.8752341749618692E-4</v>
      </c>
      <c r="J2322" s="689">
        <v>2.0336358800518335E-5</v>
      </c>
      <c r="K2322" s="690">
        <v>2.1255878704222075E-5</v>
      </c>
    </row>
    <row r="2323" spans="2:11" ht="15.75" x14ac:dyDescent="0.25">
      <c r="B2323" s="667" t="s">
        <v>248</v>
      </c>
      <c r="C2323" s="110">
        <v>2037</v>
      </c>
      <c r="D2323" s="687" t="s">
        <v>1466</v>
      </c>
      <c r="E2323" s="688">
        <v>2.5920788703003243E-2</v>
      </c>
      <c r="F2323" s="310">
        <v>3.0091323520696467E-3</v>
      </c>
      <c r="G2323" s="311">
        <v>2.1296463982099483E-2</v>
      </c>
      <c r="H2323" s="311">
        <v>6.0160279751146888E-4</v>
      </c>
      <c r="I2323" s="394">
        <v>6.5347523203440063E-4</v>
      </c>
      <c r="J2323" s="689">
        <v>1.9414462690030164E-5</v>
      </c>
      <c r="K2323" s="690">
        <v>2.029229854247106E-5</v>
      </c>
    </row>
    <row r="2324" spans="2:11" ht="15.75" x14ac:dyDescent="0.25">
      <c r="B2324" s="667" t="s">
        <v>248</v>
      </c>
      <c r="C2324" s="110">
        <v>2038</v>
      </c>
      <c r="D2324" s="687" t="s">
        <v>1467</v>
      </c>
      <c r="E2324" s="688">
        <v>2.5695893634332233E-2</v>
      </c>
      <c r="F2324" s="310">
        <v>2.7916551774006403E-3</v>
      </c>
      <c r="G2324" s="311">
        <v>2.0612133350426137E-2</v>
      </c>
      <c r="H2324" s="311">
        <v>5.7364702384756427E-4</v>
      </c>
      <c r="I2324" s="394">
        <v>6.2310269968827341E-4</v>
      </c>
      <c r="J2324" s="689">
        <v>1.8661147960495916E-5</v>
      </c>
      <c r="K2324" s="690">
        <v>1.9504922263651907E-5</v>
      </c>
    </row>
    <row r="2325" spans="2:11" ht="15.75" x14ac:dyDescent="0.25">
      <c r="B2325" s="667" t="s">
        <v>248</v>
      </c>
      <c r="C2325" s="110">
        <v>2039</v>
      </c>
      <c r="D2325" s="687" t="s">
        <v>1468</v>
      </c>
      <c r="E2325" s="688">
        <v>2.5506137674850979E-2</v>
      </c>
      <c r="F2325" s="310">
        <v>2.5852476368304214E-3</v>
      </c>
      <c r="G2325" s="311">
        <v>1.9967748850534473E-2</v>
      </c>
      <c r="H2325" s="311">
        <v>5.4872727862266557E-4</v>
      </c>
      <c r="I2325" s="394">
        <v>5.9602856659001142E-4</v>
      </c>
      <c r="J2325" s="689">
        <v>1.7991812758615534E-5</v>
      </c>
      <c r="K2325" s="690">
        <v>1.8805322694073421E-5</v>
      </c>
    </row>
    <row r="2326" spans="2:11" ht="15.75" x14ac:dyDescent="0.25">
      <c r="B2326" s="667" t="s">
        <v>248</v>
      </c>
      <c r="C2326" s="110">
        <v>2040</v>
      </c>
      <c r="D2326" s="687" t="s">
        <v>1469</v>
      </c>
      <c r="E2326" s="688">
        <v>2.5347057715258553E-2</v>
      </c>
      <c r="F2326" s="310">
        <v>2.4034218227593955E-3</v>
      </c>
      <c r="G2326" s="311">
        <v>1.9436113094847714E-2</v>
      </c>
      <c r="H2326" s="311">
        <v>5.2694230126292354E-4</v>
      </c>
      <c r="I2326" s="394">
        <v>5.723591286526334E-4</v>
      </c>
      <c r="J2326" s="689">
        <v>1.7432231822016673E-5</v>
      </c>
      <c r="K2326" s="690">
        <v>1.8220439990625218E-5</v>
      </c>
    </row>
    <row r="2327" spans="2:11" ht="15.75" x14ac:dyDescent="0.25">
      <c r="B2327" s="667" t="s">
        <v>248</v>
      </c>
      <c r="C2327" s="110">
        <v>2041</v>
      </c>
      <c r="D2327" s="687" t="s">
        <v>1470</v>
      </c>
      <c r="E2327" s="688">
        <v>2.5216412786635188E-2</v>
      </c>
      <c r="F2327" s="310">
        <v>2.2671433399389313E-3</v>
      </c>
      <c r="G2327" s="311">
        <v>1.9031810061057808E-2</v>
      </c>
      <c r="H2327" s="311">
        <v>5.0991615286819772E-4</v>
      </c>
      <c r="I2327" s="394">
        <v>5.5386165467509821E-4</v>
      </c>
      <c r="J2327" s="689">
        <v>1.6959888175365064E-5</v>
      </c>
      <c r="K2327" s="690">
        <v>1.7726739060265894E-5</v>
      </c>
    </row>
    <row r="2328" spans="2:11" ht="15.75" x14ac:dyDescent="0.25">
      <c r="B2328" s="667" t="s">
        <v>248</v>
      </c>
      <c r="C2328" s="110">
        <v>2042</v>
      </c>
      <c r="D2328" s="687" t="s">
        <v>1471</v>
      </c>
      <c r="E2328" s="688">
        <v>2.5107956625882843E-2</v>
      </c>
      <c r="F2328" s="310">
        <v>2.1497353506955042E-3</v>
      </c>
      <c r="G2328" s="311">
        <v>1.8654463020161962E-2</v>
      </c>
      <c r="H2328" s="311">
        <v>4.9537834696158315E-4</v>
      </c>
      <c r="I2328" s="394">
        <v>5.3806692255182445E-4</v>
      </c>
      <c r="J2328" s="689">
        <v>1.6571499293581348E-5</v>
      </c>
      <c r="K2328" s="690">
        <v>1.7320788956698045E-5</v>
      </c>
    </row>
    <row r="2329" spans="2:11" ht="15.75" x14ac:dyDescent="0.25">
      <c r="B2329" s="667" t="s">
        <v>248</v>
      </c>
      <c r="C2329" s="110">
        <v>2043</v>
      </c>
      <c r="D2329" s="687" t="s">
        <v>1472</v>
      </c>
      <c r="E2329" s="688">
        <v>2.5019019531221449E-2</v>
      </c>
      <c r="F2329" s="310">
        <v>2.0603984889356578E-3</v>
      </c>
      <c r="G2329" s="311">
        <v>1.8370830139631641E-2</v>
      </c>
      <c r="H2329" s="311">
        <v>4.8308406859903812E-4</v>
      </c>
      <c r="I2329" s="394">
        <v>5.2470879101886047E-4</v>
      </c>
      <c r="J2329" s="689">
        <v>1.626429649353906E-5</v>
      </c>
      <c r="K2329" s="690">
        <v>1.6999695809230093E-5</v>
      </c>
    </row>
    <row r="2330" spans="2:11" ht="15.75" x14ac:dyDescent="0.25">
      <c r="B2330" s="667" t="s">
        <v>248</v>
      </c>
      <c r="C2330" s="110">
        <v>2044</v>
      </c>
      <c r="D2330" s="687" t="s">
        <v>1473</v>
      </c>
      <c r="E2330" s="688">
        <v>2.4945762323242384E-2</v>
      </c>
      <c r="F2330" s="310">
        <v>1.9924048478800753E-3</v>
      </c>
      <c r="G2330" s="311">
        <v>1.8138810071738811E-2</v>
      </c>
      <c r="H2330" s="311">
        <v>4.7268079021537144E-4</v>
      </c>
      <c r="I2330" s="394">
        <v>5.1340469548249892E-4</v>
      </c>
      <c r="J2330" s="689">
        <v>1.6018426444406986E-5</v>
      </c>
      <c r="K2330" s="690">
        <v>1.6742708607508462E-5</v>
      </c>
    </row>
    <row r="2331" spans="2:11" ht="15.75" x14ac:dyDescent="0.25">
      <c r="B2331" s="667" t="s">
        <v>248</v>
      </c>
      <c r="C2331" s="110">
        <v>2045</v>
      </c>
      <c r="D2331" s="687" t="s">
        <v>1474</v>
      </c>
      <c r="E2331" s="688">
        <v>2.4884236555683014E-2</v>
      </c>
      <c r="F2331" s="310">
        <v>1.9462351955238917E-3</v>
      </c>
      <c r="G2331" s="311">
        <v>1.7984776713526787E-2</v>
      </c>
      <c r="H2331" s="311">
        <v>4.6393525272110002E-4</v>
      </c>
      <c r="I2331" s="394">
        <v>5.0390138463576677E-4</v>
      </c>
      <c r="J2331" s="689">
        <v>1.5823523870139723E-5</v>
      </c>
      <c r="K2331" s="690">
        <v>1.6538993403700205E-5</v>
      </c>
    </row>
    <row r="2332" spans="2:11" ht="15.75" x14ac:dyDescent="0.25">
      <c r="B2332" s="667" t="s">
        <v>248</v>
      </c>
      <c r="C2332" s="110">
        <v>2046</v>
      </c>
      <c r="D2332" s="687" t="s">
        <v>1475</v>
      </c>
      <c r="E2332" s="688">
        <v>2.4832996848768718E-2</v>
      </c>
      <c r="F2332" s="310">
        <v>1.9059778349951114E-3</v>
      </c>
      <c r="G2332" s="311">
        <v>1.7857768575921681E-2</v>
      </c>
      <c r="H2332" s="311">
        <v>4.5663506904162923E-4</v>
      </c>
      <c r="I2332" s="394">
        <v>4.9596878072112323E-4</v>
      </c>
      <c r="J2332" s="689">
        <v>1.5658053670866709E-5</v>
      </c>
      <c r="K2332" s="690">
        <v>1.6366041376279206E-5</v>
      </c>
    </row>
    <row r="2333" spans="2:11" ht="15.75" x14ac:dyDescent="0.25">
      <c r="B2333" s="667" t="s">
        <v>248</v>
      </c>
      <c r="C2333" s="110">
        <v>2047</v>
      </c>
      <c r="D2333" s="687" t="s">
        <v>1476</v>
      </c>
      <c r="E2333" s="688">
        <v>2.4791293709569014E-2</v>
      </c>
      <c r="F2333" s="310">
        <v>1.8703119548834717E-3</v>
      </c>
      <c r="G2333" s="311">
        <v>1.773978489428478E-2</v>
      </c>
      <c r="H2333" s="311">
        <v>4.5060984127207922E-4</v>
      </c>
      <c r="I2333" s="394">
        <v>4.8942113828695554E-4</v>
      </c>
      <c r="J2333" s="689">
        <v>1.5531978703099955E-5</v>
      </c>
      <c r="K2333" s="690">
        <v>1.623426585791941E-5</v>
      </c>
    </row>
    <row r="2334" spans="2:11" ht="15.75" x14ac:dyDescent="0.25">
      <c r="B2334" s="667" t="s">
        <v>248</v>
      </c>
      <c r="C2334" s="110">
        <v>2048</v>
      </c>
      <c r="D2334" s="687" t="s">
        <v>1477</v>
      </c>
      <c r="E2334" s="688">
        <v>2.4757239426904394E-2</v>
      </c>
      <c r="F2334" s="310">
        <v>1.8409200002100974E-3</v>
      </c>
      <c r="G2334" s="311">
        <v>1.7639011906412115E-2</v>
      </c>
      <c r="H2334" s="311">
        <v>4.4562481829192623E-4</v>
      </c>
      <c r="I2334" s="394">
        <v>4.8400438598976718E-4</v>
      </c>
      <c r="J2334" s="689">
        <v>1.5415991613640013E-5</v>
      </c>
      <c r="K2334" s="690">
        <v>1.6113034346959175E-5</v>
      </c>
    </row>
    <row r="2335" spans="2:11" ht="15.75" x14ac:dyDescent="0.25">
      <c r="B2335" s="667" t="s">
        <v>248</v>
      </c>
      <c r="C2335" s="110">
        <v>2049</v>
      </c>
      <c r="D2335" s="687" t="s">
        <v>1478</v>
      </c>
      <c r="E2335" s="688">
        <v>2.472914118283033E-2</v>
      </c>
      <c r="F2335" s="310">
        <v>1.8296759687676811E-3</v>
      </c>
      <c r="G2335" s="311">
        <v>1.7640340651705992E-2</v>
      </c>
      <c r="H2335" s="311">
        <v>4.4240547849942779E-4</v>
      </c>
      <c r="I2335" s="394">
        <v>4.8050676881532397E-4</v>
      </c>
      <c r="J2335" s="689">
        <v>1.5328474777813238E-5</v>
      </c>
      <c r="K2335" s="690">
        <v>1.6021560388166519E-5</v>
      </c>
    </row>
    <row r="2336" spans="2:11" ht="15.75" x14ac:dyDescent="0.25">
      <c r="B2336" s="667" t="s">
        <v>248</v>
      </c>
      <c r="C2336" s="110">
        <v>2050</v>
      </c>
      <c r="D2336" s="687" t="s">
        <v>1479</v>
      </c>
      <c r="E2336" s="688">
        <v>2.4706518195475445E-2</v>
      </c>
      <c r="F2336" s="310">
        <v>1.8207163414553473E-3</v>
      </c>
      <c r="G2336" s="311">
        <v>1.7644140564515562E-2</v>
      </c>
      <c r="H2336" s="311">
        <v>4.3981991959224945E-4</v>
      </c>
      <c r="I2336" s="394">
        <v>4.7769791742525514E-4</v>
      </c>
      <c r="J2336" s="689">
        <v>1.5253435739530222E-5</v>
      </c>
      <c r="K2336" s="690">
        <v>1.5943128417553124E-5</v>
      </c>
    </row>
    <row r="2337" spans="2:11" ht="15.75" x14ac:dyDescent="0.25">
      <c r="B2337" s="667" t="s">
        <v>253</v>
      </c>
      <c r="C2337" s="110">
        <v>2015</v>
      </c>
      <c r="D2337" s="687" t="s">
        <v>1548</v>
      </c>
      <c r="E2337" s="688">
        <v>4.2987537758352214E-2</v>
      </c>
      <c r="F2337" s="310">
        <v>7.688877258257143E-2</v>
      </c>
      <c r="G2337" s="311">
        <v>0.29024292368476157</v>
      </c>
      <c r="H2337" s="311">
        <v>2.5139667486432497E-3</v>
      </c>
      <c r="I2337" s="394">
        <v>2.71626059977358E-3</v>
      </c>
      <c r="J2337" s="689">
        <v>2.7081714871101314E-4</v>
      </c>
      <c r="K2337" s="690">
        <v>2.8306229844242588E-4</v>
      </c>
    </row>
    <row r="2338" spans="2:11" ht="15.75" x14ac:dyDescent="0.25">
      <c r="B2338" s="667" t="s">
        <v>253</v>
      </c>
      <c r="C2338" s="110">
        <v>2016</v>
      </c>
      <c r="D2338" s="687" t="s">
        <v>1549</v>
      </c>
      <c r="E2338" s="688">
        <v>4.2159424548028429E-2</v>
      </c>
      <c r="F2338" s="310">
        <v>6.4968244814680998E-2</v>
      </c>
      <c r="G2338" s="311">
        <v>0.25290573464754224</v>
      </c>
      <c r="H2338" s="311">
        <v>2.3321489443745001E-3</v>
      </c>
      <c r="I2338" s="394">
        <v>2.5212802107143326E-3</v>
      </c>
      <c r="J2338" s="689">
        <v>2.471883356829276E-4</v>
      </c>
      <c r="K2338" s="690">
        <v>2.5836509534051525E-4</v>
      </c>
    </row>
    <row r="2339" spans="2:11" ht="15.75" x14ac:dyDescent="0.25">
      <c r="B2339" s="667" t="s">
        <v>253</v>
      </c>
      <c r="C2339" s="110">
        <v>2017</v>
      </c>
      <c r="D2339" s="687" t="s">
        <v>1550</v>
      </c>
      <c r="E2339" s="688">
        <v>4.1151073200797091E-2</v>
      </c>
      <c r="F2339" s="310">
        <v>5.5165589985811531E-2</v>
      </c>
      <c r="G2339" s="311">
        <v>0.2212969627811581</v>
      </c>
      <c r="H2339" s="311">
        <v>2.214109657554923E-3</v>
      </c>
      <c r="I2339" s="394">
        <v>2.3952958480413125E-3</v>
      </c>
      <c r="J2339" s="689">
        <v>2.2391611658496526E-4</v>
      </c>
      <c r="K2339" s="690">
        <v>2.340406097638856E-4</v>
      </c>
    </row>
    <row r="2340" spans="2:11" ht="15.75" x14ac:dyDescent="0.25">
      <c r="B2340" s="667" t="s">
        <v>253</v>
      </c>
      <c r="C2340" s="110">
        <v>2018</v>
      </c>
      <c r="D2340" s="687" t="s">
        <v>1551</v>
      </c>
      <c r="E2340" s="688">
        <v>4.01024894746842E-2</v>
      </c>
      <c r="F2340" s="310">
        <v>4.6221453675512926E-2</v>
      </c>
      <c r="G2340" s="311">
        <v>0.19202764148557205</v>
      </c>
      <c r="H2340" s="311">
        <v>2.12247462372249E-3</v>
      </c>
      <c r="I2340" s="394">
        <v>2.2976878970779042E-3</v>
      </c>
      <c r="J2340" s="689">
        <v>2.0297099397782517E-4</v>
      </c>
      <c r="K2340" s="690">
        <v>2.1214844165505593E-4</v>
      </c>
    </row>
    <row r="2341" spans="2:11" ht="15.75" x14ac:dyDescent="0.25">
      <c r="B2341" s="667" t="s">
        <v>253</v>
      </c>
      <c r="C2341" s="110">
        <v>2019</v>
      </c>
      <c r="D2341" s="687" t="s">
        <v>1552</v>
      </c>
      <c r="E2341" s="688">
        <v>3.9052178388521396E-2</v>
      </c>
      <c r="F2341" s="310">
        <v>3.8799996759133273E-2</v>
      </c>
      <c r="G2341" s="311">
        <v>0.16664885179035471</v>
      </c>
      <c r="H2341" s="311">
        <v>2.0478317889725687E-3</v>
      </c>
      <c r="I2341" s="394">
        <v>2.2181430717212983E-3</v>
      </c>
      <c r="J2341" s="689">
        <v>1.837752313040651E-4</v>
      </c>
      <c r="K2341" s="690">
        <v>1.9208473177312357E-4</v>
      </c>
    </row>
    <row r="2342" spans="2:11" ht="15.75" x14ac:dyDescent="0.25">
      <c r="B2342" s="667" t="s">
        <v>253</v>
      </c>
      <c r="C2342" s="110">
        <v>2020</v>
      </c>
      <c r="D2342" s="687" t="s">
        <v>1553</v>
      </c>
      <c r="E2342" s="688">
        <v>3.794405747343195E-2</v>
      </c>
      <c r="F2342" s="310">
        <v>3.2970013228451125E-2</v>
      </c>
      <c r="G2342" s="311">
        <v>0.14485337962906919</v>
      </c>
      <c r="H2342" s="311">
        <v>1.9604471988466923E-3</v>
      </c>
      <c r="I2342" s="394">
        <v>2.1242328984631452E-3</v>
      </c>
      <c r="J2342" s="689">
        <v>1.6668169715486608E-4</v>
      </c>
      <c r="K2342" s="690">
        <v>1.7421830386113267E-4</v>
      </c>
    </row>
    <row r="2343" spans="2:11" ht="15.75" x14ac:dyDescent="0.25">
      <c r="B2343" s="667" t="s">
        <v>253</v>
      </c>
      <c r="C2343" s="110">
        <v>2021</v>
      </c>
      <c r="D2343" s="687" t="s">
        <v>1554</v>
      </c>
      <c r="E2343" s="688">
        <v>3.6890104467119961E-2</v>
      </c>
      <c r="F2343" s="310">
        <v>2.8173286641190603E-2</v>
      </c>
      <c r="G2343" s="311">
        <v>0.12567208714780001</v>
      </c>
      <c r="H2343" s="311">
        <v>1.8453814112529155E-3</v>
      </c>
      <c r="I2343" s="394">
        <v>2.0000443872109407E-3</v>
      </c>
      <c r="J2343" s="689">
        <v>1.5049351412805729E-4</v>
      </c>
      <c r="K2343" s="690">
        <v>1.5729816303184911E-4</v>
      </c>
    </row>
    <row r="2344" spans="2:11" ht="15.75" x14ac:dyDescent="0.25">
      <c r="B2344" s="667" t="s">
        <v>253</v>
      </c>
      <c r="C2344" s="110">
        <v>2022</v>
      </c>
      <c r="D2344" s="687" t="s">
        <v>1555</v>
      </c>
      <c r="E2344" s="688">
        <v>3.5778986793631909E-2</v>
      </c>
      <c r="F2344" s="310">
        <v>2.3258830564929955E-2</v>
      </c>
      <c r="G2344" s="311">
        <v>0.10833012383843983</v>
      </c>
      <c r="H2344" s="311">
        <v>1.732800608968165E-3</v>
      </c>
      <c r="I2344" s="394">
        <v>1.878684149231186E-3</v>
      </c>
      <c r="J2344" s="689">
        <v>1.3518269033062084E-4</v>
      </c>
      <c r="K2344" s="690">
        <v>1.4129505172306815E-4</v>
      </c>
    </row>
    <row r="2345" spans="2:11" ht="15.75" x14ac:dyDescent="0.25">
      <c r="B2345" s="667" t="s">
        <v>253</v>
      </c>
      <c r="C2345" s="110">
        <v>2023</v>
      </c>
      <c r="D2345" s="687" t="s">
        <v>1556</v>
      </c>
      <c r="E2345" s="688">
        <v>3.467517844517487E-2</v>
      </c>
      <c r="F2345" s="310">
        <v>2.0114347821298909E-2</v>
      </c>
      <c r="G2345" s="311">
        <v>9.4512946502657055E-2</v>
      </c>
      <c r="H2345" s="311">
        <v>1.6309130838667689E-3</v>
      </c>
      <c r="I2345" s="394">
        <v>1.7685543075861645E-3</v>
      </c>
      <c r="J2345" s="689">
        <v>1.2081866723052011E-4</v>
      </c>
      <c r="K2345" s="690">
        <v>1.2628155123778863E-4</v>
      </c>
    </row>
    <row r="2346" spans="2:11" ht="15.75" x14ac:dyDescent="0.25">
      <c r="B2346" s="667" t="s">
        <v>253</v>
      </c>
      <c r="C2346" s="110">
        <v>2024</v>
      </c>
      <c r="D2346" s="687" t="s">
        <v>1557</v>
      </c>
      <c r="E2346" s="688">
        <v>3.3625383212922043E-2</v>
      </c>
      <c r="F2346" s="310">
        <v>1.7380088936572915E-2</v>
      </c>
      <c r="G2346" s="311">
        <v>8.2642190354141221E-2</v>
      </c>
      <c r="H2346" s="311">
        <v>1.5361388125624854E-3</v>
      </c>
      <c r="I2346" s="394">
        <v>1.6661881024803422E-3</v>
      </c>
      <c r="J2346" s="689">
        <v>1.0571242401242903E-4</v>
      </c>
      <c r="K2346" s="690">
        <v>1.1049227073433702E-4</v>
      </c>
    </row>
    <row r="2347" spans="2:11" ht="15.75" x14ac:dyDescent="0.25">
      <c r="B2347" s="667" t="s">
        <v>253</v>
      </c>
      <c r="C2347" s="110">
        <v>2025</v>
      </c>
      <c r="D2347" s="687" t="s">
        <v>1558</v>
      </c>
      <c r="E2347" s="688">
        <v>3.2546285925463686E-2</v>
      </c>
      <c r="F2347" s="310">
        <v>1.5236735884695903E-2</v>
      </c>
      <c r="G2347" s="311">
        <v>7.3175384180380568E-2</v>
      </c>
      <c r="H2347" s="311">
        <v>1.4616898846346138E-3</v>
      </c>
      <c r="I2347" s="394">
        <v>1.5856916462588244E-3</v>
      </c>
      <c r="J2347" s="689">
        <v>9.5029533464642972E-5</v>
      </c>
      <c r="K2347" s="690">
        <v>9.9326347280604817E-5</v>
      </c>
    </row>
    <row r="2348" spans="2:11" ht="15.75" x14ac:dyDescent="0.25">
      <c r="B2348" s="667" t="s">
        <v>253</v>
      </c>
      <c r="C2348" s="110">
        <v>2026</v>
      </c>
      <c r="D2348" s="687" t="s">
        <v>1559</v>
      </c>
      <c r="E2348" s="688">
        <v>3.1545870144220091E-2</v>
      </c>
      <c r="F2348" s="310">
        <v>1.3449111819554072E-2</v>
      </c>
      <c r="G2348" s="311">
        <v>6.5358955669288926E-2</v>
      </c>
      <c r="H2348" s="311">
        <v>1.3897617055912215E-3</v>
      </c>
      <c r="I2348" s="394">
        <v>1.5078981172712196E-3</v>
      </c>
      <c r="J2348" s="689">
        <v>8.4807775635518666E-5</v>
      </c>
      <c r="K2348" s="690">
        <v>8.8642406920826024E-5</v>
      </c>
    </row>
    <row r="2349" spans="2:11" ht="15.75" x14ac:dyDescent="0.25">
      <c r="B2349" s="667" t="s">
        <v>253</v>
      </c>
      <c r="C2349" s="110">
        <v>2027</v>
      </c>
      <c r="D2349" s="687" t="s">
        <v>1560</v>
      </c>
      <c r="E2349" s="688">
        <v>3.0646543220377073E-2</v>
      </c>
      <c r="F2349" s="310">
        <v>1.1903727414525968E-2</v>
      </c>
      <c r="G2349" s="311">
        <v>5.8620200521976869E-2</v>
      </c>
      <c r="H2349" s="311">
        <v>1.3088839144078186E-3</v>
      </c>
      <c r="I2349" s="394">
        <v>1.4205087556088847E-3</v>
      </c>
      <c r="J2349" s="689">
        <v>7.1312723357860275E-5</v>
      </c>
      <c r="K2349" s="690">
        <v>7.4537168262579415E-5</v>
      </c>
    </row>
    <row r="2350" spans="2:11" ht="15.75" x14ac:dyDescent="0.25">
      <c r="B2350" s="667" t="s">
        <v>253</v>
      </c>
      <c r="C2350" s="110">
        <v>2028</v>
      </c>
      <c r="D2350" s="687" t="s">
        <v>1561</v>
      </c>
      <c r="E2350" s="688">
        <v>2.9835625973920352E-2</v>
      </c>
      <c r="F2350" s="310">
        <v>1.0578295087879106E-2</v>
      </c>
      <c r="G2350" s="311">
        <v>5.2860188978897819E-2</v>
      </c>
      <c r="H2350" s="311">
        <v>1.2244526565406151E-3</v>
      </c>
      <c r="I2350" s="394">
        <v>1.3291548823400514E-3</v>
      </c>
      <c r="J2350" s="689">
        <v>6.0154831318662841E-5</v>
      </c>
      <c r="K2350" s="690">
        <v>6.2874765857782243E-5</v>
      </c>
    </row>
    <row r="2351" spans="2:11" ht="15.75" x14ac:dyDescent="0.25">
      <c r="B2351" s="667" t="s">
        <v>253</v>
      </c>
      <c r="C2351" s="110">
        <v>2029</v>
      </c>
      <c r="D2351" s="687" t="s">
        <v>1562</v>
      </c>
      <c r="E2351" s="688">
        <v>2.9105364699341281E-2</v>
      </c>
      <c r="F2351" s="310">
        <v>9.3800921985538362E-3</v>
      </c>
      <c r="G2351" s="311">
        <v>4.777896300949365E-2</v>
      </c>
      <c r="H2351" s="311">
        <v>1.1450868414662372E-3</v>
      </c>
      <c r="I2351" s="394">
        <v>1.2431492344903859E-3</v>
      </c>
      <c r="J2351" s="689">
        <v>5.2794065364152347E-5</v>
      </c>
      <c r="K2351" s="690">
        <v>5.5181178729723871E-5</v>
      </c>
    </row>
    <row r="2352" spans="2:11" ht="15.75" x14ac:dyDescent="0.25">
      <c r="B2352" s="667" t="s">
        <v>253</v>
      </c>
      <c r="C2352" s="110">
        <v>2030</v>
      </c>
      <c r="D2352" s="687" t="s">
        <v>1563</v>
      </c>
      <c r="E2352" s="688">
        <v>2.8452374747910684E-2</v>
      </c>
      <c r="F2352" s="310">
        <v>8.3787978861529621E-3</v>
      </c>
      <c r="G2352" s="311">
        <v>4.3458435647712651E-2</v>
      </c>
      <c r="H2352" s="311">
        <v>1.0700103910005218E-3</v>
      </c>
      <c r="I2352" s="394">
        <v>1.1617682205037664E-3</v>
      </c>
      <c r="J2352" s="689">
        <v>4.6387656150842598E-5</v>
      </c>
      <c r="K2352" s="690">
        <v>4.8485100119808136E-5</v>
      </c>
    </row>
    <row r="2353" spans="2:11" ht="15.75" x14ac:dyDescent="0.25">
      <c r="B2353" s="667" t="s">
        <v>253</v>
      </c>
      <c r="C2353" s="110">
        <v>2031</v>
      </c>
      <c r="D2353" s="687" t="s">
        <v>1564</v>
      </c>
      <c r="E2353" s="688">
        <v>2.790900350179365E-2</v>
      </c>
      <c r="F2353" s="310">
        <v>7.4801355189127372E-3</v>
      </c>
      <c r="G2353" s="311">
        <v>3.9635278306816707E-2</v>
      </c>
      <c r="H2353" s="311">
        <v>1.0002255155877255E-3</v>
      </c>
      <c r="I2353" s="394">
        <v>1.0860476167614804E-3</v>
      </c>
      <c r="J2353" s="689">
        <v>4.2215085720360939E-5</v>
      </c>
      <c r="K2353" s="690">
        <v>4.4123864569967157E-5</v>
      </c>
    </row>
    <row r="2354" spans="2:11" ht="15.75" x14ac:dyDescent="0.25">
      <c r="B2354" s="667" t="s">
        <v>253</v>
      </c>
      <c r="C2354" s="110">
        <v>2032</v>
      </c>
      <c r="D2354" s="687" t="s">
        <v>1565</v>
      </c>
      <c r="E2354" s="688">
        <v>2.7393225715644932E-2</v>
      </c>
      <c r="F2354" s="310">
        <v>6.7152871345473441E-3</v>
      </c>
      <c r="G2354" s="311">
        <v>3.6484070551536844E-2</v>
      </c>
      <c r="H2354" s="311">
        <v>9.3611351037806482E-4</v>
      </c>
      <c r="I2354" s="394">
        <v>1.0164858362378139E-3</v>
      </c>
      <c r="J2354" s="689">
        <v>3.8300699356133486E-5</v>
      </c>
      <c r="K2354" s="690">
        <v>4.0032487024181636E-5</v>
      </c>
    </row>
    <row r="2355" spans="2:11" ht="15.75" x14ac:dyDescent="0.25">
      <c r="B2355" s="667" t="s">
        <v>253</v>
      </c>
      <c r="C2355" s="110">
        <v>2033</v>
      </c>
      <c r="D2355" s="687" t="s">
        <v>1566</v>
      </c>
      <c r="E2355" s="688">
        <v>2.6939116614911929E-2</v>
      </c>
      <c r="F2355" s="310">
        <v>6.0462062510588605E-3</v>
      </c>
      <c r="G2355" s="311">
        <v>3.3800767210935528E-2</v>
      </c>
      <c r="H2355" s="311">
        <v>8.7749336672026399E-4</v>
      </c>
      <c r="I2355" s="394">
        <v>9.5285051346573574E-4</v>
      </c>
      <c r="J2355" s="689">
        <v>3.5482289980809374E-5</v>
      </c>
      <c r="K2355" s="690">
        <v>3.7086641683411651E-5</v>
      </c>
    </row>
    <row r="2356" spans="2:11" ht="15.75" x14ac:dyDescent="0.25">
      <c r="B2356" s="667" t="s">
        <v>253</v>
      </c>
      <c r="C2356" s="110">
        <v>2034</v>
      </c>
      <c r="D2356" s="687" t="s">
        <v>1567</v>
      </c>
      <c r="E2356" s="688">
        <v>2.6540374244265523E-2</v>
      </c>
      <c r="F2356" s="310">
        <v>5.4326795975412571E-3</v>
      </c>
      <c r="G2356" s="311">
        <v>3.1415327978457856E-2</v>
      </c>
      <c r="H2356" s="311">
        <v>8.2279591787301953E-4</v>
      </c>
      <c r="I2356" s="394">
        <v>8.9346785943136744E-4</v>
      </c>
      <c r="J2356" s="689">
        <v>3.2985286171784867E-5</v>
      </c>
      <c r="K2356" s="690">
        <v>3.4476734442433411E-5</v>
      </c>
    </row>
    <row r="2357" spans="2:11" ht="15.75" x14ac:dyDescent="0.25">
      <c r="B2357" s="667" t="s">
        <v>253</v>
      </c>
      <c r="C2357" s="110">
        <v>2035</v>
      </c>
      <c r="D2357" s="687" t="s">
        <v>1568</v>
      </c>
      <c r="E2357" s="688">
        <v>2.6193412301810531E-2</v>
      </c>
      <c r="F2357" s="310">
        <v>4.88987464515671E-3</v>
      </c>
      <c r="G2357" s="311">
        <v>2.9381949227296925E-2</v>
      </c>
      <c r="H2357" s="311">
        <v>7.7262255057283238E-4</v>
      </c>
      <c r="I2357" s="394">
        <v>8.3899390077625405E-4</v>
      </c>
      <c r="J2357" s="689">
        <v>3.076334779643418E-5</v>
      </c>
      <c r="K2357" s="690">
        <v>3.215432987345487E-5</v>
      </c>
    </row>
    <row r="2358" spans="2:11" ht="15.75" x14ac:dyDescent="0.25">
      <c r="B2358" s="667" t="s">
        <v>253</v>
      </c>
      <c r="C2358" s="110">
        <v>2036</v>
      </c>
      <c r="D2358" s="687" t="s">
        <v>1569</v>
      </c>
      <c r="E2358" s="688">
        <v>2.5893220070210912E-2</v>
      </c>
      <c r="F2358" s="310">
        <v>4.4259996847852085E-3</v>
      </c>
      <c r="G2358" s="311">
        <v>2.7678886017732107E-2</v>
      </c>
      <c r="H2358" s="311">
        <v>7.3009241924348466E-4</v>
      </c>
      <c r="I2358" s="394">
        <v>7.9282625175755854E-4</v>
      </c>
      <c r="J2358" s="689">
        <v>2.869260127615351E-5</v>
      </c>
      <c r="K2358" s="690">
        <v>2.9989953384328695E-5</v>
      </c>
    </row>
    <row r="2359" spans="2:11" ht="15.75" x14ac:dyDescent="0.25">
      <c r="B2359" s="667" t="s">
        <v>253</v>
      </c>
      <c r="C2359" s="110">
        <v>2037</v>
      </c>
      <c r="D2359" s="687" t="s">
        <v>1570</v>
      </c>
      <c r="E2359" s="688">
        <v>2.5636541373097357E-2</v>
      </c>
      <c r="F2359" s="310">
        <v>4.0175280571120931E-3</v>
      </c>
      <c r="G2359" s="311">
        <v>2.6210805874345353E-2</v>
      </c>
      <c r="H2359" s="311">
        <v>6.9182582416866861E-4</v>
      </c>
      <c r="I2359" s="394">
        <v>7.5128942999901104E-4</v>
      </c>
      <c r="J2359" s="689">
        <v>2.6767160404817934E-5</v>
      </c>
      <c r="K2359" s="690">
        <v>2.7977452620808648E-5</v>
      </c>
    </row>
    <row r="2360" spans="2:11" ht="15.75" x14ac:dyDescent="0.25">
      <c r="B2360" s="667" t="s">
        <v>253</v>
      </c>
      <c r="C2360" s="110">
        <v>2038</v>
      </c>
      <c r="D2360" s="687" t="s">
        <v>1571</v>
      </c>
      <c r="E2360" s="688">
        <v>2.5418056912490775E-2</v>
      </c>
      <c r="F2360" s="310">
        <v>3.647333970573749E-3</v>
      </c>
      <c r="G2360" s="311">
        <v>2.487878611941121E-2</v>
      </c>
      <c r="H2360" s="311">
        <v>6.5780982722369642E-4</v>
      </c>
      <c r="I2360" s="394">
        <v>7.1435142394407896E-4</v>
      </c>
      <c r="J2360" s="689">
        <v>2.541038514189902E-5</v>
      </c>
      <c r="K2360" s="690">
        <v>2.6559330001101679E-5</v>
      </c>
    </row>
    <row r="2361" spans="2:11" ht="15.75" x14ac:dyDescent="0.25">
      <c r="B2361" s="667" t="s">
        <v>253</v>
      </c>
      <c r="C2361" s="110">
        <v>2039</v>
      </c>
      <c r="D2361" s="687" t="s">
        <v>1572</v>
      </c>
      <c r="E2361" s="688">
        <v>2.5232588549145927E-2</v>
      </c>
      <c r="F2361" s="310">
        <v>3.2977052245783344E-3</v>
      </c>
      <c r="G2361" s="311">
        <v>2.362726270243188E-2</v>
      </c>
      <c r="H2361" s="311">
        <v>6.2729313329240642E-4</v>
      </c>
      <c r="I2361" s="394">
        <v>6.8121113180695286E-4</v>
      </c>
      <c r="J2361" s="689">
        <v>2.4244695647228708E-5</v>
      </c>
      <c r="K2361" s="690">
        <v>2.5340933200152791E-5</v>
      </c>
    </row>
    <row r="2362" spans="2:11" ht="15.75" x14ac:dyDescent="0.25">
      <c r="B2362" s="667" t="s">
        <v>253</v>
      </c>
      <c r="C2362" s="110">
        <v>2040</v>
      </c>
      <c r="D2362" s="687" t="s">
        <v>1573</v>
      </c>
      <c r="E2362" s="688">
        <v>2.5076529799046891E-2</v>
      </c>
      <c r="F2362" s="310">
        <v>2.9884186677401185E-3</v>
      </c>
      <c r="G2362" s="311">
        <v>2.2588461487139506E-2</v>
      </c>
      <c r="H2362" s="311">
        <v>6.0019170091786121E-4</v>
      </c>
      <c r="I2362" s="394">
        <v>6.5177903106869656E-4</v>
      </c>
      <c r="J2362" s="689">
        <v>2.3225721339024637E-5</v>
      </c>
      <c r="K2362" s="690">
        <v>2.4275885395363241E-5</v>
      </c>
    </row>
    <row r="2363" spans="2:11" ht="15.75" x14ac:dyDescent="0.25">
      <c r="B2363" s="667" t="s">
        <v>253</v>
      </c>
      <c r="C2363" s="110">
        <v>2041</v>
      </c>
      <c r="D2363" s="687" t="s">
        <v>1574</v>
      </c>
      <c r="E2363" s="688">
        <v>2.4947134492818834E-2</v>
      </c>
      <c r="F2363" s="310">
        <v>2.7611305419058337E-3</v>
      </c>
      <c r="G2363" s="311">
        <v>2.178506737637639E-2</v>
      </c>
      <c r="H2363" s="311">
        <v>5.7971681191974116E-4</v>
      </c>
      <c r="I2363" s="394">
        <v>6.2954819294986709E-4</v>
      </c>
      <c r="J2363" s="689">
        <v>2.2341444911445615E-5</v>
      </c>
      <c r="K2363" s="690">
        <v>2.335162591164767E-5</v>
      </c>
    </row>
    <row r="2364" spans="2:11" ht="15.75" x14ac:dyDescent="0.25">
      <c r="B2364" s="667" t="s">
        <v>253</v>
      </c>
      <c r="C2364" s="110">
        <v>2042</v>
      </c>
      <c r="D2364" s="687" t="s">
        <v>1575</v>
      </c>
      <c r="E2364" s="688">
        <v>2.4838790739827872E-2</v>
      </c>
      <c r="F2364" s="310">
        <v>2.5627293434685823E-3</v>
      </c>
      <c r="G2364" s="311">
        <v>2.1045273918403346E-2</v>
      </c>
      <c r="H2364" s="311">
        <v>5.6188095395369594E-4</v>
      </c>
      <c r="I2364" s="394">
        <v>6.1018253047222769E-4</v>
      </c>
      <c r="J2364" s="689">
        <v>2.1575429568855865E-5</v>
      </c>
      <c r="K2364" s="690">
        <v>2.2550974754408733E-5</v>
      </c>
    </row>
    <row r="2365" spans="2:11" ht="15.75" x14ac:dyDescent="0.25">
      <c r="B2365" s="667" t="s">
        <v>253</v>
      </c>
      <c r="C2365" s="110">
        <v>2043</v>
      </c>
      <c r="D2365" s="687" t="s">
        <v>1576</v>
      </c>
      <c r="E2365" s="688">
        <v>2.4749131573940111E-2</v>
      </c>
      <c r="F2365" s="310">
        <v>2.4115943912063481E-3</v>
      </c>
      <c r="G2365" s="311">
        <v>2.0474894583282322E-2</v>
      </c>
      <c r="H2365" s="311">
        <v>5.4652072279306855E-4</v>
      </c>
      <c r="I2365" s="394">
        <v>5.9350425239437278E-4</v>
      </c>
      <c r="J2365" s="689">
        <v>2.09294271598371E-5</v>
      </c>
      <c r="K2365" s="690">
        <v>2.1875762983047402E-5</v>
      </c>
    </row>
    <row r="2366" spans="2:11" ht="15.75" x14ac:dyDescent="0.25">
      <c r="B2366" s="667" t="s">
        <v>253</v>
      </c>
      <c r="C2366" s="110">
        <v>2044</v>
      </c>
      <c r="D2366" s="687" t="s">
        <v>1577</v>
      </c>
      <c r="E2366" s="688">
        <v>2.4674226965503154E-2</v>
      </c>
      <c r="F2366" s="310">
        <v>2.2955928238213939E-3</v>
      </c>
      <c r="G2366" s="311">
        <v>2.000774453340087E-2</v>
      </c>
      <c r="H2366" s="311">
        <v>5.3327914200972906E-4</v>
      </c>
      <c r="I2366" s="394">
        <v>5.7912414104684974E-4</v>
      </c>
      <c r="J2366" s="689">
        <v>2.0426404467609657E-5</v>
      </c>
      <c r="K2366" s="690">
        <v>2.1349995836807535E-5</v>
      </c>
    </row>
    <row r="2367" spans="2:11" ht="15.75" x14ac:dyDescent="0.25">
      <c r="B2367" s="667" t="s">
        <v>253</v>
      </c>
      <c r="C2367" s="110">
        <v>2045</v>
      </c>
      <c r="D2367" s="687" t="s">
        <v>1578</v>
      </c>
      <c r="E2367" s="688">
        <v>2.4610401519698098E-2</v>
      </c>
      <c r="F2367" s="310">
        <v>2.2176926266381193E-3</v>
      </c>
      <c r="G2367" s="311">
        <v>1.9689252206568846E-2</v>
      </c>
      <c r="H2367" s="311">
        <v>5.2195670150469305E-4</v>
      </c>
      <c r="I2367" s="394">
        <v>5.6682654556050366E-4</v>
      </c>
      <c r="J2367" s="689">
        <v>2.0034867790647421E-5</v>
      </c>
      <c r="K2367" s="690">
        <v>2.0940755608731396E-5</v>
      </c>
    </row>
    <row r="2368" spans="2:11" ht="15.75" x14ac:dyDescent="0.25">
      <c r="B2368" s="667" t="s">
        <v>253</v>
      </c>
      <c r="C2368" s="110">
        <v>2046</v>
      </c>
      <c r="D2368" s="687" t="s">
        <v>1579</v>
      </c>
      <c r="E2368" s="688">
        <v>2.4556833783115E-2</v>
      </c>
      <c r="F2368" s="310">
        <v>2.1504605001377271E-3</v>
      </c>
      <c r="G2368" s="311">
        <v>1.9430122864474379E-2</v>
      </c>
      <c r="H2368" s="311">
        <v>5.1226410670908733E-4</v>
      </c>
      <c r="I2368" s="394">
        <v>5.5630122635293806E-4</v>
      </c>
      <c r="J2368" s="689">
        <v>1.9651110075308201E-5</v>
      </c>
      <c r="K2368" s="690">
        <v>2.0539646072404181E-5</v>
      </c>
    </row>
    <row r="2369" spans="2:11" ht="15.75" x14ac:dyDescent="0.25">
      <c r="B2369" s="667" t="s">
        <v>253</v>
      </c>
      <c r="C2369" s="110">
        <v>2047</v>
      </c>
      <c r="D2369" s="687" t="s">
        <v>1580</v>
      </c>
      <c r="E2369" s="688">
        <v>2.4511619615982236E-2</v>
      </c>
      <c r="F2369" s="310">
        <v>2.0908884579138279E-3</v>
      </c>
      <c r="G2369" s="311">
        <v>1.9198002892389567E-2</v>
      </c>
      <c r="H2369" s="311">
        <v>5.041129557788052E-4</v>
      </c>
      <c r="I2369" s="394">
        <v>5.4744783924244372E-4</v>
      </c>
      <c r="J2369" s="689">
        <v>1.9374223785641999E-5</v>
      </c>
      <c r="K2369" s="690">
        <v>2.0250240213383938E-5</v>
      </c>
    </row>
    <row r="2370" spans="2:11" ht="15.75" x14ac:dyDescent="0.25">
      <c r="B2370" s="667" t="s">
        <v>253</v>
      </c>
      <c r="C2370" s="110">
        <v>2048</v>
      </c>
      <c r="D2370" s="687" t="s">
        <v>1581</v>
      </c>
      <c r="E2370" s="688">
        <v>2.4473144337008219E-2</v>
      </c>
      <c r="F2370" s="310">
        <v>2.0431817055911899E-3</v>
      </c>
      <c r="G2370" s="311">
        <v>1.9008775161022867E-2</v>
      </c>
      <c r="H2370" s="311">
        <v>4.9718047886815916E-4</v>
      </c>
      <c r="I2370" s="394">
        <v>5.3992096641572863E-4</v>
      </c>
      <c r="J2370" s="689">
        <v>1.9071494970697324E-5</v>
      </c>
      <c r="K2370" s="690">
        <v>1.9933823344766704E-5</v>
      </c>
    </row>
    <row r="2371" spans="2:11" ht="15.75" x14ac:dyDescent="0.25">
      <c r="B2371" s="667" t="s">
        <v>253</v>
      </c>
      <c r="C2371" s="110">
        <v>2049</v>
      </c>
      <c r="D2371" s="687" t="s">
        <v>1582</v>
      </c>
      <c r="E2371" s="688">
        <v>2.4441132912946625E-2</v>
      </c>
      <c r="F2371" s="310">
        <v>2.0255250708726951E-3</v>
      </c>
      <c r="G2371" s="311">
        <v>1.8999513728246313E-2</v>
      </c>
      <c r="H2371" s="311">
        <v>4.9289131089667534E-4</v>
      </c>
      <c r="I2371" s="394">
        <v>5.3526475144556412E-4</v>
      </c>
      <c r="J2371" s="689">
        <v>1.8867449947444199E-5</v>
      </c>
      <c r="K2371" s="690">
        <v>1.9720552310998471E-5</v>
      </c>
    </row>
    <row r="2372" spans="2:11" ht="15.75" x14ac:dyDescent="0.25">
      <c r="B2372" s="667" t="s">
        <v>253</v>
      </c>
      <c r="C2372" s="110">
        <v>2050</v>
      </c>
      <c r="D2372" s="687" t="s">
        <v>1583</v>
      </c>
      <c r="E2372" s="688">
        <v>2.4415736784412601E-2</v>
      </c>
      <c r="F2372" s="310">
        <v>2.010682413044054E-3</v>
      </c>
      <c r="G2372" s="311">
        <v>1.8992006817135792E-2</v>
      </c>
      <c r="H2372" s="311">
        <v>4.8928139800523841E-4</v>
      </c>
      <c r="I2372" s="394">
        <v>5.3134881268347527E-4</v>
      </c>
      <c r="J2372" s="689">
        <v>1.8627433046971654E-5</v>
      </c>
      <c r="K2372" s="690">
        <v>1.9469682911345782E-5</v>
      </c>
    </row>
    <row r="2373" spans="2:11" ht="15.75" x14ac:dyDescent="0.25">
      <c r="B2373" s="667" t="s">
        <v>258</v>
      </c>
      <c r="C2373" s="110">
        <v>2015</v>
      </c>
      <c r="D2373" s="687" t="s">
        <v>1652</v>
      </c>
      <c r="E2373" s="688">
        <v>4.3937382208446868E-2</v>
      </c>
      <c r="F2373" s="310">
        <v>7.6780313796834004E-2</v>
      </c>
      <c r="G2373" s="311">
        <v>0.27468382803117986</v>
      </c>
      <c r="H2373" s="311">
        <v>2.7004581174489817E-3</v>
      </c>
      <c r="I2373" s="394">
        <v>2.9178104966204412E-3</v>
      </c>
      <c r="J2373" s="689">
        <v>3.2821423405999438E-4</v>
      </c>
      <c r="K2373" s="690">
        <v>3.4305462529509378E-4</v>
      </c>
    </row>
    <row r="2374" spans="2:11" ht="15.75" x14ac:dyDescent="0.25">
      <c r="B2374" s="667" t="s">
        <v>258</v>
      </c>
      <c r="C2374" s="110">
        <v>2016</v>
      </c>
      <c r="D2374" s="687" t="s">
        <v>1653</v>
      </c>
      <c r="E2374" s="688">
        <v>4.3010856957960864E-2</v>
      </c>
      <c r="F2374" s="310">
        <v>6.2885536929820574E-2</v>
      </c>
      <c r="G2374" s="311">
        <v>0.23357232723711174</v>
      </c>
      <c r="H2374" s="311">
        <v>2.4442938259219729E-3</v>
      </c>
      <c r="I2374" s="394">
        <v>2.6439219358068266E-3</v>
      </c>
      <c r="J2374" s="689">
        <v>2.6224229831735496E-4</v>
      </c>
      <c r="K2374" s="690">
        <v>2.7409973136430167E-4</v>
      </c>
    </row>
    <row r="2375" spans="2:11" ht="15.75" x14ac:dyDescent="0.25">
      <c r="B2375" s="667" t="s">
        <v>258</v>
      </c>
      <c r="C2375" s="110">
        <v>2017</v>
      </c>
      <c r="D2375" s="687" t="s">
        <v>1654</v>
      </c>
      <c r="E2375" s="688">
        <v>4.2025585838185324E-2</v>
      </c>
      <c r="F2375" s="310">
        <v>5.2588789068691473E-2</v>
      </c>
      <c r="G2375" s="311">
        <v>0.20042512703619839</v>
      </c>
      <c r="H2375" s="311">
        <v>2.3119975908519061E-3</v>
      </c>
      <c r="I2375" s="394">
        <v>2.5022486709021579E-3</v>
      </c>
      <c r="J2375" s="689">
        <v>2.3730432226912816E-4</v>
      </c>
      <c r="K2375" s="690">
        <v>2.4803417069980391E-4</v>
      </c>
    </row>
    <row r="2376" spans="2:11" ht="15.75" x14ac:dyDescent="0.25">
      <c r="B2376" s="667" t="s">
        <v>258</v>
      </c>
      <c r="C2376" s="110">
        <v>2018</v>
      </c>
      <c r="D2376" s="687" t="s">
        <v>1655</v>
      </c>
      <c r="E2376" s="688">
        <v>4.0988241780967771E-2</v>
      </c>
      <c r="F2376" s="310">
        <v>4.3651289210871407E-2</v>
      </c>
      <c r="G2376" s="311">
        <v>0.17136721645030495</v>
      </c>
      <c r="H2376" s="311">
        <v>2.2238052471952523E-3</v>
      </c>
      <c r="I2376" s="394">
        <v>2.4081814823100731E-3</v>
      </c>
      <c r="J2376" s="689">
        <v>2.156677746895669E-4</v>
      </c>
      <c r="K2376" s="690">
        <v>2.2541931444945308E-4</v>
      </c>
    </row>
    <row r="2377" spans="2:11" ht="15.75" x14ac:dyDescent="0.25">
      <c r="B2377" s="667" t="s">
        <v>258</v>
      </c>
      <c r="C2377" s="110">
        <v>2019</v>
      </c>
      <c r="D2377" s="687" t="s">
        <v>1656</v>
      </c>
      <c r="E2377" s="688">
        <v>3.9876034140765793E-2</v>
      </c>
      <c r="F2377" s="310">
        <v>3.6147631876126643E-2</v>
      </c>
      <c r="G2377" s="311">
        <v>0.14647695284190468</v>
      </c>
      <c r="H2377" s="311">
        <v>2.1589424026658916E-3</v>
      </c>
      <c r="I2377" s="394">
        <v>2.3391104563475181E-3</v>
      </c>
      <c r="J2377" s="689">
        <v>1.9699662654840727E-4</v>
      </c>
      <c r="K2377" s="690">
        <v>2.0590393984134205E-4</v>
      </c>
    </row>
    <row r="2378" spans="2:11" ht="15.75" x14ac:dyDescent="0.25">
      <c r="B2378" s="667" t="s">
        <v>258</v>
      </c>
      <c r="C2378" s="110">
        <v>2020</v>
      </c>
      <c r="D2378" s="687" t="s">
        <v>1657</v>
      </c>
      <c r="E2378" s="688">
        <v>3.8780479711584513E-2</v>
      </c>
      <c r="F2378" s="310">
        <v>3.0601494316673993E-2</v>
      </c>
      <c r="G2378" s="311">
        <v>0.12562365567221465</v>
      </c>
      <c r="H2378" s="311">
        <v>2.079036349002231E-3</v>
      </c>
      <c r="I2378" s="394">
        <v>2.2530831250788218E-3</v>
      </c>
      <c r="J2378" s="689">
        <v>1.810972025372135E-4</v>
      </c>
      <c r="K2378" s="690">
        <v>1.8928561442901106E-4</v>
      </c>
    </row>
    <row r="2379" spans="2:11" ht="15.75" x14ac:dyDescent="0.25">
      <c r="B2379" s="667" t="s">
        <v>258</v>
      </c>
      <c r="C2379" s="110">
        <v>2021</v>
      </c>
      <c r="D2379" s="687" t="s">
        <v>1658</v>
      </c>
      <c r="E2379" s="688">
        <v>3.7719587045689125E-2</v>
      </c>
      <c r="F2379" s="310">
        <v>2.6345248533956298E-2</v>
      </c>
      <c r="G2379" s="311">
        <v>0.10817046941297635</v>
      </c>
      <c r="H2379" s="311">
        <v>1.9841837572447626E-3</v>
      </c>
      <c r="I2379" s="394">
        <v>2.1506625713510813E-3</v>
      </c>
      <c r="J2379" s="689">
        <v>1.6621198990508443E-4</v>
      </c>
      <c r="K2379" s="690">
        <v>1.7372735853381048E-4</v>
      </c>
    </row>
    <row r="2380" spans="2:11" ht="15.75" x14ac:dyDescent="0.25">
      <c r="B2380" s="667" t="s">
        <v>258</v>
      </c>
      <c r="C2380" s="110">
        <v>2022</v>
      </c>
      <c r="D2380" s="687" t="s">
        <v>1659</v>
      </c>
      <c r="E2380" s="688">
        <v>3.6622413961176326E-2</v>
      </c>
      <c r="F2380" s="310">
        <v>2.2219392453026877E-2</v>
      </c>
      <c r="G2380" s="311">
        <v>9.3082924276014598E-2</v>
      </c>
      <c r="H2380" s="311">
        <v>1.8780781082118948E-3</v>
      </c>
      <c r="I2380" s="394">
        <v>2.0360846489120405E-3</v>
      </c>
      <c r="J2380" s="689">
        <v>1.5131364639937113E-4</v>
      </c>
      <c r="K2380" s="690">
        <v>1.5815537804518938E-4</v>
      </c>
    </row>
    <row r="2381" spans="2:11" ht="15.75" x14ac:dyDescent="0.25">
      <c r="B2381" s="667" t="s">
        <v>258</v>
      </c>
      <c r="C2381" s="110">
        <v>2023</v>
      </c>
      <c r="D2381" s="687" t="s">
        <v>1660</v>
      </c>
      <c r="E2381" s="688">
        <v>3.5532006854337141E-2</v>
      </c>
      <c r="F2381" s="310">
        <v>1.9146548142205445E-2</v>
      </c>
      <c r="G2381" s="311">
        <v>8.0746407824190111E-2</v>
      </c>
      <c r="H2381" s="311">
        <v>1.7793937584448785E-3</v>
      </c>
      <c r="I2381" s="394">
        <v>1.9294837485546339E-3</v>
      </c>
      <c r="J2381" s="689">
        <v>1.350099692073807E-4</v>
      </c>
      <c r="K2381" s="690">
        <v>1.4111452091707252E-4</v>
      </c>
    </row>
    <row r="2382" spans="2:11" ht="15.75" x14ac:dyDescent="0.25">
      <c r="B2382" s="667" t="s">
        <v>258</v>
      </c>
      <c r="C2382" s="110">
        <v>2024</v>
      </c>
      <c r="D2382" s="687" t="s">
        <v>1661</v>
      </c>
      <c r="E2382" s="688">
        <v>3.4585082743171541E-2</v>
      </c>
      <c r="F2382" s="310">
        <v>1.6548018030360444E-2</v>
      </c>
      <c r="G2382" s="311">
        <v>7.0416688314215534E-2</v>
      </c>
      <c r="H2382" s="311">
        <v>1.6877832087056352E-3</v>
      </c>
      <c r="I2382" s="394">
        <v>1.8306380799774456E-3</v>
      </c>
      <c r="J2382" s="689">
        <v>1.1724927626631057E-4</v>
      </c>
      <c r="K2382" s="690">
        <v>1.2255076825311526E-4</v>
      </c>
    </row>
    <row r="2383" spans="2:11" ht="15.75" x14ac:dyDescent="0.25">
      <c r="B2383" s="667" t="s">
        <v>258</v>
      </c>
      <c r="C2383" s="110">
        <v>2025</v>
      </c>
      <c r="D2383" s="687" t="s">
        <v>1662</v>
      </c>
      <c r="E2383" s="688">
        <v>3.3511325080949651E-2</v>
      </c>
      <c r="F2383" s="310">
        <v>1.4457614878053287E-2</v>
      </c>
      <c r="G2383" s="311">
        <v>6.2095681672829854E-2</v>
      </c>
      <c r="H2383" s="311">
        <v>1.6136274083417934E-3</v>
      </c>
      <c r="I2383" s="394">
        <v>1.7505216478874968E-3</v>
      </c>
      <c r="J2383" s="689">
        <v>1.0487226824990056E-4</v>
      </c>
      <c r="K2383" s="690">
        <v>1.0961412685636307E-4</v>
      </c>
    </row>
    <row r="2384" spans="2:11" ht="15.75" x14ac:dyDescent="0.25">
      <c r="B2384" s="667" t="s">
        <v>258</v>
      </c>
      <c r="C2384" s="110">
        <v>2026</v>
      </c>
      <c r="D2384" s="687" t="s">
        <v>1663</v>
      </c>
      <c r="E2384" s="688">
        <v>3.2556246027196235E-2</v>
      </c>
      <c r="F2384" s="310">
        <v>1.2639852865778329E-2</v>
      </c>
      <c r="G2384" s="311">
        <v>5.5217087302656731E-2</v>
      </c>
      <c r="H2384" s="311">
        <v>1.5279462197182712E-3</v>
      </c>
      <c r="I2384" s="394">
        <v>1.6579569336891359E-3</v>
      </c>
      <c r="J2384" s="689">
        <v>9.0227216856098171E-5</v>
      </c>
      <c r="K2384" s="690">
        <v>9.4306891224985807E-5</v>
      </c>
    </row>
    <row r="2385" spans="2:11" ht="15.75" x14ac:dyDescent="0.25">
      <c r="B2385" s="667" t="s">
        <v>258</v>
      </c>
      <c r="C2385" s="110">
        <v>2027</v>
      </c>
      <c r="D2385" s="687" t="s">
        <v>1664</v>
      </c>
      <c r="E2385" s="688">
        <v>3.1700417905763015E-2</v>
      </c>
      <c r="F2385" s="310">
        <v>1.1184755444063691E-2</v>
      </c>
      <c r="G2385" s="311">
        <v>4.9531647049920677E-2</v>
      </c>
      <c r="H2385" s="311">
        <v>1.4447738352894699E-3</v>
      </c>
      <c r="I2385" s="394">
        <v>1.5682185473062382E-3</v>
      </c>
      <c r="J2385" s="689">
        <v>7.3268939285538079E-5</v>
      </c>
      <c r="K2385" s="690">
        <v>7.6581835593927361E-5</v>
      </c>
    </row>
    <row r="2386" spans="2:11" ht="15.75" x14ac:dyDescent="0.25">
      <c r="B2386" s="667" t="s">
        <v>258</v>
      </c>
      <c r="C2386" s="110">
        <v>2028</v>
      </c>
      <c r="D2386" s="687" t="s">
        <v>1665</v>
      </c>
      <c r="E2386" s="688">
        <v>3.0939202441190854E-2</v>
      </c>
      <c r="F2386" s="310">
        <v>9.9763536951652972E-3</v>
      </c>
      <c r="G2386" s="311">
        <v>4.4839215996649771E-2</v>
      </c>
      <c r="H2386" s="311">
        <v>1.3588324974676874E-3</v>
      </c>
      <c r="I2386" s="394">
        <v>1.4753061720761385E-3</v>
      </c>
      <c r="J2386" s="689">
        <v>6.013237047460706E-5</v>
      </c>
      <c r="K2386" s="690">
        <v>6.2851289434026752E-5</v>
      </c>
    </row>
    <row r="2387" spans="2:11" ht="15.75" x14ac:dyDescent="0.25">
      <c r="B2387" s="667" t="s">
        <v>258</v>
      </c>
      <c r="C2387" s="110">
        <v>2029</v>
      </c>
      <c r="D2387" s="687" t="s">
        <v>1666</v>
      </c>
      <c r="E2387" s="688">
        <v>3.0259956091592845E-2</v>
      </c>
      <c r="F2387" s="310">
        <v>8.9140354820538888E-3</v>
      </c>
      <c r="G2387" s="311">
        <v>4.0817400067948928E-2</v>
      </c>
      <c r="H2387" s="311">
        <v>1.2777776423087213E-3</v>
      </c>
      <c r="I2387" s="394">
        <v>1.3875186701026623E-3</v>
      </c>
      <c r="J2387" s="689">
        <v>5.1470596963921004E-5</v>
      </c>
      <c r="K2387" s="690">
        <v>5.3797868961238136E-5</v>
      </c>
    </row>
    <row r="2388" spans="2:11" ht="15.75" x14ac:dyDescent="0.25">
      <c r="B2388" s="667" t="s">
        <v>258</v>
      </c>
      <c r="C2388" s="110">
        <v>2030</v>
      </c>
      <c r="D2388" s="687" t="s">
        <v>1667</v>
      </c>
      <c r="E2388" s="688">
        <v>2.9656018345988862E-2</v>
      </c>
      <c r="F2388" s="310">
        <v>8.0273854387635877E-3</v>
      </c>
      <c r="G2388" s="311">
        <v>3.749465754714415E-2</v>
      </c>
      <c r="H2388" s="311">
        <v>1.2009001867960684E-3</v>
      </c>
      <c r="I2388" s="394">
        <v>1.3042085149486118E-3</v>
      </c>
      <c r="J2388" s="689">
        <v>4.4365292828540373E-5</v>
      </c>
      <c r="K2388" s="690">
        <v>4.6371294502175759E-5</v>
      </c>
    </row>
    <row r="2389" spans="2:11" ht="15.75" x14ac:dyDescent="0.25">
      <c r="B2389" s="667" t="s">
        <v>258</v>
      </c>
      <c r="C2389" s="110">
        <v>2031</v>
      </c>
      <c r="D2389" s="687" t="s">
        <v>1668</v>
      </c>
      <c r="E2389" s="688">
        <v>2.9134485614488892E-2</v>
      </c>
      <c r="F2389" s="310">
        <v>7.2450837452150479E-3</v>
      </c>
      <c r="G2389" s="311">
        <v>3.4614710412360673E-2</v>
      </c>
      <c r="H2389" s="311">
        <v>1.1299359158410006E-3</v>
      </c>
      <c r="I2389" s="394">
        <v>1.2271791638582099E-3</v>
      </c>
      <c r="J2389" s="689">
        <v>4.080739307368639E-5</v>
      </c>
      <c r="K2389" s="690">
        <v>4.2652522308353676E-5</v>
      </c>
    </row>
    <row r="2390" spans="2:11" ht="15.75" x14ac:dyDescent="0.25">
      <c r="B2390" s="667" t="s">
        <v>258</v>
      </c>
      <c r="C2390" s="110">
        <v>2032</v>
      </c>
      <c r="D2390" s="687" t="s">
        <v>1669</v>
      </c>
      <c r="E2390" s="688">
        <v>2.8661051772337496E-2</v>
      </c>
      <c r="F2390" s="310">
        <v>6.5749279432076998E-3</v>
      </c>
      <c r="G2390" s="311">
        <v>3.2238823077119373E-2</v>
      </c>
      <c r="H2390" s="311">
        <v>1.0626533164420607E-3</v>
      </c>
      <c r="I2390" s="394">
        <v>1.1541770502208589E-3</v>
      </c>
      <c r="J2390" s="689">
        <v>3.6704753558845111E-5</v>
      </c>
      <c r="K2390" s="690">
        <v>3.8364379639844403E-5</v>
      </c>
    </row>
    <row r="2391" spans="2:11" ht="15.75" x14ac:dyDescent="0.25">
      <c r="B2391" s="667" t="s">
        <v>258</v>
      </c>
      <c r="C2391" s="110">
        <v>2033</v>
      </c>
      <c r="D2391" s="687" t="s">
        <v>1670</v>
      </c>
      <c r="E2391" s="688">
        <v>2.8244353436521628E-2</v>
      </c>
      <c r="F2391" s="310">
        <v>5.9945375602115866E-3</v>
      </c>
      <c r="G2391" s="311">
        <v>3.026483739488663E-2</v>
      </c>
      <c r="H2391" s="311">
        <v>1.000830828096955E-3</v>
      </c>
      <c r="I2391" s="394">
        <v>1.0870468212330049E-3</v>
      </c>
      <c r="J2391" s="689">
        <v>3.4171040124109861E-5</v>
      </c>
      <c r="K2391" s="690">
        <v>3.5716102926777264E-5</v>
      </c>
    </row>
    <row r="2392" spans="2:11" ht="15.75" x14ac:dyDescent="0.25">
      <c r="B2392" s="667" t="s">
        <v>258</v>
      </c>
      <c r="C2392" s="110">
        <v>2034</v>
      </c>
      <c r="D2392" s="687" t="s">
        <v>1671</v>
      </c>
      <c r="E2392" s="688">
        <v>2.7878637255220606E-2</v>
      </c>
      <c r="F2392" s="310">
        <v>5.4677635982847599E-3</v>
      </c>
      <c r="G2392" s="311">
        <v>2.8540166443818047E-2</v>
      </c>
      <c r="H2392" s="311">
        <v>9.4256340395595343E-4</v>
      </c>
      <c r="I2392" s="394">
        <v>1.0237661030357095E-3</v>
      </c>
      <c r="J2392" s="689">
        <v>3.2037223499541518E-5</v>
      </c>
      <c r="K2392" s="690">
        <v>3.3485804583116998E-5</v>
      </c>
    </row>
    <row r="2393" spans="2:11" ht="15.75" x14ac:dyDescent="0.25">
      <c r="B2393" s="667" t="s">
        <v>258</v>
      </c>
      <c r="C2393" s="110">
        <v>2035</v>
      </c>
      <c r="D2393" s="687" t="s">
        <v>1672</v>
      </c>
      <c r="E2393" s="688">
        <v>2.7560937647553359E-2</v>
      </c>
      <c r="F2393" s="310">
        <v>4.9948783872316663E-3</v>
      </c>
      <c r="G2393" s="311">
        <v>2.7072405791300339E-2</v>
      </c>
      <c r="H2393" s="311">
        <v>8.8791227630744722E-4</v>
      </c>
      <c r="I2393" s="394">
        <v>9.6441220279114184E-4</v>
      </c>
      <c r="J2393" s="689">
        <v>3.0050529874931345E-5</v>
      </c>
      <c r="K2393" s="690">
        <v>3.1409281488624338E-5</v>
      </c>
    </row>
    <row r="2394" spans="2:11" ht="15.75" x14ac:dyDescent="0.25">
      <c r="B2394" s="667" t="s">
        <v>258</v>
      </c>
      <c r="C2394" s="110">
        <v>2036</v>
      </c>
      <c r="D2394" s="687" t="s">
        <v>1673</v>
      </c>
      <c r="E2394" s="688">
        <v>2.7285894954059434E-2</v>
      </c>
      <c r="F2394" s="310">
        <v>4.5713298041518491E-3</v>
      </c>
      <c r="G2394" s="311">
        <v>2.5800127988121369E-2</v>
      </c>
      <c r="H2394" s="311">
        <v>8.3998361696427945E-4</v>
      </c>
      <c r="I2394" s="394">
        <v>9.1236723287999998E-4</v>
      </c>
      <c r="J2394" s="689">
        <v>2.8119701138370991E-5</v>
      </c>
      <c r="K2394" s="690">
        <v>2.9391149244522418E-5</v>
      </c>
    </row>
    <row r="2395" spans="2:11" ht="15.75" x14ac:dyDescent="0.25">
      <c r="B2395" s="667" t="s">
        <v>258</v>
      </c>
      <c r="C2395" s="110">
        <v>2037</v>
      </c>
      <c r="D2395" s="687" t="s">
        <v>1674</v>
      </c>
      <c r="E2395" s="688">
        <v>2.705066766508608E-2</v>
      </c>
      <c r="F2395" s="310">
        <v>4.2091883073667163E-3</v>
      </c>
      <c r="G2395" s="311">
        <v>2.4757853925975314E-2</v>
      </c>
      <c r="H2395" s="311">
        <v>7.9665855439393744E-4</v>
      </c>
      <c r="I2395" s="394">
        <v>8.6531700448487547E-4</v>
      </c>
      <c r="J2395" s="689">
        <v>2.6474177820235327E-5</v>
      </c>
      <c r="K2395" s="690">
        <v>2.7671222663842188E-5</v>
      </c>
    </row>
    <row r="2396" spans="2:11" ht="15.75" x14ac:dyDescent="0.25">
      <c r="B2396" s="667" t="s">
        <v>258</v>
      </c>
      <c r="C2396" s="110">
        <v>2038</v>
      </c>
      <c r="D2396" s="687" t="s">
        <v>1675</v>
      </c>
      <c r="E2396" s="688">
        <v>2.6850744192169852E-2</v>
      </c>
      <c r="F2396" s="310">
        <v>3.8709336851528585E-3</v>
      </c>
      <c r="G2396" s="311">
        <v>2.3784371496511764E-2</v>
      </c>
      <c r="H2396" s="311">
        <v>7.5732856150496268E-4</v>
      </c>
      <c r="I2396" s="394">
        <v>8.2259662905181084E-4</v>
      </c>
      <c r="J2396" s="689">
        <v>2.5186166893392907E-5</v>
      </c>
      <c r="K2396" s="690">
        <v>2.6324973598351872E-5</v>
      </c>
    </row>
    <row r="2397" spans="2:11" ht="15.75" x14ac:dyDescent="0.25">
      <c r="B2397" s="667" t="s">
        <v>258</v>
      </c>
      <c r="C2397" s="110">
        <v>2039</v>
      </c>
      <c r="D2397" s="687" t="s">
        <v>1676</v>
      </c>
      <c r="E2397" s="688">
        <v>2.6681443969094783E-2</v>
      </c>
      <c r="F2397" s="310">
        <v>3.5492797862006834E-3</v>
      </c>
      <c r="G2397" s="311">
        <v>2.2864135042246599E-2</v>
      </c>
      <c r="H2397" s="311">
        <v>7.2176857447002116E-4</v>
      </c>
      <c r="I2397" s="394">
        <v>7.839685868661154E-4</v>
      </c>
      <c r="J2397" s="689">
        <v>2.4084397174783668E-5</v>
      </c>
      <c r="K2397" s="690">
        <v>2.5173386742097719E-5</v>
      </c>
    </row>
    <row r="2398" spans="2:11" ht="15.75" x14ac:dyDescent="0.25">
      <c r="B2398" s="667" t="s">
        <v>258</v>
      </c>
      <c r="C2398" s="110">
        <v>2040</v>
      </c>
      <c r="D2398" s="687" t="s">
        <v>1677</v>
      </c>
      <c r="E2398" s="688">
        <v>2.6538914457465531E-2</v>
      </c>
      <c r="F2398" s="310">
        <v>3.2605264976982261E-3</v>
      </c>
      <c r="G2398" s="311">
        <v>2.2103194677117008E-2</v>
      </c>
      <c r="H2398" s="311">
        <v>6.8998757133143321E-4</v>
      </c>
      <c r="I2398" s="394">
        <v>7.4944354668157666E-4</v>
      </c>
      <c r="J2398" s="689">
        <v>2.3147528272083345E-5</v>
      </c>
      <c r="K2398" s="690">
        <v>2.4194156784911465E-5</v>
      </c>
    </row>
    <row r="2399" spans="2:11" ht="15.75" x14ac:dyDescent="0.25">
      <c r="B2399" s="667" t="s">
        <v>258</v>
      </c>
      <c r="C2399" s="110">
        <v>2041</v>
      </c>
      <c r="D2399" s="687" t="s">
        <v>1678</v>
      </c>
      <c r="E2399" s="688">
        <v>2.6421246064041552E-2</v>
      </c>
      <c r="F2399" s="310">
        <v>3.0285368234148216E-3</v>
      </c>
      <c r="G2399" s="311">
        <v>2.1469808205019626E-2</v>
      </c>
      <c r="H2399" s="311">
        <v>6.651709963303563E-4</v>
      </c>
      <c r="I2399" s="394">
        <v>7.2248720565799872E-4</v>
      </c>
      <c r="J2399" s="689">
        <v>2.2346394756658649E-5</v>
      </c>
      <c r="K2399" s="690">
        <v>2.3356799566896638E-5</v>
      </c>
    </row>
    <row r="2400" spans="2:11" ht="15.75" x14ac:dyDescent="0.25">
      <c r="B2400" s="667" t="s">
        <v>258</v>
      </c>
      <c r="C2400" s="110">
        <v>2042</v>
      </c>
      <c r="D2400" s="687" t="s">
        <v>1679</v>
      </c>
      <c r="E2400" s="688">
        <v>2.6322417177258941E-2</v>
      </c>
      <c r="F2400" s="310">
        <v>2.8276541720852863E-3</v>
      </c>
      <c r="G2400" s="311">
        <v>2.0884620462003074E-2</v>
      </c>
      <c r="H2400" s="311">
        <v>6.4350160281567736E-4</v>
      </c>
      <c r="I2400" s="394">
        <v>6.989483807865707E-4</v>
      </c>
      <c r="J2400" s="689">
        <v>2.1671061372723455E-5</v>
      </c>
      <c r="K2400" s="690">
        <v>2.26509306040874E-5</v>
      </c>
    </row>
    <row r="2401" spans="2:11" ht="15.75" x14ac:dyDescent="0.25">
      <c r="B2401" s="667" t="s">
        <v>258</v>
      </c>
      <c r="C2401" s="110">
        <v>2043</v>
      </c>
      <c r="D2401" s="687" t="s">
        <v>1680</v>
      </c>
      <c r="E2401" s="688">
        <v>2.624086124001529E-2</v>
      </c>
      <c r="F2401" s="310">
        <v>2.6763101496233089E-3</v>
      </c>
      <c r="G2401" s="311">
        <v>2.0446214165820684E-2</v>
      </c>
      <c r="H2401" s="311">
        <v>6.2483082514232799E-4</v>
      </c>
      <c r="I2401" s="394">
        <v>6.7866554438732619E-4</v>
      </c>
      <c r="J2401" s="689">
        <v>2.1120324262129955E-5</v>
      </c>
      <c r="K2401" s="690">
        <v>2.20752916052126E-5</v>
      </c>
    </row>
    <row r="2402" spans="2:11" ht="15.75" x14ac:dyDescent="0.25">
      <c r="B2402" s="667" t="s">
        <v>258</v>
      </c>
      <c r="C2402" s="110">
        <v>2044</v>
      </c>
      <c r="D2402" s="687" t="s">
        <v>1681</v>
      </c>
      <c r="E2402" s="688">
        <v>2.6172481561096635E-2</v>
      </c>
      <c r="F2402" s="310">
        <v>2.5624134087892264E-3</v>
      </c>
      <c r="G2402" s="311">
        <v>2.0095254554491598E-2</v>
      </c>
      <c r="H2402" s="311">
        <v>6.087407621753327E-4</v>
      </c>
      <c r="I2402" s="394">
        <v>6.6118514289508553E-4</v>
      </c>
      <c r="J2402" s="689">
        <v>2.0671716556877089E-5</v>
      </c>
      <c r="K2402" s="690">
        <v>2.160639985019538E-5</v>
      </c>
    </row>
    <row r="2403" spans="2:11" ht="15.75" x14ac:dyDescent="0.25">
      <c r="B2403" s="667" t="s">
        <v>258</v>
      </c>
      <c r="C2403" s="110">
        <v>2045</v>
      </c>
      <c r="D2403" s="687" t="s">
        <v>1682</v>
      </c>
      <c r="E2403" s="688">
        <v>2.6113757220046351E-2</v>
      </c>
      <c r="F2403" s="310">
        <v>2.4856233079150599E-3</v>
      </c>
      <c r="G2403" s="311">
        <v>1.9856020612003623E-2</v>
      </c>
      <c r="H2403" s="311">
        <v>5.9497370825273266E-4</v>
      </c>
      <c r="I2403" s="394">
        <v>6.4622666954811266E-4</v>
      </c>
      <c r="J2403" s="689">
        <v>2.0330626750404045E-5</v>
      </c>
      <c r="K2403" s="690">
        <v>2.1249887476237226E-5</v>
      </c>
    </row>
    <row r="2404" spans="2:11" ht="15.75" x14ac:dyDescent="0.25">
      <c r="B2404" s="667" t="s">
        <v>258</v>
      </c>
      <c r="C2404" s="110">
        <v>2046</v>
      </c>
      <c r="D2404" s="687" t="s">
        <v>1683</v>
      </c>
      <c r="E2404" s="688">
        <v>2.6064536260444089E-2</v>
      </c>
      <c r="F2404" s="310">
        <v>2.4168057317676987E-3</v>
      </c>
      <c r="G2404" s="311">
        <v>1.964998498231563E-2</v>
      </c>
      <c r="H2404" s="311">
        <v>5.8328844139714545E-4</v>
      </c>
      <c r="I2404" s="394">
        <v>6.3352955896014778E-4</v>
      </c>
      <c r="J2404" s="689">
        <v>2.0054919270664186E-5</v>
      </c>
      <c r="K2404" s="690">
        <v>2.0961713727697367E-5</v>
      </c>
    </row>
    <row r="2405" spans="2:11" ht="15.75" x14ac:dyDescent="0.25">
      <c r="B2405" s="667" t="s">
        <v>258</v>
      </c>
      <c r="C2405" s="110">
        <v>2047</v>
      </c>
      <c r="D2405" s="687" t="s">
        <v>1684</v>
      </c>
      <c r="E2405" s="688">
        <v>2.6022577222954771E-2</v>
      </c>
      <c r="F2405" s="310">
        <v>2.3587596348498148E-3</v>
      </c>
      <c r="G2405" s="311">
        <v>1.9476795963199435E-2</v>
      </c>
      <c r="H2405" s="311">
        <v>5.7356608149490009E-4</v>
      </c>
      <c r="I2405" s="394">
        <v>6.2296657011548279E-4</v>
      </c>
      <c r="J2405" s="689">
        <v>1.9796171184546476E-5</v>
      </c>
      <c r="K2405" s="690">
        <v>2.0691266201303014E-5</v>
      </c>
    </row>
    <row r="2406" spans="2:11" ht="15.75" x14ac:dyDescent="0.25">
      <c r="B2406" s="667" t="s">
        <v>258</v>
      </c>
      <c r="C2406" s="110">
        <v>2048</v>
      </c>
      <c r="D2406" s="687" t="s">
        <v>1685</v>
      </c>
      <c r="E2406" s="688">
        <v>2.5986705495737655E-2</v>
      </c>
      <c r="F2406" s="310">
        <v>2.3117478692775049E-3</v>
      </c>
      <c r="G2406" s="311">
        <v>1.9333096950259809E-2</v>
      </c>
      <c r="H2406" s="311">
        <v>5.6543675314090424E-4</v>
      </c>
      <c r="I2406" s="394">
        <v>6.1413603250754488E-4</v>
      </c>
      <c r="J2406" s="689">
        <v>1.9540158667366398E-5</v>
      </c>
      <c r="K2406" s="690">
        <v>2.0423677934134805E-5</v>
      </c>
    </row>
    <row r="2407" spans="2:11" ht="15.75" x14ac:dyDescent="0.25">
      <c r="B2407" s="667" t="s">
        <v>258</v>
      </c>
      <c r="C2407" s="110">
        <v>2049</v>
      </c>
      <c r="D2407" s="687" t="s">
        <v>1686</v>
      </c>
      <c r="E2407" s="688">
        <v>2.5956008539720077E-2</v>
      </c>
      <c r="F2407" s="310">
        <v>2.2944234739753501E-3</v>
      </c>
      <c r="G2407" s="311">
        <v>1.9338196137299871E-2</v>
      </c>
      <c r="H2407" s="311">
        <v>5.6030344794069501E-4</v>
      </c>
      <c r="I2407" s="394">
        <v>6.0855982698452182E-4</v>
      </c>
      <c r="J2407" s="689">
        <v>1.9381288066671268E-5</v>
      </c>
      <c r="K2407" s="690">
        <v>2.0257623909854091E-5</v>
      </c>
    </row>
    <row r="2408" spans="2:11" ht="15.75" x14ac:dyDescent="0.25">
      <c r="B2408" s="667" t="s">
        <v>258</v>
      </c>
      <c r="C2408" s="110">
        <v>2050</v>
      </c>
      <c r="D2408" s="687" t="s">
        <v>1687</v>
      </c>
      <c r="E2408" s="688">
        <v>2.5931572392455304E-2</v>
      </c>
      <c r="F2408" s="310">
        <v>2.2807913549191738E-3</v>
      </c>
      <c r="G2408" s="311">
        <v>1.9346615626789167E-2</v>
      </c>
      <c r="H2408" s="311">
        <v>5.5614576569819948E-4</v>
      </c>
      <c r="I2408" s="394">
        <v>6.0404470811733797E-4</v>
      </c>
      <c r="J2408" s="689">
        <v>1.9222236403830404E-5</v>
      </c>
      <c r="K2408" s="690">
        <v>2.0091380636600846E-5</v>
      </c>
    </row>
    <row r="2409" spans="2:11" ht="15.75" x14ac:dyDescent="0.25">
      <c r="B2409" s="667" t="s">
        <v>259</v>
      </c>
      <c r="C2409" s="110">
        <v>2015</v>
      </c>
      <c r="D2409" s="687" t="s">
        <v>1688</v>
      </c>
      <c r="E2409" s="688">
        <v>4.5242741488286477E-2</v>
      </c>
      <c r="F2409" s="310">
        <v>8.7181056628329368E-2</v>
      </c>
      <c r="G2409" s="311">
        <v>0.32038221536393491</v>
      </c>
      <c r="H2409" s="311">
        <v>3.0784114055130989E-3</v>
      </c>
      <c r="I2409" s="394">
        <v>3.3205224161937039E-3</v>
      </c>
      <c r="J2409" s="689">
        <v>4.882647415497917E-4</v>
      </c>
      <c r="K2409" s="690">
        <v>5.103419065199717E-4</v>
      </c>
    </row>
    <row r="2410" spans="2:11" ht="15.75" x14ac:dyDescent="0.25">
      <c r="B2410" s="667" t="s">
        <v>259</v>
      </c>
      <c r="C2410" s="110">
        <v>2016</v>
      </c>
      <c r="D2410" s="687" t="s">
        <v>1689</v>
      </c>
      <c r="E2410" s="688">
        <v>4.4316711580090526E-2</v>
      </c>
      <c r="F2410" s="310">
        <v>7.2826425364687669E-2</v>
      </c>
      <c r="G2410" s="311">
        <v>0.27748080180333567</v>
      </c>
      <c r="H2410" s="311">
        <v>2.7853381427192592E-3</v>
      </c>
      <c r="I2410" s="394">
        <v>3.0068067578087722E-3</v>
      </c>
      <c r="J2410" s="689">
        <v>4.1869630855659751E-4</v>
      </c>
      <c r="K2410" s="690">
        <v>4.376278976921744E-4</v>
      </c>
    </row>
    <row r="2411" spans="2:11" ht="15.75" x14ac:dyDescent="0.25">
      <c r="B2411" s="667" t="s">
        <v>259</v>
      </c>
      <c r="C2411" s="110">
        <v>2017</v>
      </c>
      <c r="D2411" s="687" t="s">
        <v>1690</v>
      </c>
      <c r="E2411" s="688">
        <v>4.3230830772428494E-2</v>
      </c>
      <c r="F2411" s="310">
        <v>6.1196059255623117E-2</v>
      </c>
      <c r="G2411" s="311">
        <v>0.24062070035999511</v>
      </c>
      <c r="H2411" s="311">
        <v>2.6004553676930902E-3</v>
      </c>
      <c r="I2411" s="394">
        <v>2.8089779011477396E-3</v>
      </c>
      <c r="J2411" s="689">
        <v>3.783732720073202E-4</v>
      </c>
      <c r="K2411" s="690">
        <v>3.9548163236096295E-4</v>
      </c>
    </row>
    <row r="2412" spans="2:11" ht="15.75" x14ac:dyDescent="0.25">
      <c r="B2412" s="667" t="s">
        <v>259</v>
      </c>
      <c r="C2412" s="110">
        <v>2018</v>
      </c>
      <c r="D2412" s="687" t="s">
        <v>1691</v>
      </c>
      <c r="E2412" s="688">
        <v>4.2395236422239788E-2</v>
      </c>
      <c r="F2412" s="310">
        <v>5.0936779263881932E-2</v>
      </c>
      <c r="G2412" s="311">
        <v>0.20762494859214478</v>
      </c>
      <c r="H2412" s="311">
        <v>2.4590416747215281E-3</v>
      </c>
      <c r="I2412" s="394">
        <v>2.6579829780133549E-3</v>
      </c>
      <c r="J2412" s="689">
        <v>3.420764291172751E-4</v>
      </c>
      <c r="K2412" s="690">
        <v>3.5754360730028595E-4</v>
      </c>
    </row>
    <row r="2413" spans="2:11" ht="15.75" x14ac:dyDescent="0.25">
      <c r="B2413" s="667" t="s">
        <v>259</v>
      </c>
      <c r="C2413" s="110">
        <v>2019</v>
      </c>
      <c r="D2413" s="687" t="s">
        <v>1692</v>
      </c>
      <c r="E2413" s="688">
        <v>4.1164632525880804E-2</v>
      </c>
      <c r="F2413" s="310">
        <v>4.2353432013145648E-2</v>
      </c>
      <c r="G2413" s="311">
        <v>0.17903749836061739</v>
      </c>
      <c r="H2413" s="311">
        <v>2.3454811216845378E-3</v>
      </c>
      <c r="I2413" s="394">
        <v>2.5367985384971751E-3</v>
      </c>
      <c r="J2413" s="689">
        <v>3.0886915184070388E-4</v>
      </c>
      <c r="K2413" s="690">
        <v>3.2283484430037818E-4</v>
      </c>
    </row>
    <row r="2414" spans="2:11" ht="15.75" x14ac:dyDescent="0.25">
      <c r="B2414" s="667" t="s">
        <v>259</v>
      </c>
      <c r="C2414" s="110">
        <v>2020</v>
      </c>
      <c r="D2414" s="687" t="s">
        <v>1693</v>
      </c>
      <c r="E2414" s="688">
        <v>3.9912195176397817E-2</v>
      </c>
      <c r="F2414" s="310">
        <v>3.6017050906265155E-2</v>
      </c>
      <c r="G2414" s="311">
        <v>0.15481490207460627</v>
      </c>
      <c r="H2414" s="311">
        <v>2.2247506481361734E-3</v>
      </c>
      <c r="I2414" s="394">
        <v>2.4071027481784068E-3</v>
      </c>
      <c r="J2414" s="689">
        <v>2.7807731597407883E-4</v>
      </c>
      <c r="K2414" s="690">
        <v>2.9065073825261214E-4</v>
      </c>
    </row>
    <row r="2415" spans="2:11" ht="15.75" x14ac:dyDescent="0.25">
      <c r="B2415" s="667" t="s">
        <v>259</v>
      </c>
      <c r="C2415" s="110">
        <v>2021</v>
      </c>
      <c r="D2415" s="687" t="s">
        <v>1694</v>
      </c>
      <c r="E2415" s="688">
        <v>3.8717729877981798E-2</v>
      </c>
      <c r="F2415" s="310">
        <v>3.0754145616987888E-2</v>
      </c>
      <c r="G2415" s="311">
        <v>0.13361294180031902</v>
      </c>
      <c r="H2415" s="311">
        <v>2.0782768007052426E-3</v>
      </c>
      <c r="I2415" s="394">
        <v>2.2492337533479992E-3</v>
      </c>
      <c r="J2415" s="689">
        <v>2.4937051452769823E-4</v>
      </c>
      <c r="K2415" s="690">
        <v>2.6064594262937066E-4</v>
      </c>
    </row>
    <row r="2416" spans="2:11" ht="15.75" x14ac:dyDescent="0.25">
      <c r="B2416" s="667" t="s">
        <v>259</v>
      </c>
      <c r="C2416" s="110">
        <v>2022</v>
      </c>
      <c r="D2416" s="687" t="s">
        <v>1695</v>
      </c>
      <c r="E2416" s="688">
        <v>3.7477369886628094E-2</v>
      </c>
      <c r="F2416" s="310">
        <v>2.5688289599867232E-2</v>
      </c>
      <c r="G2416" s="311">
        <v>0.11502174745698227</v>
      </c>
      <c r="H2416" s="311">
        <v>1.9416698493686323E-3</v>
      </c>
      <c r="I2416" s="394">
        <v>2.1021381194985434E-3</v>
      </c>
      <c r="J2416" s="689">
        <v>2.2265461488047789E-4</v>
      </c>
      <c r="K2416" s="690">
        <v>2.3272206855015284E-4</v>
      </c>
    </row>
    <row r="2417" spans="2:11" ht="15.75" x14ac:dyDescent="0.25">
      <c r="B2417" s="667" t="s">
        <v>259</v>
      </c>
      <c r="C2417" s="110">
        <v>2023</v>
      </c>
      <c r="D2417" s="687" t="s">
        <v>1696</v>
      </c>
      <c r="E2417" s="688">
        <v>3.625441895289095E-2</v>
      </c>
      <c r="F2417" s="310">
        <v>2.209339721554535E-2</v>
      </c>
      <c r="G2417" s="311">
        <v>9.9809873924600556E-2</v>
      </c>
      <c r="H2417" s="311">
        <v>1.8175675076415412E-3</v>
      </c>
      <c r="I2417" s="394">
        <v>1.9683723687063449E-3</v>
      </c>
      <c r="J2417" s="689">
        <v>1.9595807401468662E-4</v>
      </c>
      <c r="K2417" s="690">
        <v>2.0481842857055511E-4</v>
      </c>
    </row>
    <row r="2418" spans="2:11" ht="15.75" x14ac:dyDescent="0.25">
      <c r="B2418" s="667" t="s">
        <v>259</v>
      </c>
      <c r="C2418" s="110">
        <v>2024</v>
      </c>
      <c r="D2418" s="687" t="s">
        <v>1697</v>
      </c>
      <c r="E2418" s="688">
        <v>3.5044361392993266E-2</v>
      </c>
      <c r="F2418" s="310">
        <v>1.9028476074365142E-2</v>
      </c>
      <c r="G2418" s="311">
        <v>8.6906742352655372E-2</v>
      </c>
      <c r="H2418" s="311">
        <v>1.7044022022347416E-3</v>
      </c>
      <c r="I2418" s="394">
        <v>1.8465203725925975E-3</v>
      </c>
      <c r="J2418" s="689">
        <v>1.6869475431620021E-4</v>
      </c>
      <c r="K2418" s="690">
        <v>1.7632238253449334E-4</v>
      </c>
    </row>
    <row r="2419" spans="2:11" ht="15.75" x14ac:dyDescent="0.25">
      <c r="B2419" s="667" t="s">
        <v>259</v>
      </c>
      <c r="C2419" s="110">
        <v>2025</v>
      </c>
      <c r="D2419" s="687" t="s">
        <v>1698</v>
      </c>
      <c r="E2419" s="688">
        <v>3.3871968656036998E-2</v>
      </c>
      <c r="F2419" s="310">
        <v>1.6606456864859662E-2</v>
      </c>
      <c r="G2419" s="311">
        <v>7.6580406288605241E-2</v>
      </c>
      <c r="H2419" s="311">
        <v>1.6170580663960664E-3</v>
      </c>
      <c r="I2419" s="394">
        <v>1.7523510503258835E-3</v>
      </c>
      <c r="J2419" s="689">
        <v>1.4971913305302027E-4</v>
      </c>
      <c r="K2419" s="690">
        <v>1.5648876788086483E-4</v>
      </c>
    </row>
    <row r="2420" spans="2:11" ht="15.75" x14ac:dyDescent="0.25">
      <c r="B2420" s="667" t="s">
        <v>259</v>
      </c>
      <c r="C2420" s="110">
        <v>2026</v>
      </c>
      <c r="D2420" s="687" t="s">
        <v>1699</v>
      </c>
      <c r="E2420" s="688">
        <v>3.2819280744328529E-2</v>
      </c>
      <c r="F2420" s="310">
        <v>1.4576935763662625E-2</v>
      </c>
      <c r="G2420" s="311">
        <v>6.8060262305071867E-2</v>
      </c>
      <c r="H2420" s="311">
        <v>1.529359085771175E-3</v>
      </c>
      <c r="I2420" s="394">
        <v>1.6579353748036457E-3</v>
      </c>
      <c r="J2420" s="689">
        <v>1.2698930127034508E-4</v>
      </c>
      <c r="K2420" s="690">
        <v>1.3273119396711142E-4</v>
      </c>
    </row>
    <row r="2421" spans="2:11" ht="15.75" x14ac:dyDescent="0.25">
      <c r="B2421" s="667" t="s">
        <v>259</v>
      </c>
      <c r="C2421" s="110">
        <v>2027</v>
      </c>
      <c r="D2421" s="687" t="s">
        <v>1700</v>
      </c>
      <c r="E2421" s="688">
        <v>3.1834931641773694E-2</v>
      </c>
      <c r="F2421" s="310">
        <v>1.2859041621451212E-2</v>
      </c>
      <c r="G2421" s="311">
        <v>6.0803149302274581E-2</v>
      </c>
      <c r="H2421" s="311">
        <v>1.4337805625272849E-3</v>
      </c>
      <c r="I2421" s="394">
        <v>1.5551427386207284E-3</v>
      </c>
      <c r="J2421" s="689">
        <v>9.9690263154250224E-5</v>
      </c>
      <c r="K2421" s="690">
        <v>1.0419781448509436E-4</v>
      </c>
    </row>
    <row r="2422" spans="2:11" ht="15.75" x14ac:dyDescent="0.25">
      <c r="B2422" s="667" t="s">
        <v>259</v>
      </c>
      <c r="C2422" s="110">
        <v>2028</v>
      </c>
      <c r="D2422" s="687" t="s">
        <v>1701</v>
      </c>
      <c r="E2422" s="688">
        <v>3.0949177921876805E-2</v>
      </c>
      <c r="F2422" s="310">
        <v>1.1418692436975412E-2</v>
      </c>
      <c r="G2422" s="311">
        <v>5.4678630594318559E-2</v>
      </c>
      <c r="H2422" s="311">
        <v>1.3424153032298206E-3</v>
      </c>
      <c r="I2422" s="394">
        <v>1.4565066933829183E-3</v>
      </c>
      <c r="J2422" s="689">
        <v>8.241595572935334E-5</v>
      </c>
      <c r="K2422" s="690">
        <v>8.6142439532047548E-5</v>
      </c>
    </row>
    <row r="2423" spans="2:11" ht="15.75" x14ac:dyDescent="0.25">
      <c r="B2423" s="667" t="s">
        <v>259</v>
      </c>
      <c r="C2423" s="110">
        <v>2029</v>
      </c>
      <c r="D2423" s="687" t="s">
        <v>1702</v>
      </c>
      <c r="E2423" s="688">
        <v>3.0155159108918146E-2</v>
      </c>
      <c r="F2423" s="310">
        <v>1.0141296558745849E-2</v>
      </c>
      <c r="G2423" s="311">
        <v>4.9347056039746824E-2</v>
      </c>
      <c r="H2423" s="311">
        <v>1.2562935198923337E-3</v>
      </c>
      <c r="I2423" s="394">
        <v>1.3634044008150909E-3</v>
      </c>
      <c r="J2423" s="689">
        <v>6.9129923243678809E-5</v>
      </c>
      <c r="K2423" s="690">
        <v>7.225567161326685E-5</v>
      </c>
    </row>
    <row r="2424" spans="2:11" ht="15.75" x14ac:dyDescent="0.25">
      <c r="B2424" s="667" t="s">
        <v>259</v>
      </c>
      <c r="C2424" s="110">
        <v>2030</v>
      </c>
      <c r="D2424" s="687" t="s">
        <v>1703</v>
      </c>
      <c r="E2424" s="688">
        <v>2.9448120016894418E-2</v>
      </c>
      <c r="F2424" s="310">
        <v>9.0574900359676955E-3</v>
      </c>
      <c r="G2424" s="311">
        <v>4.479400941258236E-2</v>
      </c>
      <c r="H2424" s="311">
        <v>1.1745956922484427E-3</v>
      </c>
      <c r="I2424" s="394">
        <v>1.2750319270979026E-3</v>
      </c>
      <c r="J2424" s="689">
        <v>5.7770387630470417E-5</v>
      </c>
      <c r="K2424" s="690">
        <v>6.0382508206821948E-5</v>
      </c>
    </row>
    <row r="2425" spans="2:11" ht="15.75" x14ac:dyDescent="0.25">
      <c r="B2425" s="667" t="s">
        <v>259</v>
      </c>
      <c r="C2425" s="110">
        <v>2031</v>
      </c>
      <c r="D2425" s="687" t="s">
        <v>1704</v>
      </c>
      <c r="E2425" s="688">
        <v>2.8821031883086046E-2</v>
      </c>
      <c r="F2425" s="310">
        <v>8.0838717798422249E-3</v>
      </c>
      <c r="G2425" s="311">
        <v>4.0726695821710082E-2</v>
      </c>
      <c r="H2425" s="311">
        <v>1.0998428053623516E-3</v>
      </c>
      <c r="I2425" s="394">
        <v>1.1940100048189151E-3</v>
      </c>
      <c r="J2425" s="689">
        <v>5.1194381307297265E-5</v>
      </c>
      <c r="K2425" s="690">
        <v>5.3509164058310752E-5</v>
      </c>
    </row>
    <row r="2426" spans="2:11" ht="15.75" x14ac:dyDescent="0.25">
      <c r="B2426" s="667" t="s">
        <v>259</v>
      </c>
      <c r="C2426" s="110">
        <v>2032</v>
      </c>
      <c r="D2426" s="687" t="s">
        <v>1705</v>
      </c>
      <c r="E2426" s="688">
        <v>2.8267658338374115E-2</v>
      </c>
      <c r="F2426" s="310">
        <v>7.2498315237448747E-3</v>
      </c>
      <c r="G2426" s="311">
        <v>3.735581203290305E-2</v>
      </c>
      <c r="H2426" s="311">
        <v>1.0306192932191445E-3</v>
      </c>
      <c r="I2426" s="394">
        <v>1.11896248197631E-3</v>
      </c>
      <c r="J2426" s="689">
        <v>4.5545796162175092E-5</v>
      </c>
      <c r="K2426" s="690">
        <v>4.7605174958151518E-5</v>
      </c>
    </row>
    <row r="2427" spans="2:11" ht="15.75" x14ac:dyDescent="0.25">
      <c r="B2427" s="667" t="s">
        <v>259</v>
      </c>
      <c r="C2427" s="110">
        <v>2033</v>
      </c>
      <c r="D2427" s="687" t="s">
        <v>1706</v>
      </c>
      <c r="E2427" s="688">
        <v>2.7781405685499593E-2</v>
      </c>
      <c r="F2427" s="310">
        <v>6.5251170780409361E-3</v>
      </c>
      <c r="G2427" s="311">
        <v>3.4522278005607206E-2</v>
      </c>
      <c r="H2427" s="311">
        <v>9.6701747856075041E-4</v>
      </c>
      <c r="I2427" s="394">
        <v>1.0499539108738023E-3</v>
      </c>
      <c r="J2427" s="689">
        <v>4.1670803942102708E-5</v>
      </c>
      <c r="K2427" s="690">
        <v>4.3554972784910754E-5</v>
      </c>
    </row>
    <row r="2428" spans="2:11" ht="15.75" x14ac:dyDescent="0.25">
      <c r="B2428" s="667" t="s">
        <v>259</v>
      </c>
      <c r="C2428" s="110">
        <v>2034</v>
      </c>
      <c r="D2428" s="687" t="s">
        <v>1707</v>
      </c>
      <c r="E2428" s="688">
        <v>2.7356589018015905E-2</v>
      </c>
      <c r="F2428" s="310">
        <v>5.8707012291139985E-3</v>
      </c>
      <c r="G2428" s="311">
        <v>3.206573834343808E-2</v>
      </c>
      <c r="H2428" s="311">
        <v>9.0709962321710105E-4</v>
      </c>
      <c r="I2428" s="394">
        <v>9.8492985095399222E-4</v>
      </c>
      <c r="J2428" s="689">
        <v>3.8318061763655654E-5</v>
      </c>
      <c r="K2428" s="690">
        <v>4.0050634482727341E-5</v>
      </c>
    </row>
    <row r="2429" spans="2:11" ht="15.75" x14ac:dyDescent="0.25">
      <c r="B2429" s="667" t="s">
        <v>259</v>
      </c>
      <c r="C2429" s="110">
        <v>2035</v>
      </c>
      <c r="D2429" s="687" t="s">
        <v>1708</v>
      </c>
      <c r="E2429" s="688">
        <v>2.6987971268066159E-2</v>
      </c>
      <c r="F2429" s="310">
        <v>5.2979899996780377E-3</v>
      </c>
      <c r="G2429" s="311">
        <v>3.0027344145915583E-2</v>
      </c>
      <c r="H2429" s="311">
        <v>8.5168867769728443E-4</v>
      </c>
      <c r="I2429" s="394">
        <v>9.247885190104046E-4</v>
      </c>
      <c r="J2429" s="689">
        <v>3.5412455120241135E-5</v>
      </c>
      <c r="K2429" s="690">
        <v>3.7013649200336209E-5</v>
      </c>
    </row>
    <row r="2430" spans="2:11" ht="15.75" x14ac:dyDescent="0.25">
      <c r="B2430" s="667" t="s">
        <v>259</v>
      </c>
      <c r="C2430" s="110">
        <v>2036</v>
      </c>
      <c r="D2430" s="687" t="s">
        <v>1709</v>
      </c>
      <c r="E2430" s="688">
        <v>2.666987319959755E-2</v>
      </c>
      <c r="F2430" s="310">
        <v>4.779322772062806E-3</v>
      </c>
      <c r="G2430" s="311">
        <v>2.8226838705422582E-2</v>
      </c>
      <c r="H2430" s="311">
        <v>8.0351172314965021E-4</v>
      </c>
      <c r="I2430" s="394">
        <v>8.725123164100429E-4</v>
      </c>
      <c r="J2430" s="689">
        <v>3.2565747231837113E-5</v>
      </c>
      <c r="K2430" s="690">
        <v>3.4038225813297709E-5</v>
      </c>
    </row>
    <row r="2431" spans="2:11" ht="15.75" x14ac:dyDescent="0.25">
      <c r="B2431" s="667" t="s">
        <v>259</v>
      </c>
      <c r="C2431" s="110">
        <v>2037</v>
      </c>
      <c r="D2431" s="687" t="s">
        <v>1710</v>
      </c>
      <c r="E2431" s="688">
        <v>2.63983549337415E-2</v>
      </c>
      <c r="F2431" s="310">
        <v>4.3494248695630537E-3</v>
      </c>
      <c r="G2431" s="311">
        <v>2.6790330609403841E-2</v>
      </c>
      <c r="H2431" s="311">
        <v>7.6057212345756323E-4</v>
      </c>
      <c r="I2431" s="394">
        <v>8.259105786668665E-4</v>
      </c>
      <c r="J2431" s="689">
        <v>3.0229624894620043E-5</v>
      </c>
      <c r="K2431" s="690">
        <v>3.1596474390381009E-5</v>
      </c>
    </row>
    <row r="2432" spans="2:11" ht="15.75" x14ac:dyDescent="0.25">
      <c r="B2432" s="667" t="s">
        <v>259</v>
      </c>
      <c r="C2432" s="110">
        <v>2038</v>
      </c>
      <c r="D2432" s="687" t="s">
        <v>1711</v>
      </c>
      <c r="E2432" s="688">
        <v>2.6168745866359044E-2</v>
      </c>
      <c r="F2432" s="310">
        <v>3.9430750858853829E-3</v>
      </c>
      <c r="G2432" s="311">
        <v>2.5408632339039422E-2</v>
      </c>
      <c r="H2432" s="311">
        <v>7.2131786674252667E-4</v>
      </c>
      <c r="I2432" s="394">
        <v>7.8329822843814262E-4</v>
      </c>
      <c r="J2432" s="689">
        <v>2.8336191093823068E-5</v>
      </c>
      <c r="K2432" s="690">
        <v>2.9617427915099969E-5</v>
      </c>
    </row>
    <row r="2433" spans="2:11" ht="15.75" x14ac:dyDescent="0.25">
      <c r="B2433" s="667" t="s">
        <v>259</v>
      </c>
      <c r="C2433" s="110">
        <v>2039</v>
      </c>
      <c r="D2433" s="687" t="s">
        <v>1712</v>
      </c>
      <c r="E2433" s="688">
        <v>2.5975458484740976E-2</v>
      </c>
      <c r="F2433" s="310">
        <v>3.5628300379294373E-3</v>
      </c>
      <c r="G2433" s="311">
        <v>2.4132865394160988E-2</v>
      </c>
      <c r="H2433" s="311">
        <v>6.8575322740547834E-4</v>
      </c>
      <c r="I2433" s="394">
        <v>7.4468809424172301E-4</v>
      </c>
      <c r="J2433" s="689">
        <v>2.6692417253674562E-5</v>
      </c>
      <c r="K2433" s="690">
        <v>2.7899329916038416E-5</v>
      </c>
    </row>
    <row r="2434" spans="2:11" ht="15.75" x14ac:dyDescent="0.25">
      <c r="B2434" s="667" t="s">
        <v>259</v>
      </c>
      <c r="C2434" s="110">
        <v>2040</v>
      </c>
      <c r="D2434" s="687" t="s">
        <v>1713</v>
      </c>
      <c r="E2434" s="688">
        <v>2.5814533243772704E-2</v>
      </c>
      <c r="F2434" s="310">
        <v>3.2185745351088683E-3</v>
      </c>
      <c r="G2434" s="311">
        <v>2.3065647394537609E-2</v>
      </c>
      <c r="H2434" s="311">
        <v>6.5387731862038851E-4</v>
      </c>
      <c r="I2434" s="394">
        <v>7.1007897142340087E-4</v>
      </c>
      <c r="J2434" s="689">
        <v>2.5303970539718753E-5</v>
      </c>
      <c r="K2434" s="690">
        <v>2.6448103802818522E-5</v>
      </c>
    </row>
    <row r="2435" spans="2:11" ht="15.75" x14ac:dyDescent="0.25">
      <c r="B2435" s="667" t="s">
        <v>259</v>
      </c>
      <c r="C2435" s="110">
        <v>2041</v>
      </c>
      <c r="D2435" s="687" t="s">
        <v>1714</v>
      </c>
      <c r="E2435" s="688">
        <v>2.5682651244236725E-2</v>
      </c>
      <c r="F2435" s="310">
        <v>2.9459362312896581E-3</v>
      </c>
      <c r="G2435" s="311">
        <v>2.2195393456363476E-2</v>
      </c>
      <c r="H2435" s="311">
        <v>6.2971441689756494E-4</v>
      </c>
      <c r="I2435" s="394">
        <v>6.838511260798914E-4</v>
      </c>
      <c r="J2435" s="689">
        <v>2.4088298568592071E-5</v>
      </c>
      <c r="K2435" s="690">
        <v>2.5177464539621982E-5</v>
      </c>
    </row>
    <row r="2436" spans="2:11" ht="15.75" x14ac:dyDescent="0.25">
      <c r="B2436" s="667" t="s">
        <v>259</v>
      </c>
      <c r="C2436" s="110">
        <v>2042</v>
      </c>
      <c r="D2436" s="687" t="s">
        <v>1715</v>
      </c>
      <c r="E2436" s="688">
        <v>2.5573950811727607E-2</v>
      </c>
      <c r="F2436" s="310">
        <v>2.7129366333451654E-3</v>
      </c>
      <c r="G2436" s="311">
        <v>2.1417147368054217E-2</v>
      </c>
      <c r="H2436" s="311">
        <v>6.0867410347721521E-4</v>
      </c>
      <c r="I2436" s="394">
        <v>6.6100892852288676E-4</v>
      </c>
      <c r="J2436" s="689">
        <v>2.311927515965029E-5</v>
      </c>
      <c r="K2436" s="690">
        <v>2.4164626192105575E-5</v>
      </c>
    </row>
    <row r="2437" spans="2:11" ht="15.75" x14ac:dyDescent="0.25">
      <c r="B2437" s="667" t="s">
        <v>259</v>
      </c>
      <c r="C2437" s="110">
        <v>2043</v>
      </c>
      <c r="D2437" s="687" t="s">
        <v>1716</v>
      </c>
      <c r="E2437" s="688">
        <v>2.5486075009563323E-2</v>
      </c>
      <c r="F2437" s="310">
        <v>2.5389145861763325E-3</v>
      </c>
      <c r="G2437" s="311">
        <v>2.0835065311293133E-2</v>
      </c>
      <c r="H2437" s="311">
        <v>5.9047259271212513E-4</v>
      </c>
      <c r="I2437" s="394">
        <v>6.4124960059772898E-4</v>
      </c>
      <c r="J2437" s="689">
        <v>2.2258504191120084E-5</v>
      </c>
      <c r="K2437" s="690">
        <v>2.3264934979993021E-5</v>
      </c>
    </row>
    <row r="2438" spans="2:11" ht="15.75" x14ac:dyDescent="0.25">
      <c r="B2438" s="667" t="s">
        <v>259</v>
      </c>
      <c r="C2438" s="110">
        <v>2044</v>
      </c>
      <c r="D2438" s="687" t="s">
        <v>1717</v>
      </c>
      <c r="E2438" s="688">
        <v>2.5414109828432903E-2</v>
      </c>
      <c r="F2438" s="310">
        <v>2.4189301273461186E-3</v>
      </c>
      <c r="G2438" s="311">
        <v>2.0416563855384148E-2</v>
      </c>
      <c r="H2438" s="311">
        <v>5.748913358845436E-4</v>
      </c>
      <c r="I2438" s="394">
        <v>6.2433403462748918E-4</v>
      </c>
      <c r="J2438" s="689">
        <v>2.15394011940375E-5</v>
      </c>
      <c r="K2438" s="690">
        <v>2.2513317336354642E-5</v>
      </c>
    </row>
    <row r="2439" spans="2:11" ht="15.75" x14ac:dyDescent="0.25">
      <c r="B2439" s="667" t="s">
        <v>259</v>
      </c>
      <c r="C2439" s="110">
        <v>2045</v>
      </c>
      <c r="D2439" s="687" t="s">
        <v>1718</v>
      </c>
      <c r="E2439" s="688">
        <v>2.5354712098360533E-2</v>
      </c>
      <c r="F2439" s="310">
        <v>2.3433371446857669E-3</v>
      </c>
      <c r="G2439" s="311">
        <v>2.014576395746525E-2</v>
      </c>
      <c r="H2439" s="311">
        <v>5.615490436036057E-4</v>
      </c>
      <c r="I2439" s="394">
        <v>6.0984723974173607E-4</v>
      </c>
      <c r="J2439" s="689">
        <v>2.0969136996150151E-5</v>
      </c>
      <c r="K2439" s="690">
        <v>2.1917268321948773E-5</v>
      </c>
    </row>
    <row r="2440" spans="2:11" ht="15.75" x14ac:dyDescent="0.25">
      <c r="B2440" s="667" t="s">
        <v>259</v>
      </c>
      <c r="C2440" s="110">
        <v>2046</v>
      </c>
      <c r="D2440" s="687" t="s">
        <v>1719</v>
      </c>
      <c r="E2440" s="688">
        <v>2.5306237274433645E-2</v>
      </c>
      <c r="F2440" s="310">
        <v>2.2780474615077236E-3</v>
      </c>
      <c r="G2440" s="311">
        <v>1.9921731039899075E-2</v>
      </c>
      <c r="H2440" s="311">
        <v>5.5025841245239383E-4</v>
      </c>
      <c r="I2440" s="394">
        <v>5.975892936855038E-4</v>
      </c>
      <c r="J2440" s="689">
        <v>2.0458337201345523E-5</v>
      </c>
      <c r="K2440" s="690">
        <v>2.1383372427063573E-5</v>
      </c>
    </row>
    <row r="2441" spans="2:11" ht="15.75" x14ac:dyDescent="0.25">
      <c r="B2441" s="667" t="s">
        <v>259</v>
      </c>
      <c r="C2441" s="110">
        <v>2047</v>
      </c>
      <c r="D2441" s="687" t="s">
        <v>1720</v>
      </c>
      <c r="E2441" s="688">
        <v>2.526705901047871E-2</v>
      </c>
      <c r="F2441" s="310">
        <v>2.2213979933712541E-3</v>
      </c>
      <c r="G2441" s="311">
        <v>1.9720234615647297E-2</v>
      </c>
      <c r="H2441" s="311">
        <v>5.4073162935309755E-4</v>
      </c>
      <c r="I2441" s="394">
        <v>5.872482343399067E-4</v>
      </c>
      <c r="J2441" s="689">
        <v>1.9981967082251296E-5</v>
      </c>
      <c r="K2441" s="690">
        <v>2.0885462965044957E-5</v>
      </c>
    </row>
    <row r="2442" spans="2:11" ht="15.75" x14ac:dyDescent="0.25">
      <c r="B2442" s="667" t="s">
        <v>259</v>
      </c>
      <c r="C2442" s="110">
        <v>2048</v>
      </c>
      <c r="D2442" s="687" t="s">
        <v>1721</v>
      </c>
      <c r="E2442" s="688">
        <v>2.5235182300345532E-2</v>
      </c>
      <c r="F2442" s="310">
        <v>2.1747131076648167E-3</v>
      </c>
      <c r="G2442" s="311">
        <v>1.9547426843242642E-2</v>
      </c>
      <c r="H2442" s="311">
        <v>5.3272747094272176E-4</v>
      </c>
      <c r="I2442" s="394">
        <v>5.7856096200656381E-4</v>
      </c>
      <c r="J2442" s="689">
        <v>1.9557661322868818E-5</v>
      </c>
      <c r="K2442" s="690">
        <v>2.0441971982052136E-5</v>
      </c>
    </row>
    <row r="2443" spans="2:11" ht="15.75" x14ac:dyDescent="0.25">
      <c r="B2443" s="667" t="s">
        <v>259</v>
      </c>
      <c r="C2443" s="110">
        <v>2049</v>
      </c>
      <c r="D2443" s="687" t="s">
        <v>1722</v>
      </c>
      <c r="E2443" s="688">
        <v>2.5209678858186622E-2</v>
      </c>
      <c r="F2443" s="310">
        <v>2.1573632049791138E-3</v>
      </c>
      <c r="G2443" s="311">
        <v>1.9548293124257744E-2</v>
      </c>
      <c r="H2443" s="311">
        <v>5.2770021705042384E-4</v>
      </c>
      <c r="I2443" s="394">
        <v>5.7310667306253505E-4</v>
      </c>
      <c r="J2443" s="689">
        <v>1.9243604877643533E-5</v>
      </c>
      <c r="K2443" s="690">
        <v>2.011371529797862E-5</v>
      </c>
    </row>
    <row r="2444" spans="2:11" ht="15.75" x14ac:dyDescent="0.25">
      <c r="B2444" s="667" t="s">
        <v>259</v>
      </c>
      <c r="C2444" s="110">
        <v>2050</v>
      </c>
      <c r="D2444" s="687" t="s">
        <v>1723</v>
      </c>
      <c r="E2444" s="688">
        <v>2.518929830921578E-2</v>
      </c>
      <c r="F2444" s="310">
        <v>2.1431030272932518E-3</v>
      </c>
      <c r="G2444" s="311">
        <v>1.9547253521365705E-2</v>
      </c>
      <c r="H2444" s="311">
        <v>5.2348372625853968E-4</v>
      </c>
      <c r="I2444" s="394">
        <v>5.6853840192498878E-4</v>
      </c>
      <c r="J2444" s="689">
        <v>1.8829515578297309E-5</v>
      </c>
      <c r="K2444" s="690">
        <v>1.9680902718010018E-5</v>
      </c>
    </row>
    <row r="2445" spans="2:11" ht="15.75" x14ac:dyDescent="0.25">
      <c r="B2445" s="667" t="s">
        <v>260</v>
      </c>
      <c r="C2445" s="110">
        <v>2015</v>
      </c>
      <c r="D2445" s="687" t="s">
        <v>1724</v>
      </c>
      <c r="E2445" s="688">
        <v>4.3932772662256453E-2</v>
      </c>
      <c r="F2445" s="310">
        <v>9.5444159561586459E-2</v>
      </c>
      <c r="G2445" s="311">
        <v>0.31066042501225832</v>
      </c>
      <c r="H2445" s="311">
        <v>3.0527774757303761E-3</v>
      </c>
      <c r="I2445" s="394">
        <v>3.2998040251630513E-3</v>
      </c>
      <c r="J2445" s="689">
        <v>2.8785571112277574E-4</v>
      </c>
      <c r="K2445" s="690">
        <v>3.0087126903894756E-4</v>
      </c>
    </row>
    <row r="2446" spans="2:11" ht="15.75" x14ac:dyDescent="0.25">
      <c r="B2446" s="667" t="s">
        <v>260</v>
      </c>
      <c r="C2446" s="110">
        <v>2016</v>
      </c>
      <c r="D2446" s="687" t="s">
        <v>1725</v>
      </c>
      <c r="E2446" s="688">
        <v>4.3028034049532191E-2</v>
      </c>
      <c r="F2446" s="310">
        <v>8.0250904082465269E-2</v>
      </c>
      <c r="G2446" s="311">
        <v>0.26981924342991859</v>
      </c>
      <c r="H2446" s="311">
        <v>2.8414903753146478E-3</v>
      </c>
      <c r="I2446" s="394">
        <v>3.0732787500629458E-3</v>
      </c>
      <c r="J2446" s="689">
        <v>2.6123976815592648E-4</v>
      </c>
      <c r="K2446" s="690">
        <v>2.7305187123763516E-4</v>
      </c>
    </row>
    <row r="2447" spans="2:11" ht="15.75" x14ac:dyDescent="0.25">
      <c r="B2447" s="667" t="s">
        <v>260</v>
      </c>
      <c r="C2447" s="110">
        <v>2017</v>
      </c>
      <c r="D2447" s="687" t="s">
        <v>1726</v>
      </c>
      <c r="E2447" s="688">
        <v>4.193901597947236E-2</v>
      </c>
      <c r="F2447" s="310">
        <v>6.7249978789737166E-2</v>
      </c>
      <c r="G2447" s="311">
        <v>0.23296283067905252</v>
      </c>
      <c r="H2447" s="311">
        <v>2.6916432848589104E-3</v>
      </c>
      <c r="I2447" s="394">
        <v>2.9130140843023765E-3</v>
      </c>
      <c r="J2447" s="689">
        <v>2.3738964009945691E-4</v>
      </c>
      <c r="K2447" s="690">
        <v>2.4812334622382819E-4</v>
      </c>
    </row>
    <row r="2448" spans="2:11" ht="15.75" x14ac:dyDescent="0.25">
      <c r="B2448" s="667" t="s">
        <v>260</v>
      </c>
      <c r="C2448" s="110">
        <v>2018</v>
      </c>
      <c r="D2448" s="687" t="s">
        <v>1727</v>
      </c>
      <c r="E2448" s="688">
        <v>4.0781858536765261E-2</v>
      </c>
      <c r="F2448" s="310">
        <v>5.5682238527517358E-2</v>
      </c>
      <c r="G2448" s="311">
        <v>0.20011517355310654</v>
      </c>
      <c r="H2448" s="311">
        <v>2.5858330627147948E-3</v>
      </c>
      <c r="I2448" s="394">
        <v>2.8002749702725005E-3</v>
      </c>
      <c r="J2448" s="689">
        <v>2.166124684804156E-4</v>
      </c>
      <c r="K2448" s="690">
        <v>2.2640672310150723E-4</v>
      </c>
    </row>
    <row r="2449" spans="2:11" ht="15.75" x14ac:dyDescent="0.25">
      <c r="B2449" s="667" t="s">
        <v>260</v>
      </c>
      <c r="C2449" s="110">
        <v>2019</v>
      </c>
      <c r="D2449" s="687" t="s">
        <v>1728</v>
      </c>
      <c r="E2449" s="688">
        <v>3.9560628644249946E-2</v>
      </c>
      <c r="F2449" s="310">
        <v>4.5900699907317107E-2</v>
      </c>
      <c r="G2449" s="311">
        <v>0.17178959455903198</v>
      </c>
      <c r="H2449" s="311">
        <v>2.5006742603559747E-3</v>
      </c>
      <c r="I2449" s="394">
        <v>2.7096631189231666E-3</v>
      </c>
      <c r="J2449" s="689">
        <v>1.9614810343286497E-4</v>
      </c>
      <c r="K2449" s="690">
        <v>2.0501705027578071E-4</v>
      </c>
    </row>
    <row r="2450" spans="2:11" ht="15.75" x14ac:dyDescent="0.25">
      <c r="B2450" s="667" t="s">
        <v>260</v>
      </c>
      <c r="C2450" s="110">
        <v>2020</v>
      </c>
      <c r="D2450" s="687" t="s">
        <v>1729</v>
      </c>
      <c r="E2450" s="688">
        <v>3.8354890704261874E-2</v>
      </c>
      <c r="F2450" s="310">
        <v>3.8698496738041842E-2</v>
      </c>
      <c r="G2450" s="311">
        <v>0.14814981321279624</v>
      </c>
      <c r="H2450" s="311">
        <v>2.3932050245343119E-3</v>
      </c>
      <c r="I2450" s="394">
        <v>2.5940573170488814E-3</v>
      </c>
      <c r="J2450" s="689">
        <v>1.7740627132791864E-4</v>
      </c>
      <c r="K2450" s="690">
        <v>1.8542779568869755E-4</v>
      </c>
    </row>
    <row r="2451" spans="2:11" ht="15.75" x14ac:dyDescent="0.25">
      <c r="B2451" s="667" t="s">
        <v>260</v>
      </c>
      <c r="C2451" s="110">
        <v>2021</v>
      </c>
      <c r="D2451" s="687" t="s">
        <v>1730</v>
      </c>
      <c r="E2451" s="688">
        <v>3.7146203846674684E-2</v>
      </c>
      <c r="F2451" s="310">
        <v>3.2801831186589865E-2</v>
      </c>
      <c r="G2451" s="311">
        <v>0.1276022099543716</v>
      </c>
      <c r="H2451" s="311">
        <v>2.2473871695867145E-3</v>
      </c>
      <c r="I2451" s="394">
        <v>2.4365585484814518E-3</v>
      </c>
      <c r="J2451" s="689">
        <v>1.5985437869028762E-4</v>
      </c>
      <c r="K2451" s="690">
        <v>1.6708228435136256E-4</v>
      </c>
    </row>
    <row r="2452" spans="2:11" ht="15.75" x14ac:dyDescent="0.25">
      <c r="B2452" s="667" t="s">
        <v>260</v>
      </c>
      <c r="C2452" s="110">
        <v>2022</v>
      </c>
      <c r="D2452" s="687" t="s">
        <v>1731</v>
      </c>
      <c r="E2452" s="688">
        <v>3.5962318352892597E-2</v>
      </c>
      <c r="F2452" s="310">
        <v>2.6169409577297138E-2</v>
      </c>
      <c r="G2452" s="311">
        <v>0.10855338296509737</v>
      </c>
      <c r="H2452" s="311">
        <v>2.106233009312878E-3</v>
      </c>
      <c r="I2452" s="394">
        <v>2.2843512955205711E-3</v>
      </c>
      <c r="J2452" s="689">
        <v>1.4516643323161821E-4</v>
      </c>
      <c r="K2452" s="690">
        <v>1.5173021517584471E-4</v>
      </c>
    </row>
    <row r="2453" spans="2:11" ht="15.75" x14ac:dyDescent="0.25">
      <c r="B2453" s="667" t="s">
        <v>260</v>
      </c>
      <c r="C2453" s="110">
        <v>2023</v>
      </c>
      <c r="D2453" s="687" t="s">
        <v>1732</v>
      </c>
      <c r="E2453" s="688">
        <v>3.4799224071112217E-2</v>
      </c>
      <c r="F2453" s="310">
        <v>2.2428429183628459E-2</v>
      </c>
      <c r="G2453" s="311">
        <v>9.4081126994536884E-2</v>
      </c>
      <c r="H2453" s="311">
        <v>1.9829073147901864E-3</v>
      </c>
      <c r="I2453" s="394">
        <v>2.1509245520979071E-3</v>
      </c>
      <c r="J2453" s="689">
        <v>1.3100022807267499E-4</v>
      </c>
      <c r="K2453" s="690">
        <v>1.3692347708121853E-4</v>
      </c>
    </row>
    <row r="2454" spans="2:11" ht="15.75" x14ac:dyDescent="0.25">
      <c r="B2454" s="667" t="s">
        <v>260</v>
      </c>
      <c r="C2454" s="110">
        <v>2024</v>
      </c>
      <c r="D2454" s="687" t="s">
        <v>1733</v>
      </c>
      <c r="E2454" s="688">
        <v>3.3656542848117782E-2</v>
      </c>
      <c r="F2454" s="310">
        <v>1.927884143251829E-2</v>
      </c>
      <c r="G2454" s="311">
        <v>8.1959957378714712E-2</v>
      </c>
      <c r="H2454" s="311">
        <v>1.8735239054844435E-3</v>
      </c>
      <c r="I2454" s="394">
        <v>2.0326624982869705E-3</v>
      </c>
      <c r="J2454" s="689">
        <v>1.1644041848593486E-4</v>
      </c>
      <c r="K2454" s="690">
        <v>1.2170533751316431E-4</v>
      </c>
    </row>
    <row r="2455" spans="2:11" ht="15.75" x14ac:dyDescent="0.25">
      <c r="B2455" s="667" t="s">
        <v>260</v>
      </c>
      <c r="C2455" s="110">
        <v>2025</v>
      </c>
      <c r="D2455" s="687" t="s">
        <v>1734</v>
      </c>
      <c r="E2455" s="688">
        <v>3.2539219517548103E-2</v>
      </c>
      <c r="F2455" s="310">
        <v>1.685976137243041E-2</v>
      </c>
      <c r="G2455" s="311">
        <v>7.248711945745212E-2</v>
      </c>
      <c r="H2455" s="311">
        <v>1.7869429640299988E-3</v>
      </c>
      <c r="I2455" s="394">
        <v>1.9390283083489414E-3</v>
      </c>
      <c r="J2455" s="689">
        <v>1.0453912244410285E-4</v>
      </c>
      <c r="K2455" s="690">
        <v>1.0926591767553958E-4</v>
      </c>
    </row>
    <row r="2456" spans="2:11" ht="15.75" x14ac:dyDescent="0.25">
      <c r="B2456" s="667" t="s">
        <v>260</v>
      </c>
      <c r="C2456" s="110">
        <v>2026</v>
      </c>
      <c r="D2456" s="687" t="s">
        <v>1735</v>
      </c>
      <c r="E2456" s="688">
        <v>3.152091187727514E-2</v>
      </c>
      <c r="F2456" s="310">
        <v>1.4873788305559171E-2</v>
      </c>
      <c r="G2456" s="311">
        <v>6.4804227372083092E-2</v>
      </c>
      <c r="H2456" s="311">
        <v>1.7007992015196391E-3</v>
      </c>
      <c r="I2456" s="394">
        <v>1.8459019870341532E-3</v>
      </c>
      <c r="J2456" s="689">
        <v>9.1335765152474914E-5</v>
      </c>
      <c r="K2456" s="690">
        <v>9.5465563156214473E-5</v>
      </c>
    </row>
    <row r="2457" spans="2:11" ht="15.75" x14ac:dyDescent="0.25">
      <c r="B2457" s="667" t="s">
        <v>260</v>
      </c>
      <c r="C2457" s="110">
        <v>2027</v>
      </c>
      <c r="D2457" s="687" t="s">
        <v>1736</v>
      </c>
      <c r="E2457" s="688">
        <v>3.0589996371626911E-2</v>
      </c>
      <c r="F2457" s="310">
        <v>1.3163334685177381E-2</v>
      </c>
      <c r="G2457" s="311">
        <v>5.8240691680195078E-2</v>
      </c>
      <c r="H2457" s="311">
        <v>1.6026570760793383E-3</v>
      </c>
      <c r="I2457" s="394">
        <v>1.739887039254045E-3</v>
      </c>
      <c r="J2457" s="689">
        <v>7.4305803309994276E-5</v>
      </c>
      <c r="K2457" s="690">
        <v>7.7665582008553476E-5</v>
      </c>
    </row>
    <row r="2458" spans="2:11" ht="15.75" x14ac:dyDescent="0.25">
      <c r="B2458" s="667" t="s">
        <v>260</v>
      </c>
      <c r="C2458" s="110">
        <v>2028</v>
      </c>
      <c r="D2458" s="687" t="s">
        <v>1737</v>
      </c>
      <c r="E2458" s="688">
        <v>2.975192406413275E-2</v>
      </c>
      <c r="F2458" s="310">
        <v>1.1729394885470657E-2</v>
      </c>
      <c r="G2458" s="311">
        <v>5.2746963286882699E-2</v>
      </c>
      <c r="H2458" s="311">
        <v>1.5017685242168192E-3</v>
      </c>
      <c r="I2458" s="394">
        <v>1.6306704544970839E-3</v>
      </c>
      <c r="J2458" s="689">
        <v>6.2296070990251466E-5</v>
      </c>
      <c r="K2458" s="690">
        <v>6.511282288570975E-5</v>
      </c>
    </row>
    <row r="2459" spans="2:11" ht="15.75" x14ac:dyDescent="0.25">
      <c r="B2459" s="667" t="s">
        <v>260</v>
      </c>
      <c r="C2459" s="110">
        <v>2029</v>
      </c>
      <c r="D2459" s="687" t="s">
        <v>1738</v>
      </c>
      <c r="E2459" s="688">
        <v>2.9001452813916983E-2</v>
      </c>
      <c r="F2459" s="310">
        <v>1.0431619933310363E-2</v>
      </c>
      <c r="G2459" s="311">
        <v>4.7897855058512809E-2</v>
      </c>
      <c r="H2459" s="311">
        <v>1.4060653338678908E-3</v>
      </c>
      <c r="I2459" s="394">
        <v>1.5269530956675253E-3</v>
      </c>
      <c r="J2459" s="689">
        <v>5.3597857002599273E-5</v>
      </c>
      <c r="K2459" s="690">
        <v>5.6021314259288816E-5</v>
      </c>
    </row>
    <row r="2460" spans="2:11" ht="15.75" x14ac:dyDescent="0.25">
      <c r="B2460" s="667" t="s">
        <v>260</v>
      </c>
      <c r="C2460" s="110">
        <v>2030</v>
      </c>
      <c r="D2460" s="687" t="s">
        <v>1739</v>
      </c>
      <c r="E2460" s="688">
        <v>2.83336962202098E-2</v>
      </c>
      <c r="F2460" s="310">
        <v>9.3771571709448109E-3</v>
      </c>
      <c r="G2460" s="311">
        <v>4.3851195037645611E-2</v>
      </c>
      <c r="H2460" s="311">
        <v>1.3161311425812835E-3</v>
      </c>
      <c r="I2460" s="394">
        <v>1.4294639028660284E-3</v>
      </c>
      <c r="J2460" s="689">
        <v>4.5988636102064191E-5</v>
      </c>
      <c r="K2460" s="690">
        <v>4.806803815504919E-5</v>
      </c>
    </row>
    <row r="2461" spans="2:11" ht="15.75" x14ac:dyDescent="0.25">
      <c r="B2461" s="667" t="s">
        <v>260</v>
      </c>
      <c r="C2461" s="110">
        <v>2031</v>
      </c>
      <c r="D2461" s="687" t="s">
        <v>1740</v>
      </c>
      <c r="E2461" s="688">
        <v>2.7739991668815526E-2</v>
      </c>
      <c r="F2461" s="310">
        <v>8.4340305918176352E-3</v>
      </c>
      <c r="G2461" s="311">
        <v>4.0267655064687671E-2</v>
      </c>
      <c r="H2461" s="311">
        <v>1.233266511469446E-3</v>
      </c>
      <c r="I2461" s="394">
        <v>1.3395276754943511E-3</v>
      </c>
      <c r="J2461" s="689">
        <v>4.1584704143502797E-5</v>
      </c>
      <c r="K2461" s="690">
        <v>4.3464979935480304E-5</v>
      </c>
    </row>
    <row r="2462" spans="2:11" ht="15.75" x14ac:dyDescent="0.25">
      <c r="B2462" s="667" t="s">
        <v>260</v>
      </c>
      <c r="C2462" s="110">
        <v>2032</v>
      </c>
      <c r="D2462" s="687" t="s">
        <v>1741</v>
      </c>
      <c r="E2462" s="688">
        <v>2.7216271751881283E-2</v>
      </c>
      <c r="F2462" s="310">
        <v>7.6209172188264201E-3</v>
      </c>
      <c r="G2462" s="311">
        <v>3.7285377966673139E-2</v>
      </c>
      <c r="H2462" s="311">
        <v>1.1573276595949196E-3</v>
      </c>
      <c r="I2462" s="394">
        <v>1.2570709321407727E-3</v>
      </c>
      <c r="J2462" s="689">
        <v>3.8429904205047398E-5</v>
      </c>
      <c r="K2462" s="690">
        <v>4.0167533943025383E-5</v>
      </c>
    </row>
    <row r="2463" spans="2:11" ht="15.75" x14ac:dyDescent="0.25">
      <c r="B2463" s="667" t="s">
        <v>260</v>
      </c>
      <c r="C2463" s="110">
        <v>2033</v>
      </c>
      <c r="D2463" s="687" t="s">
        <v>1742</v>
      </c>
      <c r="E2463" s="688">
        <v>2.6755576798206615E-2</v>
      </c>
      <c r="F2463" s="310">
        <v>6.8939994067136788E-3</v>
      </c>
      <c r="G2463" s="311">
        <v>3.4697875956436683E-2</v>
      </c>
      <c r="H2463" s="311">
        <v>1.0862286397201339E-3</v>
      </c>
      <c r="I2463" s="394">
        <v>1.1798582143797702E-3</v>
      </c>
      <c r="J2463" s="689">
        <v>3.5740779352735078E-5</v>
      </c>
      <c r="K2463" s="690">
        <v>3.7356818797706231E-5</v>
      </c>
    </row>
    <row r="2464" spans="2:11" ht="15.75" x14ac:dyDescent="0.25">
      <c r="B2464" s="667" t="s">
        <v>260</v>
      </c>
      <c r="C2464" s="110">
        <v>2034</v>
      </c>
      <c r="D2464" s="687" t="s">
        <v>1743</v>
      </c>
      <c r="E2464" s="688">
        <v>2.6350798742792329E-2</v>
      </c>
      <c r="F2464" s="310">
        <v>6.2361745610291387E-3</v>
      </c>
      <c r="G2464" s="311">
        <v>3.2450057197623144E-2</v>
      </c>
      <c r="H2464" s="311">
        <v>1.0200617216755473E-3</v>
      </c>
      <c r="I2464" s="394">
        <v>1.1079948042052418E-3</v>
      </c>
      <c r="J2464" s="689">
        <v>3.3400986092181819E-5</v>
      </c>
      <c r="K2464" s="690">
        <v>3.4911230468589645E-5</v>
      </c>
    </row>
    <row r="2465" spans="2:11" ht="15.75" x14ac:dyDescent="0.25">
      <c r="B2465" s="667" t="s">
        <v>260</v>
      </c>
      <c r="C2465" s="110">
        <v>2035</v>
      </c>
      <c r="D2465" s="687" t="s">
        <v>1744</v>
      </c>
      <c r="E2465" s="688">
        <v>2.5998228935783001E-2</v>
      </c>
      <c r="F2465" s="310">
        <v>5.6487025591987327E-3</v>
      </c>
      <c r="G2465" s="311">
        <v>3.0535106323631687E-2</v>
      </c>
      <c r="H2465" s="311">
        <v>9.5910881940098063E-4</v>
      </c>
      <c r="I2465" s="394">
        <v>1.0417868978560552E-3</v>
      </c>
      <c r="J2465" s="689">
        <v>3.1420220852704723E-5</v>
      </c>
      <c r="K2465" s="690">
        <v>3.2840903814498894E-5</v>
      </c>
    </row>
    <row r="2466" spans="2:11" ht="15.75" x14ac:dyDescent="0.25">
      <c r="B2466" s="667" t="s">
        <v>260</v>
      </c>
      <c r="C2466" s="110">
        <v>2036</v>
      </c>
      <c r="D2466" s="687" t="s">
        <v>1745</v>
      </c>
      <c r="E2466" s="688">
        <v>2.5692911968686668E-2</v>
      </c>
      <c r="F2466" s="310">
        <v>5.1398588088559811E-3</v>
      </c>
      <c r="G2466" s="311">
        <v>2.8919896534873465E-2</v>
      </c>
      <c r="H2466" s="311">
        <v>9.0684007372784177E-4</v>
      </c>
      <c r="I2466" s="394">
        <v>9.8502800568083795E-4</v>
      </c>
      <c r="J2466" s="689">
        <v>2.9340306289080602E-5</v>
      </c>
      <c r="K2466" s="690">
        <v>3.0666944743791906E-5</v>
      </c>
    </row>
    <row r="2467" spans="2:11" ht="15.75" x14ac:dyDescent="0.25">
      <c r="B2467" s="667" t="s">
        <v>260</v>
      </c>
      <c r="C2467" s="110">
        <v>2037</v>
      </c>
      <c r="D2467" s="687" t="s">
        <v>1746</v>
      </c>
      <c r="E2467" s="688">
        <v>2.5431874430450491E-2</v>
      </c>
      <c r="F2467" s="310">
        <v>4.6896739802162468E-3</v>
      </c>
      <c r="G2467" s="311">
        <v>2.7528533644019103E-2</v>
      </c>
      <c r="H2467" s="311">
        <v>8.6014643492607812E-4</v>
      </c>
      <c r="I2467" s="394">
        <v>9.3430748352644772E-4</v>
      </c>
      <c r="J2467" s="689">
        <v>2.7851942832813566E-5</v>
      </c>
      <c r="K2467" s="690">
        <v>2.9111284096547553E-5</v>
      </c>
    </row>
    <row r="2468" spans="2:11" ht="15.75" x14ac:dyDescent="0.25">
      <c r="B2468" s="667" t="s">
        <v>260</v>
      </c>
      <c r="C2468" s="110">
        <v>2038</v>
      </c>
      <c r="D2468" s="687" t="s">
        <v>1747</v>
      </c>
      <c r="E2468" s="688">
        <v>2.5209687928003519E-2</v>
      </c>
      <c r="F2468" s="310">
        <v>4.2797150719785801E-3</v>
      </c>
      <c r="G2468" s="311">
        <v>2.6260927570135827E-2</v>
      </c>
      <c r="H2468" s="311">
        <v>8.1805888043716369E-4</v>
      </c>
      <c r="I2468" s="394">
        <v>8.8859253103329026E-4</v>
      </c>
      <c r="J2468" s="689">
        <v>2.6457201291696599E-5</v>
      </c>
      <c r="K2468" s="690">
        <v>2.7653478532015216E-5</v>
      </c>
    </row>
    <row r="2469" spans="2:11" ht="15.75" x14ac:dyDescent="0.25">
      <c r="B2469" s="667" t="s">
        <v>260</v>
      </c>
      <c r="C2469" s="110">
        <v>2039</v>
      </c>
      <c r="D2469" s="687" t="s">
        <v>1748</v>
      </c>
      <c r="E2469" s="688">
        <v>2.5020962246241337E-2</v>
      </c>
      <c r="F2469" s="310">
        <v>3.889102691717136E-3</v>
      </c>
      <c r="G2469" s="311">
        <v>2.5055269448530544E-2</v>
      </c>
      <c r="H2469" s="311">
        <v>7.8031354897718926E-4</v>
      </c>
      <c r="I2469" s="394">
        <v>8.4758745948019501E-4</v>
      </c>
      <c r="J2469" s="689">
        <v>2.536175388926065E-5</v>
      </c>
      <c r="K2469" s="690">
        <v>2.6508499859016891E-5</v>
      </c>
    </row>
    <row r="2470" spans="2:11" ht="15.75" x14ac:dyDescent="0.25">
      <c r="B2470" s="667" t="s">
        <v>260</v>
      </c>
      <c r="C2470" s="110">
        <v>2040</v>
      </c>
      <c r="D2470" s="687" t="s">
        <v>1749</v>
      </c>
      <c r="E2470" s="688">
        <v>2.4862276235753284E-2</v>
      </c>
      <c r="F2470" s="310">
        <v>3.5517766388259153E-3</v>
      </c>
      <c r="G2470" s="311">
        <v>2.4074949696111018E-2</v>
      </c>
      <c r="H2470" s="311">
        <v>7.469428221465389E-4</v>
      </c>
      <c r="I2470" s="394">
        <v>8.1133723568883583E-4</v>
      </c>
      <c r="J2470" s="689">
        <v>2.4335542320421287E-5</v>
      </c>
      <c r="K2470" s="690">
        <v>2.543588755678103E-5</v>
      </c>
    </row>
    <row r="2471" spans="2:11" ht="15.75" x14ac:dyDescent="0.25">
      <c r="B2471" s="667" t="s">
        <v>260</v>
      </c>
      <c r="C2471" s="110">
        <v>2041</v>
      </c>
      <c r="D2471" s="687" t="s">
        <v>1750</v>
      </c>
      <c r="E2471" s="688">
        <v>2.4730979361678222E-2</v>
      </c>
      <c r="F2471" s="310">
        <v>3.3097787638194723E-3</v>
      </c>
      <c r="G2471" s="311">
        <v>2.3343025863461934E-2</v>
      </c>
      <c r="H2471" s="311">
        <v>7.216376312848882E-4</v>
      </c>
      <c r="I2471" s="394">
        <v>7.8384875083943031E-4</v>
      </c>
      <c r="J2471" s="689">
        <v>2.3551623767540273E-5</v>
      </c>
      <c r="K2471" s="690">
        <v>2.4616523685525787E-5</v>
      </c>
    </row>
    <row r="2472" spans="2:11" ht="15.75" x14ac:dyDescent="0.25">
      <c r="B2472" s="667" t="s">
        <v>260</v>
      </c>
      <c r="C2472" s="110">
        <v>2042</v>
      </c>
      <c r="D2472" s="687" t="s">
        <v>1751</v>
      </c>
      <c r="E2472" s="688">
        <v>2.4620707833197201E-2</v>
      </c>
      <c r="F2472" s="310">
        <v>3.1001964250230744E-3</v>
      </c>
      <c r="G2472" s="311">
        <v>2.2665106619457927E-2</v>
      </c>
      <c r="H2472" s="311">
        <v>6.9975491098607685E-4</v>
      </c>
      <c r="I2472" s="394">
        <v>7.6008013095242013E-4</v>
      </c>
      <c r="J2472" s="689">
        <v>2.2823964937179932E-5</v>
      </c>
      <c r="K2472" s="690">
        <v>2.385596335179475E-5</v>
      </c>
    </row>
    <row r="2473" spans="2:11" ht="15.75" x14ac:dyDescent="0.25">
      <c r="B2473" s="667" t="s">
        <v>260</v>
      </c>
      <c r="C2473" s="110">
        <v>2043</v>
      </c>
      <c r="D2473" s="687" t="s">
        <v>1752</v>
      </c>
      <c r="E2473" s="688">
        <v>2.4530933921390056E-2</v>
      </c>
      <c r="F2473" s="310">
        <v>2.9393306199383541E-3</v>
      </c>
      <c r="G2473" s="311">
        <v>2.2143119952955186E-2</v>
      </c>
      <c r="H2473" s="311">
        <v>6.8109505973821963E-4</v>
      </c>
      <c r="I2473" s="394">
        <v>7.3980993484506119E-4</v>
      </c>
      <c r="J2473" s="689">
        <v>2.225536835493558E-5</v>
      </c>
      <c r="K2473" s="690">
        <v>2.3261657355211371E-5</v>
      </c>
    </row>
    <row r="2474" spans="2:11" ht="15.75" x14ac:dyDescent="0.25">
      <c r="B2474" s="667" t="s">
        <v>260</v>
      </c>
      <c r="C2474" s="110">
        <v>2044</v>
      </c>
      <c r="D2474" s="687" t="s">
        <v>1753</v>
      </c>
      <c r="E2474" s="688">
        <v>2.4456222506324711E-2</v>
      </c>
      <c r="F2474" s="310">
        <v>2.819212687653077E-3</v>
      </c>
      <c r="G2474" s="311">
        <v>2.1731655183607212E-2</v>
      </c>
      <c r="H2474" s="311">
        <v>6.6514140371943587E-4</v>
      </c>
      <c r="I2474" s="394">
        <v>7.2248298844597783E-4</v>
      </c>
      <c r="J2474" s="689">
        <v>2.1686406444345491E-5</v>
      </c>
      <c r="K2474" s="690">
        <v>2.2666969511755457E-5</v>
      </c>
    </row>
    <row r="2475" spans="2:11" ht="15.75" x14ac:dyDescent="0.25">
      <c r="B2475" s="667" t="s">
        <v>260</v>
      </c>
      <c r="C2475" s="110">
        <v>2045</v>
      </c>
      <c r="D2475" s="687" t="s">
        <v>1754</v>
      </c>
      <c r="E2475" s="688">
        <v>2.4394136248956616E-2</v>
      </c>
      <c r="F2475" s="310">
        <v>2.7375266079263773E-3</v>
      </c>
      <c r="G2475" s="311">
        <v>2.1453492555470955E-2</v>
      </c>
      <c r="H2475" s="311">
        <v>6.5167175316116347E-4</v>
      </c>
      <c r="I2475" s="394">
        <v>7.0784926342387167E-4</v>
      </c>
      <c r="J2475" s="689">
        <v>2.1314755927857747E-5</v>
      </c>
      <c r="K2475" s="690">
        <v>2.2278514608086869E-5</v>
      </c>
    </row>
    <row r="2476" spans="2:11" ht="15.75" x14ac:dyDescent="0.25">
      <c r="B2476" s="667" t="s">
        <v>260</v>
      </c>
      <c r="C2476" s="110">
        <v>2046</v>
      </c>
      <c r="D2476" s="687" t="s">
        <v>1755</v>
      </c>
      <c r="E2476" s="688">
        <v>2.4342601872998235E-2</v>
      </c>
      <c r="F2476" s="310">
        <v>2.6665318185312764E-3</v>
      </c>
      <c r="G2476" s="311">
        <v>2.1225843967451738E-2</v>
      </c>
      <c r="H2476" s="311">
        <v>6.4024469504981901E-4</v>
      </c>
      <c r="I2476" s="394">
        <v>6.9543765636910179E-4</v>
      </c>
      <c r="J2476" s="689">
        <v>2.0928655769459039E-5</v>
      </c>
      <c r="K2476" s="690">
        <v>2.1874956713819438E-5</v>
      </c>
    </row>
    <row r="2477" spans="2:11" ht="15.75" x14ac:dyDescent="0.25">
      <c r="B2477" s="667" t="s">
        <v>260</v>
      </c>
      <c r="C2477" s="110">
        <v>2047</v>
      </c>
      <c r="D2477" s="687" t="s">
        <v>1756</v>
      </c>
      <c r="E2477" s="688">
        <v>2.4300474757645477E-2</v>
      </c>
      <c r="F2477" s="310">
        <v>2.6056472817622715E-3</v>
      </c>
      <c r="G2477" s="311">
        <v>2.1026686174813857E-2</v>
      </c>
      <c r="H2477" s="311">
        <v>6.3079190850220664E-4</v>
      </c>
      <c r="I2477" s="394">
        <v>6.8516882999081642E-4</v>
      </c>
      <c r="J2477" s="689">
        <v>2.0646855613251655E-5</v>
      </c>
      <c r="K2477" s="690">
        <v>2.1580414805018062E-5</v>
      </c>
    </row>
    <row r="2478" spans="2:11" ht="15.75" x14ac:dyDescent="0.25">
      <c r="B2478" s="667" t="s">
        <v>260</v>
      </c>
      <c r="C2478" s="110">
        <v>2048</v>
      </c>
      <c r="D2478" s="687" t="s">
        <v>1757</v>
      </c>
      <c r="E2478" s="688">
        <v>2.4265283635396661E-2</v>
      </c>
      <c r="F2478" s="310">
        <v>2.5565418344822123E-3</v>
      </c>
      <c r="G2478" s="311">
        <v>2.0861277818905233E-2</v>
      </c>
      <c r="H2478" s="311">
        <v>6.2284607689156541E-4</v>
      </c>
      <c r="I2478" s="394">
        <v>6.7654076984514217E-4</v>
      </c>
      <c r="J2478" s="689">
        <v>2.0322218555321582E-5</v>
      </c>
      <c r="K2478" s="690">
        <v>2.1241099099883971E-5</v>
      </c>
    </row>
    <row r="2479" spans="2:11" ht="15.75" x14ac:dyDescent="0.25">
      <c r="B2479" s="667" t="s">
        <v>260</v>
      </c>
      <c r="C2479" s="110">
        <v>2049</v>
      </c>
      <c r="D2479" s="687" t="s">
        <v>1758</v>
      </c>
      <c r="E2479" s="688">
        <v>2.4236218241125183E-2</v>
      </c>
      <c r="F2479" s="310">
        <v>2.5381159002252911E-3</v>
      </c>
      <c r="G2479" s="311">
        <v>2.0855188585037758E-2</v>
      </c>
      <c r="H2479" s="311">
        <v>6.1787260762582194E-4</v>
      </c>
      <c r="I2479" s="394">
        <v>6.7114115088229341E-4</v>
      </c>
      <c r="J2479" s="689">
        <v>2.0098442849104301E-5</v>
      </c>
      <c r="K2479" s="690">
        <v>2.100720524922155E-5</v>
      </c>
    </row>
    <row r="2480" spans="2:11" ht="15.75" x14ac:dyDescent="0.25">
      <c r="B2480" s="667" t="s">
        <v>260</v>
      </c>
      <c r="C2480" s="110">
        <v>2050</v>
      </c>
      <c r="D2480" s="687" t="s">
        <v>1759</v>
      </c>
      <c r="E2480" s="688">
        <v>2.4212571236015792E-2</v>
      </c>
      <c r="F2480" s="310">
        <v>2.5229176774206733E-3</v>
      </c>
      <c r="G2480" s="311">
        <v>2.0849703467606732E-2</v>
      </c>
      <c r="H2480" s="311">
        <v>6.1374247988975382E-4</v>
      </c>
      <c r="I2480" s="394">
        <v>6.6666200258775417E-4</v>
      </c>
      <c r="J2480" s="689">
        <v>1.9797740762091834E-5</v>
      </c>
      <c r="K2480" s="690">
        <v>2.0692906748180102E-5</v>
      </c>
    </row>
    <row r="2481" spans="2:11" ht="15.75" x14ac:dyDescent="0.25">
      <c r="B2481" s="667" t="s">
        <v>268</v>
      </c>
      <c r="C2481" s="110">
        <v>2015</v>
      </c>
      <c r="D2481" s="687" t="s">
        <v>1862</v>
      </c>
      <c r="E2481" s="688">
        <v>4.5706850646889383E-2</v>
      </c>
      <c r="F2481" s="310">
        <v>5.3698855850475596E-2</v>
      </c>
      <c r="G2481" s="311">
        <v>0.2065143284894547</v>
      </c>
      <c r="H2481" s="311">
        <v>1.9156384526093902E-3</v>
      </c>
      <c r="I2481" s="394">
        <v>2.0724444981663139E-3</v>
      </c>
      <c r="J2481" s="689">
        <v>1.7294603652995532E-4</v>
      </c>
      <c r="K2481" s="690">
        <v>1.8076588886516913E-4</v>
      </c>
    </row>
    <row r="2482" spans="2:11" ht="15.75" x14ac:dyDescent="0.25">
      <c r="B2482" s="667" t="s">
        <v>268</v>
      </c>
      <c r="C2482" s="110">
        <v>2016</v>
      </c>
      <c r="D2482" s="687" t="s">
        <v>1863</v>
      </c>
      <c r="E2482" s="688">
        <v>4.4838281704560279E-2</v>
      </c>
      <c r="F2482" s="310">
        <v>4.4546636355077364E-2</v>
      </c>
      <c r="G2482" s="311">
        <v>0.17511567166109465</v>
      </c>
      <c r="H2482" s="311">
        <v>1.7933017634335475E-3</v>
      </c>
      <c r="I2482" s="394">
        <v>1.9415010541372385E-3</v>
      </c>
      <c r="J2482" s="689">
        <v>1.4924658596418482E-4</v>
      </c>
      <c r="K2482" s="690">
        <v>1.5599485430956806E-4</v>
      </c>
    </row>
    <row r="2483" spans="2:11" ht="15.75" x14ac:dyDescent="0.25">
      <c r="B2483" s="667" t="s">
        <v>268</v>
      </c>
      <c r="C2483" s="110">
        <v>2017</v>
      </c>
      <c r="D2483" s="687" t="s">
        <v>1864</v>
      </c>
      <c r="E2483" s="688">
        <v>4.3667625301954484E-2</v>
      </c>
      <c r="F2483" s="310">
        <v>3.7001964238755104E-2</v>
      </c>
      <c r="G2483" s="311">
        <v>0.14941417876828422</v>
      </c>
      <c r="H2483" s="311">
        <v>1.7303053393491067E-3</v>
      </c>
      <c r="I2483" s="394">
        <v>1.8744674201400492E-3</v>
      </c>
      <c r="J2483" s="689">
        <v>1.3486310428272488E-4</v>
      </c>
      <c r="K2483" s="690">
        <v>1.4096101541222791E-4</v>
      </c>
    </row>
    <row r="2484" spans="2:11" ht="15.75" x14ac:dyDescent="0.25">
      <c r="B2484" s="667" t="s">
        <v>268</v>
      </c>
      <c r="C2484" s="110">
        <v>2018</v>
      </c>
      <c r="D2484" s="687" t="s">
        <v>1865</v>
      </c>
      <c r="E2484" s="688">
        <v>4.2451188261791888E-2</v>
      </c>
      <c r="F2484" s="310">
        <v>3.0489412501550628E-2</v>
      </c>
      <c r="G2484" s="311">
        <v>0.12681990797315373</v>
      </c>
      <c r="H2484" s="311">
        <v>1.6990662804160942E-3</v>
      </c>
      <c r="I2484" s="394">
        <v>1.8416962268311126E-3</v>
      </c>
      <c r="J2484" s="689">
        <v>1.2252686318075796E-4</v>
      </c>
      <c r="K2484" s="690">
        <v>1.2806698422888953E-4</v>
      </c>
    </row>
    <row r="2485" spans="2:11" ht="15.75" x14ac:dyDescent="0.25">
      <c r="B2485" s="667" t="s">
        <v>268</v>
      </c>
      <c r="C2485" s="110">
        <v>2019</v>
      </c>
      <c r="D2485" s="687" t="s">
        <v>1866</v>
      </c>
      <c r="E2485" s="688">
        <v>4.1199187369040595E-2</v>
      </c>
      <c r="F2485" s="310">
        <v>2.501616308860798E-2</v>
      </c>
      <c r="G2485" s="311">
        <v>0.10761206454525429</v>
      </c>
      <c r="H2485" s="311">
        <v>1.6733032666737635E-3</v>
      </c>
      <c r="I2485" s="394">
        <v>1.8146526493820478E-3</v>
      </c>
      <c r="J2485" s="689">
        <v>1.1094261818657823E-4</v>
      </c>
      <c r="K2485" s="690">
        <v>1.1595895108039867E-4</v>
      </c>
    </row>
    <row r="2486" spans="2:11" ht="15.75" x14ac:dyDescent="0.25">
      <c r="B2486" s="667" t="s">
        <v>268</v>
      </c>
      <c r="C2486" s="110">
        <v>2020</v>
      </c>
      <c r="D2486" s="687" t="s">
        <v>1867</v>
      </c>
      <c r="E2486" s="688">
        <v>3.993380241668866E-2</v>
      </c>
      <c r="F2486" s="310">
        <v>2.0938943359776314E-2</v>
      </c>
      <c r="G2486" s="311">
        <v>9.1806427687894807E-2</v>
      </c>
      <c r="H2486" s="311">
        <v>1.6318474566760005E-3</v>
      </c>
      <c r="I2486" s="394">
        <v>1.7701371388746862E-3</v>
      </c>
      <c r="J2486" s="689">
        <v>1.0211193980796237E-4</v>
      </c>
      <c r="K2486" s="690">
        <v>1.0672898861105634E-4</v>
      </c>
    </row>
    <row r="2487" spans="2:11" ht="15.75" x14ac:dyDescent="0.25">
      <c r="B2487" s="667" t="s">
        <v>268</v>
      </c>
      <c r="C2487" s="110">
        <v>2021</v>
      </c>
      <c r="D2487" s="687" t="s">
        <v>1868</v>
      </c>
      <c r="E2487" s="688">
        <v>3.8665242999333833E-2</v>
      </c>
      <c r="F2487" s="310">
        <v>1.7771608141924765E-2</v>
      </c>
      <c r="G2487" s="311">
        <v>7.8648197032593958E-2</v>
      </c>
      <c r="H2487" s="311">
        <v>1.5570826031500444E-3</v>
      </c>
      <c r="I2487" s="394">
        <v>1.6893264358754923E-3</v>
      </c>
      <c r="J2487" s="689">
        <v>9.2608901115196599E-5</v>
      </c>
      <c r="K2487" s="690">
        <v>9.6796264677713313E-5</v>
      </c>
    </row>
    <row r="2488" spans="2:11" ht="15.75" x14ac:dyDescent="0.25">
      <c r="B2488" s="667" t="s">
        <v>268</v>
      </c>
      <c r="C2488" s="110">
        <v>2022</v>
      </c>
      <c r="D2488" s="687" t="s">
        <v>1869</v>
      </c>
      <c r="E2488" s="688">
        <v>3.7421162762321263E-2</v>
      </c>
      <c r="F2488" s="310">
        <v>1.4816805249304489E-2</v>
      </c>
      <c r="G2488" s="311">
        <v>6.7362064881617278E-2</v>
      </c>
      <c r="H2488" s="311">
        <v>1.4808794554559601E-3</v>
      </c>
      <c r="I2488" s="394">
        <v>1.6069738429365969E-3</v>
      </c>
      <c r="J2488" s="689">
        <v>8.4098247534644143E-5</v>
      </c>
      <c r="K2488" s="690">
        <v>8.7900797107714316E-5</v>
      </c>
    </row>
    <row r="2489" spans="2:11" ht="15.75" x14ac:dyDescent="0.25">
      <c r="B2489" s="667" t="s">
        <v>268</v>
      </c>
      <c r="C2489" s="110">
        <v>2023</v>
      </c>
      <c r="D2489" s="687" t="s">
        <v>1870</v>
      </c>
      <c r="E2489" s="688">
        <v>3.6201215008850013E-2</v>
      </c>
      <c r="F2489" s="310">
        <v>1.2737147595506124E-2</v>
      </c>
      <c r="G2489" s="311">
        <v>5.841515724641879E-2</v>
      </c>
      <c r="H2489" s="311">
        <v>1.4118305947875972E-3</v>
      </c>
      <c r="I2489" s="394">
        <v>1.5322487110506807E-3</v>
      </c>
      <c r="J2489" s="689">
        <v>7.5890431165711756E-5</v>
      </c>
      <c r="K2489" s="690">
        <v>7.9321859704224444E-5</v>
      </c>
    </row>
    <row r="2490" spans="2:11" ht="15.75" x14ac:dyDescent="0.25">
      <c r="B2490" s="667" t="s">
        <v>268</v>
      </c>
      <c r="C2490" s="110">
        <v>2024</v>
      </c>
      <c r="D2490" s="687" t="s">
        <v>1871</v>
      </c>
      <c r="E2490" s="688">
        <v>3.5007871875340275E-2</v>
      </c>
      <c r="F2490" s="310">
        <v>1.10043467628796E-2</v>
      </c>
      <c r="G2490" s="311">
        <v>5.1051528668811165E-2</v>
      </c>
      <c r="H2490" s="311">
        <v>1.3494649327740239E-3</v>
      </c>
      <c r="I2490" s="394">
        <v>1.4647685058652795E-3</v>
      </c>
      <c r="J2490" s="689">
        <v>6.8142850284893749E-5</v>
      </c>
      <c r="K2490" s="690">
        <v>7.1223967595356803E-5</v>
      </c>
    </row>
    <row r="2491" spans="2:11" ht="15.75" x14ac:dyDescent="0.25">
      <c r="B2491" s="667" t="s">
        <v>268</v>
      </c>
      <c r="C2491" s="110">
        <v>2025</v>
      </c>
      <c r="D2491" s="687" t="s">
        <v>1872</v>
      </c>
      <c r="E2491" s="688">
        <v>3.3841386823952435E-2</v>
      </c>
      <c r="F2491" s="310">
        <v>9.5791888444620409E-3</v>
      </c>
      <c r="G2491" s="311">
        <v>4.5095525861282786E-2</v>
      </c>
      <c r="H2491" s="311">
        <v>1.2952441957983041E-3</v>
      </c>
      <c r="I2491" s="394">
        <v>1.4060807232282957E-3</v>
      </c>
      <c r="J2491" s="689">
        <v>6.1697907160703966E-5</v>
      </c>
      <c r="K2491" s="690">
        <v>6.4487612742102819E-5</v>
      </c>
    </row>
    <row r="2492" spans="2:11" ht="15.75" x14ac:dyDescent="0.25">
      <c r="B2492" s="667" t="s">
        <v>268</v>
      </c>
      <c r="C2492" s="110">
        <v>2026</v>
      </c>
      <c r="D2492" s="687" t="s">
        <v>1873</v>
      </c>
      <c r="E2492" s="688">
        <v>3.2781208328607134E-2</v>
      </c>
      <c r="F2492" s="310">
        <v>8.4297693412337827E-3</v>
      </c>
      <c r="G2492" s="311">
        <v>4.0359315690535101E-2</v>
      </c>
      <c r="H2492" s="311">
        <v>1.23973948849344E-3</v>
      </c>
      <c r="I2492" s="394">
        <v>1.3459828720876505E-3</v>
      </c>
      <c r="J2492" s="689">
        <v>5.5376588965728225E-5</v>
      </c>
      <c r="K2492" s="690">
        <v>5.7880472588784317E-5</v>
      </c>
    </row>
    <row r="2493" spans="2:11" ht="15.75" x14ac:dyDescent="0.25">
      <c r="B2493" s="667" t="s">
        <v>268</v>
      </c>
      <c r="C2493" s="110">
        <v>2027</v>
      </c>
      <c r="D2493" s="687" t="s">
        <v>1874</v>
      </c>
      <c r="E2493" s="688">
        <v>3.1815502421461216E-2</v>
      </c>
      <c r="F2493" s="310">
        <v>7.4583818125351434E-3</v>
      </c>
      <c r="G2493" s="311">
        <v>3.642975025787757E-2</v>
      </c>
      <c r="H2493" s="311">
        <v>1.1742272000109914E-3</v>
      </c>
      <c r="I2493" s="394">
        <v>1.275063916623625E-3</v>
      </c>
      <c r="J2493" s="689">
        <v>4.7557962183463105E-5</v>
      </c>
      <c r="K2493" s="690">
        <v>4.9708322198067704E-5</v>
      </c>
    </row>
    <row r="2494" spans="2:11" ht="15.75" x14ac:dyDescent="0.25">
      <c r="B2494" s="667" t="s">
        <v>268</v>
      </c>
      <c r="C2494" s="110">
        <v>2028</v>
      </c>
      <c r="D2494" s="687" t="s">
        <v>1875</v>
      </c>
      <c r="E2494" s="688">
        <v>3.0949264390615877E-2</v>
      </c>
      <c r="F2494" s="310">
        <v>6.6552785238909286E-3</v>
      </c>
      <c r="G2494" s="311">
        <v>3.3235480445800561E-2</v>
      </c>
      <c r="H2494" s="311">
        <v>1.1032847558900755E-3</v>
      </c>
      <c r="I2494" s="394">
        <v>1.1981610555265618E-3</v>
      </c>
      <c r="J2494" s="689">
        <v>4.1575291338366247E-5</v>
      </c>
      <c r="K2494" s="690">
        <v>4.3455141525064186E-5</v>
      </c>
    </row>
    <row r="2495" spans="2:11" ht="15.75" x14ac:dyDescent="0.25">
      <c r="B2495" s="667" t="s">
        <v>268</v>
      </c>
      <c r="C2495" s="110">
        <v>2029</v>
      </c>
      <c r="D2495" s="687" t="s">
        <v>1876</v>
      </c>
      <c r="E2495" s="688">
        <v>3.0174314523094242E-2</v>
      </c>
      <c r="F2495" s="310">
        <v>5.9637930026692834E-3</v>
      </c>
      <c r="G2495" s="311">
        <v>3.0569419203473565E-2</v>
      </c>
      <c r="H2495" s="311">
        <v>1.0346758175484218E-3</v>
      </c>
      <c r="I2495" s="394">
        <v>1.123736962749646E-3</v>
      </c>
      <c r="J2495" s="689">
        <v>3.6988046555094637E-5</v>
      </c>
      <c r="K2495" s="690">
        <v>3.8660481888290318E-5</v>
      </c>
    </row>
    <row r="2496" spans="2:11" ht="15.75" x14ac:dyDescent="0.25">
      <c r="B2496" s="667" t="s">
        <v>268</v>
      </c>
      <c r="C2496" s="110">
        <v>2030</v>
      </c>
      <c r="D2496" s="687" t="s">
        <v>1877</v>
      </c>
      <c r="E2496" s="688">
        <v>2.9484338732796319E-2</v>
      </c>
      <c r="F2496" s="310">
        <v>5.3861416793814475E-3</v>
      </c>
      <c r="G2496" s="311">
        <v>2.838987273903389E-2</v>
      </c>
      <c r="H2496" s="311">
        <v>9.6992897206998191E-4</v>
      </c>
      <c r="I2496" s="394">
        <v>1.0534746014443867E-3</v>
      </c>
      <c r="J2496" s="689">
        <v>3.331280836066595E-5</v>
      </c>
      <c r="K2496" s="690">
        <v>3.4819065731337507E-5</v>
      </c>
    </row>
    <row r="2497" spans="2:11" ht="15.75" x14ac:dyDescent="0.25">
      <c r="B2497" s="667" t="s">
        <v>268</v>
      </c>
      <c r="C2497" s="110">
        <v>2031</v>
      </c>
      <c r="D2497" s="687" t="s">
        <v>1878</v>
      </c>
      <c r="E2497" s="688">
        <v>2.8872553730044718E-2</v>
      </c>
      <c r="F2497" s="310">
        <v>4.8815395688874682E-3</v>
      </c>
      <c r="G2497" s="311">
        <v>2.6541063918955991E-2</v>
      </c>
      <c r="H2497" s="311">
        <v>9.095367366386617E-4</v>
      </c>
      <c r="I2497" s="394">
        <v>9.8790012862214928E-4</v>
      </c>
      <c r="J2497" s="689">
        <v>3.0773770542960545E-5</v>
      </c>
      <c r="K2497" s="690">
        <v>3.2165223890328905E-5</v>
      </c>
    </row>
    <row r="2498" spans="2:11" ht="15.75" x14ac:dyDescent="0.25">
      <c r="B2498" s="667" t="s">
        <v>268</v>
      </c>
      <c r="C2498" s="110">
        <v>2032</v>
      </c>
      <c r="D2498" s="687" t="s">
        <v>1879</v>
      </c>
      <c r="E2498" s="688">
        <v>2.833351372817686E-2</v>
      </c>
      <c r="F2498" s="310">
        <v>4.4484226679662228E-3</v>
      </c>
      <c r="G2498" s="311">
        <v>2.5033264755917564E-2</v>
      </c>
      <c r="H2498" s="311">
        <v>8.5328139233959517E-4</v>
      </c>
      <c r="I2498" s="394">
        <v>9.2681884827739596E-4</v>
      </c>
      <c r="J2498" s="689">
        <v>2.8377599639778003E-5</v>
      </c>
      <c r="K2498" s="690">
        <v>2.9660708771755324E-5</v>
      </c>
    </row>
    <row r="2499" spans="2:11" ht="15.75" x14ac:dyDescent="0.25">
      <c r="B2499" s="667" t="s">
        <v>268</v>
      </c>
      <c r="C2499" s="110">
        <v>2033</v>
      </c>
      <c r="D2499" s="687" t="s">
        <v>1880</v>
      </c>
      <c r="E2499" s="688">
        <v>2.7859763925419757E-2</v>
      </c>
      <c r="F2499" s="310">
        <v>4.0740281643400792E-3</v>
      </c>
      <c r="G2499" s="311">
        <v>2.3789876937661679E-2</v>
      </c>
      <c r="H2499" s="311">
        <v>8.0176098036805377E-4</v>
      </c>
      <c r="I2499" s="394">
        <v>8.7085979442826501E-4</v>
      </c>
      <c r="J2499" s="689">
        <v>2.6629074533133282E-5</v>
      </c>
      <c r="K2499" s="690">
        <v>2.7833123118753415E-5</v>
      </c>
    </row>
    <row r="2500" spans="2:11" ht="15.75" x14ac:dyDescent="0.25">
      <c r="B2500" s="667" t="s">
        <v>268</v>
      </c>
      <c r="C2500" s="110">
        <v>2034</v>
      </c>
      <c r="D2500" s="687" t="s">
        <v>1881</v>
      </c>
      <c r="E2500" s="688">
        <v>2.7445494846376157E-2</v>
      </c>
      <c r="F2500" s="310">
        <v>3.7390182981478035E-3</v>
      </c>
      <c r="G2500" s="311">
        <v>2.2727536531344444E-2</v>
      </c>
      <c r="H2500" s="311">
        <v>7.5426209821250216E-4</v>
      </c>
      <c r="I2500" s="394">
        <v>8.1926601112365443E-4</v>
      </c>
      <c r="J2500" s="689">
        <v>2.5081373545690523E-5</v>
      </c>
      <c r="K2500" s="690">
        <v>2.6215441960479863E-5</v>
      </c>
    </row>
    <row r="2501" spans="2:11" ht="15.75" x14ac:dyDescent="0.25">
      <c r="B2501" s="667" t="s">
        <v>268</v>
      </c>
      <c r="C2501" s="110">
        <v>2035</v>
      </c>
      <c r="D2501" s="687" t="s">
        <v>1882</v>
      </c>
      <c r="E2501" s="688">
        <v>2.7085948987810905E-2</v>
      </c>
      <c r="F2501" s="310">
        <v>3.4473594256801687E-3</v>
      </c>
      <c r="G2501" s="311">
        <v>2.1854667939728661E-2</v>
      </c>
      <c r="H2501" s="311">
        <v>7.1107177355989981E-4</v>
      </c>
      <c r="I2501" s="394">
        <v>7.7235213157945959E-4</v>
      </c>
      <c r="J2501" s="689">
        <v>2.3676340259232504E-5</v>
      </c>
      <c r="K2501" s="690">
        <v>2.474687930355109E-5</v>
      </c>
    </row>
    <row r="2502" spans="2:11" ht="15.75" x14ac:dyDescent="0.25">
      <c r="B2502" s="667" t="s">
        <v>268</v>
      </c>
      <c r="C2502" s="110">
        <v>2036</v>
      </c>
      <c r="D2502" s="687" t="s">
        <v>1883</v>
      </c>
      <c r="E2502" s="688">
        <v>2.6775708325163208E-2</v>
      </c>
      <c r="F2502" s="310">
        <v>3.2017582730978311E-3</v>
      </c>
      <c r="G2502" s="311">
        <v>2.1136031062798499E-2</v>
      </c>
      <c r="H2502" s="311">
        <v>6.7500947675380599E-4</v>
      </c>
      <c r="I2502" s="394">
        <v>7.3318111298877086E-4</v>
      </c>
      <c r="J2502" s="689">
        <v>2.2495956995042152E-5</v>
      </c>
      <c r="K2502" s="690">
        <v>2.3513124346027229E-5</v>
      </c>
    </row>
    <row r="2503" spans="2:11" ht="15.75" x14ac:dyDescent="0.25">
      <c r="B2503" s="667" t="s">
        <v>268</v>
      </c>
      <c r="C2503" s="110">
        <v>2037</v>
      </c>
      <c r="D2503" s="687" t="s">
        <v>1884</v>
      </c>
      <c r="E2503" s="688">
        <v>2.6510583617580626E-2</v>
      </c>
      <c r="F2503" s="310">
        <v>2.9825869390398586E-3</v>
      </c>
      <c r="G2503" s="311">
        <v>2.0537527633097685E-2</v>
      </c>
      <c r="H2503" s="311">
        <v>6.4130625678287785E-4</v>
      </c>
      <c r="I2503" s="394">
        <v>6.9657191708317513E-4</v>
      </c>
      <c r="J2503" s="689">
        <v>2.1407339043899225E-5</v>
      </c>
      <c r="K2503" s="690">
        <v>2.2375283921804221E-5</v>
      </c>
    </row>
    <row r="2504" spans="2:11" ht="15.75" x14ac:dyDescent="0.25">
      <c r="B2504" s="667" t="s">
        <v>268</v>
      </c>
      <c r="C2504" s="110">
        <v>2038</v>
      </c>
      <c r="D2504" s="687" t="s">
        <v>1885</v>
      </c>
      <c r="E2504" s="688">
        <v>2.6285700049802102E-2</v>
      </c>
      <c r="F2504" s="310">
        <v>2.7896318595317243E-3</v>
      </c>
      <c r="G2504" s="311">
        <v>2.0019937069790585E-2</v>
      </c>
      <c r="H2504" s="311">
        <v>6.1169154845922469E-4</v>
      </c>
      <c r="I2504" s="394">
        <v>6.643994857211446E-4</v>
      </c>
      <c r="J2504" s="689">
        <v>2.0551517654920912E-5</v>
      </c>
      <c r="K2504" s="690">
        <v>2.1480766087267504E-5</v>
      </c>
    </row>
    <row r="2505" spans="2:11" ht="15.75" x14ac:dyDescent="0.25">
      <c r="B2505" s="667" t="s">
        <v>268</v>
      </c>
      <c r="C2505" s="110">
        <v>2039</v>
      </c>
      <c r="D2505" s="687" t="s">
        <v>1886</v>
      </c>
      <c r="E2505" s="688">
        <v>2.6095239070258923E-2</v>
      </c>
      <c r="F2505" s="310">
        <v>2.608876575056969E-3</v>
      </c>
      <c r="G2505" s="311">
        <v>1.9534949704330219E-2</v>
      </c>
      <c r="H2505" s="311">
        <v>5.856567821520643E-4</v>
      </c>
      <c r="I2505" s="394">
        <v>6.3611453909650758E-4</v>
      </c>
      <c r="J2505" s="689">
        <v>1.9837967559984437E-5</v>
      </c>
      <c r="K2505" s="690">
        <v>2.0734952423369679E-5</v>
      </c>
    </row>
    <row r="2506" spans="2:11" ht="15.75" x14ac:dyDescent="0.25">
      <c r="B2506" s="667" t="s">
        <v>268</v>
      </c>
      <c r="C2506" s="110">
        <v>2040</v>
      </c>
      <c r="D2506" s="687" t="s">
        <v>1887</v>
      </c>
      <c r="E2506" s="688">
        <v>2.5935652619957533E-2</v>
      </c>
      <c r="F2506" s="310">
        <v>2.4552342891019457E-3</v>
      </c>
      <c r="G2506" s="311">
        <v>1.9152558956322722E-2</v>
      </c>
      <c r="H2506" s="311">
        <v>5.632012179318356E-4</v>
      </c>
      <c r="I2506" s="394">
        <v>6.1171796390174825E-4</v>
      </c>
      <c r="J2506" s="689">
        <v>1.9226773565681887E-5</v>
      </c>
      <c r="K2506" s="690">
        <v>2.0096122948777914E-5</v>
      </c>
    </row>
    <row r="2507" spans="2:11" ht="15.75" x14ac:dyDescent="0.25">
      <c r="B2507" s="667" t="s">
        <v>268</v>
      </c>
      <c r="C2507" s="110">
        <v>2041</v>
      </c>
      <c r="D2507" s="687" t="s">
        <v>1888</v>
      </c>
      <c r="E2507" s="688">
        <v>2.5804135049277262E-2</v>
      </c>
      <c r="F2507" s="310">
        <v>2.3367631030864673E-3</v>
      </c>
      <c r="G2507" s="311">
        <v>1.8854900615524098E-2</v>
      </c>
      <c r="H2507" s="311">
        <v>5.4523455478969489E-4</v>
      </c>
      <c r="I2507" s="394">
        <v>5.9219897910615482E-4</v>
      </c>
      <c r="J2507" s="689">
        <v>1.8721751193884812E-5</v>
      </c>
      <c r="K2507" s="690">
        <v>1.9568265706331774E-5</v>
      </c>
    </row>
    <row r="2508" spans="2:11" ht="15.75" x14ac:dyDescent="0.25">
      <c r="B2508" s="667" t="s">
        <v>268</v>
      </c>
      <c r="C2508" s="110">
        <v>2042</v>
      </c>
      <c r="D2508" s="687" t="s">
        <v>1889</v>
      </c>
      <c r="E2508" s="688">
        <v>2.5693509394846853E-2</v>
      </c>
      <c r="F2508" s="310">
        <v>2.2362749110076841E-3</v>
      </c>
      <c r="G2508" s="311">
        <v>1.858590323069725E-2</v>
      </c>
      <c r="H2508" s="311">
        <v>5.3003071004572514E-4</v>
      </c>
      <c r="I2508" s="394">
        <v>5.7568074238954021E-4</v>
      </c>
      <c r="J2508" s="689">
        <v>1.8312751143481884E-5</v>
      </c>
      <c r="K2508" s="690">
        <v>1.9140772488560471E-5</v>
      </c>
    </row>
    <row r="2509" spans="2:11" ht="15.75" x14ac:dyDescent="0.25">
      <c r="B2509" s="667" t="s">
        <v>268</v>
      </c>
      <c r="C2509" s="110">
        <v>2043</v>
      </c>
      <c r="D2509" s="687" t="s">
        <v>1890</v>
      </c>
      <c r="E2509" s="688">
        <v>2.5602660728977732E-2</v>
      </c>
      <c r="F2509" s="310">
        <v>2.1603920778355788E-3</v>
      </c>
      <c r="G2509" s="311">
        <v>1.8387800065942539E-2</v>
      </c>
      <c r="H2509" s="311">
        <v>5.1732145837612303E-4</v>
      </c>
      <c r="I2509" s="394">
        <v>5.6187195719384104E-4</v>
      </c>
      <c r="J2509" s="689">
        <v>1.798979234273859E-5</v>
      </c>
      <c r="K2509" s="690">
        <v>1.8803210923956008E-5</v>
      </c>
    </row>
    <row r="2510" spans="2:11" ht="15.75" x14ac:dyDescent="0.25">
      <c r="B2510" s="667" t="s">
        <v>268</v>
      </c>
      <c r="C2510" s="110">
        <v>2044</v>
      </c>
      <c r="D2510" s="687" t="s">
        <v>1891</v>
      </c>
      <c r="E2510" s="688">
        <v>2.5527404007943951E-2</v>
      </c>
      <c r="F2510" s="310">
        <v>2.1024971409908358E-3</v>
      </c>
      <c r="G2510" s="311">
        <v>1.8226826179865329E-2</v>
      </c>
      <c r="H2510" s="311">
        <v>5.0672094816554868E-4</v>
      </c>
      <c r="I2510" s="394">
        <v>5.5035382793229548E-4</v>
      </c>
      <c r="J2510" s="689">
        <v>1.7732739412254859E-5</v>
      </c>
      <c r="K2510" s="690">
        <v>1.8534535200611279E-5</v>
      </c>
    </row>
    <row r="2511" spans="2:11" ht="15.75" x14ac:dyDescent="0.25">
      <c r="B2511" s="667" t="s">
        <v>268</v>
      </c>
      <c r="C2511" s="110">
        <v>2045</v>
      </c>
      <c r="D2511" s="687" t="s">
        <v>1892</v>
      </c>
      <c r="E2511" s="688">
        <v>2.5463487319464736E-2</v>
      </c>
      <c r="F2511" s="310">
        <v>2.0625258915504207E-3</v>
      </c>
      <c r="G2511" s="311">
        <v>1.8119626352312589E-2</v>
      </c>
      <c r="H2511" s="311">
        <v>4.9794586036706672E-4</v>
      </c>
      <c r="I2511" s="394">
        <v>5.4081849650286062E-4</v>
      </c>
      <c r="J2511" s="689">
        <v>1.7535050585907307E-5</v>
      </c>
      <c r="K2511" s="690">
        <v>1.8327907762767477E-5</v>
      </c>
    </row>
    <row r="2512" spans="2:11" ht="15.75" x14ac:dyDescent="0.25">
      <c r="B2512" s="667" t="s">
        <v>268</v>
      </c>
      <c r="C2512" s="110">
        <v>2046</v>
      </c>
      <c r="D2512" s="687" t="s">
        <v>1893</v>
      </c>
      <c r="E2512" s="688">
        <v>2.5410321059451162E-2</v>
      </c>
      <c r="F2512" s="310">
        <v>2.0281272097700262E-3</v>
      </c>
      <c r="G2512" s="311">
        <v>1.8030754783788881E-2</v>
      </c>
      <c r="H2512" s="311">
        <v>4.907461999815384E-4</v>
      </c>
      <c r="I2512" s="394">
        <v>5.3299495749665918E-4</v>
      </c>
      <c r="J2512" s="689">
        <v>1.7375794931489777E-5</v>
      </c>
      <c r="K2512" s="690">
        <v>1.8161451274343677E-5</v>
      </c>
    </row>
    <row r="2513" spans="2:11" ht="15.75" x14ac:dyDescent="0.25">
      <c r="B2513" s="667" t="s">
        <v>268</v>
      </c>
      <c r="C2513" s="110">
        <v>2047</v>
      </c>
      <c r="D2513" s="687" t="s">
        <v>1894</v>
      </c>
      <c r="E2513" s="688">
        <v>2.5366249994508042E-2</v>
      </c>
      <c r="F2513" s="310">
        <v>1.9977868716085237E-3</v>
      </c>
      <c r="G2513" s="311">
        <v>1.7946747823519606E-2</v>
      </c>
      <c r="H2513" s="311">
        <v>4.8488037167019764E-4</v>
      </c>
      <c r="I2513" s="394">
        <v>5.2662082679833628E-4</v>
      </c>
      <c r="J2513" s="689">
        <v>1.7246173559220375E-5</v>
      </c>
      <c r="K2513" s="690">
        <v>1.8025968998806563E-5</v>
      </c>
    </row>
    <row r="2514" spans="2:11" ht="15.75" x14ac:dyDescent="0.25">
      <c r="B2514" s="667" t="s">
        <v>268</v>
      </c>
      <c r="C2514" s="110">
        <v>2048</v>
      </c>
      <c r="D2514" s="687" t="s">
        <v>1895</v>
      </c>
      <c r="E2514" s="688">
        <v>2.5329537603543634E-2</v>
      </c>
      <c r="F2514" s="310">
        <v>1.9738529872660089E-3</v>
      </c>
      <c r="G2514" s="311">
        <v>1.7880145175805769E-2</v>
      </c>
      <c r="H2514" s="311">
        <v>4.8013672882516725E-4</v>
      </c>
      <c r="I2514" s="394">
        <v>5.2146633406486881E-4</v>
      </c>
      <c r="J2514" s="689">
        <v>1.7136401283793365E-5</v>
      </c>
      <c r="K2514" s="690">
        <v>1.7911233308192009E-5</v>
      </c>
    </row>
    <row r="2515" spans="2:11" ht="15.75" x14ac:dyDescent="0.25">
      <c r="B2515" s="667" t="s">
        <v>268</v>
      </c>
      <c r="C2515" s="110">
        <v>2049</v>
      </c>
      <c r="D2515" s="687" t="s">
        <v>1896</v>
      </c>
      <c r="E2515" s="688">
        <v>2.5298769675486353E-2</v>
      </c>
      <c r="F2515" s="310">
        <v>1.9641021587401253E-3</v>
      </c>
      <c r="G2515" s="311">
        <v>1.7887364223104777E-2</v>
      </c>
      <c r="H2515" s="311">
        <v>4.7697648469342889E-4</v>
      </c>
      <c r="I2515" s="394">
        <v>5.1803262966142378E-4</v>
      </c>
      <c r="J2515" s="689">
        <v>1.7057359876140582E-5</v>
      </c>
      <c r="K2515" s="690">
        <v>1.7828617998826239E-5</v>
      </c>
    </row>
    <row r="2516" spans="2:11" ht="15.75" x14ac:dyDescent="0.25">
      <c r="B2516" s="667" t="s">
        <v>268</v>
      </c>
      <c r="C2516" s="110">
        <v>2050</v>
      </c>
      <c r="D2516" s="687" t="s">
        <v>1897</v>
      </c>
      <c r="E2516" s="688">
        <v>2.5273805055644666E-2</v>
      </c>
      <c r="F2516" s="310">
        <v>1.9563548428761482E-3</v>
      </c>
      <c r="G2516" s="311">
        <v>1.7894938794289522E-2</v>
      </c>
      <c r="H2516" s="311">
        <v>4.7447258625178175E-4</v>
      </c>
      <c r="I2516" s="394">
        <v>5.1531251439749593E-4</v>
      </c>
      <c r="J2516" s="689">
        <v>1.6984139826964472E-5</v>
      </c>
      <c r="K2516" s="690">
        <v>1.7752087263935534E-5</v>
      </c>
    </row>
    <row r="2517" spans="2:11" ht="15.75" x14ac:dyDescent="0.25">
      <c r="B2517" s="667" t="s">
        <v>271</v>
      </c>
      <c r="C2517" s="110">
        <v>2015</v>
      </c>
      <c r="D2517" s="687" t="s">
        <v>1932</v>
      </c>
      <c r="E2517" s="688">
        <v>5.1248472584898064E-2</v>
      </c>
      <c r="F2517" s="310">
        <v>5.3881313933917187E-2</v>
      </c>
      <c r="G2517" s="311">
        <v>0.20678150476419827</v>
      </c>
      <c r="H2517" s="311">
        <v>1.7675802786875645E-3</v>
      </c>
      <c r="I2517" s="394">
        <v>1.9118842484141059E-3</v>
      </c>
      <c r="J2517" s="689">
        <v>1.3783139045640827E-4</v>
      </c>
      <c r="K2517" s="690">
        <v>1.4406351431511035E-4</v>
      </c>
    </row>
    <row r="2518" spans="2:11" ht="15.75" x14ac:dyDescent="0.25">
      <c r="B2518" s="667" t="s">
        <v>271</v>
      </c>
      <c r="C2518" s="110">
        <v>2016</v>
      </c>
      <c r="D2518" s="687" t="s">
        <v>1933</v>
      </c>
      <c r="E2518" s="688">
        <v>5.0297713917305732E-2</v>
      </c>
      <c r="F2518" s="310">
        <v>4.5490197021388352E-2</v>
      </c>
      <c r="G2518" s="311">
        <v>0.17972734641232777</v>
      </c>
      <c r="H2518" s="311">
        <v>1.6821251664541582E-3</v>
      </c>
      <c r="I2518" s="394">
        <v>1.8210924252984268E-3</v>
      </c>
      <c r="J2518" s="689">
        <v>1.1777397726148498E-4</v>
      </c>
      <c r="K2518" s="690">
        <v>1.2309919389896508E-4</v>
      </c>
    </row>
    <row r="2519" spans="2:11" ht="15.75" x14ac:dyDescent="0.25">
      <c r="B2519" s="667" t="s">
        <v>271</v>
      </c>
      <c r="C2519" s="110">
        <v>2017</v>
      </c>
      <c r="D2519" s="687" t="s">
        <v>1934</v>
      </c>
      <c r="E2519" s="688">
        <v>4.9058318607155926E-2</v>
      </c>
      <c r="F2519" s="310">
        <v>3.7990884970787675E-2</v>
      </c>
      <c r="G2519" s="311">
        <v>0.15442711804064349</v>
      </c>
      <c r="H2519" s="311">
        <v>1.630052189932663E-3</v>
      </c>
      <c r="I2519" s="394">
        <v>1.7659590006924306E-3</v>
      </c>
      <c r="J2519" s="689">
        <v>1.0739860837720837E-4</v>
      </c>
      <c r="K2519" s="690">
        <v>1.1225469687375923E-4</v>
      </c>
    </row>
    <row r="2520" spans="2:11" ht="15.75" x14ac:dyDescent="0.25">
      <c r="B2520" s="667" t="s">
        <v>271</v>
      </c>
      <c r="C2520" s="110">
        <v>2018</v>
      </c>
      <c r="D2520" s="687" t="s">
        <v>1935</v>
      </c>
      <c r="E2520" s="688">
        <v>4.7796891762634304E-2</v>
      </c>
      <c r="F2520" s="310">
        <v>3.1347268978795167E-2</v>
      </c>
      <c r="G2520" s="311">
        <v>0.13219438959484445</v>
      </c>
      <c r="H2520" s="311">
        <v>1.6011135953705221E-3</v>
      </c>
      <c r="I2520" s="394">
        <v>1.7357733625680014E-3</v>
      </c>
      <c r="J2520" s="689">
        <v>9.910166221776516E-5</v>
      </c>
      <c r="K2520" s="690">
        <v>1.0358259962613923E-4</v>
      </c>
    </row>
    <row r="2521" spans="2:11" ht="15.75" x14ac:dyDescent="0.25">
      <c r="B2521" s="667" t="s">
        <v>271</v>
      </c>
      <c r="C2521" s="110">
        <v>2019</v>
      </c>
      <c r="D2521" s="687" t="s">
        <v>1936</v>
      </c>
      <c r="E2521" s="688">
        <v>4.6487678822210457E-2</v>
      </c>
      <c r="F2521" s="310">
        <v>2.6219896323458645E-2</v>
      </c>
      <c r="G2521" s="311">
        <v>0.11361159073812943</v>
      </c>
      <c r="H2521" s="311">
        <v>1.5876769256859878E-3</v>
      </c>
      <c r="I2521" s="394">
        <v>1.7221464975676495E-3</v>
      </c>
      <c r="J2521" s="689">
        <v>9.0279074682509791E-5</v>
      </c>
      <c r="K2521" s="690">
        <v>9.4361093832192518E-5</v>
      </c>
    </row>
    <row r="2522" spans="2:11" ht="15.75" x14ac:dyDescent="0.25">
      <c r="B2522" s="667" t="s">
        <v>271</v>
      </c>
      <c r="C2522" s="110">
        <v>2020</v>
      </c>
      <c r="D2522" s="687" t="s">
        <v>1937</v>
      </c>
      <c r="E2522" s="688">
        <v>4.5157964147550009E-2</v>
      </c>
      <c r="F2522" s="310">
        <v>2.2315211686299893E-2</v>
      </c>
      <c r="G2522" s="311">
        <v>9.8320241568117889E-2</v>
      </c>
      <c r="H2522" s="311">
        <v>1.5378288957885672E-3</v>
      </c>
      <c r="I2522" s="394">
        <v>1.6683975496389503E-3</v>
      </c>
      <c r="J2522" s="689">
        <v>8.4469359841652088E-5</v>
      </c>
      <c r="K2522" s="690">
        <v>8.8288689466458825E-5</v>
      </c>
    </row>
    <row r="2523" spans="2:11" ht="15.75" x14ac:dyDescent="0.25">
      <c r="B2523" s="667" t="s">
        <v>271</v>
      </c>
      <c r="C2523" s="110">
        <v>2021</v>
      </c>
      <c r="D2523" s="687" t="s">
        <v>1938</v>
      </c>
      <c r="E2523" s="688">
        <v>4.3806243054121403E-2</v>
      </c>
      <c r="F2523" s="310">
        <v>1.9175471821291534E-2</v>
      </c>
      <c r="G2523" s="311">
        <v>8.4926725418249555E-2</v>
      </c>
      <c r="H2523" s="311">
        <v>1.4602056106366493E-3</v>
      </c>
      <c r="I2523" s="394">
        <v>1.5844142055863744E-3</v>
      </c>
      <c r="J2523" s="689">
        <v>7.8391640959714763E-5</v>
      </c>
      <c r="K2523" s="690">
        <v>8.1936163106158228E-5</v>
      </c>
    </row>
    <row r="2524" spans="2:11" ht="15.75" x14ac:dyDescent="0.25">
      <c r="B2524" s="667" t="s">
        <v>271</v>
      </c>
      <c r="C2524" s="110">
        <v>2022</v>
      </c>
      <c r="D2524" s="687" t="s">
        <v>1939</v>
      </c>
      <c r="E2524" s="688">
        <v>4.247738602025581E-2</v>
      </c>
      <c r="F2524" s="310">
        <v>1.599478280734189E-2</v>
      </c>
      <c r="G2524" s="311">
        <v>7.3166658717574301E-2</v>
      </c>
      <c r="H2524" s="311">
        <v>1.372405423629303E-3</v>
      </c>
      <c r="I2524" s="394">
        <v>1.4894418582438657E-3</v>
      </c>
      <c r="J2524" s="689">
        <v>7.2326878355137483E-5</v>
      </c>
      <c r="K2524" s="690">
        <v>7.559717884858739E-5</v>
      </c>
    </row>
    <row r="2525" spans="2:11" ht="15.75" x14ac:dyDescent="0.25">
      <c r="B2525" s="667" t="s">
        <v>271</v>
      </c>
      <c r="C2525" s="110">
        <v>2023</v>
      </c>
      <c r="D2525" s="687" t="s">
        <v>1940</v>
      </c>
      <c r="E2525" s="688">
        <v>4.1156403116239984E-2</v>
      </c>
      <c r="F2525" s="310">
        <v>1.3827596179868673E-2</v>
      </c>
      <c r="G2525" s="311">
        <v>6.3904152361555985E-2</v>
      </c>
      <c r="H2525" s="311">
        <v>1.2955995646986324E-3</v>
      </c>
      <c r="I2525" s="394">
        <v>1.4062385616013791E-3</v>
      </c>
      <c r="J2525" s="689">
        <v>6.5687185287928145E-5</v>
      </c>
      <c r="K2525" s="690">
        <v>6.8657268324080555E-5</v>
      </c>
    </row>
    <row r="2526" spans="2:11" ht="15.75" x14ac:dyDescent="0.25">
      <c r="B2526" s="667" t="s">
        <v>271</v>
      </c>
      <c r="C2526" s="110">
        <v>2024</v>
      </c>
      <c r="D2526" s="687" t="s">
        <v>1941</v>
      </c>
      <c r="E2526" s="688">
        <v>3.9854206109366401E-2</v>
      </c>
      <c r="F2526" s="310">
        <v>1.2311243836032923E-2</v>
      </c>
      <c r="G2526" s="311">
        <v>5.6432353761164157E-2</v>
      </c>
      <c r="H2526" s="311">
        <v>1.2615854658704067E-3</v>
      </c>
      <c r="I2526" s="394">
        <v>1.3695886369549074E-3</v>
      </c>
      <c r="J2526" s="689">
        <v>5.8593194839978047E-5</v>
      </c>
      <c r="K2526" s="690">
        <v>6.1242519107190604E-5</v>
      </c>
    </row>
    <row r="2527" spans="2:11" ht="15.75" x14ac:dyDescent="0.25">
      <c r="B2527" s="667" t="s">
        <v>271</v>
      </c>
      <c r="C2527" s="110">
        <v>2025</v>
      </c>
      <c r="D2527" s="687" t="s">
        <v>1942</v>
      </c>
      <c r="E2527" s="688">
        <v>3.8571332154307816E-2</v>
      </c>
      <c r="F2527" s="310">
        <v>1.0795530254143728E-2</v>
      </c>
      <c r="G2527" s="311">
        <v>5.0201712768916572E-2</v>
      </c>
      <c r="H2527" s="311">
        <v>1.2063200115821147E-3</v>
      </c>
      <c r="I2527" s="394">
        <v>1.3097250807092753E-3</v>
      </c>
      <c r="J2527" s="689">
        <v>5.3255122917477762E-5</v>
      </c>
      <c r="K2527" s="690">
        <v>5.5663083259698119E-5</v>
      </c>
    </row>
    <row r="2528" spans="2:11" ht="15.75" x14ac:dyDescent="0.25">
      <c r="B2528" s="667" t="s">
        <v>271</v>
      </c>
      <c r="C2528" s="110">
        <v>2026</v>
      </c>
      <c r="D2528" s="687" t="s">
        <v>1943</v>
      </c>
      <c r="E2528" s="688">
        <v>3.7406454383479101E-2</v>
      </c>
      <c r="F2528" s="310">
        <v>9.5569985643415341E-3</v>
      </c>
      <c r="G2528" s="311">
        <v>4.5179956875145227E-2</v>
      </c>
      <c r="H2528" s="311">
        <v>1.1505476916534683E-3</v>
      </c>
      <c r="I2528" s="394">
        <v>1.2493042566984526E-3</v>
      </c>
      <c r="J2528" s="689">
        <v>4.7689555407065795E-5</v>
      </c>
      <c r="K2528" s="690">
        <v>4.9845865483305366E-5</v>
      </c>
    </row>
    <row r="2529" spans="2:11" ht="15.75" x14ac:dyDescent="0.25">
      <c r="B2529" s="667" t="s">
        <v>271</v>
      </c>
      <c r="C2529" s="110">
        <v>2027</v>
      </c>
      <c r="D2529" s="687" t="s">
        <v>1944</v>
      </c>
      <c r="E2529" s="688">
        <v>3.6342696731751126E-2</v>
      </c>
      <c r="F2529" s="310">
        <v>8.505728510473206E-3</v>
      </c>
      <c r="G2529" s="311">
        <v>4.0943643429477296E-2</v>
      </c>
      <c r="H2529" s="311">
        <v>1.0859678837167683E-3</v>
      </c>
      <c r="I2529" s="394">
        <v>1.1793557961943754E-3</v>
      </c>
      <c r="J2529" s="689">
        <v>4.0904643362700761E-5</v>
      </c>
      <c r="K2529" s="690">
        <v>4.2754169823895416E-5</v>
      </c>
    </row>
    <row r="2530" spans="2:11" ht="15.75" x14ac:dyDescent="0.25">
      <c r="B2530" s="667" t="s">
        <v>271</v>
      </c>
      <c r="C2530" s="110">
        <v>2028</v>
      </c>
      <c r="D2530" s="687" t="s">
        <v>1945</v>
      </c>
      <c r="E2530" s="688">
        <v>3.5379279280810264E-2</v>
      </c>
      <c r="F2530" s="310">
        <v>7.6285905383304195E-3</v>
      </c>
      <c r="G2530" s="311">
        <v>3.7410480040545584E-2</v>
      </c>
      <c r="H2530" s="311">
        <v>1.0159540780791257E-3</v>
      </c>
      <c r="I2530" s="394">
        <v>1.1034542083562973E-3</v>
      </c>
      <c r="J2530" s="689">
        <v>3.5127416340604446E-5</v>
      </c>
      <c r="K2530" s="690">
        <v>3.6715722231925148E-5</v>
      </c>
    </row>
    <row r="2531" spans="2:11" ht="15.75" x14ac:dyDescent="0.25">
      <c r="B2531" s="667" t="s">
        <v>271</v>
      </c>
      <c r="C2531" s="110">
        <v>2029</v>
      </c>
      <c r="D2531" s="687" t="s">
        <v>1946</v>
      </c>
      <c r="E2531" s="688">
        <v>3.4511839122368458E-2</v>
      </c>
      <c r="F2531" s="310">
        <v>6.835879513140403E-3</v>
      </c>
      <c r="G2531" s="311">
        <v>3.4281060329612659E-2</v>
      </c>
      <c r="H2531" s="311">
        <v>9.5026379735797871E-4</v>
      </c>
      <c r="I2531" s="394">
        <v>1.0321707786795844E-3</v>
      </c>
      <c r="J2531" s="689">
        <v>3.1334102517831147E-5</v>
      </c>
      <c r="K2531" s="690">
        <v>3.2750891590666846E-5</v>
      </c>
    </row>
    <row r="2532" spans="2:11" ht="15.75" x14ac:dyDescent="0.25">
      <c r="B2532" s="667" t="s">
        <v>271</v>
      </c>
      <c r="C2532" s="110">
        <v>2030</v>
      </c>
      <c r="D2532" s="687" t="s">
        <v>1947</v>
      </c>
      <c r="E2532" s="688">
        <v>3.3732814580006813E-2</v>
      </c>
      <c r="F2532" s="310">
        <v>6.182977083693599E-3</v>
      </c>
      <c r="G2532" s="311">
        <v>3.1695590920739584E-2</v>
      </c>
      <c r="H2532" s="311">
        <v>8.901573457440002E-4</v>
      </c>
      <c r="I2532" s="394">
        <v>9.6692696341641588E-4</v>
      </c>
      <c r="J2532" s="689">
        <v>2.8326834259100695E-5</v>
      </c>
      <c r="K2532" s="690">
        <v>2.9607648005831844E-5</v>
      </c>
    </row>
    <row r="2533" spans="2:11" ht="15.75" x14ac:dyDescent="0.25">
      <c r="B2533" s="667" t="s">
        <v>271</v>
      </c>
      <c r="C2533" s="110">
        <v>2031</v>
      </c>
      <c r="D2533" s="687" t="s">
        <v>1948</v>
      </c>
      <c r="E2533" s="688">
        <v>3.3033329875429777E-2</v>
      </c>
      <c r="F2533" s="310">
        <v>5.7986067634455112E-3</v>
      </c>
      <c r="G2533" s="311">
        <v>2.9637773797506397E-2</v>
      </c>
      <c r="H2533" s="311">
        <v>8.6396486127536662E-4</v>
      </c>
      <c r="I2533" s="394">
        <v>9.3848741595187809E-4</v>
      </c>
      <c r="J2533" s="689">
        <v>2.7213714134370811E-5</v>
      </c>
      <c r="K2533" s="690">
        <v>2.8444197528459085E-5</v>
      </c>
    </row>
    <row r="2534" spans="2:11" ht="15.75" x14ac:dyDescent="0.25">
      <c r="B2534" s="667" t="s">
        <v>271</v>
      </c>
      <c r="C2534" s="110">
        <v>2032</v>
      </c>
      <c r="D2534" s="687" t="s">
        <v>1949</v>
      </c>
      <c r="E2534" s="688">
        <v>3.2412130606227614E-2</v>
      </c>
      <c r="F2534" s="310">
        <v>5.2826244531973213E-3</v>
      </c>
      <c r="G2534" s="311">
        <v>2.7737690970801709E-2</v>
      </c>
      <c r="H2534" s="311">
        <v>8.1181997327764812E-4</v>
      </c>
      <c r="I2534" s="394">
        <v>8.8185784459452615E-4</v>
      </c>
      <c r="J2534" s="689">
        <v>2.5260893820407844E-5</v>
      </c>
      <c r="K2534" s="690">
        <v>2.6403079345410492E-5</v>
      </c>
    </row>
    <row r="2535" spans="2:11" ht="15.75" x14ac:dyDescent="0.25">
      <c r="B2535" s="667" t="s">
        <v>271</v>
      </c>
      <c r="C2535" s="110">
        <v>2033</v>
      </c>
      <c r="D2535" s="687" t="s">
        <v>1950</v>
      </c>
      <c r="E2535" s="688">
        <v>3.18600397403907E-2</v>
      </c>
      <c r="F2535" s="310">
        <v>4.8314558630699429E-3</v>
      </c>
      <c r="G2535" s="311">
        <v>2.6139424469860697E-2</v>
      </c>
      <c r="H2535" s="311">
        <v>7.6461581652091963E-4</v>
      </c>
      <c r="I2535" s="394">
        <v>8.3056077641770914E-4</v>
      </c>
      <c r="J2535" s="689">
        <v>2.427544069257732E-5</v>
      </c>
      <c r="K2535" s="690">
        <v>2.5373068400022929E-5</v>
      </c>
    </row>
    <row r="2536" spans="2:11" ht="15.75" x14ac:dyDescent="0.25">
      <c r="B2536" s="667" t="s">
        <v>271</v>
      </c>
      <c r="C2536" s="110">
        <v>2034</v>
      </c>
      <c r="D2536" s="687" t="s">
        <v>1951</v>
      </c>
      <c r="E2536" s="688">
        <v>3.1372748254865655E-2</v>
      </c>
      <c r="F2536" s="310">
        <v>4.4177780488886742E-3</v>
      </c>
      <c r="G2536" s="311">
        <v>2.4734349360869066E-2</v>
      </c>
      <c r="H2536" s="311">
        <v>7.2065552568197023E-4</v>
      </c>
      <c r="I2536" s="394">
        <v>7.8279249684413542E-4</v>
      </c>
      <c r="J2536" s="689">
        <v>2.3271381502931796E-5</v>
      </c>
      <c r="K2536" s="690">
        <v>2.4323610109268357E-5</v>
      </c>
    </row>
    <row r="2537" spans="2:11" ht="15.75" x14ac:dyDescent="0.25">
      <c r="B2537" s="667" t="s">
        <v>271</v>
      </c>
      <c r="C2537" s="110">
        <v>2035</v>
      </c>
      <c r="D2537" s="687" t="s">
        <v>1952</v>
      </c>
      <c r="E2537" s="688">
        <v>3.0946988806730753E-2</v>
      </c>
      <c r="F2537" s="310">
        <v>4.0585618021196862E-3</v>
      </c>
      <c r="G2537" s="311">
        <v>2.3589306472061242E-2</v>
      </c>
      <c r="H2537" s="311">
        <v>6.8076008063561286E-4</v>
      </c>
      <c r="I2537" s="394">
        <v>7.3944075174426011E-4</v>
      </c>
      <c r="J2537" s="689">
        <v>2.2370121985390828E-5</v>
      </c>
      <c r="K2537" s="690">
        <v>2.3381599635624021E-5</v>
      </c>
    </row>
    <row r="2538" spans="2:11" ht="15.75" x14ac:dyDescent="0.25">
      <c r="B2538" s="667" t="s">
        <v>271</v>
      </c>
      <c r="C2538" s="110">
        <v>2036</v>
      </c>
      <c r="D2538" s="687" t="s">
        <v>1953</v>
      </c>
      <c r="E2538" s="688">
        <v>3.0573256840824618E-2</v>
      </c>
      <c r="F2538" s="310">
        <v>3.7424519799288849E-3</v>
      </c>
      <c r="G2538" s="311">
        <v>2.2610029805212994E-2</v>
      </c>
      <c r="H2538" s="311">
        <v>6.4632734125594433E-4</v>
      </c>
      <c r="I2538" s="394">
        <v>7.0202830071739342E-4</v>
      </c>
      <c r="J2538" s="689">
        <v>2.1513623086217969E-5</v>
      </c>
      <c r="K2538" s="690">
        <v>2.2486373656888164E-5</v>
      </c>
    </row>
    <row r="2539" spans="2:11" ht="15.75" x14ac:dyDescent="0.25">
      <c r="B2539" s="667" t="s">
        <v>271</v>
      </c>
      <c r="C2539" s="110">
        <v>2037</v>
      </c>
      <c r="D2539" s="687" t="s">
        <v>1954</v>
      </c>
      <c r="E2539" s="688">
        <v>3.0251432428953087E-2</v>
      </c>
      <c r="F2539" s="310">
        <v>3.4720930295148627E-3</v>
      </c>
      <c r="G2539" s="311">
        <v>2.1804535379511176E-2</v>
      </c>
      <c r="H2539" s="311">
        <v>6.1557336040909201E-4</v>
      </c>
      <c r="I2539" s="394">
        <v>6.6861638944422201E-4</v>
      </c>
      <c r="J2539" s="689">
        <v>2.0667644464518972E-5</v>
      </c>
      <c r="K2539" s="690">
        <v>2.1602143635890461E-5</v>
      </c>
    </row>
    <row r="2540" spans="2:11" ht="15.75" x14ac:dyDescent="0.25">
      <c r="B2540" s="667" t="s">
        <v>271</v>
      </c>
      <c r="C2540" s="110">
        <v>2038</v>
      </c>
      <c r="D2540" s="687" t="s">
        <v>1955</v>
      </c>
      <c r="E2540" s="688">
        <v>2.9975660950518401E-2</v>
      </c>
      <c r="F2540" s="310">
        <v>3.2222792089468232E-3</v>
      </c>
      <c r="G2540" s="311">
        <v>2.105813225706904E-2</v>
      </c>
      <c r="H2540" s="311">
        <v>5.8818074349106775E-4</v>
      </c>
      <c r="I2540" s="394">
        <v>6.3885129833237103E-4</v>
      </c>
      <c r="J2540" s="689">
        <v>2.0033339270271635E-5</v>
      </c>
      <c r="K2540" s="690">
        <v>2.0939157975446923E-5</v>
      </c>
    </row>
    <row r="2541" spans="2:11" ht="15.75" x14ac:dyDescent="0.25">
      <c r="B2541" s="667" t="s">
        <v>271</v>
      </c>
      <c r="C2541" s="110">
        <v>2039</v>
      </c>
      <c r="D2541" s="687" t="s">
        <v>1956</v>
      </c>
      <c r="E2541" s="688">
        <v>2.973794832244837E-2</v>
      </c>
      <c r="F2541" s="310">
        <v>2.9787780940117373E-3</v>
      </c>
      <c r="G2541" s="311">
        <v>2.0324481215225853E-2</v>
      </c>
      <c r="H2541" s="311">
        <v>5.6368080114498835E-4</v>
      </c>
      <c r="I2541" s="394">
        <v>6.1222816609733362E-4</v>
      </c>
      <c r="J2541" s="689">
        <v>1.9495519855175656E-5</v>
      </c>
      <c r="K2541" s="690">
        <v>2.0377020752938564E-5</v>
      </c>
    </row>
    <row r="2542" spans="2:11" ht="15.75" x14ac:dyDescent="0.25">
      <c r="B2542" s="667" t="s">
        <v>271</v>
      </c>
      <c r="C2542" s="110">
        <v>2040</v>
      </c>
      <c r="D2542" s="687" t="s">
        <v>1957</v>
      </c>
      <c r="E2542" s="688">
        <v>2.9533573594847509E-2</v>
      </c>
      <c r="F2542" s="310">
        <v>2.7625583529238512E-3</v>
      </c>
      <c r="G2542" s="311">
        <v>1.9721814253901942E-2</v>
      </c>
      <c r="H2542" s="311">
        <v>5.4222352890462993E-4</v>
      </c>
      <c r="I2542" s="394">
        <v>5.8891067567798036E-4</v>
      </c>
      <c r="J2542" s="689">
        <v>1.9041228074643318E-5</v>
      </c>
      <c r="K2542" s="690">
        <v>1.9902187913980451E-5</v>
      </c>
    </row>
    <row r="2543" spans="2:11" ht="15.75" x14ac:dyDescent="0.25">
      <c r="B2543" s="667" t="s">
        <v>271</v>
      </c>
      <c r="C2543" s="110">
        <v>2041</v>
      </c>
      <c r="D2543" s="687" t="s">
        <v>1958</v>
      </c>
      <c r="E2543" s="688">
        <v>2.9364850682678759E-2</v>
      </c>
      <c r="F2543" s="310">
        <v>2.5932553444311464E-3</v>
      </c>
      <c r="G2543" s="311">
        <v>1.923880176840187E-2</v>
      </c>
      <c r="H2543" s="311">
        <v>5.2572261530550561E-4</v>
      </c>
      <c r="I2543" s="394">
        <v>5.7098073824326514E-4</v>
      </c>
      <c r="J2543" s="689">
        <v>1.8656298256570285E-5</v>
      </c>
      <c r="K2543" s="690">
        <v>1.9499853277634948E-5</v>
      </c>
    </row>
    <row r="2544" spans="2:11" ht="15.75" x14ac:dyDescent="0.25">
      <c r="B2544" s="667" t="s">
        <v>271</v>
      </c>
      <c r="C2544" s="110">
        <v>2042</v>
      </c>
      <c r="D2544" s="687" t="s">
        <v>1959</v>
      </c>
      <c r="E2544" s="688">
        <v>2.9219360327586159E-2</v>
      </c>
      <c r="F2544" s="310">
        <v>2.4441598016766162E-3</v>
      </c>
      <c r="G2544" s="311">
        <v>1.8785600643452666E-2</v>
      </c>
      <c r="H2544" s="311">
        <v>5.1154209874190737E-4</v>
      </c>
      <c r="I2544" s="394">
        <v>5.5557124591591701E-4</v>
      </c>
      <c r="J2544" s="689">
        <v>1.8346845314692295E-5</v>
      </c>
      <c r="K2544" s="690">
        <v>1.9176408246902342E-5</v>
      </c>
    </row>
    <row r="2545" spans="2:11" ht="15.75" x14ac:dyDescent="0.25">
      <c r="B2545" s="667" t="s">
        <v>271</v>
      </c>
      <c r="C2545" s="110">
        <v>2043</v>
      </c>
      <c r="D2545" s="687" t="s">
        <v>1960</v>
      </c>
      <c r="E2545" s="688">
        <v>2.9097765115736696E-2</v>
      </c>
      <c r="F2545" s="310">
        <v>2.3298026140289724E-3</v>
      </c>
      <c r="G2545" s="311">
        <v>1.843906251604286E-2</v>
      </c>
      <c r="H2545" s="311">
        <v>4.9945403600549631E-4</v>
      </c>
      <c r="I2545" s="394">
        <v>5.4243518633739557E-4</v>
      </c>
      <c r="J2545" s="689">
        <v>1.8091709038685224E-5</v>
      </c>
      <c r="K2545" s="690">
        <v>1.8909735840644701E-5</v>
      </c>
    </row>
    <row r="2546" spans="2:11" ht="15.75" x14ac:dyDescent="0.25">
      <c r="B2546" s="667" t="s">
        <v>271</v>
      </c>
      <c r="C2546" s="110">
        <v>2044</v>
      </c>
      <c r="D2546" s="687" t="s">
        <v>1961</v>
      </c>
      <c r="E2546" s="688">
        <v>2.8994849711657389E-2</v>
      </c>
      <c r="F2546" s="310">
        <v>2.2464465274221147E-3</v>
      </c>
      <c r="G2546" s="311">
        <v>1.8169490270440576E-2</v>
      </c>
      <c r="H2546" s="311">
        <v>4.8914539825127014E-4</v>
      </c>
      <c r="I2546" s="394">
        <v>5.3123265823884925E-4</v>
      </c>
      <c r="J2546" s="689">
        <v>1.787800087697622E-5</v>
      </c>
      <c r="K2546" s="690">
        <v>1.8686364744179142E-5</v>
      </c>
    </row>
    <row r="2547" spans="2:11" ht="15.75" x14ac:dyDescent="0.25">
      <c r="B2547" s="667" t="s">
        <v>271</v>
      </c>
      <c r="C2547" s="110">
        <v>2045</v>
      </c>
      <c r="D2547" s="687" t="s">
        <v>1962</v>
      </c>
      <c r="E2547" s="688">
        <v>2.8905012122111731E-2</v>
      </c>
      <c r="F2547" s="310">
        <v>2.1910737847780481E-3</v>
      </c>
      <c r="G2547" s="311">
        <v>1.79841907154033E-2</v>
      </c>
      <c r="H2547" s="311">
        <v>4.8034303466610526E-4</v>
      </c>
      <c r="I2547" s="394">
        <v>5.21666075928741E-4</v>
      </c>
      <c r="J2547" s="689">
        <v>1.7717738566309314E-5</v>
      </c>
      <c r="K2547" s="690">
        <v>1.8518856082977353E-5</v>
      </c>
    </row>
    <row r="2548" spans="2:11" ht="15.75" x14ac:dyDescent="0.25">
      <c r="B2548" s="667" t="s">
        <v>271</v>
      </c>
      <c r="C2548" s="110">
        <v>2046</v>
      </c>
      <c r="D2548" s="687" t="s">
        <v>1963</v>
      </c>
      <c r="E2548" s="688">
        <v>2.8828485778988371E-2</v>
      </c>
      <c r="F2548" s="310">
        <v>2.1422781855996277E-3</v>
      </c>
      <c r="G2548" s="311">
        <v>1.7827713609809098E-2</v>
      </c>
      <c r="H2548" s="311">
        <v>4.7293472343338427E-4</v>
      </c>
      <c r="I2548" s="394">
        <v>5.1361409975747444E-4</v>
      </c>
      <c r="J2548" s="689">
        <v>1.7594124376924417E-5</v>
      </c>
      <c r="K2548" s="690">
        <v>1.8389652608478325E-5</v>
      </c>
    </row>
    <row r="2549" spans="2:11" ht="15.75" x14ac:dyDescent="0.25">
      <c r="B2549" s="667" t="s">
        <v>271</v>
      </c>
      <c r="C2549" s="110">
        <v>2047</v>
      </c>
      <c r="D2549" s="687" t="s">
        <v>1964</v>
      </c>
      <c r="E2549" s="688">
        <v>2.8763188236286118E-2</v>
      </c>
      <c r="F2549" s="310">
        <v>2.0990177283196744E-3</v>
      </c>
      <c r="G2549" s="311">
        <v>1.7683998155713431E-2</v>
      </c>
      <c r="H2549" s="311">
        <v>4.6676993246358347E-4</v>
      </c>
      <c r="I2549" s="394">
        <v>5.0691374974033438E-4</v>
      </c>
      <c r="J2549" s="689">
        <v>1.7489756880706369E-5</v>
      </c>
      <c r="K2549" s="690">
        <v>1.8280566077205182E-5</v>
      </c>
    </row>
    <row r="2550" spans="2:11" ht="15.75" x14ac:dyDescent="0.25">
      <c r="B2550" s="667" t="s">
        <v>271</v>
      </c>
      <c r="C2550" s="110">
        <v>2048</v>
      </c>
      <c r="D2550" s="687" t="s">
        <v>1965</v>
      </c>
      <c r="E2550" s="688">
        <v>2.8707951637830451E-2</v>
      </c>
      <c r="F2550" s="310">
        <v>2.0630192039258759E-3</v>
      </c>
      <c r="G2550" s="311">
        <v>1.756098522142378E-2</v>
      </c>
      <c r="H2550" s="311">
        <v>4.6160859406005344E-4</v>
      </c>
      <c r="I2550" s="394">
        <v>5.0130386626562795E-4</v>
      </c>
      <c r="J2550" s="689">
        <v>1.740614844514317E-5</v>
      </c>
      <c r="K2550" s="690">
        <v>1.8193177239192751E-5</v>
      </c>
    </row>
    <row r="2551" spans="2:11" ht="15.75" x14ac:dyDescent="0.25">
      <c r="B2551" s="667" t="s">
        <v>271</v>
      </c>
      <c r="C2551" s="110">
        <v>2049</v>
      </c>
      <c r="D2551" s="687" t="s">
        <v>1966</v>
      </c>
      <c r="E2551" s="688">
        <v>2.8660958544777973E-2</v>
      </c>
      <c r="F2551" s="310">
        <v>2.0502438775821101E-3</v>
      </c>
      <c r="G2551" s="311">
        <v>1.7566379825153577E-2</v>
      </c>
      <c r="H2551" s="311">
        <v>4.5843593428001233E-4</v>
      </c>
      <c r="I2551" s="394">
        <v>4.9785569723581429E-4</v>
      </c>
      <c r="J2551" s="689">
        <v>1.7349796374020808E-5</v>
      </c>
      <c r="K2551" s="690">
        <v>1.8134277177472861E-5</v>
      </c>
    </row>
    <row r="2552" spans="2:11" ht="15.75" x14ac:dyDescent="0.25">
      <c r="B2552" s="667" t="s">
        <v>271</v>
      </c>
      <c r="C2552" s="110">
        <v>2050</v>
      </c>
      <c r="D2552" s="687" t="s">
        <v>1967</v>
      </c>
      <c r="E2552" s="688">
        <v>2.8621603056538915E-2</v>
      </c>
      <c r="F2552" s="310">
        <v>2.0399719201714375E-3</v>
      </c>
      <c r="G2552" s="311">
        <v>1.7574176877560081E-2</v>
      </c>
      <c r="H2552" s="311">
        <v>4.5582131788665133E-4</v>
      </c>
      <c r="I2552" s="394">
        <v>4.9501510849493083E-4</v>
      </c>
      <c r="J2552" s="689">
        <v>1.7277935653234193E-5</v>
      </c>
      <c r="K2552" s="690">
        <v>1.8059167233769494E-5</v>
      </c>
    </row>
    <row r="2553" spans="2:11" ht="15.75" x14ac:dyDescent="0.25">
      <c r="B2553" s="667" t="s">
        <v>277</v>
      </c>
      <c r="C2553" s="110">
        <v>2015</v>
      </c>
      <c r="D2553" s="687" t="s">
        <v>2036</v>
      </c>
      <c r="E2553" s="688">
        <v>4.5416426122043246E-2</v>
      </c>
      <c r="F2553" s="310">
        <v>4.3577524115417231E-2</v>
      </c>
      <c r="G2553" s="311">
        <v>0.16384107328262881</v>
      </c>
      <c r="H2553" s="311">
        <v>1.7919356529755911E-3</v>
      </c>
      <c r="I2553" s="394">
        <v>1.9393379544056742E-3</v>
      </c>
      <c r="J2553" s="689">
        <v>1.5854834799648905E-4</v>
      </c>
      <c r="K2553" s="690">
        <v>1.6571720074501584E-4</v>
      </c>
    </row>
    <row r="2554" spans="2:11" ht="15.75" x14ac:dyDescent="0.25">
      <c r="B2554" s="667" t="s">
        <v>277</v>
      </c>
      <c r="C2554" s="110">
        <v>2016</v>
      </c>
      <c r="D2554" s="687" t="s">
        <v>2037</v>
      </c>
      <c r="E2554" s="688">
        <v>4.4509626678405634E-2</v>
      </c>
      <c r="F2554" s="310">
        <v>3.6246819928427924E-2</v>
      </c>
      <c r="G2554" s="311">
        <v>0.13976161791627881</v>
      </c>
      <c r="H2554" s="311">
        <v>1.7240287498178498E-3</v>
      </c>
      <c r="I2554" s="394">
        <v>1.8672948604562681E-3</v>
      </c>
      <c r="J2554" s="689">
        <v>1.3695155583708237E-4</v>
      </c>
      <c r="K2554" s="690">
        <v>1.4314389747850675E-4</v>
      </c>
    </row>
    <row r="2555" spans="2:11" ht="15.75" x14ac:dyDescent="0.25">
      <c r="B2555" s="667" t="s">
        <v>277</v>
      </c>
      <c r="C2555" s="110">
        <v>2017</v>
      </c>
      <c r="D2555" s="687" t="s">
        <v>2038</v>
      </c>
      <c r="E2555" s="688">
        <v>4.3421296658220032E-2</v>
      </c>
      <c r="F2555" s="310">
        <v>3.0239006909047298E-2</v>
      </c>
      <c r="G2555" s="311">
        <v>0.11924646365897175</v>
      </c>
      <c r="H2555" s="311">
        <v>1.700257982867734E-3</v>
      </c>
      <c r="I2555" s="394">
        <v>1.8426583461547603E-3</v>
      </c>
      <c r="J2555" s="689">
        <v>1.2371874230476817E-4</v>
      </c>
      <c r="K2555" s="690">
        <v>1.2931275483800167E-4</v>
      </c>
    </row>
    <row r="2556" spans="2:11" ht="15.75" x14ac:dyDescent="0.25">
      <c r="B2556" s="667" t="s">
        <v>277</v>
      </c>
      <c r="C2556" s="110">
        <v>2018</v>
      </c>
      <c r="D2556" s="687" t="s">
        <v>2039</v>
      </c>
      <c r="E2556" s="688">
        <v>4.2171314033988973E-2</v>
      </c>
      <c r="F2556" s="310">
        <v>2.5113338826064032E-2</v>
      </c>
      <c r="G2556" s="311">
        <v>0.10165287606601543</v>
      </c>
      <c r="H2556" s="311">
        <v>1.7035545578847533E-3</v>
      </c>
      <c r="I2556" s="394">
        <v>1.8472349439450299E-3</v>
      </c>
      <c r="J2556" s="689">
        <v>1.1278933850748922E-4</v>
      </c>
      <c r="K2556" s="690">
        <v>1.178891718995211E-4</v>
      </c>
    </row>
    <row r="2557" spans="2:11" ht="15.75" x14ac:dyDescent="0.25">
      <c r="B2557" s="667" t="s">
        <v>277</v>
      </c>
      <c r="C2557" s="110">
        <v>2019</v>
      </c>
      <c r="D2557" s="687" t="s">
        <v>2040</v>
      </c>
      <c r="E2557" s="688">
        <v>4.0965789424847319E-2</v>
      </c>
      <c r="F2557" s="310">
        <v>2.0877219899487817E-2</v>
      </c>
      <c r="G2557" s="311">
        <v>8.6906610167406584E-2</v>
      </c>
      <c r="H2557" s="311">
        <v>1.7094457599262664E-3</v>
      </c>
      <c r="I2557" s="394">
        <v>1.8544418502803761E-3</v>
      </c>
      <c r="J2557" s="689">
        <v>1.0307738917134382E-4</v>
      </c>
      <c r="K2557" s="690">
        <v>1.0773809131053128E-4</v>
      </c>
    </row>
    <row r="2558" spans="2:11" ht="15.75" x14ac:dyDescent="0.25">
      <c r="B2558" s="667" t="s">
        <v>277</v>
      </c>
      <c r="C2558" s="110">
        <v>2020</v>
      </c>
      <c r="D2558" s="687" t="s">
        <v>2041</v>
      </c>
      <c r="E2558" s="688">
        <v>3.9739631702568355E-2</v>
      </c>
      <c r="F2558" s="310">
        <v>1.7724325153032006E-2</v>
      </c>
      <c r="G2558" s="311">
        <v>7.4820577195738647E-2</v>
      </c>
      <c r="H2558" s="311">
        <v>1.6743987410943911E-3</v>
      </c>
      <c r="I2558" s="394">
        <v>1.8167987445739304E-3</v>
      </c>
      <c r="J2558" s="689">
        <v>9.5221088380068985E-5</v>
      </c>
      <c r="K2558" s="690">
        <v>9.9526563459293989E-5</v>
      </c>
    </row>
    <row r="2559" spans="2:11" ht="15.75" x14ac:dyDescent="0.25">
      <c r="B2559" s="667" t="s">
        <v>277</v>
      </c>
      <c r="C2559" s="110">
        <v>2021</v>
      </c>
      <c r="D2559" s="687" t="s">
        <v>2042</v>
      </c>
      <c r="E2559" s="688">
        <v>3.8527819272985472E-2</v>
      </c>
      <c r="F2559" s="310">
        <v>1.5404300623257695E-2</v>
      </c>
      <c r="G2559" s="311">
        <v>6.4848495831625511E-2</v>
      </c>
      <c r="H2559" s="311">
        <v>1.6097920798875585E-3</v>
      </c>
      <c r="I2559" s="394">
        <v>1.7469660368201298E-3</v>
      </c>
      <c r="J2559" s="689">
        <v>8.6703384013310259E-5</v>
      </c>
      <c r="K2559" s="690">
        <v>9.0623726297823834E-5</v>
      </c>
    </row>
    <row r="2560" spans="2:11" ht="15.75" x14ac:dyDescent="0.25">
      <c r="B2560" s="667" t="s">
        <v>277</v>
      </c>
      <c r="C2560" s="110">
        <v>2022</v>
      </c>
      <c r="D2560" s="687" t="s">
        <v>2043</v>
      </c>
      <c r="E2560" s="688">
        <v>3.7305589652313453E-2</v>
      </c>
      <c r="F2560" s="310">
        <v>1.3112944188900251E-2</v>
      </c>
      <c r="G2560" s="311">
        <v>5.6325773403783287E-2</v>
      </c>
      <c r="H2560" s="311">
        <v>1.5320140871449143E-3</v>
      </c>
      <c r="I2560" s="394">
        <v>1.6628269219074406E-3</v>
      </c>
      <c r="J2560" s="689">
        <v>7.8726049510535677E-5</v>
      </c>
      <c r="K2560" s="690">
        <v>8.2285692127731324E-5</v>
      </c>
    </row>
    <row r="2561" spans="2:11" ht="15.75" x14ac:dyDescent="0.25">
      <c r="B2561" s="667" t="s">
        <v>277</v>
      </c>
      <c r="C2561" s="110">
        <v>2023</v>
      </c>
      <c r="D2561" s="687" t="s">
        <v>2044</v>
      </c>
      <c r="E2561" s="688">
        <v>3.609749531763394E-2</v>
      </c>
      <c r="F2561" s="310">
        <v>1.1426778807443572E-2</v>
      </c>
      <c r="G2561" s="311">
        <v>4.9476065378739865E-2</v>
      </c>
      <c r="H2561" s="311">
        <v>1.4634828275424643E-3</v>
      </c>
      <c r="I2561" s="394">
        <v>1.5886573149250594E-3</v>
      </c>
      <c r="J2561" s="689">
        <v>7.0599646921247684E-5</v>
      </c>
      <c r="K2561" s="690">
        <v>7.3791849673733145E-5</v>
      </c>
    </row>
    <row r="2562" spans="2:11" ht="15.75" x14ac:dyDescent="0.25">
      <c r="B2562" s="667" t="s">
        <v>277</v>
      </c>
      <c r="C2562" s="110">
        <v>2024</v>
      </c>
      <c r="D2562" s="687" t="s">
        <v>2045</v>
      </c>
      <c r="E2562" s="688">
        <v>3.4870041315514549E-2</v>
      </c>
      <c r="F2562" s="310">
        <v>1.000992875818075E-2</v>
      </c>
      <c r="G2562" s="311">
        <v>4.3843332849852507E-2</v>
      </c>
      <c r="H2562" s="311">
        <v>1.4026705295656361E-3</v>
      </c>
      <c r="I2562" s="394">
        <v>1.5228638291131099E-3</v>
      </c>
      <c r="J2562" s="689">
        <v>6.2827356358608949E-5</v>
      </c>
      <c r="K2562" s="690">
        <v>6.5668130620880494E-5</v>
      </c>
    </row>
    <row r="2563" spans="2:11" ht="15.75" x14ac:dyDescent="0.25">
      <c r="B2563" s="667" t="s">
        <v>277</v>
      </c>
      <c r="C2563" s="110">
        <v>2025</v>
      </c>
      <c r="D2563" s="687" t="s">
        <v>2046</v>
      </c>
      <c r="E2563" s="688">
        <v>3.3706187642824063E-2</v>
      </c>
      <c r="F2563" s="310">
        <v>8.8333204968351307E-3</v>
      </c>
      <c r="G2563" s="311">
        <v>3.9290843615228006E-2</v>
      </c>
      <c r="H2563" s="311">
        <v>1.349816491026628E-3</v>
      </c>
      <c r="I2563" s="394">
        <v>1.4656533101908725E-3</v>
      </c>
      <c r="J2563" s="689">
        <v>5.6508043800137659E-5</v>
      </c>
      <c r="K2563" s="690">
        <v>5.9063086790049221E-5</v>
      </c>
    </row>
    <row r="2564" spans="2:11" ht="15.75" x14ac:dyDescent="0.25">
      <c r="B2564" s="667" t="s">
        <v>277</v>
      </c>
      <c r="C2564" s="110">
        <v>2026</v>
      </c>
      <c r="D2564" s="687" t="s">
        <v>2047</v>
      </c>
      <c r="E2564" s="688">
        <v>3.2579704161875014E-2</v>
      </c>
      <c r="F2564" s="310">
        <v>7.8560140743277208E-3</v>
      </c>
      <c r="G2564" s="311">
        <v>3.5612190954125503E-2</v>
      </c>
      <c r="H2564" s="311">
        <v>1.2906063274179729E-3</v>
      </c>
      <c r="I2564" s="394">
        <v>1.4015249672871403E-3</v>
      </c>
      <c r="J2564" s="689">
        <v>5.0191253349237735E-5</v>
      </c>
      <c r="K2564" s="690">
        <v>5.2460679105302072E-5</v>
      </c>
    </row>
    <row r="2565" spans="2:11" ht="15.75" x14ac:dyDescent="0.25">
      <c r="B2565" s="667" t="s">
        <v>277</v>
      </c>
      <c r="C2565" s="110">
        <v>2027</v>
      </c>
      <c r="D2565" s="687" t="s">
        <v>2048</v>
      </c>
      <c r="E2565" s="688">
        <v>3.1597322604109766E-2</v>
      </c>
      <c r="F2565" s="310">
        <v>7.0185391175583423E-3</v>
      </c>
      <c r="G2565" s="311">
        <v>3.2527441891670485E-2</v>
      </c>
      <c r="H2565" s="311">
        <v>1.2200599545345251E-3</v>
      </c>
      <c r="I2565" s="394">
        <v>1.3250878373951053E-3</v>
      </c>
      <c r="J2565" s="689">
        <v>4.3390042907415566E-5</v>
      </c>
      <c r="K2565" s="690">
        <v>4.5351948107225121E-5</v>
      </c>
    </row>
    <row r="2566" spans="2:11" ht="15.75" x14ac:dyDescent="0.25">
      <c r="B2566" s="667" t="s">
        <v>277</v>
      </c>
      <c r="C2566" s="110">
        <v>2028</v>
      </c>
      <c r="D2566" s="687" t="s">
        <v>2049</v>
      </c>
      <c r="E2566" s="688">
        <v>3.0708426903239883E-2</v>
      </c>
      <c r="F2566" s="310">
        <v>6.3154224980301365E-3</v>
      </c>
      <c r="G2566" s="311">
        <v>2.9979655772003965E-2</v>
      </c>
      <c r="H2566" s="311">
        <v>1.1419124960562561E-3</v>
      </c>
      <c r="I2566" s="394">
        <v>1.2403276184314136E-3</v>
      </c>
      <c r="J2566" s="689">
        <v>3.7908776689285956E-5</v>
      </c>
      <c r="K2566" s="690">
        <v>3.9622843353470271E-5</v>
      </c>
    </row>
    <row r="2567" spans="2:11" ht="15.75" x14ac:dyDescent="0.25">
      <c r="B2567" s="667" t="s">
        <v>277</v>
      </c>
      <c r="C2567" s="110">
        <v>2029</v>
      </c>
      <c r="D2567" s="687" t="s">
        <v>2050</v>
      </c>
      <c r="E2567" s="688">
        <v>2.9905494968332121E-2</v>
      </c>
      <c r="F2567" s="310">
        <v>5.7009479383359381E-3</v>
      </c>
      <c r="G2567" s="311">
        <v>2.7819121185803902E-2</v>
      </c>
      <c r="H2567" s="311">
        <v>1.0679866963608071E-3</v>
      </c>
      <c r="I2567" s="394">
        <v>1.1601006913470452E-3</v>
      </c>
      <c r="J2567" s="689">
        <v>3.3799694638317962E-5</v>
      </c>
      <c r="K2567" s="690">
        <v>3.532796684593908E-5</v>
      </c>
    </row>
    <row r="2568" spans="2:11" ht="15.75" x14ac:dyDescent="0.25">
      <c r="B2568" s="667" t="s">
        <v>277</v>
      </c>
      <c r="C2568" s="110">
        <v>2030</v>
      </c>
      <c r="D2568" s="687" t="s">
        <v>2051</v>
      </c>
      <c r="E2568" s="688">
        <v>2.9184594554925405E-2</v>
      </c>
      <c r="F2568" s="310">
        <v>5.17661798434727E-3</v>
      </c>
      <c r="G2568" s="311">
        <v>2.6006331602744938E-2</v>
      </c>
      <c r="H2568" s="311">
        <v>9.9919580535583197E-4</v>
      </c>
      <c r="I2568" s="394">
        <v>1.0854286856342749E-3</v>
      </c>
      <c r="J2568" s="689">
        <v>3.0392910321034414E-5</v>
      </c>
      <c r="K2568" s="690">
        <v>3.1767142859209464E-5</v>
      </c>
    </row>
    <row r="2569" spans="2:11" ht="15.75" x14ac:dyDescent="0.25">
      <c r="B2569" s="667" t="s">
        <v>277</v>
      </c>
      <c r="C2569" s="110">
        <v>2031</v>
      </c>
      <c r="D2569" s="687" t="s">
        <v>2052</v>
      </c>
      <c r="E2569" s="688">
        <v>2.8541110066632538E-2</v>
      </c>
      <c r="F2569" s="310">
        <v>4.7156614413565792E-3</v>
      </c>
      <c r="G2569" s="311">
        <v>2.4450326613227828E-2</v>
      </c>
      <c r="H2569" s="311">
        <v>9.3578758370168843E-4</v>
      </c>
      <c r="I2569" s="394">
        <v>1.0165688083775897E-3</v>
      </c>
      <c r="J2569" s="689">
        <v>2.79776283018149E-5</v>
      </c>
      <c r="K2569" s="690">
        <v>2.9242652504736128E-5</v>
      </c>
    </row>
    <row r="2570" spans="2:11" ht="15.75" x14ac:dyDescent="0.25">
      <c r="B2570" s="667" t="s">
        <v>277</v>
      </c>
      <c r="C2570" s="110">
        <v>2032</v>
      </c>
      <c r="D2570" s="687" t="s">
        <v>2053</v>
      </c>
      <c r="E2570" s="688">
        <v>2.7968692621860844E-2</v>
      </c>
      <c r="F2570" s="310">
        <v>4.3146900908939967E-3</v>
      </c>
      <c r="G2570" s="311">
        <v>2.3152871774992416E-2</v>
      </c>
      <c r="H2570" s="311">
        <v>8.7728443628204064E-4</v>
      </c>
      <c r="I2570" s="394">
        <v>9.5303303750353559E-4</v>
      </c>
      <c r="J2570" s="689">
        <v>2.5812711375780242E-5</v>
      </c>
      <c r="K2570" s="690">
        <v>2.69798476419827E-5</v>
      </c>
    </row>
    <row r="2571" spans="2:11" ht="15.75" x14ac:dyDescent="0.25">
      <c r="B2571" s="667" t="s">
        <v>277</v>
      </c>
      <c r="C2571" s="110">
        <v>2033</v>
      </c>
      <c r="D2571" s="687" t="s">
        <v>2054</v>
      </c>
      <c r="E2571" s="688">
        <v>2.7461607023585119E-2</v>
      </c>
      <c r="F2571" s="310">
        <v>3.9668310837626163E-3</v>
      </c>
      <c r="G2571" s="311">
        <v>2.2078198253189216E-2</v>
      </c>
      <c r="H2571" s="311">
        <v>8.2408331325199995E-4</v>
      </c>
      <c r="I2571" s="394">
        <v>8.9523917858169071E-4</v>
      </c>
      <c r="J2571" s="689">
        <v>2.4226506904996746E-5</v>
      </c>
      <c r="K2571" s="690">
        <v>2.5321922043708495E-5</v>
      </c>
    </row>
    <row r="2572" spans="2:11" ht="15.75" x14ac:dyDescent="0.25">
      <c r="B2572" s="667" t="s">
        <v>277</v>
      </c>
      <c r="C2572" s="110">
        <v>2034</v>
      </c>
      <c r="D2572" s="687" t="s">
        <v>2055</v>
      </c>
      <c r="E2572" s="688">
        <v>2.7015588394068039E-2</v>
      </c>
      <c r="F2572" s="310">
        <v>3.6579416744720234E-3</v>
      </c>
      <c r="G2572" s="311">
        <v>2.1175687074894232E-2</v>
      </c>
      <c r="H2572" s="311">
        <v>7.75493024472935E-4</v>
      </c>
      <c r="I2572" s="394">
        <v>8.4245212445454361E-4</v>
      </c>
      <c r="J2572" s="689">
        <v>2.2826686466452351E-5</v>
      </c>
      <c r="K2572" s="690">
        <v>2.3858807936544338E-5</v>
      </c>
    </row>
    <row r="2573" spans="2:11" ht="15.75" x14ac:dyDescent="0.25">
      <c r="B2573" s="667" t="s">
        <v>277</v>
      </c>
      <c r="C2573" s="110">
        <v>2035</v>
      </c>
      <c r="D2573" s="687" t="s">
        <v>2056</v>
      </c>
      <c r="E2573" s="688">
        <v>2.6626746254279524E-2</v>
      </c>
      <c r="F2573" s="310">
        <v>3.3910516562125443E-3</v>
      </c>
      <c r="G2573" s="311">
        <v>2.0447915418517145E-2</v>
      </c>
      <c r="H2573" s="311">
        <v>7.3179609409834625E-4</v>
      </c>
      <c r="I2573" s="394">
        <v>7.9497985275344101E-4</v>
      </c>
      <c r="J2573" s="689">
        <v>2.159656981596853E-5</v>
      </c>
      <c r="K2573" s="690">
        <v>2.2573070869687355E-5</v>
      </c>
    </row>
    <row r="2574" spans="2:11" ht="15.75" x14ac:dyDescent="0.25">
      <c r="B2574" s="667" t="s">
        <v>277</v>
      </c>
      <c r="C2574" s="110">
        <v>2036</v>
      </c>
      <c r="D2574" s="687" t="s">
        <v>2057</v>
      </c>
      <c r="E2574" s="688">
        <v>2.6288762533568745E-2</v>
      </c>
      <c r="F2574" s="310">
        <v>3.1570458929862963E-3</v>
      </c>
      <c r="G2574" s="311">
        <v>1.9831827588434641E-2</v>
      </c>
      <c r="H2574" s="311">
        <v>6.937748588468699E-4</v>
      </c>
      <c r="I2574" s="394">
        <v>7.5367486640579788E-4</v>
      </c>
      <c r="J2574" s="689">
        <v>2.0497446899199261E-5</v>
      </c>
      <c r="K2574" s="690">
        <v>2.1424250491907514E-5</v>
      </c>
    </row>
    <row r="2575" spans="2:11" ht="15.75" x14ac:dyDescent="0.25">
      <c r="B2575" s="667" t="s">
        <v>277</v>
      </c>
      <c r="C2575" s="110">
        <v>2037</v>
      </c>
      <c r="D2575" s="687" t="s">
        <v>2058</v>
      </c>
      <c r="E2575" s="688">
        <v>2.5998135223198774E-2</v>
      </c>
      <c r="F2575" s="310">
        <v>2.9589655677918999E-3</v>
      </c>
      <c r="G2575" s="311">
        <v>1.933504685092078E-2</v>
      </c>
      <c r="H2575" s="311">
        <v>6.6047292151084273E-4</v>
      </c>
      <c r="I2575" s="394">
        <v>7.1749594927218903E-4</v>
      </c>
      <c r="J2575" s="689">
        <v>1.9554023245640357E-5</v>
      </c>
      <c r="K2575" s="690">
        <v>2.0438169407115174E-5</v>
      </c>
    </row>
    <row r="2576" spans="2:11" ht="15.75" x14ac:dyDescent="0.25">
      <c r="B2576" s="667" t="s">
        <v>277</v>
      </c>
      <c r="C2576" s="110">
        <v>2038</v>
      </c>
      <c r="D2576" s="687" t="s">
        <v>2059</v>
      </c>
      <c r="E2576" s="688">
        <v>2.5751155390452675E-2</v>
      </c>
      <c r="F2576" s="310">
        <v>2.7797138302840308E-3</v>
      </c>
      <c r="G2576" s="311">
        <v>1.8881852507723916E-2</v>
      </c>
      <c r="H2576" s="311">
        <v>6.3147800622627979E-4</v>
      </c>
      <c r="I2576" s="394">
        <v>6.8599276317438357E-4</v>
      </c>
      <c r="J2576" s="689">
        <v>1.8812329026762191E-5</v>
      </c>
      <c r="K2576" s="690">
        <v>1.9662939066878653E-5</v>
      </c>
    </row>
    <row r="2577" spans="2:11" ht="15.75" x14ac:dyDescent="0.25">
      <c r="B2577" s="667" t="s">
        <v>277</v>
      </c>
      <c r="C2577" s="110">
        <v>2039</v>
      </c>
      <c r="D2577" s="687" t="s">
        <v>2060</v>
      </c>
      <c r="E2577" s="688">
        <v>2.5541734859488466E-2</v>
      </c>
      <c r="F2577" s="310">
        <v>2.6173459375381379E-3</v>
      </c>
      <c r="G2577" s="311">
        <v>1.847602494482176E-2</v>
      </c>
      <c r="H2577" s="311">
        <v>6.0646754257825302E-4</v>
      </c>
      <c r="I2577" s="394">
        <v>6.588177616133759E-4</v>
      </c>
      <c r="J2577" s="689">
        <v>1.8195002440492389E-5</v>
      </c>
      <c r="K2577" s="690">
        <v>1.9017699711723903E-5</v>
      </c>
    </row>
    <row r="2578" spans="2:11" ht="15.75" x14ac:dyDescent="0.25">
      <c r="B2578" s="667" t="s">
        <v>277</v>
      </c>
      <c r="C2578" s="110">
        <v>2040</v>
      </c>
      <c r="D2578" s="687" t="s">
        <v>2061</v>
      </c>
      <c r="E2578" s="688">
        <v>2.53660927973858E-2</v>
      </c>
      <c r="F2578" s="310">
        <v>2.4743286345094827E-3</v>
      </c>
      <c r="G2578" s="311">
        <v>1.8138105434712198E-2</v>
      </c>
      <c r="H2578" s="311">
        <v>5.8512539340782068E-4</v>
      </c>
      <c r="I2578" s="394">
        <v>6.3562806730852665E-4</v>
      </c>
      <c r="J2578" s="689">
        <v>1.7679607873354952E-5</v>
      </c>
      <c r="K2578" s="690">
        <v>1.8479001289290002E-5</v>
      </c>
    </row>
    <row r="2579" spans="2:11" ht="15.75" x14ac:dyDescent="0.25">
      <c r="B2579" s="667" t="s">
        <v>277</v>
      </c>
      <c r="C2579" s="110">
        <v>2041</v>
      </c>
      <c r="D2579" s="687" t="s">
        <v>2062</v>
      </c>
      <c r="E2579" s="688">
        <v>2.5221534755842986E-2</v>
      </c>
      <c r="F2579" s="310">
        <v>2.3609617765437967E-3</v>
      </c>
      <c r="G2579" s="311">
        <v>1.7869127055887196E-2</v>
      </c>
      <c r="H2579" s="311">
        <v>5.6839153590449722E-4</v>
      </c>
      <c r="I2579" s="394">
        <v>6.1744618206002917E-4</v>
      </c>
      <c r="J2579" s="689">
        <v>1.7261641745395417E-5</v>
      </c>
      <c r="K2579" s="690">
        <v>1.8042136587721403E-5</v>
      </c>
    </row>
    <row r="2580" spans="2:11" ht="15.75" x14ac:dyDescent="0.25">
      <c r="B2580" s="667" t="s">
        <v>277</v>
      </c>
      <c r="C2580" s="110">
        <v>2042</v>
      </c>
      <c r="D2580" s="687" t="s">
        <v>2063</v>
      </c>
      <c r="E2580" s="688">
        <v>2.5101069525999147E-2</v>
      </c>
      <c r="F2580" s="310">
        <v>2.264784921785046E-3</v>
      </c>
      <c r="G2580" s="311">
        <v>1.7624043967236928E-2</v>
      </c>
      <c r="H2580" s="311">
        <v>5.5439269592299318E-4</v>
      </c>
      <c r="I2580" s="394">
        <v>6.0223561347620572E-4</v>
      </c>
      <c r="J2580" s="689">
        <v>1.6920711214968711E-5</v>
      </c>
      <c r="K2580" s="690">
        <v>1.7685790691565602E-5</v>
      </c>
    </row>
    <row r="2581" spans="2:11" ht="15.75" x14ac:dyDescent="0.25">
      <c r="B2581" s="667" t="s">
        <v>277</v>
      </c>
      <c r="C2581" s="110">
        <v>2043</v>
      </c>
      <c r="D2581" s="687" t="s">
        <v>2064</v>
      </c>
      <c r="E2581" s="688">
        <v>2.5002498400633229E-2</v>
      </c>
      <c r="F2581" s="310">
        <v>2.1903373879049153E-3</v>
      </c>
      <c r="G2581" s="311">
        <v>1.7432906802325308E-2</v>
      </c>
      <c r="H2581" s="311">
        <v>5.4277864378428657E-4</v>
      </c>
      <c r="I2581" s="394">
        <v>5.8961552168831845E-4</v>
      </c>
      <c r="J2581" s="689">
        <v>1.6655238432098866E-5</v>
      </c>
      <c r="K2581" s="690">
        <v>1.7408314407472425E-5</v>
      </c>
    </row>
    <row r="2582" spans="2:11" ht="15.75" x14ac:dyDescent="0.25">
      <c r="B2582" s="667" t="s">
        <v>277</v>
      </c>
      <c r="C2582" s="110">
        <v>2044</v>
      </c>
      <c r="D2582" s="687" t="s">
        <v>2065</v>
      </c>
      <c r="E2582" s="688">
        <v>2.4920703993857478E-2</v>
      </c>
      <c r="F2582" s="310">
        <v>2.1370831898307146E-3</v>
      </c>
      <c r="G2582" s="311">
        <v>1.7291044053502201E-2</v>
      </c>
      <c r="H2582" s="311">
        <v>5.3320685613474539E-4</v>
      </c>
      <c r="I2582" s="394">
        <v>5.7921419747647656E-4</v>
      </c>
      <c r="J2582" s="689">
        <v>1.644596283637004E-5</v>
      </c>
      <c r="K2582" s="690">
        <v>1.7189576297951442E-5</v>
      </c>
    </row>
    <row r="2583" spans="2:11" ht="15.75" x14ac:dyDescent="0.25">
      <c r="B2583" s="667" t="s">
        <v>277</v>
      </c>
      <c r="C2583" s="110">
        <v>2045</v>
      </c>
      <c r="D2583" s="687" t="s">
        <v>2066</v>
      </c>
      <c r="E2583" s="688">
        <v>2.4851559864506514E-2</v>
      </c>
      <c r="F2583" s="310">
        <v>2.1014834921379267E-3</v>
      </c>
      <c r="G2583" s="311">
        <v>1.7194456580344668E-2</v>
      </c>
      <c r="H2583" s="311">
        <v>5.2530166535595039E-4</v>
      </c>
      <c r="I2583" s="394">
        <v>5.7062340296386001E-4</v>
      </c>
      <c r="J2583" s="689">
        <v>1.628498049634542E-5</v>
      </c>
      <c r="K2583" s="690">
        <v>1.702131505085946E-5</v>
      </c>
    </row>
    <row r="2584" spans="2:11" ht="15.75" x14ac:dyDescent="0.25">
      <c r="B2584" s="667" t="s">
        <v>277</v>
      </c>
      <c r="C2584" s="110">
        <v>2046</v>
      </c>
      <c r="D2584" s="687" t="s">
        <v>2067</v>
      </c>
      <c r="E2584" s="688">
        <v>2.4793287532413215E-2</v>
      </c>
      <c r="F2584" s="310">
        <v>2.0718875883421026E-3</v>
      </c>
      <c r="G2584" s="311">
        <v>1.7118333197311115E-2</v>
      </c>
      <c r="H2584" s="311">
        <v>5.1888596937740242E-4</v>
      </c>
      <c r="I2584" s="394">
        <v>5.6365116405548044E-4</v>
      </c>
      <c r="J2584" s="689">
        <v>1.6157175061082975E-5</v>
      </c>
      <c r="K2584" s="690">
        <v>1.6887730820942665E-5</v>
      </c>
    </row>
    <row r="2585" spans="2:11" ht="15.75" x14ac:dyDescent="0.25">
      <c r="B2585" s="667" t="s">
        <v>277</v>
      </c>
      <c r="C2585" s="110">
        <v>2047</v>
      </c>
      <c r="D2585" s="687" t="s">
        <v>2068</v>
      </c>
      <c r="E2585" s="688">
        <v>2.4745443376561156E-2</v>
      </c>
      <c r="F2585" s="310">
        <v>2.0453395463577266E-3</v>
      </c>
      <c r="G2585" s="311">
        <v>1.7044327609131282E-2</v>
      </c>
      <c r="H2585" s="311">
        <v>5.1366492758045845E-4</v>
      </c>
      <c r="I2585" s="394">
        <v>5.5797712729083735E-4</v>
      </c>
      <c r="J2585" s="689">
        <v>1.6055169332013246E-5</v>
      </c>
      <c r="K2585" s="690">
        <v>1.6781112845448132E-5</v>
      </c>
    </row>
    <row r="2586" spans="2:11" ht="15.75" x14ac:dyDescent="0.25">
      <c r="B2586" s="667" t="s">
        <v>277</v>
      </c>
      <c r="C2586" s="110">
        <v>2048</v>
      </c>
      <c r="D2586" s="687" t="s">
        <v>2069</v>
      </c>
      <c r="E2586" s="688">
        <v>2.4705845457562242E-2</v>
      </c>
      <c r="F2586" s="310">
        <v>2.0236563696030265E-3</v>
      </c>
      <c r="G2586" s="311">
        <v>1.6981130894585965E-2</v>
      </c>
      <c r="H2586" s="311">
        <v>5.0942241482514531E-4</v>
      </c>
      <c r="I2586" s="394">
        <v>5.5336662559252365E-4</v>
      </c>
      <c r="J2586" s="689">
        <v>1.5969789845167314E-5</v>
      </c>
      <c r="K2586" s="690">
        <v>1.6691872877072874E-5</v>
      </c>
    </row>
    <row r="2587" spans="2:11" ht="15.75" x14ac:dyDescent="0.25">
      <c r="B2587" s="667" t="s">
        <v>277</v>
      </c>
      <c r="C2587" s="110">
        <v>2049</v>
      </c>
      <c r="D2587" s="687" t="s">
        <v>2070</v>
      </c>
      <c r="E2587" s="688">
        <v>2.4672830492556461E-2</v>
      </c>
      <c r="F2587" s="310">
        <v>2.0150839029074515E-3</v>
      </c>
      <c r="G2587" s="311">
        <v>1.6986451945783885E-2</v>
      </c>
      <c r="H2587" s="311">
        <v>5.0665149010569333E-4</v>
      </c>
      <c r="I2587" s="394">
        <v>5.5035583304886544E-4</v>
      </c>
      <c r="J2587" s="689">
        <v>1.5902748786289373E-5</v>
      </c>
      <c r="K2587" s="690">
        <v>1.662180051900278E-5</v>
      </c>
    </row>
    <row r="2588" spans="2:11" ht="15.75" x14ac:dyDescent="0.25">
      <c r="B2588" s="667" t="s">
        <v>277</v>
      </c>
      <c r="C2588" s="110">
        <v>2050</v>
      </c>
      <c r="D2588" s="687" t="s">
        <v>2071</v>
      </c>
      <c r="E2588" s="688">
        <v>2.4646332085616809E-2</v>
      </c>
      <c r="F2588" s="310">
        <v>2.0083389659430631E-3</v>
      </c>
      <c r="G2588" s="311">
        <v>1.6992886129588571E-2</v>
      </c>
      <c r="H2588" s="311">
        <v>5.0443976638238895E-4</v>
      </c>
      <c r="I2588" s="394">
        <v>5.4795303034522156E-4</v>
      </c>
      <c r="J2588" s="689">
        <v>1.5840244888660939E-5</v>
      </c>
      <c r="K2588" s="690">
        <v>1.6556470472480529E-5</v>
      </c>
    </row>
    <row r="2589" spans="2:11" ht="15.75" x14ac:dyDescent="0.25">
      <c r="B2589" s="667" t="s">
        <v>280</v>
      </c>
      <c r="C2589" s="110">
        <v>2015</v>
      </c>
      <c r="D2589" s="687" t="s">
        <v>2106</v>
      </c>
      <c r="E2589" s="688">
        <v>4.8124719947234273E-2</v>
      </c>
      <c r="F2589" s="310">
        <v>4.5087624070144092E-2</v>
      </c>
      <c r="G2589" s="311">
        <v>0.17668198060728973</v>
      </c>
      <c r="H2589" s="311">
        <v>1.7940065843690743E-3</v>
      </c>
      <c r="I2589" s="394">
        <v>1.9413276999068433E-3</v>
      </c>
      <c r="J2589" s="689">
        <v>1.6485576919718145E-4</v>
      </c>
      <c r="K2589" s="690">
        <v>1.7230981554363677E-4</v>
      </c>
    </row>
    <row r="2590" spans="2:11" ht="15.75" x14ac:dyDescent="0.25">
      <c r="B2590" s="667" t="s">
        <v>280</v>
      </c>
      <c r="C2590" s="110">
        <v>2016</v>
      </c>
      <c r="D2590" s="687" t="s">
        <v>2107</v>
      </c>
      <c r="E2590" s="688">
        <v>4.7459229615092788E-2</v>
      </c>
      <c r="F2590" s="310">
        <v>3.697077928400215E-2</v>
      </c>
      <c r="G2590" s="311">
        <v>0.149237161540938</v>
      </c>
      <c r="H2590" s="311">
        <v>1.6993953988203383E-3</v>
      </c>
      <c r="I2590" s="394">
        <v>1.8404378557517424E-3</v>
      </c>
      <c r="J2590" s="689">
        <v>1.4027649316390091E-4</v>
      </c>
      <c r="K2590" s="690">
        <v>1.4661917371705348E-4</v>
      </c>
    </row>
    <row r="2591" spans="2:11" ht="15.75" x14ac:dyDescent="0.25">
      <c r="B2591" s="667" t="s">
        <v>280</v>
      </c>
      <c r="C2591" s="110">
        <v>2017</v>
      </c>
      <c r="D2591" s="687" t="s">
        <v>2108</v>
      </c>
      <c r="E2591" s="688">
        <v>4.6438134308565492E-2</v>
      </c>
      <c r="F2591" s="310">
        <v>3.0423062665618141E-2</v>
      </c>
      <c r="G2591" s="311">
        <v>0.12615701755403577</v>
      </c>
      <c r="H2591" s="311">
        <v>1.6573205809249237E-3</v>
      </c>
      <c r="I2591" s="394">
        <v>1.7959443444850924E-3</v>
      </c>
      <c r="J2591" s="689">
        <v>1.2649639173809168E-4</v>
      </c>
      <c r="K2591" s="690">
        <v>1.3221599725306285E-4</v>
      </c>
    </row>
    <row r="2592" spans="2:11" ht="15.75" x14ac:dyDescent="0.25">
      <c r="B2592" s="667" t="s">
        <v>280</v>
      </c>
      <c r="C2592" s="110">
        <v>2018</v>
      </c>
      <c r="D2592" s="687" t="s">
        <v>2109</v>
      </c>
      <c r="E2592" s="688">
        <v>4.5366166530473269E-2</v>
      </c>
      <c r="F2592" s="310">
        <v>2.4971246701580407E-2</v>
      </c>
      <c r="G2592" s="311">
        <v>0.10657414452741842</v>
      </c>
      <c r="H2592" s="311">
        <v>1.6458285619072213E-3</v>
      </c>
      <c r="I2592" s="394">
        <v>1.7844472718066186E-3</v>
      </c>
      <c r="J2592" s="689">
        <v>1.1494620053322443E-4</v>
      </c>
      <c r="K2592" s="690">
        <v>1.2014355765512641E-4</v>
      </c>
    </row>
    <row r="2593" spans="2:11" ht="15.75" x14ac:dyDescent="0.25">
      <c r="B2593" s="667" t="s">
        <v>280</v>
      </c>
      <c r="C2593" s="110">
        <v>2019</v>
      </c>
      <c r="D2593" s="687" t="s">
        <v>2110</v>
      </c>
      <c r="E2593" s="688">
        <v>4.4211789355297244E-2</v>
      </c>
      <c r="F2593" s="310">
        <v>2.0533482675371025E-2</v>
      </c>
      <c r="G2593" s="311">
        <v>9.0330696284659839E-2</v>
      </c>
      <c r="H2593" s="311">
        <v>1.6407426520614961E-3</v>
      </c>
      <c r="I2593" s="394">
        <v>1.7797019592027089E-3</v>
      </c>
      <c r="J2593" s="689">
        <v>1.0488862157030644E-4</v>
      </c>
      <c r="K2593" s="690">
        <v>1.0963121960135084E-4</v>
      </c>
    </row>
    <row r="2594" spans="2:11" ht="15.75" x14ac:dyDescent="0.25">
      <c r="B2594" s="667" t="s">
        <v>280</v>
      </c>
      <c r="C2594" s="110">
        <v>2020</v>
      </c>
      <c r="D2594" s="687" t="s">
        <v>2111</v>
      </c>
      <c r="E2594" s="688">
        <v>4.2996709436923172E-2</v>
      </c>
      <c r="F2594" s="310">
        <v>1.7256536329361308E-2</v>
      </c>
      <c r="G2594" s="311">
        <v>7.710363412576085E-2</v>
      </c>
      <c r="H2594" s="311">
        <v>1.6000848874823594E-3</v>
      </c>
      <c r="I2594" s="394">
        <v>1.7359484782198988E-3</v>
      </c>
      <c r="J2594" s="689">
        <v>9.6659447463123761E-5</v>
      </c>
      <c r="K2594" s="690">
        <v>1.0102995875746067E-4</v>
      </c>
    </row>
    <row r="2595" spans="2:11" ht="15.75" x14ac:dyDescent="0.25">
      <c r="B2595" s="667" t="s">
        <v>280</v>
      </c>
      <c r="C2595" s="110">
        <v>2021</v>
      </c>
      <c r="D2595" s="687" t="s">
        <v>2112</v>
      </c>
      <c r="E2595" s="688">
        <v>4.1727037991074911E-2</v>
      </c>
      <c r="F2595" s="310">
        <v>1.4694582084924591E-2</v>
      </c>
      <c r="G2595" s="311">
        <v>6.6263827618727372E-2</v>
      </c>
      <c r="H2595" s="311">
        <v>1.518626344383982E-3</v>
      </c>
      <c r="I2595" s="394">
        <v>1.6477944649277848E-3</v>
      </c>
      <c r="J2595" s="689">
        <v>8.7686337276294418E-5</v>
      </c>
      <c r="K2595" s="690">
        <v>9.1651124345569628E-5</v>
      </c>
    </row>
    <row r="2596" spans="2:11" ht="15.75" x14ac:dyDescent="0.25">
      <c r="B2596" s="667" t="s">
        <v>280</v>
      </c>
      <c r="C2596" s="110">
        <v>2022</v>
      </c>
      <c r="D2596" s="687" t="s">
        <v>2113</v>
      </c>
      <c r="E2596" s="688">
        <v>4.0436664739143487E-2</v>
      </c>
      <c r="F2596" s="310">
        <v>1.2413670396602789E-2</v>
      </c>
      <c r="G2596" s="311">
        <v>5.7197027780562924E-2</v>
      </c>
      <c r="H2596" s="311">
        <v>1.4434928293806627E-3</v>
      </c>
      <c r="I2596" s="394">
        <v>1.5665192046870754E-3</v>
      </c>
      <c r="J2596" s="689">
        <v>7.9594655829392879E-5</v>
      </c>
      <c r="K2596" s="690">
        <v>8.3193572969943736E-5</v>
      </c>
    </row>
    <row r="2597" spans="2:11" ht="15.75" x14ac:dyDescent="0.25">
      <c r="B2597" s="667" t="s">
        <v>280</v>
      </c>
      <c r="C2597" s="110">
        <v>2023</v>
      </c>
      <c r="D2597" s="687" t="s">
        <v>2114</v>
      </c>
      <c r="E2597" s="688">
        <v>3.914503941323972E-2</v>
      </c>
      <c r="F2597" s="310">
        <v>1.0731021510260038E-2</v>
      </c>
      <c r="G2597" s="311">
        <v>4.9955119382632321E-2</v>
      </c>
      <c r="H2597" s="311">
        <v>1.3775413542703124E-3</v>
      </c>
      <c r="I2597" s="394">
        <v>1.4951469636718742E-3</v>
      </c>
      <c r="J2597" s="689">
        <v>7.1587171915068042E-5</v>
      </c>
      <c r="K2597" s="690">
        <v>7.4824026165696739E-5</v>
      </c>
    </row>
    <row r="2598" spans="2:11" ht="15.75" x14ac:dyDescent="0.25">
      <c r="B2598" s="667" t="s">
        <v>280</v>
      </c>
      <c r="C2598" s="110">
        <v>2024</v>
      </c>
      <c r="D2598" s="687" t="s">
        <v>2115</v>
      </c>
      <c r="E2598" s="688">
        <v>3.7853353524311351E-2</v>
      </c>
      <c r="F2598" s="310">
        <v>9.3210728325888725E-3</v>
      </c>
      <c r="G2598" s="311">
        <v>4.4002121410430119E-2</v>
      </c>
      <c r="H2598" s="311">
        <v>1.3176087587793736E-3</v>
      </c>
      <c r="I2598" s="394">
        <v>1.4303287909378914E-3</v>
      </c>
      <c r="J2598" s="689">
        <v>6.3379779043976062E-5</v>
      </c>
      <c r="K2598" s="690">
        <v>6.6245531408740539E-5</v>
      </c>
    </row>
    <row r="2599" spans="2:11" ht="15.75" x14ac:dyDescent="0.25">
      <c r="B2599" s="667" t="s">
        <v>280</v>
      </c>
      <c r="C2599" s="110">
        <v>2025</v>
      </c>
      <c r="D2599" s="687" t="s">
        <v>2116</v>
      </c>
      <c r="E2599" s="688">
        <v>3.6594498745471486E-2</v>
      </c>
      <c r="F2599" s="310">
        <v>8.1766523188791258E-3</v>
      </c>
      <c r="G2599" s="311">
        <v>3.9261932369438313E-2</v>
      </c>
      <c r="H2599" s="311">
        <v>1.2664869917082958E-3</v>
      </c>
      <c r="I2599" s="394">
        <v>1.3750029713426814E-3</v>
      </c>
      <c r="J2599" s="689">
        <v>5.702772147438003E-5</v>
      </c>
      <c r="K2599" s="690">
        <v>5.9606261982685381E-5</v>
      </c>
    </row>
    <row r="2600" spans="2:11" ht="15.75" x14ac:dyDescent="0.25">
      <c r="B2600" s="667" t="s">
        <v>280</v>
      </c>
      <c r="C2600" s="110">
        <v>2026</v>
      </c>
      <c r="D2600" s="687" t="s">
        <v>2117</v>
      </c>
      <c r="E2600" s="688">
        <v>3.5419269046771812E-2</v>
      </c>
      <c r="F2600" s="310">
        <v>7.2417779779317569E-3</v>
      </c>
      <c r="G2600" s="311">
        <v>3.5480760898201902E-2</v>
      </c>
      <c r="H2600" s="311">
        <v>1.2109215191408408E-3</v>
      </c>
      <c r="I2600" s="394">
        <v>1.3148289866222785E-3</v>
      </c>
      <c r="J2600" s="689">
        <v>5.0935382499483529E-5</v>
      </c>
      <c r="K2600" s="690">
        <v>5.3238454473697832E-5</v>
      </c>
    </row>
    <row r="2601" spans="2:11" ht="15.75" x14ac:dyDescent="0.25">
      <c r="B2601" s="667" t="s">
        <v>280</v>
      </c>
      <c r="C2601" s="110">
        <v>2027</v>
      </c>
      <c r="D2601" s="687" t="s">
        <v>2118</v>
      </c>
      <c r="E2601" s="688">
        <v>3.431651284930478E-2</v>
      </c>
      <c r="F2601" s="310">
        <v>6.4514461431980303E-3</v>
      </c>
      <c r="G2601" s="311">
        <v>3.2348532796833203E-2</v>
      </c>
      <c r="H2601" s="311">
        <v>1.1454049777838505E-3</v>
      </c>
      <c r="I2601" s="394">
        <v>1.2438760713677627E-3</v>
      </c>
      <c r="J2601" s="689">
        <v>4.3806961909521166E-5</v>
      </c>
      <c r="K2601" s="690">
        <v>4.5787718336555244E-5</v>
      </c>
    </row>
    <row r="2602" spans="2:11" ht="15.75" x14ac:dyDescent="0.25">
      <c r="B2602" s="667" t="s">
        <v>280</v>
      </c>
      <c r="C2602" s="110">
        <v>2028</v>
      </c>
      <c r="D2602" s="687" t="s">
        <v>2119</v>
      </c>
      <c r="E2602" s="688">
        <v>3.329644868457423E-2</v>
      </c>
      <c r="F2602" s="310">
        <v>5.7904773975928523E-3</v>
      </c>
      <c r="G2602" s="311">
        <v>2.9786000850299768E-2</v>
      </c>
      <c r="H2602" s="311">
        <v>1.0740992994586738E-3</v>
      </c>
      <c r="I2602" s="394">
        <v>1.1665547114611116E-3</v>
      </c>
      <c r="J2602" s="689">
        <v>3.8377638446164848E-5</v>
      </c>
      <c r="K2602" s="690">
        <v>4.0112904958451984E-5</v>
      </c>
    </row>
    <row r="2603" spans="2:11" ht="15.75" x14ac:dyDescent="0.25">
      <c r="B2603" s="667" t="s">
        <v>280</v>
      </c>
      <c r="C2603" s="110">
        <v>2029</v>
      </c>
      <c r="D2603" s="687" t="s">
        <v>2120</v>
      </c>
      <c r="E2603" s="688">
        <v>3.2355733079097108E-2</v>
      </c>
      <c r="F2603" s="310">
        <v>5.2205804506894301E-3</v>
      </c>
      <c r="G2603" s="311">
        <v>2.7644314519242943E-2</v>
      </c>
      <c r="H2603" s="311">
        <v>1.006950554722795E-3</v>
      </c>
      <c r="I2603" s="394">
        <v>1.0936927400995019E-3</v>
      </c>
      <c r="J2603" s="689">
        <v>3.4403300909525239E-5</v>
      </c>
      <c r="K2603" s="690">
        <v>3.5958865514267146E-5</v>
      </c>
    </row>
    <row r="2604" spans="2:11" ht="15.75" x14ac:dyDescent="0.25">
      <c r="B2604" s="667" t="s">
        <v>280</v>
      </c>
      <c r="C2604" s="110">
        <v>2030</v>
      </c>
      <c r="D2604" s="687" t="s">
        <v>2121</v>
      </c>
      <c r="E2604" s="688">
        <v>3.1502154250604472E-2</v>
      </c>
      <c r="F2604" s="310">
        <v>4.744168020345072E-3</v>
      </c>
      <c r="G2604" s="311">
        <v>2.590277750490786E-2</v>
      </c>
      <c r="H2604" s="311">
        <v>9.4416490170432887E-4</v>
      </c>
      <c r="I2604" s="394">
        <v>1.0255514047405692E-3</v>
      </c>
      <c r="J2604" s="689">
        <v>3.1010059258608365E-5</v>
      </c>
      <c r="K2604" s="690">
        <v>3.2412196533182714E-5</v>
      </c>
    </row>
    <row r="2605" spans="2:11" ht="15.75" x14ac:dyDescent="0.25">
      <c r="B2605" s="667" t="s">
        <v>280</v>
      </c>
      <c r="C2605" s="110">
        <v>2031</v>
      </c>
      <c r="D2605" s="687" t="s">
        <v>2122</v>
      </c>
      <c r="E2605" s="688">
        <v>3.0727558955769941E-2</v>
      </c>
      <c r="F2605" s="310">
        <v>4.3270454742439105E-3</v>
      </c>
      <c r="G2605" s="311">
        <v>2.4420701111567279E-2</v>
      </c>
      <c r="H2605" s="311">
        <v>8.8597092505799692E-4</v>
      </c>
      <c r="I2605" s="394">
        <v>9.6235245902680266E-4</v>
      </c>
      <c r="J2605" s="689">
        <v>2.8831603073362332E-5</v>
      </c>
      <c r="K2605" s="690">
        <v>3.0135240225995958E-5</v>
      </c>
    </row>
    <row r="2606" spans="2:11" ht="15.75" x14ac:dyDescent="0.25">
      <c r="B2606" s="667" t="s">
        <v>280</v>
      </c>
      <c r="C2606" s="110">
        <v>2032</v>
      </c>
      <c r="D2606" s="687" t="s">
        <v>2123</v>
      </c>
      <c r="E2606" s="688">
        <v>3.0033894390361051E-2</v>
      </c>
      <c r="F2606" s="310">
        <v>3.9682025474807574E-3</v>
      </c>
      <c r="G2606" s="311">
        <v>2.3208542586893366E-2</v>
      </c>
      <c r="H2606" s="311">
        <v>8.3179125939613447E-4</v>
      </c>
      <c r="I2606" s="394">
        <v>9.0352011057196705E-4</v>
      </c>
      <c r="J2606" s="689">
        <v>2.6637387988225338E-5</v>
      </c>
      <c r="K2606" s="690">
        <v>2.7841812471394236E-5</v>
      </c>
    </row>
    <row r="2607" spans="2:11" ht="15.75" x14ac:dyDescent="0.25">
      <c r="B2607" s="667" t="s">
        <v>280</v>
      </c>
      <c r="C2607" s="110">
        <v>2033</v>
      </c>
      <c r="D2607" s="687" t="s">
        <v>2124</v>
      </c>
      <c r="E2607" s="688">
        <v>2.9415828869828752E-2</v>
      </c>
      <c r="F2607" s="310">
        <v>3.6577519970014223E-3</v>
      </c>
      <c r="G2607" s="311">
        <v>2.2210671035820181E-2</v>
      </c>
      <c r="H2607" s="311">
        <v>7.8232286766693397E-4</v>
      </c>
      <c r="I2607" s="394">
        <v>8.4978364122469141E-4</v>
      </c>
      <c r="J2607" s="689">
        <v>2.5105372449838343E-5</v>
      </c>
      <c r="K2607" s="690">
        <v>2.6240525988579663E-5</v>
      </c>
    </row>
    <row r="2608" spans="2:11" ht="15.75" x14ac:dyDescent="0.25">
      <c r="B2608" s="667" t="s">
        <v>280</v>
      </c>
      <c r="C2608" s="110">
        <v>2034</v>
      </c>
      <c r="D2608" s="687" t="s">
        <v>2125</v>
      </c>
      <c r="E2608" s="688">
        <v>2.8861705580832776E-2</v>
      </c>
      <c r="F2608" s="310">
        <v>3.3828305650796739E-3</v>
      </c>
      <c r="G2608" s="311">
        <v>2.1372498903269921E-2</v>
      </c>
      <c r="H2608" s="311">
        <v>7.3685698070548203E-4</v>
      </c>
      <c r="I2608" s="394">
        <v>8.0039429055997848E-4</v>
      </c>
      <c r="J2608" s="689">
        <v>2.3714250099301648E-5</v>
      </c>
      <c r="K2608" s="690">
        <v>2.478650325836581E-5</v>
      </c>
    </row>
    <row r="2609" spans="2:11" ht="15.75" x14ac:dyDescent="0.25">
      <c r="B2609" s="667" t="s">
        <v>280</v>
      </c>
      <c r="C2609" s="110">
        <v>2035</v>
      </c>
      <c r="D2609" s="687" t="s">
        <v>2126</v>
      </c>
      <c r="E2609" s="688">
        <v>2.8372799542467336E-2</v>
      </c>
      <c r="F2609" s="310">
        <v>3.1409681777916222E-3</v>
      </c>
      <c r="G2609" s="311">
        <v>2.0678382364923198E-2</v>
      </c>
      <c r="H2609" s="311">
        <v>6.9550079235075287E-4</v>
      </c>
      <c r="I2609" s="394">
        <v>7.5546766283876045E-4</v>
      </c>
      <c r="J2609" s="689">
        <v>2.2487119550043977E-5</v>
      </c>
      <c r="K2609" s="690">
        <v>2.3503887310981785E-5</v>
      </c>
    </row>
    <row r="2610" spans="2:11" ht="15.75" x14ac:dyDescent="0.25">
      <c r="B2610" s="667" t="s">
        <v>280</v>
      </c>
      <c r="C2610" s="110">
        <v>2036</v>
      </c>
      <c r="D2610" s="687" t="s">
        <v>2127</v>
      </c>
      <c r="E2610" s="688">
        <v>2.7945713979443822E-2</v>
      </c>
      <c r="F2610" s="310">
        <v>2.93025418547317E-3</v>
      </c>
      <c r="G2610" s="311">
        <v>2.0102021954648032E-2</v>
      </c>
      <c r="H2610" s="311">
        <v>6.593075005787869E-4</v>
      </c>
      <c r="I2610" s="394">
        <v>7.161502297128692E-4</v>
      </c>
      <c r="J2610" s="689">
        <v>2.1399845302128298E-5</v>
      </c>
      <c r="K2610" s="690">
        <v>2.2367451346283371E-5</v>
      </c>
    </row>
    <row r="2611" spans="2:11" ht="15.75" x14ac:dyDescent="0.25">
      <c r="B2611" s="667" t="s">
        <v>280</v>
      </c>
      <c r="C2611" s="110">
        <v>2037</v>
      </c>
      <c r="D2611" s="687" t="s">
        <v>2128</v>
      </c>
      <c r="E2611" s="688">
        <v>2.7568482370111721E-2</v>
      </c>
      <c r="F2611" s="310">
        <v>2.7518038547016599E-3</v>
      </c>
      <c r="G2611" s="311">
        <v>1.9639737757994474E-2</v>
      </c>
      <c r="H2611" s="311">
        <v>6.2736552694121653E-4</v>
      </c>
      <c r="I2611" s="394">
        <v>6.8145012207241425E-4</v>
      </c>
      <c r="J2611" s="689">
        <v>2.0462913891493384E-5</v>
      </c>
      <c r="K2611" s="690">
        <v>2.1388156054831119E-5</v>
      </c>
    </row>
    <row r="2612" spans="2:11" ht="15.75" x14ac:dyDescent="0.25">
      <c r="B2612" s="667" t="s">
        <v>280</v>
      </c>
      <c r="C2612" s="110">
        <v>2038</v>
      </c>
      <c r="D2612" s="687" t="s">
        <v>2129</v>
      </c>
      <c r="E2612" s="688">
        <v>2.7243814082849472E-2</v>
      </c>
      <c r="F2612" s="310">
        <v>2.5926168895385958E-3</v>
      </c>
      <c r="G2612" s="311">
        <v>1.9229930841871513E-2</v>
      </c>
      <c r="H2612" s="311">
        <v>5.9931823611181244E-4</v>
      </c>
      <c r="I2612" s="394">
        <v>6.5097877842213337E-4</v>
      </c>
      <c r="J2612" s="689">
        <v>1.9692561949509248E-5</v>
      </c>
      <c r="K2612" s="690">
        <v>2.0582972216416582E-5</v>
      </c>
    </row>
    <row r="2613" spans="2:11" ht="15.75" x14ac:dyDescent="0.25">
      <c r="B2613" s="667" t="s">
        <v>280</v>
      </c>
      <c r="C2613" s="110">
        <v>2039</v>
      </c>
      <c r="D2613" s="687" t="s">
        <v>2130</v>
      </c>
      <c r="E2613" s="688">
        <v>2.696059902330945E-2</v>
      </c>
      <c r="F2613" s="310">
        <v>2.4474076961085722E-3</v>
      </c>
      <c r="G2613" s="311">
        <v>1.8859656732476547E-2</v>
      </c>
      <c r="H2613" s="311">
        <v>5.7487564203812977E-4</v>
      </c>
      <c r="I2613" s="394">
        <v>6.2442257257088439E-4</v>
      </c>
      <c r="J2613" s="689">
        <v>1.9047253870331881E-5</v>
      </c>
      <c r="K2613" s="690">
        <v>1.9908486169411061E-5</v>
      </c>
    </row>
    <row r="2614" spans="2:11" ht="15.75" x14ac:dyDescent="0.25">
      <c r="B2614" s="667" t="s">
        <v>280</v>
      </c>
      <c r="C2614" s="110">
        <v>2040</v>
      </c>
      <c r="D2614" s="687" t="s">
        <v>2131</v>
      </c>
      <c r="E2614" s="688">
        <v>2.6713932305876487E-2</v>
      </c>
      <c r="F2614" s="310">
        <v>2.3167023202860628E-3</v>
      </c>
      <c r="G2614" s="311">
        <v>1.8544416838881733E-2</v>
      </c>
      <c r="H2614" s="311">
        <v>5.5379165197538512E-4</v>
      </c>
      <c r="I2614" s="394">
        <v>6.0151495708735754E-4</v>
      </c>
      <c r="J2614" s="689">
        <v>1.8501010545112361E-5</v>
      </c>
      <c r="K2614" s="690">
        <v>1.9337544144943905E-5</v>
      </c>
    </row>
    <row r="2615" spans="2:11" ht="15.75" x14ac:dyDescent="0.25">
      <c r="B2615" s="667" t="s">
        <v>280</v>
      </c>
      <c r="C2615" s="110">
        <v>2041</v>
      </c>
      <c r="D2615" s="687" t="s">
        <v>2132</v>
      </c>
      <c r="E2615" s="688">
        <v>2.6505876894589008E-2</v>
      </c>
      <c r="F2615" s="310">
        <v>2.2123972890942967E-3</v>
      </c>
      <c r="G2615" s="311">
        <v>1.8290482541333353E-2</v>
      </c>
      <c r="H2615" s="311">
        <v>5.3704028681676524E-4</v>
      </c>
      <c r="I2615" s="394">
        <v>5.8331526758410455E-4</v>
      </c>
      <c r="J2615" s="689">
        <v>1.8053855083963615E-5</v>
      </c>
      <c r="K2615" s="690">
        <v>1.8870170298065018E-5</v>
      </c>
    </row>
    <row r="2616" spans="2:11" ht="15.75" x14ac:dyDescent="0.25">
      <c r="B2616" s="667" t="s">
        <v>280</v>
      </c>
      <c r="C2616" s="110">
        <v>2042</v>
      </c>
      <c r="D2616" s="687" t="s">
        <v>2133</v>
      </c>
      <c r="E2616" s="688">
        <v>2.632382245843496E-2</v>
      </c>
      <c r="F2616" s="310">
        <v>2.1235542034418486E-3</v>
      </c>
      <c r="G2616" s="311">
        <v>1.8059463689895781E-2</v>
      </c>
      <c r="H2616" s="311">
        <v>5.2298200964313564E-4</v>
      </c>
      <c r="I2616" s="394">
        <v>5.6804071530868275E-4</v>
      </c>
      <c r="J2616" s="689">
        <v>1.7697357181728856E-5</v>
      </c>
      <c r="K2616" s="690">
        <v>1.8497553142627215E-5</v>
      </c>
    </row>
    <row r="2617" spans="2:11" ht="15.75" x14ac:dyDescent="0.25">
      <c r="B2617" s="667" t="s">
        <v>280</v>
      </c>
      <c r="C2617" s="110">
        <v>2043</v>
      </c>
      <c r="D2617" s="687" t="s">
        <v>2134</v>
      </c>
      <c r="E2617" s="688">
        <v>2.6166805256718311E-2</v>
      </c>
      <c r="F2617" s="310">
        <v>2.0561306930145934E-3</v>
      </c>
      <c r="G2617" s="311">
        <v>1.7886672452698031E-2</v>
      </c>
      <c r="H2617" s="311">
        <v>5.1128647549849335E-4</v>
      </c>
      <c r="I2617" s="394">
        <v>5.5533275704146875E-4</v>
      </c>
      <c r="J2617" s="689">
        <v>1.7414123347072549E-5</v>
      </c>
      <c r="K2617" s="690">
        <v>1.8201512730799276E-5</v>
      </c>
    </row>
    <row r="2618" spans="2:11" ht="15.75" x14ac:dyDescent="0.25">
      <c r="B2618" s="667" t="s">
        <v>280</v>
      </c>
      <c r="C2618" s="110">
        <v>2044</v>
      </c>
      <c r="D2618" s="687" t="s">
        <v>2135</v>
      </c>
      <c r="E2618" s="688">
        <v>2.6025936577948355E-2</v>
      </c>
      <c r="F2618" s="310">
        <v>2.0063859525022475E-3</v>
      </c>
      <c r="G2618" s="311">
        <v>1.7753939799734914E-2</v>
      </c>
      <c r="H2618" s="311">
        <v>5.0159711698623017E-4</v>
      </c>
      <c r="I2618" s="394">
        <v>5.4480420929894013E-4</v>
      </c>
      <c r="J2618" s="689">
        <v>1.7189614725748756E-5</v>
      </c>
      <c r="K2618" s="690">
        <v>1.7966852825861465E-5</v>
      </c>
    </row>
    <row r="2619" spans="2:11" ht="15.75" x14ac:dyDescent="0.25">
      <c r="B2619" s="667" t="s">
        <v>280</v>
      </c>
      <c r="C2619" s="110">
        <v>2045</v>
      </c>
      <c r="D2619" s="687" t="s">
        <v>2136</v>
      </c>
      <c r="E2619" s="688">
        <v>2.5900821105494163E-2</v>
      </c>
      <c r="F2619" s="310">
        <v>1.9726722626411571E-3</v>
      </c>
      <c r="G2619" s="311">
        <v>1.766535033961867E-2</v>
      </c>
      <c r="H2619" s="311">
        <v>4.9358481397057717E-4</v>
      </c>
      <c r="I2619" s="394">
        <v>5.3609736206823013E-4</v>
      </c>
      <c r="J2619" s="689">
        <v>1.7018211018536224E-5</v>
      </c>
      <c r="K2619" s="690">
        <v>1.7787699003601452E-5</v>
      </c>
    </row>
    <row r="2620" spans="2:11" ht="15.75" x14ac:dyDescent="0.25">
      <c r="B2620" s="667" t="s">
        <v>280</v>
      </c>
      <c r="C2620" s="110">
        <v>2046</v>
      </c>
      <c r="D2620" s="687" t="s">
        <v>2137</v>
      </c>
      <c r="E2620" s="688">
        <v>2.5790678349638472E-2</v>
      </c>
      <c r="F2620" s="310">
        <v>1.9441558991011921E-3</v>
      </c>
      <c r="G2620" s="311">
        <v>1.7593588763363185E-2</v>
      </c>
      <c r="H2620" s="311">
        <v>4.8703848866839348E-4</v>
      </c>
      <c r="I2620" s="394">
        <v>5.2898336154158271E-4</v>
      </c>
      <c r="J2620" s="689">
        <v>1.6883097383534621E-5</v>
      </c>
      <c r="K2620" s="690">
        <v>1.7646476129582992E-5</v>
      </c>
    </row>
    <row r="2621" spans="2:11" ht="15.75" x14ac:dyDescent="0.25">
      <c r="B2621" s="667" t="s">
        <v>280</v>
      </c>
      <c r="C2621" s="110">
        <v>2047</v>
      </c>
      <c r="D2621" s="687" t="s">
        <v>2138</v>
      </c>
      <c r="E2621" s="688">
        <v>2.5693806912178721E-2</v>
      </c>
      <c r="F2621" s="310">
        <v>1.9195888893339375E-3</v>
      </c>
      <c r="G2621" s="311">
        <v>1.7529024911901055E-2</v>
      </c>
      <c r="H2621" s="311">
        <v>4.8174331361592167E-4</v>
      </c>
      <c r="I2621" s="394">
        <v>5.232289563398447E-4</v>
      </c>
      <c r="J2621" s="689">
        <v>1.6774997539076446E-5</v>
      </c>
      <c r="K2621" s="690">
        <v>1.7533488489844362E-5</v>
      </c>
    </row>
    <row r="2622" spans="2:11" ht="15.75" x14ac:dyDescent="0.25">
      <c r="B2622" s="667" t="s">
        <v>280</v>
      </c>
      <c r="C2622" s="110">
        <v>2048</v>
      </c>
      <c r="D2622" s="687" t="s">
        <v>2139</v>
      </c>
      <c r="E2622" s="688">
        <v>2.5609536330271992E-2</v>
      </c>
      <c r="F2622" s="310">
        <v>1.9002923590095192E-3</v>
      </c>
      <c r="G2622" s="311">
        <v>1.747829395892531E-2</v>
      </c>
      <c r="H2622" s="311">
        <v>4.7746284572188418E-4</v>
      </c>
      <c r="I2622" s="394">
        <v>5.1857745244402462E-4</v>
      </c>
      <c r="J2622" s="689">
        <v>1.6683069981991138E-5</v>
      </c>
      <c r="K2622" s="690">
        <v>1.7437404376550131E-5</v>
      </c>
    </row>
    <row r="2623" spans="2:11" ht="15.75" x14ac:dyDescent="0.25">
      <c r="B2623" s="667" t="s">
        <v>280</v>
      </c>
      <c r="C2623" s="110">
        <v>2049</v>
      </c>
      <c r="D2623" s="687" t="s">
        <v>2140</v>
      </c>
      <c r="E2623" s="688">
        <v>2.5538667507445659E-2</v>
      </c>
      <c r="F2623" s="310">
        <v>1.8922847982564112E-3</v>
      </c>
      <c r="G2623" s="311">
        <v>1.7488813686819885E-2</v>
      </c>
      <c r="H2623" s="311">
        <v>4.7456638560506274E-4</v>
      </c>
      <c r="I2623" s="394">
        <v>5.1543020139669141E-4</v>
      </c>
      <c r="J2623" s="689">
        <v>1.6614313436156292E-5</v>
      </c>
      <c r="K2623" s="690">
        <v>1.7365538964815293E-5</v>
      </c>
    </row>
    <row r="2624" spans="2:11" ht="15.75" x14ac:dyDescent="0.25">
      <c r="B2624" s="667" t="s">
        <v>280</v>
      </c>
      <c r="C2624" s="110">
        <v>2050</v>
      </c>
      <c r="D2624" s="687" t="s">
        <v>2141</v>
      </c>
      <c r="E2624" s="688">
        <v>2.54746905647452E-2</v>
      </c>
      <c r="F2624" s="310">
        <v>1.8859469596439564E-3</v>
      </c>
      <c r="G2624" s="311">
        <v>1.749956464083096E-2</v>
      </c>
      <c r="H2624" s="311">
        <v>4.722597243632006E-4</v>
      </c>
      <c r="I2624" s="394">
        <v>5.1292423383675226E-4</v>
      </c>
      <c r="J2624" s="689">
        <v>1.65497244434344E-5</v>
      </c>
      <c r="K2624" s="690">
        <v>1.7298029544451954E-5</v>
      </c>
    </row>
    <row r="2625" spans="2:11" ht="15.75" x14ac:dyDescent="0.25">
      <c r="B2625" s="667" t="s">
        <v>283</v>
      </c>
      <c r="C2625" s="110">
        <v>2015</v>
      </c>
      <c r="D2625" s="687" t="s">
        <v>2176</v>
      </c>
      <c r="E2625" s="688">
        <v>4.2898007650422967E-2</v>
      </c>
      <c r="F2625" s="310">
        <v>5.5182852521952611E-2</v>
      </c>
      <c r="G2625" s="311">
        <v>0.21607935879216381</v>
      </c>
      <c r="H2625" s="311">
        <v>1.8580512901653901E-3</v>
      </c>
      <c r="I2625" s="394">
        <v>2.0114316257141144E-3</v>
      </c>
      <c r="J2625" s="689">
        <v>1.2533676777429359E-4</v>
      </c>
      <c r="K2625" s="690">
        <v>1.3100394023937736E-4</v>
      </c>
    </row>
    <row r="2626" spans="2:11" ht="15.75" x14ac:dyDescent="0.25">
      <c r="B2626" s="667" t="s">
        <v>283</v>
      </c>
      <c r="C2626" s="110">
        <v>2016</v>
      </c>
      <c r="D2626" s="687" t="s">
        <v>2177</v>
      </c>
      <c r="E2626" s="688">
        <v>4.2038782798958542E-2</v>
      </c>
      <c r="F2626" s="310">
        <v>4.5702963487513869E-2</v>
      </c>
      <c r="G2626" s="311">
        <v>0.18371191112665988</v>
      </c>
      <c r="H2626" s="311">
        <v>1.7355191441600249E-3</v>
      </c>
      <c r="I2626" s="394">
        <v>1.8801625450985714E-3</v>
      </c>
      <c r="J2626" s="689">
        <v>1.0676697642988373E-4</v>
      </c>
      <c r="K2626" s="690">
        <v>1.1159450533260199E-4</v>
      </c>
    </row>
    <row r="2627" spans="2:11" ht="15.75" x14ac:dyDescent="0.25">
      <c r="B2627" s="667" t="s">
        <v>283</v>
      </c>
      <c r="C2627" s="110">
        <v>2017</v>
      </c>
      <c r="D2627" s="687" t="s">
        <v>2178</v>
      </c>
      <c r="E2627" s="688">
        <v>4.0995763527728359E-2</v>
      </c>
      <c r="F2627" s="310">
        <v>3.7614230094269709E-2</v>
      </c>
      <c r="G2627" s="311">
        <v>0.15582989496483673</v>
      </c>
      <c r="H2627" s="311">
        <v>1.6660224831485672E-3</v>
      </c>
      <c r="I2627" s="394">
        <v>1.8059926429763614E-3</v>
      </c>
      <c r="J2627" s="689">
        <v>9.7021870150401377E-5</v>
      </c>
      <c r="K2627" s="690">
        <v>1.0140876859043003E-4</v>
      </c>
    </row>
    <row r="2628" spans="2:11" ht="15.75" x14ac:dyDescent="0.25">
      <c r="B2628" s="667" t="s">
        <v>283</v>
      </c>
      <c r="C2628" s="110">
        <v>2018</v>
      </c>
      <c r="D2628" s="687" t="s">
        <v>2179</v>
      </c>
      <c r="E2628" s="688">
        <v>3.9922265403698705E-2</v>
      </c>
      <c r="F2628" s="310">
        <v>3.1059784317350042E-2</v>
      </c>
      <c r="G2628" s="311">
        <v>0.13198521905572336</v>
      </c>
      <c r="H2628" s="311">
        <v>1.6430344210423304E-3</v>
      </c>
      <c r="I2628" s="394">
        <v>1.7820648759192836E-3</v>
      </c>
      <c r="J2628" s="689">
        <v>8.9614268423137436E-5</v>
      </c>
      <c r="K2628" s="690">
        <v>9.3666227983805033E-5</v>
      </c>
    </row>
    <row r="2629" spans="2:11" ht="15.75" x14ac:dyDescent="0.25">
      <c r="B2629" s="667" t="s">
        <v>283</v>
      </c>
      <c r="C2629" s="110">
        <v>2019</v>
      </c>
      <c r="D2629" s="687" t="s">
        <v>2180</v>
      </c>
      <c r="E2629" s="688">
        <v>3.8884304935808939E-2</v>
      </c>
      <c r="F2629" s="310">
        <v>2.5438073826827869E-2</v>
      </c>
      <c r="G2629" s="311">
        <v>0.11182122725503905</v>
      </c>
      <c r="H2629" s="311">
        <v>1.6220033070696431E-3</v>
      </c>
      <c r="I2629" s="394">
        <v>1.7600490491382233E-3</v>
      </c>
      <c r="J2629" s="689">
        <v>8.2382199072238889E-5</v>
      </c>
      <c r="K2629" s="690">
        <v>8.610715654869162E-5</v>
      </c>
    </row>
    <row r="2630" spans="2:11" ht="15.75" x14ac:dyDescent="0.25">
      <c r="B2630" s="667" t="s">
        <v>283</v>
      </c>
      <c r="C2630" s="110">
        <v>2020</v>
      </c>
      <c r="D2630" s="687" t="s">
        <v>2181</v>
      </c>
      <c r="E2630" s="688">
        <v>3.7755160023763973E-2</v>
      </c>
      <c r="F2630" s="310">
        <v>2.122215931529543E-2</v>
      </c>
      <c r="G2630" s="311">
        <v>9.5180973072659145E-2</v>
      </c>
      <c r="H2630" s="311">
        <v>1.5809255656264707E-3</v>
      </c>
      <c r="I2630" s="394">
        <v>1.7158116300027505E-3</v>
      </c>
      <c r="J2630" s="689">
        <v>7.7040309074109345E-5</v>
      </c>
      <c r="K2630" s="690">
        <v>8.0523729989132145E-5</v>
      </c>
    </row>
    <row r="2631" spans="2:11" ht="15.75" x14ac:dyDescent="0.25">
      <c r="B2631" s="667" t="s">
        <v>283</v>
      </c>
      <c r="C2631" s="110">
        <v>2021</v>
      </c>
      <c r="D2631" s="687" t="s">
        <v>2182</v>
      </c>
      <c r="E2631" s="688">
        <v>3.6751994638951388E-2</v>
      </c>
      <c r="F2631" s="310">
        <v>1.8011850018525555E-2</v>
      </c>
      <c r="G2631" s="311">
        <v>8.1371453215304659E-2</v>
      </c>
      <c r="H2631" s="311">
        <v>1.5104685568351236E-3</v>
      </c>
      <c r="I2631" s="394">
        <v>1.6395246521347599E-3</v>
      </c>
      <c r="J2631" s="689">
        <v>7.1320437917236288E-5</v>
      </c>
      <c r="K2631" s="690">
        <v>7.4545231640097673E-5</v>
      </c>
    </row>
    <row r="2632" spans="2:11" ht="15.75" x14ac:dyDescent="0.25">
      <c r="B2632" s="667" t="s">
        <v>283</v>
      </c>
      <c r="C2632" s="110">
        <v>2022</v>
      </c>
      <c r="D2632" s="687" t="s">
        <v>2183</v>
      </c>
      <c r="E2632" s="688">
        <v>3.5622035811049814E-2</v>
      </c>
      <c r="F2632" s="310">
        <v>1.5017669733436982E-2</v>
      </c>
      <c r="G2632" s="311">
        <v>6.9558262025278386E-2</v>
      </c>
      <c r="H2632" s="311">
        <v>1.4372734756209675E-3</v>
      </c>
      <c r="I2632" s="394">
        <v>1.5603146268268291E-3</v>
      </c>
      <c r="J2632" s="689">
        <v>6.5855244996834247E-5</v>
      </c>
      <c r="K2632" s="690">
        <v>6.8832926947269492E-5</v>
      </c>
    </row>
    <row r="2633" spans="2:11" ht="15.75" x14ac:dyDescent="0.25">
      <c r="B2633" s="667" t="s">
        <v>283</v>
      </c>
      <c r="C2633" s="110">
        <v>2023</v>
      </c>
      <c r="D2633" s="687" t="s">
        <v>2184</v>
      </c>
      <c r="E2633" s="688">
        <v>3.4500862457153926E-2</v>
      </c>
      <c r="F2633" s="310">
        <v>1.2879554597390727E-2</v>
      </c>
      <c r="G2633" s="311">
        <v>6.0144002878802089E-2</v>
      </c>
      <c r="H2633" s="311">
        <v>1.3705746234402307E-3</v>
      </c>
      <c r="I2633" s="394">
        <v>1.4880327932471947E-3</v>
      </c>
      <c r="J2633" s="689">
        <v>6.0369885631831025E-5</v>
      </c>
      <c r="K2633" s="690">
        <v>6.3099543972702481E-5</v>
      </c>
    </row>
    <row r="2634" spans="2:11" ht="15.75" x14ac:dyDescent="0.25">
      <c r="B2634" s="667" t="s">
        <v>283</v>
      </c>
      <c r="C2634" s="110">
        <v>2024</v>
      </c>
      <c r="D2634" s="687" t="s">
        <v>2185</v>
      </c>
      <c r="E2634" s="688">
        <v>3.3476940389634287E-2</v>
      </c>
      <c r="F2634" s="310">
        <v>1.1134880375758271E-2</v>
      </c>
      <c r="G2634" s="311">
        <v>5.2391025939504496E-2</v>
      </c>
      <c r="H2634" s="311">
        <v>1.3145556724538624E-3</v>
      </c>
      <c r="I2634" s="394">
        <v>1.4273930953871005E-3</v>
      </c>
      <c r="J2634" s="689">
        <v>5.4187084455732902E-5</v>
      </c>
      <c r="K2634" s="690">
        <v>5.6637183963195067E-5</v>
      </c>
    </row>
    <row r="2635" spans="2:11" ht="15.75" x14ac:dyDescent="0.25">
      <c r="B2635" s="667" t="s">
        <v>283</v>
      </c>
      <c r="C2635" s="110">
        <v>2025</v>
      </c>
      <c r="D2635" s="687" t="s">
        <v>2186</v>
      </c>
      <c r="E2635" s="688">
        <v>3.2379842093805587E-2</v>
      </c>
      <c r="F2635" s="310">
        <v>9.6754551670757295E-3</v>
      </c>
      <c r="G2635" s="311">
        <v>4.614578661783636E-2</v>
      </c>
      <c r="H2635" s="311">
        <v>1.2632548882327648E-3</v>
      </c>
      <c r="I2635" s="394">
        <v>1.3718025341566966E-3</v>
      </c>
      <c r="J2635" s="689">
        <v>4.9589660155740954E-5</v>
      </c>
      <c r="K2635" s="690">
        <v>5.1831884537125639E-5</v>
      </c>
    </row>
    <row r="2636" spans="2:11" ht="15.75" x14ac:dyDescent="0.25">
      <c r="B2636" s="667" t="s">
        <v>283</v>
      </c>
      <c r="C2636" s="110">
        <v>2026</v>
      </c>
      <c r="D2636" s="687" t="s">
        <v>2187</v>
      </c>
      <c r="E2636" s="688">
        <v>3.1390858680514826E-2</v>
      </c>
      <c r="F2636" s="310">
        <v>8.5498476657436904E-3</v>
      </c>
      <c r="G2636" s="311">
        <v>4.120147026025818E-2</v>
      </c>
      <c r="H2636" s="311">
        <v>1.2187167275092214E-3</v>
      </c>
      <c r="I2636" s="394">
        <v>1.3235414117018438E-3</v>
      </c>
      <c r="J2636" s="689">
        <v>4.5400386708112336E-5</v>
      </c>
      <c r="K2636" s="690">
        <v>4.7453190733820869E-5</v>
      </c>
    </row>
    <row r="2637" spans="2:11" ht="15.75" x14ac:dyDescent="0.25">
      <c r="B2637" s="667" t="s">
        <v>283</v>
      </c>
      <c r="C2637" s="110">
        <v>2027</v>
      </c>
      <c r="D2637" s="687" t="s">
        <v>2188</v>
      </c>
      <c r="E2637" s="688">
        <v>3.049595248649957E-2</v>
      </c>
      <c r="F2637" s="310">
        <v>7.5503628231458394E-3</v>
      </c>
      <c r="G2637" s="311">
        <v>3.7083842805694878E-2</v>
      </c>
      <c r="H2637" s="311">
        <v>1.1574004449816516E-3</v>
      </c>
      <c r="I2637" s="394">
        <v>1.2571062533503479E-3</v>
      </c>
      <c r="J2637" s="689">
        <v>3.9464449048731522E-5</v>
      </c>
      <c r="K2637" s="690">
        <v>4.1248856313816095E-5</v>
      </c>
    </row>
    <row r="2638" spans="2:11" ht="15.75" x14ac:dyDescent="0.25">
      <c r="B2638" s="667" t="s">
        <v>283</v>
      </c>
      <c r="C2638" s="110">
        <v>2028</v>
      </c>
      <c r="D2638" s="687" t="s">
        <v>2189</v>
      </c>
      <c r="E2638" s="688">
        <v>2.9696709280022208E-2</v>
      </c>
      <c r="F2638" s="310">
        <v>6.7275663662967446E-3</v>
      </c>
      <c r="G2638" s="311">
        <v>3.3740628044226222E-2</v>
      </c>
      <c r="H2638" s="311">
        <v>1.0905522711211759E-3</v>
      </c>
      <c r="I2638" s="394">
        <v>1.1845983298412307E-3</v>
      </c>
      <c r="J2638" s="689">
        <v>3.4849423215956432E-5</v>
      </c>
      <c r="K2638" s="690">
        <v>3.6425159491756808E-5</v>
      </c>
    </row>
    <row r="2639" spans="2:11" ht="15.75" x14ac:dyDescent="0.25">
      <c r="B2639" s="667" t="s">
        <v>283</v>
      </c>
      <c r="C2639" s="110">
        <v>2029</v>
      </c>
      <c r="D2639" s="687" t="s">
        <v>2190</v>
      </c>
      <c r="E2639" s="688">
        <v>2.8983063719080385E-2</v>
      </c>
      <c r="F2639" s="310">
        <v>6.0203865911026035E-3</v>
      </c>
      <c r="G2639" s="311">
        <v>3.09523265951267E-2</v>
      </c>
      <c r="H2639" s="311">
        <v>1.0255982163169307E-3</v>
      </c>
      <c r="I2639" s="394">
        <v>1.114099909637508E-3</v>
      </c>
      <c r="J2639" s="689">
        <v>3.1426684830773511E-5</v>
      </c>
      <c r="K2639" s="690">
        <v>3.2847660064972561E-5</v>
      </c>
    </row>
    <row r="2640" spans="2:11" ht="15.75" x14ac:dyDescent="0.25">
      <c r="B2640" s="667" t="s">
        <v>283</v>
      </c>
      <c r="C2640" s="110">
        <v>2030</v>
      </c>
      <c r="D2640" s="687" t="s">
        <v>2191</v>
      </c>
      <c r="E2640" s="688">
        <v>2.8349759850417055E-2</v>
      </c>
      <c r="F2640" s="310">
        <v>5.4343351700506118E-3</v>
      </c>
      <c r="G2640" s="311">
        <v>2.8686568694191963E-2</v>
      </c>
      <c r="H2640" s="311">
        <v>9.6404320818438394E-4</v>
      </c>
      <c r="I2640" s="394">
        <v>1.0472627655249745E-3</v>
      </c>
      <c r="J2640" s="689">
        <v>2.8841627344031643E-5</v>
      </c>
      <c r="K2640" s="690">
        <v>3.0145717749702903E-5</v>
      </c>
    </row>
    <row r="2641" spans="2:11" ht="15.75" x14ac:dyDescent="0.25">
      <c r="B2641" s="667" t="s">
        <v>283</v>
      </c>
      <c r="C2641" s="110">
        <v>2031</v>
      </c>
      <c r="D2641" s="687" t="s">
        <v>2192</v>
      </c>
      <c r="E2641" s="688">
        <v>2.7868101258248214E-2</v>
      </c>
      <c r="F2641" s="310">
        <v>4.9276740090257566E-3</v>
      </c>
      <c r="G2641" s="311">
        <v>2.6779462846703569E-2</v>
      </c>
      <c r="H2641" s="311">
        <v>9.0618078065426478E-4</v>
      </c>
      <c r="I2641" s="394">
        <v>9.8440273266617046E-4</v>
      </c>
      <c r="J2641" s="689">
        <v>2.7174716002777299E-5</v>
      </c>
      <c r="K2641" s="690">
        <v>2.8403436074406561E-5</v>
      </c>
    </row>
    <row r="2642" spans="2:11" ht="15.75" x14ac:dyDescent="0.25">
      <c r="B2642" s="667" t="s">
        <v>283</v>
      </c>
      <c r="C2642" s="110">
        <v>2032</v>
      </c>
      <c r="D2642" s="687" t="s">
        <v>2193</v>
      </c>
      <c r="E2642" s="688">
        <v>2.7374490747306045E-2</v>
      </c>
      <c r="F2642" s="310">
        <v>4.4928605096589292E-3</v>
      </c>
      <c r="G2642" s="311">
        <v>2.522044293196601E-2</v>
      </c>
      <c r="H2642" s="311">
        <v>8.5185940684268189E-4</v>
      </c>
      <c r="I2642" s="394">
        <v>9.2539332069962901E-4</v>
      </c>
      <c r="J2642" s="689">
        <v>2.5521919255320571E-5</v>
      </c>
      <c r="K2642" s="690">
        <v>2.667590719220676E-5</v>
      </c>
    </row>
    <row r="2643" spans="2:11" ht="15.75" x14ac:dyDescent="0.25">
      <c r="B2643" s="667" t="s">
        <v>283</v>
      </c>
      <c r="C2643" s="110">
        <v>2033</v>
      </c>
      <c r="D2643" s="687" t="s">
        <v>2194</v>
      </c>
      <c r="E2643" s="688">
        <v>2.6942934593393034E-2</v>
      </c>
      <c r="F2643" s="310">
        <v>4.1141529267717282E-3</v>
      </c>
      <c r="G2643" s="311">
        <v>2.3917850083780712E-2</v>
      </c>
      <c r="H2643" s="311">
        <v>8.0141580209106965E-4</v>
      </c>
      <c r="I2643" s="394">
        <v>8.705853764806341E-4</v>
      </c>
      <c r="J2643" s="689">
        <v>2.4245751669998775E-5</v>
      </c>
      <c r="K2643" s="690">
        <v>2.5342036971586548E-5</v>
      </c>
    </row>
    <row r="2644" spans="2:11" ht="15.75" x14ac:dyDescent="0.25">
      <c r="B2644" s="667" t="s">
        <v>283</v>
      </c>
      <c r="C2644" s="110">
        <v>2034</v>
      </c>
      <c r="D2644" s="687" t="s">
        <v>2195</v>
      </c>
      <c r="E2644" s="688">
        <v>2.6567453814871456E-2</v>
      </c>
      <c r="F2644" s="310">
        <v>3.7803476520739971E-3</v>
      </c>
      <c r="G2644" s="311">
        <v>2.2834018009307882E-2</v>
      </c>
      <c r="H2644" s="311">
        <v>7.546280943153946E-4</v>
      </c>
      <c r="I2644" s="394">
        <v>8.1974989147093151E-4</v>
      </c>
      <c r="J2644" s="689">
        <v>2.3056009114976644E-5</v>
      </c>
      <c r="K2644" s="690">
        <v>2.4098499537630657E-5</v>
      </c>
    </row>
    <row r="2645" spans="2:11" ht="15.75" x14ac:dyDescent="0.25">
      <c r="B2645" s="667" t="s">
        <v>283</v>
      </c>
      <c r="C2645" s="110">
        <v>2035</v>
      </c>
      <c r="D2645" s="687" t="s">
        <v>2196</v>
      </c>
      <c r="E2645" s="688">
        <v>2.6243753078883974E-2</v>
      </c>
      <c r="F2645" s="310">
        <v>3.4875188759625731E-3</v>
      </c>
      <c r="G2645" s="311">
        <v>2.1939421614418485E-2</v>
      </c>
      <c r="H2645" s="311">
        <v>7.1167229051273279E-4</v>
      </c>
      <c r="I2645" s="394">
        <v>7.7307855174761988E-4</v>
      </c>
      <c r="J2645" s="689">
        <v>2.194649915261481E-5</v>
      </c>
      <c r="K2645" s="690">
        <v>2.2938822458148369E-5</v>
      </c>
    </row>
    <row r="2646" spans="2:11" ht="15.75" x14ac:dyDescent="0.25">
      <c r="B2646" s="667" t="s">
        <v>283</v>
      </c>
      <c r="C2646" s="110">
        <v>2036</v>
      </c>
      <c r="D2646" s="687" t="s">
        <v>2197</v>
      </c>
      <c r="E2646" s="688">
        <v>2.5966366453785996E-2</v>
      </c>
      <c r="F2646" s="310">
        <v>3.2302734663084169E-3</v>
      </c>
      <c r="G2646" s="311">
        <v>2.1189835217697458E-2</v>
      </c>
      <c r="H2646" s="311">
        <v>6.7378166857123194E-4</v>
      </c>
      <c r="I2646" s="394">
        <v>7.3191110938079535E-4</v>
      </c>
      <c r="J2646" s="689">
        <v>2.0953803111621748E-5</v>
      </c>
      <c r="K2646" s="690">
        <v>2.1901241107205032E-5</v>
      </c>
    </row>
    <row r="2647" spans="2:11" ht="15.75" x14ac:dyDescent="0.25">
      <c r="B2647" s="667" t="s">
        <v>283</v>
      </c>
      <c r="C2647" s="110">
        <v>2037</v>
      </c>
      <c r="D2647" s="687" t="s">
        <v>2198</v>
      </c>
      <c r="E2647" s="688">
        <v>2.57312224076061E-2</v>
      </c>
      <c r="F2647" s="310">
        <v>3.0108809179082482E-3</v>
      </c>
      <c r="G2647" s="311">
        <v>2.0585937229694068E-2</v>
      </c>
      <c r="H2647" s="311">
        <v>6.3993694439773712E-4</v>
      </c>
      <c r="I2647" s="394">
        <v>6.9513957362589776E-4</v>
      </c>
      <c r="J2647" s="689">
        <v>2.006438239767205E-5</v>
      </c>
      <c r="K2647" s="690">
        <v>2.0971604735316534E-5</v>
      </c>
    </row>
    <row r="2648" spans="2:11" ht="15.75" x14ac:dyDescent="0.25">
      <c r="B2648" s="667" t="s">
        <v>283</v>
      </c>
      <c r="C2648" s="110">
        <v>2038</v>
      </c>
      <c r="D2648" s="687" t="s">
        <v>2199</v>
      </c>
      <c r="E2648" s="688">
        <v>2.5533313948899451E-2</v>
      </c>
      <c r="F2648" s="310">
        <v>2.8155042834202672E-3</v>
      </c>
      <c r="G2648" s="311">
        <v>2.0057726375488485E-2</v>
      </c>
      <c r="H2648" s="311">
        <v>6.098597518041063E-4</v>
      </c>
      <c r="I2648" s="394">
        <v>6.6246022546634939E-4</v>
      </c>
      <c r="J2648" s="689">
        <v>1.9301136670120398E-5</v>
      </c>
      <c r="K2648" s="690">
        <v>2.0173848422817744E-5</v>
      </c>
    </row>
    <row r="2649" spans="2:11" ht="15.75" x14ac:dyDescent="0.25">
      <c r="B2649" s="667" t="s">
        <v>283</v>
      </c>
      <c r="C2649" s="110">
        <v>2039</v>
      </c>
      <c r="D2649" s="687" t="s">
        <v>2200</v>
      </c>
      <c r="E2649" s="688">
        <v>2.5367114262406239E-2</v>
      </c>
      <c r="F2649" s="310">
        <v>2.6324222416029544E-3</v>
      </c>
      <c r="G2649" s="311">
        <v>1.9566357903463758E-2</v>
      </c>
      <c r="H2649" s="311">
        <v>5.8328925079439368E-4</v>
      </c>
      <c r="I2649" s="394">
        <v>6.3358981895356712E-4</v>
      </c>
      <c r="J2649" s="689">
        <v>1.8653650844311844E-5</v>
      </c>
      <c r="K2649" s="690">
        <v>1.9497086161141955E-5</v>
      </c>
    </row>
    <row r="2650" spans="2:11" ht="15.75" x14ac:dyDescent="0.25">
      <c r="B2650" s="667" t="s">
        <v>283</v>
      </c>
      <c r="C2650" s="110">
        <v>2040</v>
      </c>
      <c r="D2650" s="687" t="s">
        <v>2201</v>
      </c>
      <c r="E2650" s="688">
        <v>2.5228946983223907E-2</v>
      </c>
      <c r="F2650" s="310">
        <v>2.4746946893723231E-3</v>
      </c>
      <c r="G2650" s="311">
        <v>1.9173818368965142E-2</v>
      </c>
      <c r="H2650" s="311">
        <v>5.6026777388931042E-4</v>
      </c>
      <c r="I2650" s="394">
        <v>6.0857559649401334E-4</v>
      </c>
      <c r="J2650" s="689">
        <v>1.8093561297932169E-5</v>
      </c>
      <c r="K2650" s="690">
        <v>1.891167185083554E-5</v>
      </c>
    </row>
    <row r="2651" spans="2:11" ht="15.75" x14ac:dyDescent="0.25">
      <c r="B2651" s="667" t="s">
        <v>283</v>
      </c>
      <c r="C2651" s="110">
        <v>2041</v>
      </c>
      <c r="D2651" s="687" t="s">
        <v>2202</v>
      </c>
      <c r="E2651" s="688">
        <v>2.5115755525018178E-2</v>
      </c>
      <c r="F2651" s="310">
        <v>2.3537064794366493E-3</v>
      </c>
      <c r="G2651" s="311">
        <v>1.8871378403960366E-2</v>
      </c>
      <c r="H2651" s="311">
        <v>5.4188567195707297E-4</v>
      </c>
      <c r="I2651" s="394">
        <v>5.8860269502494095E-4</v>
      </c>
      <c r="J2651" s="689">
        <v>1.763783806027606E-5</v>
      </c>
      <c r="K2651" s="690">
        <v>1.8435342830614516E-5</v>
      </c>
    </row>
    <row r="2652" spans="2:11" ht="15.75" x14ac:dyDescent="0.25">
      <c r="B2652" s="667" t="s">
        <v>283</v>
      </c>
      <c r="C2652" s="110">
        <v>2042</v>
      </c>
      <c r="D2652" s="687" t="s">
        <v>2203</v>
      </c>
      <c r="E2652" s="688">
        <v>2.5022043866827309E-2</v>
      </c>
      <c r="F2652" s="310">
        <v>2.2500946958223331E-3</v>
      </c>
      <c r="G2652" s="311">
        <v>1.859238962590886E-2</v>
      </c>
      <c r="H2652" s="311">
        <v>5.2631858726600266E-4</v>
      </c>
      <c r="I2652" s="394">
        <v>5.7168766570911997E-4</v>
      </c>
      <c r="J2652" s="689">
        <v>1.7269805245648098E-5</v>
      </c>
      <c r="K2652" s="690">
        <v>1.8050669205230501E-5</v>
      </c>
    </row>
    <row r="2653" spans="2:11" ht="15.75" x14ac:dyDescent="0.25">
      <c r="B2653" s="667" t="s">
        <v>283</v>
      </c>
      <c r="C2653" s="110">
        <v>2043</v>
      </c>
      <c r="D2653" s="687" t="s">
        <v>2204</v>
      </c>
      <c r="E2653" s="688">
        <v>2.4945350508754429E-2</v>
      </c>
      <c r="F2653" s="310">
        <v>2.171827643992208E-3</v>
      </c>
      <c r="G2653" s="311">
        <v>1.8390000817289625E-2</v>
      </c>
      <c r="H2653" s="311">
        <v>5.1330705232545621E-4</v>
      </c>
      <c r="I2653" s="394">
        <v>5.5754873643032226E-4</v>
      </c>
      <c r="J2653" s="689">
        <v>1.697949360032586E-5</v>
      </c>
      <c r="K2653" s="690">
        <v>1.7747230955545654E-5</v>
      </c>
    </row>
    <row r="2654" spans="2:11" ht="15.75" x14ac:dyDescent="0.25">
      <c r="B2654" s="667" t="s">
        <v>283</v>
      </c>
      <c r="C2654" s="110">
        <v>2044</v>
      </c>
      <c r="D2654" s="687" t="s">
        <v>2205</v>
      </c>
      <c r="E2654" s="688">
        <v>2.4881957626072367E-2</v>
      </c>
      <c r="F2654" s="310">
        <v>2.1128494825032721E-3</v>
      </c>
      <c r="G2654" s="311">
        <v>1.823023301719294E-2</v>
      </c>
      <c r="H2654" s="311">
        <v>5.0246560244099467E-4</v>
      </c>
      <c r="I2654" s="394">
        <v>5.4576739030723831E-4</v>
      </c>
      <c r="J2654" s="689">
        <v>1.6750121232986504E-5</v>
      </c>
      <c r="K2654" s="690">
        <v>1.7507487387580006E-5</v>
      </c>
    </row>
    <row r="2655" spans="2:11" ht="15.75" x14ac:dyDescent="0.25">
      <c r="B2655" s="667" t="s">
        <v>283</v>
      </c>
      <c r="C2655" s="110">
        <v>2045</v>
      </c>
      <c r="D2655" s="687" t="s">
        <v>2206</v>
      </c>
      <c r="E2655" s="688">
        <v>2.4828580472626472E-2</v>
      </c>
      <c r="F2655" s="310">
        <v>2.0716097483230757E-3</v>
      </c>
      <c r="G2655" s="311">
        <v>1.8123022317965417E-2</v>
      </c>
      <c r="H2655" s="311">
        <v>4.9345669104993621E-4</v>
      </c>
      <c r="I2655" s="394">
        <v>5.3597687480217392E-4</v>
      </c>
      <c r="J2655" s="689">
        <v>1.657318922913634E-5</v>
      </c>
      <c r="K2655" s="690">
        <v>1.7322555303639884E-5</v>
      </c>
    </row>
    <row r="2656" spans="2:11" ht="15.75" x14ac:dyDescent="0.25">
      <c r="B2656" s="667" t="s">
        <v>283</v>
      </c>
      <c r="C2656" s="110">
        <v>2046</v>
      </c>
      <c r="D2656" s="687" t="s">
        <v>2207</v>
      </c>
      <c r="E2656" s="688">
        <v>2.478434844597938E-2</v>
      </c>
      <c r="F2656" s="310">
        <v>2.0359172636597372E-3</v>
      </c>
      <c r="G2656" s="311">
        <v>1.8034732281326418E-2</v>
      </c>
      <c r="H2656" s="311">
        <v>4.8605556357945052E-4</v>
      </c>
      <c r="I2656" s="394">
        <v>5.2793319517313434E-4</v>
      </c>
      <c r="J2656" s="689">
        <v>1.6438164122870836E-5</v>
      </c>
      <c r="K2656" s="690">
        <v>1.7181424961234066E-5</v>
      </c>
    </row>
    <row r="2657" spans="2:11" ht="15.75" x14ac:dyDescent="0.25">
      <c r="B2657" s="667" t="s">
        <v>283</v>
      </c>
      <c r="C2657" s="110">
        <v>2047</v>
      </c>
      <c r="D2657" s="687" t="s">
        <v>2208</v>
      </c>
      <c r="E2657" s="688">
        <v>2.4747109781678565E-2</v>
      </c>
      <c r="F2657" s="310">
        <v>2.0050984856291006E-3</v>
      </c>
      <c r="G2657" s="311">
        <v>1.7953783668087808E-2</v>
      </c>
      <c r="H2657" s="311">
        <v>4.8004250351669494E-4</v>
      </c>
      <c r="I2657" s="394">
        <v>5.213979420547421E-4</v>
      </c>
      <c r="J2657" s="689">
        <v>1.6332010383255605E-5</v>
      </c>
      <c r="K2657" s="690">
        <v>1.7070471420563699E-5</v>
      </c>
    </row>
    <row r="2658" spans="2:11" ht="15.75" x14ac:dyDescent="0.25">
      <c r="B2658" s="667" t="s">
        <v>283</v>
      </c>
      <c r="C2658" s="110">
        <v>2048</v>
      </c>
      <c r="D2658" s="687" t="s">
        <v>2209</v>
      </c>
      <c r="E2658" s="688">
        <v>2.4715435639687484E-2</v>
      </c>
      <c r="F2658" s="310">
        <v>1.9803203121155914E-3</v>
      </c>
      <c r="G2658" s="311">
        <v>1.7886994990336382E-2</v>
      </c>
      <c r="H2658" s="311">
        <v>4.7516526802756607E-4</v>
      </c>
      <c r="I2658" s="394">
        <v>5.1609716683693573E-4</v>
      </c>
      <c r="J2658" s="689">
        <v>1.6245560324992017E-5</v>
      </c>
      <c r="K2658" s="690">
        <v>1.6980112474281889E-5</v>
      </c>
    </row>
    <row r="2659" spans="2:11" ht="15.75" x14ac:dyDescent="0.25">
      <c r="B2659" s="667" t="s">
        <v>283</v>
      </c>
      <c r="C2659" s="110">
        <v>2049</v>
      </c>
      <c r="D2659" s="687" t="s">
        <v>2210</v>
      </c>
      <c r="E2659" s="688">
        <v>2.4689017562425922E-2</v>
      </c>
      <c r="F2659" s="310">
        <v>1.9705982732679747E-3</v>
      </c>
      <c r="G2659" s="311">
        <v>1.7897140874153283E-2</v>
      </c>
      <c r="H2659" s="311">
        <v>4.7193041513102408E-4</v>
      </c>
      <c r="I2659" s="394">
        <v>5.125815897682991E-4</v>
      </c>
      <c r="J2659" s="689">
        <v>1.6183718077988666E-5</v>
      </c>
      <c r="K2659" s="690">
        <v>1.6915473995289938E-5</v>
      </c>
    </row>
    <row r="2660" spans="2:11" ht="15.75" x14ac:dyDescent="0.25">
      <c r="B2660" s="667" t="s">
        <v>283</v>
      </c>
      <c r="C2660" s="110">
        <v>2050</v>
      </c>
      <c r="D2660" s="687" t="s">
        <v>2211</v>
      </c>
      <c r="E2660" s="688">
        <v>2.4668604619662627E-2</v>
      </c>
      <c r="F2660" s="310">
        <v>1.9630168069900951E-3</v>
      </c>
      <c r="G2660" s="311">
        <v>1.7907853629338749E-2</v>
      </c>
      <c r="H2660" s="311">
        <v>4.6939206478689569E-4</v>
      </c>
      <c r="I2660" s="394">
        <v>5.0982349201084544E-4</v>
      </c>
      <c r="J2660" s="689">
        <v>1.6122601815143956E-5</v>
      </c>
      <c r="K2660" s="690">
        <v>1.6851594326238792E-5</v>
      </c>
    </row>
    <row r="2661" spans="2:11" ht="15.75" x14ac:dyDescent="0.25">
      <c r="B2661" s="667" t="s">
        <v>309</v>
      </c>
      <c r="C2661" s="110">
        <v>2015</v>
      </c>
      <c r="D2661" s="687" t="s">
        <v>2586</v>
      </c>
      <c r="E2661" s="688">
        <v>4.3589746361904394E-2</v>
      </c>
      <c r="F2661" s="310">
        <v>5.1004459966216588E-2</v>
      </c>
      <c r="G2661" s="311">
        <v>0.20710150394312368</v>
      </c>
      <c r="H2661" s="311">
        <v>1.901730267017713E-3</v>
      </c>
      <c r="I2661" s="394">
        <v>2.0563652014184185E-3</v>
      </c>
      <c r="J2661" s="689">
        <v>1.9545467749206089E-4</v>
      </c>
      <c r="K2661" s="690">
        <v>2.0429227069096551E-4</v>
      </c>
    </row>
    <row r="2662" spans="2:11" ht="15.75" x14ac:dyDescent="0.25">
      <c r="B2662" s="667" t="s">
        <v>309</v>
      </c>
      <c r="C2662" s="110">
        <v>2016</v>
      </c>
      <c r="D2662" s="687" t="s">
        <v>2587</v>
      </c>
      <c r="E2662" s="688">
        <v>4.2744065339564603E-2</v>
      </c>
      <c r="F2662" s="310">
        <v>4.2388192778459059E-2</v>
      </c>
      <c r="G2662" s="311">
        <v>0.17775306162393428</v>
      </c>
      <c r="H2662" s="311">
        <v>1.7861311827580353E-3</v>
      </c>
      <c r="I2662" s="394">
        <v>1.9329712534983665E-3</v>
      </c>
      <c r="J2662" s="689">
        <v>1.6871199552742879E-4</v>
      </c>
      <c r="K2662" s="690">
        <v>1.7634040331678636E-4</v>
      </c>
    </row>
    <row r="2663" spans="2:11" ht="15.75" x14ac:dyDescent="0.25">
      <c r="B2663" s="667" t="s">
        <v>309</v>
      </c>
      <c r="C2663" s="110">
        <v>2017</v>
      </c>
      <c r="D2663" s="687" t="s">
        <v>2588</v>
      </c>
      <c r="E2663" s="688">
        <v>4.1754760717347808E-2</v>
      </c>
      <c r="F2663" s="310">
        <v>3.5232486723705728E-2</v>
      </c>
      <c r="G2663" s="311">
        <v>0.15203562008324439</v>
      </c>
      <c r="H2663" s="311">
        <v>1.7210726387559818E-3</v>
      </c>
      <c r="I2663" s="394">
        <v>1.8637204631364449E-3</v>
      </c>
      <c r="J2663" s="689">
        <v>1.5355172013183354E-4</v>
      </c>
      <c r="K2663" s="690">
        <v>1.6049464754052883E-4</v>
      </c>
    </row>
    <row r="2664" spans="2:11" ht="15.75" x14ac:dyDescent="0.25">
      <c r="B2664" s="667" t="s">
        <v>309</v>
      </c>
      <c r="C2664" s="110">
        <v>2018</v>
      </c>
      <c r="D2664" s="687" t="s">
        <v>2589</v>
      </c>
      <c r="E2664" s="688">
        <v>4.0654667994277673E-2</v>
      </c>
      <c r="F2664" s="310">
        <v>2.9283784379122865E-2</v>
      </c>
      <c r="G2664" s="311">
        <v>0.13001487882278609</v>
      </c>
      <c r="H2664" s="311">
        <v>1.6884352795583097E-3</v>
      </c>
      <c r="I2664" s="394">
        <v>1.8293988267840604E-3</v>
      </c>
      <c r="J2664" s="689">
        <v>1.4075221560320511E-4</v>
      </c>
      <c r="K2664" s="690">
        <v>1.4711640621407562E-4</v>
      </c>
    </row>
    <row r="2665" spans="2:11" ht="15.75" x14ac:dyDescent="0.25">
      <c r="B2665" s="667" t="s">
        <v>309</v>
      </c>
      <c r="C2665" s="110">
        <v>2019</v>
      </c>
      <c r="D2665" s="687" t="s">
        <v>2590</v>
      </c>
      <c r="E2665" s="688">
        <v>3.9405367331883157E-2</v>
      </c>
      <c r="F2665" s="310">
        <v>2.4387455685412767E-2</v>
      </c>
      <c r="G2665" s="311">
        <v>0.11132990263019138</v>
      </c>
      <c r="H2665" s="311">
        <v>1.6725524048108596E-3</v>
      </c>
      <c r="I2665" s="394">
        <v>1.8130685532866018E-3</v>
      </c>
      <c r="J2665" s="689">
        <v>1.2964448294411761E-4</v>
      </c>
      <c r="K2665" s="690">
        <v>1.3550643117397798E-4</v>
      </c>
    </row>
    <row r="2666" spans="2:11" ht="15.75" x14ac:dyDescent="0.25">
      <c r="B2666" s="667" t="s">
        <v>309</v>
      </c>
      <c r="C2666" s="110">
        <v>2020</v>
      </c>
      <c r="D2666" s="687" t="s">
        <v>2591</v>
      </c>
      <c r="E2666" s="688">
        <v>3.8248734161758759E-2</v>
      </c>
      <c r="F2666" s="310">
        <v>2.0597318805038612E-2</v>
      </c>
      <c r="G2666" s="311">
        <v>9.5677391039016374E-2</v>
      </c>
      <c r="H2666" s="311">
        <v>1.6227395383936057E-3</v>
      </c>
      <c r="I2666" s="394">
        <v>1.7595185715889416E-3</v>
      </c>
      <c r="J2666" s="689">
        <v>1.1924542502043512E-4</v>
      </c>
      <c r="K2666" s="690">
        <v>1.2463717399612256E-4</v>
      </c>
    </row>
    <row r="2667" spans="2:11" ht="15.75" x14ac:dyDescent="0.25">
      <c r="B2667" s="667" t="s">
        <v>309</v>
      </c>
      <c r="C2667" s="110">
        <v>2021</v>
      </c>
      <c r="D2667" s="687" t="s">
        <v>2592</v>
      </c>
      <c r="E2667" s="688">
        <v>3.7081603903126786E-2</v>
      </c>
      <c r="F2667" s="310">
        <v>1.7723060494647079E-2</v>
      </c>
      <c r="G2667" s="311">
        <v>8.2634291423913431E-2</v>
      </c>
      <c r="H2667" s="311">
        <v>1.5488964553579208E-3</v>
      </c>
      <c r="I2667" s="394">
        <v>1.6797296558634116E-3</v>
      </c>
      <c r="J2667" s="689">
        <v>1.0909152238774252E-4</v>
      </c>
      <c r="K2667" s="690">
        <v>1.1402415694365526E-4</v>
      </c>
    </row>
    <row r="2668" spans="2:11" ht="15.75" x14ac:dyDescent="0.25">
      <c r="B2668" s="667" t="s">
        <v>309</v>
      </c>
      <c r="C2668" s="110">
        <v>2022</v>
      </c>
      <c r="D2668" s="687" t="s">
        <v>2593</v>
      </c>
      <c r="E2668" s="688">
        <v>3.5935500237833456E-2</v>
      </c>
      <c r="F2668" s="310">
        <v>1.4940388513344557E-2</v>
      </c>
      <c r="G2668" s="311">
        <v>7.1319665061440357E-2</v>
      </c>
      <c r="H2668" s="311">
        <v>1.4691184433276402E-3</v>
      </c>
      <c r="I2668" s="394">
        <v>1.5935033494566019E-3</v>
      </c>
      <c r="J2668" s="689">
        <v>9.9957639145631798E-5</v>
      </c>
      <c r="K2668" s="690">
        <v>1.044772800323428E-4</v>
      </c>
    </row>
    <row r="2669" spans="2:11" ht="15.75" x14ac:dyDescent="0.25">
      <c r="B2669" s="667" t="s">
        <v>309</v>
      </c>
      <c r="C2669" s="110">
        <v>2023</v>
      </c>
      <c r="D2669" s="687" t="s">
        <v>2594</v>
      </c>
      <c r="E2669" s="688">
        <v>3.4801974876212741E-2</v>
      </c>
      <c r="F2669" s="310">
        <v>1.2928926557417826E-2</v>
      </c>
      <c r="G2669" s="311">
        <v>6.2186111989912682E-2</v>
      </c>
      <c r="H2669" s="311">
        <v>1.3975979642144966E-3</v>
      </c>
      <c r="I2669" s="394">
        <v>1.5161399852483572E-3</v>
      </c>
      <c r="J2669" s="689">
        <v>9.0631568561031108E-5</v>
      </c>
      <c r="K2669" s="690">
        <v>9.472952591973179E-5</v>
      </c>
    </row>
    <row r="2670" spans="2:11" ht="15.75" x14ac:dyDescent="0.25">
      <c r="B2670" s="667" t="s">
        <v>309</v>
      </c>
      <c r="C2670" s="110">
        <v>2024</v>
      </c>
      <c r="D2670" s="687" t="s">
        <v>2595</v>
      </c>
      <c r="E2670" s="688">
        <v>3.3686261428836094E-2</v>
      </c>
      <c r="F2670" s="310">
        <v>1.1273857570206245E-2</v>
      </c>
      <c r="G2670" s="311">
        <v>5.4588193797726899E-2</v>
      </c>
      <c r="H2670" s="311">
        <v>1.3394836667134033E-3</v>
      </c>
      <c r="I2670" s="394">
        <v>1.4533644856270522E-3</v>
      </c>
      <c r="J2670" s="689">
        <v>8.1093251840801567E-5</v>
      </c>
      <c r="K2670" s="690">
        <v>8.4759928843067015E-5</v>
      </c>
    </row>
    <row r="2671" spans="2:11" ht="15.75" x14ac:dyDescent="0.25">
      <c r="B2671" s="667" t="s">
        <v>309</v>
      </c>
      <c r="C2671" s="110">
        <v>2025</v>
      </c>
      <c r="D2671" s="687" t="s">
        <v>2596</v>
      </c>
      <c r="E2671" s="688">
        <v>3.2584125451275529E-2</v>
      </c>
      <c r="F2671" s="310">
        <v>9.8756003971926503E-3</v>
      </c>
      <c r="G2671" s="311">
        <v>4.8417717624226447E-2</v>
      </c>
      <c r="H2671" s="311">
        <v>1.284854828519938E-3</v>
      </c>
      <c r="I2671" s="394">
        <v>1.3942977374025735E-3</v>
      </c>
      <c r="J2671" s="689">
        <v>7.3102611774436034E-5</v>
      </c>
      <c r="K2671" s="690">
        <v>7.6407987490840565E-5</v>
      </c>
    </row>
    <row r="2672" spans="2:11" ht="15.75" x14ac:dyDescent="0.25">
      <c r="B2672" s="667" t="s">
        <v>309</v>
      </c>
      <c r="C2672" s="110">
        <v>2026</v>
      </c>
      <c r="D2672" s="687" t="s">
        <v>2597</v>
      </c>
      <c r="E2672" s="688">
        <v>3.1581362357954813E-2</v>
      </c>
      <c r="F2672" s="310">
        <v>8.6495916545503548E-3</v>
      </c>
      <c r="G2672" s="311">
        <v>4.3346997618333161E-2</v>
      </c>
      <c r="H2672" s="311">
        <v>1.2195069997207168E-3</v>
      </c>
      <c r="I2672" s="394">
        <v>1.3235817322442727E-3</v>
      </c>
      <c r="J2672" s="689">
        <v>6.4729432868787035E-5</v>
      </c>
      <c r="K2672" s="690">
        <v>6.7656210590509174E-5</v>
      </c>
    </row>
    <row r="2673" spans="2:11" ht="15.75" x14ac:dyDescent="0.25">
      <c r="B2673" s="667" t="s">
        <v>309</v>
      </c>
      <c r="C2673" s="110">
        <v>2027</v>
      </c>
      <c r="D2673" s="687" t="s">
        <v>2598</v>
      </c>
      <c r="E2673" s="688">
        <v>3.067103665809974E-2</v>
      </c>
      <c r="F2673" s="310">
        <v>7.6661879120194492E-3</v>
      </c>
      <c r="G2673" s="311">
        <v>3.9118274834254799E-2</v>
      </c>
      <c r="H2673" s="311">
        <v>1.1528339222601537E-3</v>
      </c>
      <c r="I2673" s="394">
        <v>1.2514931147079821E-3</v>
      </c>
      <c r="J2673" s="689">
        <v>5.4723875091976704E-5</v>
      </c>
      <c r="K2673" s="690">
        <v>5.719824589003658E-5</v>
      </c>
    </row>
    <row r="2674" spans="2:11" ht="15.75" x14ac:dyDescent="0.25">
      <c r="B2674" s="667" t="s">
        <v>309</v>
      </c>
      <c r="C2674" s="110">
        <v>2028</v>
      </c>
      <c r="D2674" s="687" t="s">
        <v>2599</v>
      </c>
      <c r="E2674" s="688">
        <v>2.9857652403178343E-2</v>
      </c>
      <c r="F2674" s="310">
        <v>6.8540498852821723E-3</v>
      </c>
      <c r="G2674" s="311">
        <v>3.565161951005149E-2</v>
      </c>
      <c r="H2674" s="311">
        <v>1.0819124690790302E-3</v>
      </c>
      <c r="I2674" s="394">
        <v>1.1746770755106011E-3</v>
      </c>
      <c r="J2674" s="689">
        <v>4.7231084763502772E-5</v>
      </c>
      <c r="K2674" s="690">
        <v>4.9366664831673846E-5</v>
      </c>
    </row>
    <row r="2675" spans="2:11" ht="15.75" x14ac:dyDescent="0.25">
      <c r="B2675" s="667" t="s">
        <v>309</v>
      </c>
      <c r="C2675" s="110">
        <v>2029</v>
      </c>
      <c r="D2675" s="687" t="s">
        <v>2600</v>
      </c>
      <c r="E2675" s="688">
        <v>2.9134534008307799E-2</v>
      </c>
      <c r="F2675" s="310">
        <v>6.1366801985961649E-3</v>
      </c>
      <c r="G2675" s="311">
        <v>3.2680692806165562E-2</v>
      </c>
      <c r="H2675" s="311">
        <v>1.0145096753704068E-3</v>
      </c>
      <c r="I2675" s="394">
        <v>1.1016034842389357E-3</v>
      </c>
      <c r="J2675" s="689">
        <v>4.1730363932764121E-5</v>
      </c>
      <c r="K2675" s="690">
        <v>4.3617225814056309E-5</v>
      </c>
    </row>
    <row r="2676" spans="2:11" ht="15.75" x14ac:dyDescent="0.25">
      <c r="B2676" s="667" t="s">
        <v>309</v>
      </c>
      <c r="C2676" s="110">
        <v>2030</v>
      </c>
      <c r="D2676" s="687" t="s">
        <v>2601</v>
      </c>
      <c r="E2676" s="688">
        <v>2.8496342514280751E-2</v>
      </c>
      <c r="F2676" s="310">
        <v>5.5375017459551156E-3</v>
      </c>
      <c r="G2676" s="311">
        <v>3.0221223096305806E-2</v>
      </c>
      <c r="H2676" s="311">
        <v>9.511213677353235E-4</v>
      </c>
      <c r="I2676" s="394">
        <v>1.0328657867724014E-3</v>
      </c>
      <c r="J2676" s="689">
        <v>3.694293162677962E-5</v>
      </c>
      <c r="K2676" s="690">
        <v>3.8613327063111441E-5</v>
      </c>
    </row>
    <row r="2677" spans="2:11" ht="15.75" x14ac:dyDescent="0.25">
      <c r="B2677" s="667" t="s">
        <v>309</v>
      </c>
      <c r="C2677" s="110">
        <v>2031</v>
      </c>
      <c r="D2677" s="687" t="s">
        <v>2602</v>
      </c>
      <c r="E2677" s="688">
        <v>2.7934613705921058E-2</v>
      </c>
      <c r="F2677" s="310">
        <v>5.0359840073696E-3</v>
      </c>
      <c r="G2677" s="311">
        <v>2.8122652254530551E-2</v>
      </c>
      <c r="H2677" s="311">
        <v>8.9732168414086795E-4</v>
      </c>
      <c r="I2677" s="394">
        <v>9.7448505028348514E-4</v>
      </c>
      <c r="J2677" s="689">
        <v>3.3843791847937814E-5</v>
      </c>
      <c r="K2677" s="690">
        <v>3.5374057935699495E-5</v>
      </c>
    </row>
    <row r="2678" spans="2:11" ht="15.75" x14ac:dyDescent="0.25">
      <c r="B2678" s="667" t="s">
        <v>309</v>
      </c>
      <c r="C2678" s="110">
        <v>2032</v>
      </c>
      <c r="D2678" s="687" t="s">
        <v>2603</v>
      </c>
      <c r="E2678" s="688">
        <v>2.7442389286901854E-2</v>
      </c>
      <c r="F2678" s="310">
        <v>4.5783789177949044E-3</v>
      </c>
      <c r="G2678" s="311">
        <v>2.6353117509170285E-2</v>
      </c>
      <c r="H2678" s="311">
        <v>8.4235803334230188E-4</v>
      </c>
      <c r="I2678" s="394">
        <v>9.1483544905329619E-4</v>
      </c>
      <c r="J2678" s="689">
        <v>3.0814130730678094E-5</v>
      </c>
      <c r="K2678" s="690">
        <v>3.2207408986639421E-5</v>
      </c>
    </row>
    <row r="2679" spans="2:11" ht="15.75" x14ac:dyDescent="0.25">
      <c r="B2679" s="667" t="s">
        <v>309</v>
      </c>
      <c r="C2679" s="110">
        <v>2033</v>
      </c>
      <c r="D2679" s="687" t="s">
        <v>2604</v>
      </c>
      <c r="E2679" s="688">
        <v>2.7013099270018968E-2</v>
      </c>
      <c r="F2679" s="310">
        <v>4.1842075647948156E-3</v>
      </c>
      <c r="G2679" s="311">
        <v>2.4892035821631204E-2</v>
      </c>
      <c r="H2679" s="311">
        <v>7.9225751947469133E-4</v>
      </c>
      <c r="I2679" s="394">
        <v>8.6043629566686969E-4</v>
      </c>
      <c r="J2679" s="689">
        <v>2.8696721335788207E-5</v>
      </c>
      <c r="K2679" s="690">
        <v>2.9994259734777595E-5</v>
      </c>
    </row>
    <row r="2680" spans="2:11" ht="15.75" x14ac:dyDescent="0.25">
      <c r="B2680" s="667" t="s">
        <v>309</v>
      </c>
      <c r="C2680" s="110">
        <v>2034</v>
      </c>
      <c r="D2680" s="687" t="s">
        <v>2605</v>
      </c>
      <c r="E2680" s="688">
        <v>2.664095753241711E-2</v>
      </c>
      <c r="F2680" s="310">
        <v>3.8310659888713132E-3</v>
      </c>
      <c r="G2680" s="311">
        <v>2.3640936505807657E-2</v>
      </c>
      <c r="H2680" s="311">
        <v>7.4579083718538447E-4</v>
      </c>
      <c r="I2680" s="394">
        <v>8.0998120207933719E-4</v>
      </c>
      <c r="J2680" s="689">
        <v>2.6769600257414467E-5</v>
      </c>
      <c r="K2680" s="690">
        <v>2.7980002792712862E-5</v>
      </c>
    </row>
    <row r="2681" spans="2:11" ht="15.75" x14ac:dyDescent="0.25">
      <c r="B2681" s="667" t="s">
        <v>309</v>
      </c>
      <c r="C2681" s="110">
        <v>2035</v>
      </c>
      <c r="D2681" s="687" t="s">
        <v>2606</v>
      </c>
      <c r="E2681" s="688">
        <v>2.6320644788143152E-2</v>
      </c>
      <c r="F2681" s="310">
        <v>3.5207900146115925E-3</v>
      </c>
      <c r="G2681" s="311">
        <v>2.259727739750534E-2</v>
      </c>
      <c r="H2681" s="311">
        <v>7.0325601088620511E-4</v>
      </c>
      <c r="I2681" s="394">
        <v>7.6379382378352297E-4</v>
      </c>
      <c r="J2681" s="689">
        <v>2.5043935388609367E-5</v>
      </c>
      <c r="K2681" s="690">
        <v>2.617631101606491E-5</v>
      </c>
    </row>
    <row r="2682" spans="2:11" ht="15.75" x14ac:dyDescent="0.25">
      <c r="B2682" s="667" t="s">
        <v>309</v>
      </c>
      <c r="C2682" s="110">
        <v>2036</v>
      </c>
      <c r="D2682" s="687" t="s">
        <v>2607</v>
      </c>
      <c r="E2682" s="688">
        <v>2.6046739980281348E-2</v>
      </c>
      <c r="F2682" s="310">
        <v>3.2501086811229109E-3</v>
      </c>
      <c r="G2682" s="311">
        <v>2.1723256104845205E-2</v>
      </c>
      <c r="H2682" s="311">
        <v>6.6625912057242346E-4</v>
      </c>
      <c r="I2682" s="394">
        <v>7.2362067626266459E-4</v>
      </c>
      <c r="J2682" s="689">
        <v>2.3525462372403727E-5</v>
      </c>
      <c r="K2682" s="690">
        <v>2.4589179388190671E-5</v>
      </c>
    </row>
    <row r="2683" spans="2:11" ht="15.75" x14ac:dyDescent="0.25">
      <c r="B2683" s="667" t="s">
        <v>309</v>
      </c>
      <c r="C2683" s="110">
        <v>2037</v>
      </c>
      <c r="D2683" s="687" t="s">
        <v>2608</v>
      </c>
      <c r="E2683" s="688">
        <v>2.5814797524424182E-2</v>
      </c>
      <c r="F2683" s="310">
        <v>3.0205692145202768E-3</v>
      </c>
      <c r="G2683" s="311">
        <v>2.1015048426082455E-2</v>
      </c>
      <c r="H2683" s="311">
        <v>6.334065339772991E-4</v>
      </c>
      <c r="I2683" s="394">
        <v>6.8794332405851342E-4</v>
      </c>
      <c r="J2683" s="689">
        <v>2.2278680753078416E-5</v>
      </c>
      <c r="K2683" s="690">
        <v>2.3286023836550979E-5</v>
      </c>
    </row>
    <row r="2684" spans="2:11" ht="15.75" x14ac:dyDescent="0.25">
      <c r="B2684" s="667" t="s">
        <v>309</v>
      </c>
      <c r="C2684" s="110">
        <v>2038</v>
      </c>
      <c r="D2684" s="687" t="s">
        <v>2609</v>
      </c>
      <c r="E2684" s="688">
        <v>2.5619589660316421E-2</v>
      </c>
      <c r="F2684" s="310">
        <v>2.8109656242771854E-3</v>
      </c>
      <c r="G2684" s="311">
        <v>2.0369147197201277E-2</v>
      </c>
      <c r="H2684" s="311">
        <v>6.0420003888690319E-4</v>
      </c>
      <c r="I2684" s="394">
        <v>6.5622316444369352E-4</v>
      </c>
      <c r="J2684" s="689">
        <v>2.1226930693671473E-5</v>
      </c>
      <c r="K2684" s="690">
        <v>2.2186718306529285E-5</v>
      </c>
    </row>
    <row r="2685" spans="2:11" ht="15.75" x14ac:dyDescent="0.25">
      <c r="B2685" s="667" t="s">
        <v>309</v>
      </c>
      <c r="C2685" s="110">
        <v>2039</v>
      </c>
      <c r="D2685" s="687" t="s">
        <v>2610</v>
      </c>
      <c r="E2685" s="688">
        <v>2.545672190330435E-2</v>
      </c>
      <c r="F2685" s="310">
        <v>2.6117949952552868E-3</v>
      </c>
      <c r="G2685" s="311">
        <v>1.9752489345625426E-2</v>
      </c>
      <c r="H2685" s="311">
        <v>5.783516804813843E-4</v>
      </c>
      <c r="I2685" s="394">
        <v>6.2814803508382477E-4</v>
      </c>
      <c r="J2685" s="689">
        <v>2.0346264366130215E-5</v>
      </c>
      <c r="K2685" s="690">
        <v>2.126623215555568E-5</v>
      </c>
    </row>
    <row r="2686" spans="2:11" ht="15.75" x14ac:dyDescent="0.25">
      <c r="B2686" s="667" t="s">
        <v>309</v>
      </c>
      <c r="C2686" s="110">
        <v>2040</v>
      </c>
      <c r="D2686" s="687" t="s">
        <v>2611</v>
      </c>
      <c r="E2686" s="688">
        <v>2.5321360911482498E-2</v>
      </c>
      <c r="F2686" s="310">
        <v>2.4366101455297147E-3</v>
      </c>
      <c r="G2686" s="311">
        <v>1.9250786579751312E-2</v>
      </c>
      <c r="H2686" s="311">
        <v>5.5581454717934758E-4</v>
      </c>
      <c r="I2686" s="394">
        <v>6.0366868684005978E-4</v>
      </c>
      <c r="J2686" s="689">
        <v>1.9594877456176233E-5</v>
      </c>
      <c r="K2686" s="690">
        <v>2.048087086376362E-5</v>
      </c>
    </row>
    <row r="2687" spans="2:11" ht="15.75" x14ac:dyDescent="0.25">
      <c r="B2687" s="667" t="s">
        <v>309</v>
      </c>
      <c r="C2687" s="110">
        <v>2041</v>
      </c>
      <c r="D2687" s="687" t="s">
        <v>2612</v>
      </c>
      <c r="E2687" s="688">
        <v>2.5210469235252532E-2</v>
      </c>
      <c r="F2687" s="310">
        <v>2.3018737751388236E-3</v>
      </c>
      <c r="G2687" s="311">
        <v>1.885905830566462E-2</v>
      </c>
      <c r="H2687" s="311">
        <v>5.3813353350282741E-4</v>
      </c>
      <c r="I2687" s="394">
        <v>5.8446541820154853E-4</v>
      </c>
      <c r="J2687" s="689">
        <v>1.8970770257561495E-5</v>
      </c>
      <c r="K2687" s="690">
        <v>1.9828544307062178E-5</v>
      </c>
    </row>
    <row r="2688" spans="2:11" ht="15.75" x14ac:dyDescent="0.25">
      <c r="B2688" s="667" t="s">
        <v>309</v>
      </c>
      <c r="C2688" s="110">
        <v>2042</v>
      </c>
      <c r="D2688" s="687" t="s">
        <v>2613</v>
      </c>
      <c r="E2688" s="688">
        <v>2.5119158485154874E-2</v>
      </c>
      <c r="F2688" s="310">
        <v>2.1868825595136071E-3</v>
      </c>
      <c r="G2688" s="311">
        <v>1.8502716687502811E-2</v>
      </c>
      <c r="H2688" s="311">
        <v>5.2306174827101406E-4</v>
      </c>
      <c r="I2688" s="394">
        <v>5.6809511298199498E-4</v>
      </c>
      <c r="J2688" s="689">
        <v>1.8460185323166131E-5</v>
      </c>
      <c r="K2688" s="690">
        <v>1.9294872987620508E-5</v>
      </c>
    </row>
    <row r="2689" spans="2:11" ht="15.75" x14ac:dyDescent="0.25">
      <c r="B2689" s="667" t="s">
        <v>309</v>
      </c>
      <c r="C2689" s="110">
        <v>2043</v>
      </c>
      <c r="D2689" s="687" t="s">
        <v>2614</v>
      </c>
      <c r="E2689" s="688">
        <v>2.5045090335519323E-2</v>
      </c>
      <c r="F2689" s="310">
        <v>2.0990476404622819E-3</v>
      </c>
      <c r="G2689" s="311">
        <v>1.8233150882150957E-2</v>
      </c>
      <c r="H2689" s="311">
        <v>5.1034319898868828E-4</v>
      </c>
      <c r="I2689" s="394">
        <v>5.5427968680363455E-4</v>
      </c>
      <c r="J2689" s="689">
        <v>1.8055315869044299E-5</v>
      </c>
      <c r="K2689" s="690">
        <v>1.8871697133364934E-5</v>
      </c>
    </row>
    <row r="2690" spans="2:11" ht="15.75" x14ac:dyDescent="0.25">
      <c r="B2690" s="667" t="s">
        <v>309</v>
      </c>
      <c r="C2690" s="110">
        <v>2044</v>
      </c>
      <c r="D2690" s="687" t="s">
        <v>2615</v>
      </c>
      <c r="E2690" s="688">
        <v>2.4984438940046622E-2</v>
      </c>
      <c r="F2690" s="310">
        <v>2.033033006300661E-3</v>
      </c>
      <c r="G2690" s="311">
        <v>1.8018692145483024E-2</v>
      </c>
      <c r="H2690" s="311">
        <v>4.996174549617774E-4</v>
      </c>
      <c r="I2690" s="394">
        <v>5.4262807916556101E-4</v>
      </c>
      <c r="J2690" s="689">
        <v>1.7733961308738505E-5</v>
      </c>
      <c r="K2690" s="690">
        <v>1.8535812345831835E-5</v>
      </c>
    </row>
    <row r="2691" spans="2:11" ht="15.75" x14ac:dyDescent="0.25">
      <c r="B2691" s="667" t="s">
        <v>309</v>
      </c>
      <c r="C2691" s="110">
        <v>2045</v>
      </c>
      <c r="D2691" s="687" t="s">
        <v>2616</v>
      </c>
      <c r="E2691" s="688">
        <v>2.4934278258508958E-2</v>
      </c>
      <c r="F2691" s="310">
        <v>1.9880317017801769E-3</v>
      </c>
      <c r="G2691" s="311">
        <v>1.78728098770208E-2</v>
      </c>
      <c r="H2691" s="311">
        <v>4.9059423699681227E-4</v>
      </c>
      <c r="I2691" s="394">
        <v>5.3282521404515748E-4</v>
      </c>
      <c r="J2691" s="689">
        <v>1.748127620175599E-5</v>
      </c>
      <c r="K2691" s="690">
        <v>1.8271701939585116E-5</v>
      </c>
    </row>
    <row r="2692" spans="2:11" ht="15.75" x14ac:dyDescent="0.25">
      <c r="B2692" s="667" t="s">
        <v>309</v>
      </c>
      <c r="C2692" s="110">
        <v>2046</v>
      </c>
      <c r="D2692" s="687" t="s">
        <v>2617</v>
      </c>
      <c r="E2692" s="688">
        <v>2.489295153957358E-2</v>
      </c>
      <c r="F2692" s="310">
        <v>1.9489580047727479E-3</v>
      </c>
      <c r="G2692" s="311">
        <v>1.7752461233043023E-2</v>
      </c>
      <c r="H2692" s="311">
        <v>4.8308430709582099E-4</v>
      </c>
      <c r="I2692" s="394">
        <v>5.2466608420392434E-4</v>
      </c>
      <c r="J2692" s="689">
        <v>1.7278231931554443E-5</v>
      </c>
      <c r="K2692" s="690">
        <v>1.8059476908480671E-5</v>
      </c>
    </row>
    <row r="2693" spans="2:11" ht="15.75" x14ac:dyDescent="0.25">
      <c r="B2693" s="667" t="s">
        <v>309</v>
      </c>
      <c r="C2693" s="110">
        <v>2047</v>
      </c>
      <c r="D2693" s="687" t="s">
        <v>2618</v>
      </c>
      <c r="E2693" s="688">
        <v>2.48593590006356E-2</v>
      </c>
      <c r="F2693" s="310">
        <v>1.9132611550056458E-3</v>
      </c>
      <c r="G2693" s="311">
        <v>1.7635459625814032E-2</v>
      </c>
      <c r="H2693" s="311">
        <v>4.7683871756024586E-4</v>
      </c>
      <c r="I2693" s="394">
        <v>5.1788064548215554E-4</v>
      </c>
      <c r="J2693" s="689">
        <v>1.7108093033098392E-5</v>
      </c>
      <c r="K2693" s="690">
        <v>1.7881645084016607E-5</v>
      </c>
    </row>
    <row r="2694" spans="2:11" ht="15.75" x14ac:dyDescent="0.25">
      <c r="B2694" s="667" t="s">
        <v>309</v>
      </c>
      <c r="C2694" s="110">
        <v>2048</v>
      </c>
      <c r="D2694" s="687" t="s">
        <v>2619</v>
      </c>
      <c r="E2694" s="688">
        <v>2.4831407503708998E-2</v>
      </c>
      <c r="F2694" s="310">
        <v>1.8837107194245553E-3</v>
      </c>
      <c r="G2694" s="311">
        <v>1.7534313489410352E-2</v>
      </c>
      <c r="H2694" s="311">
        <v>4.7165739265947449E-4</v>
      </c>
      <c r="I2694" s="394">
        <v>5.122519044092037E-4</v>
      </c>
      <c r="J2694" s="689">
        <v>1.6956531913236413E-5</v>
      </c>
      <c r="K2694" s="690">
        <v>1.7723231042856992E-5</v>
      </c>
    </row>
    <row r="2695" spans="2:11" ht="15.75" x14ac:dyDescent="0.25">
      <c r="B2695" s="667" t="s">
        <v>309</v>
      </c>
      <c r="C2695" s="110">
        <v>2049</v>
      </c>
      <c r="D2695" s="687" t="s">
        <v>2620</v>
      </c>
      <c r="E2695" s="688">
        <v>2.4808353664134027E-2</v>
      </c>
      <c r="F2695" s="310">
        <v>1.8729202768207431E-3</v>
      </c>
      <c r="G2695" s="311">
        <v>1.7540878716843192E-2</v>
      </c>
      <c r="H2695" s="311">
        <v>4.6835045720853441E-4</v>
      </c>
      <c r="I2695" s="394">
        <v>5.0865971073026529E-4</v>
      </c>
      <c r="J2695" s="689">
        <v>1.6852690468766239E-5</v>
      </c>
      <c r="K2695" s="690">
        <v>1.7614694349057446E-5</v>
      </c>
    </row>
    <row r="2696" spans="2:11" ht="15.75" x14ac:dyDescent="0.25">
      <c r="B2696" s="667" t="s">
        <v>309</v>
      </c>
      <c r="C2696" s="110">
        <v>2050</v>
      </c>
      <c r="D2696" s="687" t="s">
        <v>2621</v>
      </c>
      <c r="E2696" s="688">
        <v>2.4789808865608724E-2</v>
      </c>
      <c r="F2696" s="310">
        <v>1.86447848400871E-3</v>
      </c>
      <c r="G2696" s="311">
        <v>1.7549821229754674E-2</v>
      </c>
      <c r="H2696" s="311">
        <v>4.6566915533485293E-4</v>
      </c>
      <c r="I2696" s="394">
        <v>5.0574800714730194E-4</v>
      </c>
      <c r="J2696" s="689">
        <v>1.674751577483402E-5</v>
      </c>
      <c r="K2696" s="690">
        <v>1.7504764122171415E-5</v>
      </c>
    </row>
    <row r="2697" spans="2:11" ht="15.75" x14ac:dyDescent="0.25">
      <c r="B2697" s="667" t="s">
        <v>310</v>
      </c>
      <c r="C2697" s="110">
        <v>2015</v>
      </c>
      <c r="D2697" s="687" t="s">
        <v>2622</v>
      </c>
      <c r="E2697" s="688">
        <v>4.5212109250684689E-2</v>
      </c>
      <c r="F2697" s="310">
        <v>5.4328343143226369E-2</v>
      </c>
      <c r="G2697" s="311">
        <v>0.17874552335103711</v>
      </c>
      <c r="H2697" s="311">
        <v>2.0891749078922215E-3</v>
      </c>
      <c r="I2697" s="394">
        <v>2.2623447188865218E-3</v>
      </c>
      <c r="J2697" s="689">
        <v>1.4140522263261256E-4</v>
      </c>
      <c r="K2697" s="690">
        <v>1.4779893932367715E-4</v>
      </c>
    </row>
    <row r="2698" spans="2:11" ht="15.75" x14ac:dyDescent="0.25">
      <c r="B2698" s="667" t="s">
        <v>310</v>
      </c>
      <c r="C2698" s="110">
        <v>2016</v>
      </c>
      <c r="D2698" s="687" t="s">
        <v>2623</v>
      </c>
      <c r="E2698" s="688">
        <v>4.4388767592248579E-2</v>
      </c>
      <c r="F2698" s="310">
        <v>4.508299884637524E-2</v>
      </c>
      <c r="G2698" s="311">
        <v>0.15253831247881131</v>
      </c>
      <c r="H2698" s="311">
        <v>2.0012610523618157E-3</v>
      </c>
      <c r="I2698" s="394">
        <v>2.1688574548917464E-3</v>
      </c>
      <c r="J2698" s="689">
        <v>1.191145939748125E-4</v>
      </c>
      <c r="K2698" s="690">
        <v>1.2450042735117118E-4</v>
      </c>
    </row>
    <row r="2699" spans="2:11" ht="15.75" x14ac:dyDescent="0.25">
      <c r="B2699" s="667" t="s">
        <v>310</v>
      </c>
      <c r="C2699" s="110">
        <v>2017</v>
      </c>
      <c r="D2699" s="687" t="s">
        <v>2624</v>
      </c>
      <c r="E2699" s="688">
        <v>4.3278191630242713E-2</v>
      </c>
      <c r="F2699" s="310">
        <v>3.7637367011795174E-2</v>
      </c>
      <c r="G2699" s="311">
        <v>0.13024601991606297</v>
      </c>
      <c r="H2699" s="311">
        <v>1.9655464412708878E-3</v>
      </c>
      <c r="I2699" s="394">
        <v>2.131300031758807E-3</v>
      </c>
      <c r="J2699" s="689">
        <v>1.0850026810311203E-4</v>
      </c>
      <c r="K2699" s="690">
        <v>1.134061687639257E-4</v>
      </c>
    </row>
    <row r="2700" spans="2:11" ht="15.75" x14ac:dyDescent="0.25">
      <c r="B2700" s="667" t="s">
        <v>310</v>
      </c>
      <c r="C2700" s="110">
        <v>2018</v>
      </c>
      <c r="D2700" s="687" t="s">
        <v>2625</v>
      </c>
      <c r="E2700" s="688">
        <v>4.2082155655644209E-2</v>
      </c>
      <c r="F2700" s="310">
        <v>3.1101435244372932E-2</v>
      </c>
      <c r="G2700" s="311">
        <v>0.11100650083835108</v>
      </c>
      <c r="H2700" s="311">
        <v>1.9543238477453956E-3</v>
      </c>
      <c r="I2700" s="394">
        <v>2.1201774511185206E-3</v>
      </c>
      <c r="J2700" s="689">
        <v>1.0015182507444756E-4</v>
      </c>
      <c r="K2700" s="690">
        <v>1.0468024618717268E-4</v>
      </c>
    </row>
    <row r="2701" spans="2:11" ht="15.75" x14ac:dyDescent="0.25">
      <c r="B2701" s="667" t="s">
        <v>310</v>
      </c>
      <c r="C2701" s="110">
        <v>2019</v>
      </c>
      <c r="D2701" s="687" t="s">
        <v>2626</v>
      </c>
      <c r="E2701" s="688">
        <v>4.0582519916528732E-2</v>
      </c>
      <c r="F2701" s="310">
        <v>2.5704600117533571E-2</v>
      </c>
      <c r="G2701" s="311">
        <v>9.4860324572179272E-2</v>
      </c>
      <c r="H2701" s="311">
        <v>1.9376939007847848E-3</v>
      </c>
      <c r="I2701" s="394">
        <v>2.102942251724832E-3</v>
      </c>
      <c r="J2701" s="689">
        <v>9.2202470999232098E-5</v>
      </c>
      <c r="K2701" s="690">
        <v>9.6371457595412127E-5</v>
      </c>
    </row>
    <row r="2702" spans="2:11" ht="15.75" x14ac:dyDescent="0.25">
      <c r="B2702" s="667" t="s">
        <v>310</v>
      </c>
      <c r="C2702" s="110">
        <v>2020</v>
      </c>
      <c r="D2702" s="687" t="s">
        <v>2627</v>
      </c>
      <c r="E2702" s="688">
        <v>3.9326479782517715E-2</v>
      </c>
      <c r="F2702" s="310">
        <v>2.1782299614797319E-2</v>
      </c>
      <c r="G2702" s="311">
        <v>8.1738991077713055E-2</v>
      </c>
      <c r="H2702" s="311">
        <v>1.8765432726061085E-3</v>
      </c>
      <c r="I2702" s="394">
        <v>2.0368872253631715E-3</v>
      </c>
      <c r="J2702" s="689">
        <v>8.6113772992453338E-5</v>
      </c>
      <c r="K2702" s="690">
        <v>9.0007455682963674E-5</v>
      </c>
    </row>
    <row r="2703" spans="2:11" ht="15.75" x14ac:dyDescent="0.25">
      <c r="B2703" s="667" t="s">
        <v>310</v>
      </c>
      <c r="C2703" s="110">
        <v>2021</v>
      </c>
      <c r="D2703" s="687" t="s">
        <v>2628</v>
      </c>
      <c r="E2703" s="688">
        <v>3.8062897841584946E-2</v>
      </c>
      <c r="F2703" s="310">
        <v>1.871270545461956E-2</v>
      </c>
      <c r="G2703" s="311">
        <v>7.0814883009840734E-2</v>
      </c>
      <c r="H2703" s="311">
        <v>1.7698655719144696E-3</v>
      </c>
      <c r="I2703" s="394">
        <v>1.9213008850742996E-3</v>
      </c>
      <c r="J2703" s="689">
        <v>7.8616885311804559E-5</v>
      </c>
      <c r="K2703" s="690">
        <v>8.2171592008342071E-5</v>
      </c>
    </row>
    <row r="2704" spans="2:11" ht="15.75" x14ac:dyDescent="0.25">
      <c r="B2704" s="667" t="s">
        <v>310</v>
      </c>
      <c r="C2704" s="110">
        <v>2022</v>
      </c>
      <c r="D2704" s="687" t="s">
        <v>2629</v>
      </c>
      <c r="E2704" s="688">
        <v>3.6818614818011644E-2</v>
      </c>
      <c r="F2704" s="310">
        <v>1.5785522803995838E-2</v>
      </c>
      <c r="G2704" s="311">
        <v>6.1395318526720123E-2</v>
      </c>
      <c r="H2704" s="311">
        <v>1.6687127798438288E-3</v>
      </c>
      <c r="I2704" s="394">
        <v>1.8117440851996957E-3</v>
      </c>
      <c r="J2704" s="689">
        <v>7.2195702120831631E-5</v>
      </c>
      <c r="K2704" s="690">
        <v>7.5460071407052267E-5</v>
      </c>
    </row>
    <row r="2705" spans="2:11" ht="15.75" x14ac:dyDescent="0.25">
      <c r="B2705" s="667" t="s">
        <v>310</v>
      </c>
      <c r="C2705" s="110">
        <v>2023</v>
      </c>
      <c r="D2705" s="687" t="s">
        <v>2630</v>
      </c>
      <c r="E2705" s="688">
        <v>3.5593375135673337E-2</v>
      </c>
      <c r="F2705" s="310">
        <v>1.37180348538631E-2</v>
      </c>
      <c r="G2705" s="311">
        <v>5.3894625334293365E-2</v>
      </c>
      <c r="H2705" s="311">
        <v>1.5844308559393558E-3</v>
      </c>
      <c r="I2705" s="394">
        <v>1.7203883096072361E-3</v>
      </c>
      <c r="J2705" s="689">
        <v>6.567871902693866E-5</v>
      </c>
      <c r="K2705" s="690">
        <v>6.8648419256337625E-5</v>
      </c>
    </row>
    <row r="2706" spans="2:11" ht="15.75" x14ac:dyDescent="0.25">
      <c r="B2706" s="667" t="s">
        <v>310</v>
      </c>
      <c r="C2706" s="110">
        <v>2024</v>
      </c>
      <c r="D2706" s="687" t="s">
        <v>2631</v>
      </c>
      <c r="E2706" s="688">
        <v>3.4397599455019405E-2</v>
      </c>
      <c r="F2706" s="310">
        <v>1.2114064890602386E-2</v>
      </c>
      <c r="G2706" s="311">
        <v>4.7797581187998261E-2</v>
      </c>
      <c r="H2706" s="311">
        <v>1.5292355531389421E-3</v>
      </c>
      <c r="I2706" s="394">
        <v>1.6606879192988281E-3</v>
      </c>
      <c r="J2706" s="689">
        <v>5.8611724657963957E-5</v>
      </c>
      <c r="K2706" s="690">
        <v>6.126188676132093E-5</v>
      </c>
    </row>
    <row r="2707" spans="2:11" ht="15.75" x14ac:dyDescent="0.25">
      <c r="B2707" s="667" t="s">
        <v>310</v>
      </c>
      <c r="C2707" s="110">
        <v>2025</v>
      </c>
      <c r="D2707" s="687" t="s">
        <v>2632</v>
      </c>
      <c r="E2707" s="688">
        <v>3.3229385065049785E-2</v>
      </c>
      <c r="F2707" s="310">
        <v>1.0675776723465921E-2</v>
      </c>
      <c r="G2707" s="311">
        <v>4.280361665568589E-2</v>
      </c>
      <c r="H2707" s="311">
        <v>1.4692281760365802E-3</v>
      </c>
      <c r="I2707" s="394">
        <v>1.5956565243582471E-3</v>
      </c>
      <c r="J2707" s="689">
        <v>5.3364181035537899E-5</v>
      </c>
      <c r="K2707" s="690">
        <v>5.5777072501918712E-5</v>
      </c>
    </row>
    <row r="2708" spans="2:11" ht="15.75" x14ac:dyDescent="0.25">
      <c r="B2708" s="667" t="s">
        <v>310</v>
      </c>
      <c r="C2708" s="110">
        <v>2026</v>
      </c>
      <c r="D2708" s="687" t="s">
        <v>2633</v>
      </c>
      <c r="E2708" s="688">
        <v>3.2154045481593334E-2</v>
      </c>
      <c r="F2708" s="310">
        <v>9.4920416605070983E-3</v>
      </c>
      <c r="G2708" s="311">
        <v>3.8780719989012481E-2</v>
      </c>
      <c r="H2708" s="311">
        <v>1.4034359473441662E-3</v>
      </c>
      <c r="I2708" s="394">
        <v>1.5243355012038089E-3</v>
      </c>
      <c r="J2708" s="689">
        <v>4.7869972726168722E-5</v>
      </c>
      <c r="K2708" s="690">
        <v>5.0034440472988117E-5</v>
      </c>
    </row>
    <row r="2709" spans="2:11" ht="15.75" x14ac:dyDescent="0.25">
      <c r="B2709" s="667" t="s">
        <v>310</v>
      </c>
      <c r="C2709" s="110">
        <v>2027</v>
      </c>
      <c r="D2709" s="687" t="s">
        <v>2634</v>
      </c>
      <c r="E2709" s="688">
        <v>3.116424499830231E-2</v>
      </c>
      <c r="F2709" s="310">
        <v>8.4855405404906502E-3</v>
      </c>
      <c r="G2709" s="311">
        <v>3.5406356017469783E-2</v>
      </c>
      <c r="H2709" s="311">
        <v>1.3254418325795824E-3</v>
      </c>
      <c r="I2709" s="394">
        <v>1.4397771983600939E-3</v>
      </c>
      <c r="J2709" s="689">
        <v>4.1574061212208742E-5</v>
      </c>
      <c r="K2709" s="690">
        <v>4.3453855778060441E-5</v>
      </c>
    </row>
    <row r="2710" spans="2:11" ht="15.75" x14ac:dyDescent="0.25">
      <c r="B2710" s="667" t="s">
        <v>310</v>
      </c>
      <c r="C2710" s="110">
        <v>2028</v>
      </c>
      <c r="D2710" s="687" t="s">
        <v>2635</v>
      </c>
      <c r="E2710" s="688">
        <v>3.0270267149013579E-2</v>
      </c>
      <c r="F2710" s="310">
        <v>7.6451332164779165E-3</v>
      </c>
      <c r="G2710" s="311">
        <v>3.2613520789924827E-2</v>
      </c>
      <c r="H2710" s="311">
        <v>1.2402193512254932E-3</v>
      </c>
      <c r="I2710" s="394">
        <v>1.3472914864128484E-3</v>
      </c>
      <c r="J2710" s="689">
        <v>3.6818684845267354E-5</v>
      </c>
      <c r="K2710" s="690">
        <v>3.8483462393476072E-5</v>
      </c>
    </row>
    <row r="2711" spans="2:11" ht="15.75" x14ac:dyDescent="0.25">
      <c r="B2711" s="667" t="s">
        <v>310</v>
      </c>
      <c r="C2711" s="110">
        <v>2029</v>
      </c>
      <c r="D2711" s="687" t="s">
        <v>2636</v>
      </c>
      <c r="E2711" s="688">
        <v>2.9468745861541589E-2</v>
      </c>
      <c r="F2711" s="310">
        <v>6.9052633183995012E-3</v>
      </c>
      <c r="G2711" s="311">
        <v>3.0215054851472304E-2</v>
      </c>
      <c r="H2711" s="311">
        <v>1.1613866382521143E-3</v>
      </c>
      <c r="I2711" s="394">
        <v>1.2617009787795049E-3</v>
      </c>
      <c r="J2711" s="689">
        <v>3.3343566643979225E-5</v>
      </c>
      <c r="K2711" s="690">
        <v>3.4851214767734306E-5</v>
      </c>
    </row>
    <row r="2712" spans="2:11" ht="15.75" x14ac:dyDescent="0.25">
      <c r="B2712" s="667" t="s">
        <v>310</v>
      </c>
      <c r="C2712" s="110">
        <v>2030</v>
      </c>
      <c r="D2712" s="687" t="s">
        <v>2637</v>
      </c>
      <c r="E2712" s="688">
        <v>2.8752065097680492E-2</v>
      </c>
      <c r="F2712" s="310">
        <v>6.2792670485880553E-3</v>
      </c>
      <c r="G2712" s="311">
        <v>2.8207798466269605E-2</v>
      </c>
      <c r="H2712" s="311">
        <v>1.0892102875223872E-3</v>
      </c>
      <c r="I2712" s="394">
        <v>1.1833250919604866E-3</v>
      </c>
      <c r="J2712" s="689">
        <v>3.04532286503497E-5</v>
      </c>
      <c r="K2712" s="690">
        <v>3.1830188515717853E-5</v>
      </c>
    </row>
    <row r="2713" spans="2:11" ht="15.75" x14ac:dyDescent="0.25">
      <c r="B2713" s="667" t="s">
        <v>310</v>
      </c>
      <c r="C2713" s="110">
        <v>2031</v>
      </c>
      <c r="D2713" s="687" t="s">
        <v>2638</v>
      </c>
      <c r="E2713" s="688">
        <v>2.8113456688703822E-2</v>
      </c>
      <c r="F2713" s="310">
        <v>5.7487584562854977E-3</v>
      </c>
      <c r="G2713" s="311">
        <v>2.6486355563777601E-2</v>
      </c>
      <c r="H2713" s="311">
        <v>1.027169497072474E-3</v>
      </c>
      <c r="I2713" s="394">
        <v>1.1159183496266395E-3</v>
      </c>
      <c r="J2713" s="689">
        <v>2.8841975704738145E-5</v>
      </c>
      <c r="K2713" s="690">
        <v>3.0146081861734804E-5</v>
      </c>
    </row>
    <row r="2714" spans="2:11" ht="15.75" x14ac:dyDescent="0.25">
      <c r="B2714" s="667" t="s">
        <v>310</v>
      </c>
      <c r="C2714" s="110">
        <v>2032</v>
      </c>
      <c r="D2714" s="687" t="s">
        <v>2639</v>
      </c>
      <c r="E2714" s="688">
        <v>2.7548005401253902E-2</v>
      </c>
      <c r="F2714" s="310">
        <v>5.2676085489068228E-3</v>
      </c>
      <c r="G2714" s="311">
        <v>2.5036072213475858E-2</v>
      </c>
      <c r="H2714" s="311">
        <v>9.6611796648969921E-4</v>
      </c>
      <c r="I2714" s="394">
        <v>1.0495932393035504E-3</v>
      </c>
      <c r="J2714" s="689">
        <v>2.7095700866160641E-5</v>
      </c>
      <c r="K2714" s="690">
        <v>2.8320848223936524E-5</v>
      </c>
    </row>
    <row r="2715" spans="2:11" ht="15.75" x14ac:dyDescent="0.25">
      <c r="B2715" s="667" t="s">
        <v>310</v>
      </c>
      <c r="C2715" s="110">
        <v>2033</v>
      </c>
      <c r="D2715" s="687" t="s">
        <v>2640</v>
      </c>
      <c r="E2715" s="688">
        <v>2.7049402855028836E-2</v>
      </c>
      <c r="F2715" s="310">
        <v>4.8454500118943937E-3</v>
      </c>
      <c r="G2715" s="311">
        <v>2.3813687830065863E-2</v>
      </c>
      <c r="H2715" s="311">
        <v>9.1027051434851855E-4</v>
      </c>
      <c r="I2715" s="394">
        <v>9.8890230554486941E-4</v>
      </c>
      <c r="J2715" s="689">
        <v>2.5956698088434796E-5</v>
      </c>
      <c r="K2715" s="690">
        <v>2.7130344794851961E-5</v>
      </c>
    </row>
    <row r="2716" spans="2:11" ht="15.75" x14ac:dyDescent="0.25">
      <c r="B2716" s="667" t="s">
        <v>310</v>
      </c>
      <c r="C2716" s="110">
        <v>2034</v>
      </c>
      <c r="D2716" s="687" t="s">
        <v>2641</v>
      </c>
      <c r="E2716" s="688">
        <v>2.6610764769230667E-2</v>
      </c>
      <c r="F2716" s="310">
        <v>4.462441568935013E-3</v>
      </c>
      <c r="G2716" s="311">
        <v>2.2762373568929791E-2</v>
      </c>
      <c r="H2716" s="311">
        <v>8.5848701169047293E-4</v>
      </c>
      <c r="I2716" s="394">
        <v>9.3262748616986467E-4</v>
      </c>
      <c r="J2716" s="689">
        <v>2.49074042592353E-5</v>
      </c>
      <c r="K2716" s="690">
        <v>2.6033606554868374E-5</v>
      </c>
    </row>
    <row r="2717" spans="2:11" ht="15.75" x14ac:dyDescent="0.25">
      <c r="B2717" s="667" t="s">
        <v>310</v>
      </c>
      <c r="C2717" s="110">
        <v>2035</v>
      </c>
      <c r="D2717" s="687" t="s">
        <v>2642</v>
      </c>
      <c r="E2717" s="688">
        <v>2.6228578300199763E-2</v>
      </c>
      <c r="F2717" s="310">
        <v>4.1280752626624874E-3</v>
      </c>
      <c r="G2717" s="311">
        <v>2.1901328156365772E-2</v>
      </c>
      <c r="H2717" s="311">
        <v>8.1129182507991347E-4</v>
      </c>
      <c r="I2717" s="394">
        <v>8.813396725084932E-4</v>
      </c>
      <c r="J2717" s="689">
        <v>2.3933781902677546E-5</v>
      </c>
      <c r="K2717" s="690">
        <v>2.5015961315732425E-5</v>
      </c>
    </row>
    <row r="2718" spans="2:11" ht="15.75" x14ac:dyDescent="0.25">
      <c r="B2718" s="667" t="s">
        <v>310</v>
      </c>
      <c r="C2718" s="110">
        <v>2036</v>
      </c>
      <c r="D2718" s="687" t="s">
        <v>2643</v>
      </c>
      <c r="E2718" s="688">
        <v>2.635589324623425E-2</v>
      </c>
      <c r="F2718" s="310">
        <v>3.8285228731894049E-3</v>
      </c>
      <c r="G2718" s="311">
        <v>2.1146813712448698E-2</v>
      </c>
      <c r="H2718" s="311">
        <v>7.7009984409020192E-4</v>
      </c>
      <c r="I2718" s="394">
        <v>8.3657755094276062E-4</v>
      </c>
      <c r="J2718" s="689">
        <v>2.3039019753306576E-5</v>
      </c>
      <c r="K2718" s="690">
        <v>2.4080741992414992E-5</v>
      </c>
    </row>
    <row r="2719" spans="2:11" ht="15.75" x14ac:dyDescent="0.25">
      <c r="B2719" s="667" t="s">
        <v>310</v>
      </c>
      <c r="C2719" s="110">
        <v>2037</v>
      </c>
      <c r="D2719" s="687" t="s">
        <v>2644</v>
      </c>
      <c r="E2719" s="688">
        <v>2.6063870502389515E-2</v>
      </c>
      <c r="F2719" s="310">
        <v>3.5742390446922854E-3</v>
      </c>
      <c r="G2719" s="311">
        <v>2.0534429756209935E-2</v>
      </c>
      <c r="H2719" s="311">
        <v>7.3354419517548573E-4</v>
      </c>
      <c r="I2719" s="394">
        <v>7.968529989210673E-4</v>
      </c>
      <c r="J2719" s="689">
        <v>2.2259054834664229E-5</v>
      </c>
      <c r="K2719" s="690">
        <v>2.3265510521194819E-5</v>
      </c>
    </row>
    <row r="2720" spans="2:11" ht="15.75" x14ac:dyDescent="0.25">
      <c r="B2720" s="667" t="s">
        <v>310</v>
      </c>
      <c r="C2720" s="110">
        <v>2038</v>
      </c>
      <c r="D2720" s="687" t="s">
        <v>2645</v>
      </c>
      <c r="E2720" s="688">
        <v>2.5815577678094632E-2</v>
      </c>
      <c r="F2720" s="310">
        <v>3.3403198807115376E-3</v>
      </c>
      <c r="G2720" s="311">
        <v>1.9969968518147377E-2</v>
      </c>
      <c r="H2720" s="311">
        <v>7.0114260064970161E-4</v>
      </c>
      <c r="I2720" s="394">
        <v>7.6164088417873463E-4</v>
      </c>
      <c r="J2720" s="689">
        <v>2.1608312346902493E-5</v>
      </c>
      <c r="K2720" s="690">
        <v>2.2585344345763497E-5</v>
      </c>
    </row>
    <row r="2721" spans="2:11" ht="15.75" x14ac:dyDescent="0.25">
      <c r="B2721" s="667" t="s">
        <v>310</v>
      </c>
      <c r="C2721" s="110">
        <v>2039</v>
      </c>
      <c r="D2721" s="687" t="s">
        <v>2646</v>
      </c>
      <c r="E2721" s="688">
        <v>2.5603376532350685E-2</v>
      </c>
      <c r="F2721" s="310">
        <v>3.1208497351666734E-3</v>
      </c>
      <c r="G2721" s="311">
        <v>1.944211703257933E-2</v>
      </c>
      <c r="H2721" s="311">
        <v>6.7262524070744209E-4</v>
      </c>
      <c r="I2721" s="394">
        <v>7.3064935424298997E-4</v>
      </c>
      <c r="J2721" s="689">
        <v>2.1049006837077316E-5</v>
      </c>
      <c r="K2721" s="690">
        <v>2.2000749522665443E-5</v>
      </c>
    </row>
    <row r="2722" spans="2:11" ht="15.75" x14ac:dyDescent="0.25">
      <c r="B2722" s="667" t="s">
        <v>310</v>
      </c>
      <c r="C2722" s="110">
        <v>2040</v>
      </c>
      <c r="D2722" s="687" t="s">
        <v>2647</v>
      </c>
      <c r="E2722" s="688">
        <v>2.5425131829817163E-2</v>
      </c>
      <c r="F2722" s="310">
        <v>2.9226801067575151E-3</v>
      </c>
      <c r="G2722" s="311">
        <v>1.8995209893622956E-2</v>
      </c>
      <c r="H2722" s="311">
        <v>6.4777201523957524E-4</v>
      </c>
      <c r="I2722" s="394">
        <v>7.0363985251306344E-4</v>
      </c>
      <c r="J2722" s="689">
        <v>2.0561732125173679E-5</v>
      </c>
      <c r="K2722" s="690">
        <v>2.1491442410539079E-5</v>
      </c>
    </row>
    <row r="2723" spans="2:11" ht="15.75" x14ac:dyDescent="0.25">
      <c r="B2723" s="667" t="s">
        <v>310</v>
      </c>
      <c r="C2723" s="110">
        <v>2041</v>
      </c>
      <c r="D2723" s="687" t="s">
        <v>2648</v>
      </c>
      <c r="E2723" s="688">
        <v>2.5277515071428287E-2</v>
      </c>
      <c r="F2723" s="310">
        <v>2.7697411137253161E-3</v>
      </c>
      <c r="G2723" s="311">
        <v>1.8646966271503699E-2</v>
      </c>
      <c r="H2723" s="311">
        <v>6.284584916855403E-4</v>
      </c>
      <c r="I2723" s="394">
        <v>6.8265167832949852E-4</v>
      </c>
      <c r="J2723" s="689">
        <v>2.0159499879375362E-5</v>
      </c>
      <c r="K2723" s="690">
        <v>2.1071023007464927E-5</v>
      </c>
    </row>
    <row r="2724" spans="2:11" ht="15.75" x14ac:dyDescent="0.25">
      <c r="B2724" s="667" t="s">
        <v>310</v>
      </c>
      <c r="C2724" s="110">
        <v>2042</v>
      </c>
      <c r="D2724" s="687" t="s">
        <v>2649</v>
      </c>
      <c r="E2724" s="688">
        <v>2.5154515447241378E-2</v>
      </c>
      <c r="F2724" s="310">
        <v>2.6374994171408589E-3</v>
      </c>
      <c r="G2724" s="311">
        <v>1.8321076435101159E-2</v>
      </c>
      <c r="H2724" s="311">
        <v>6.1200933652259392E-4</v>
      </c>
      <c r="I2724" s="394">
        <v>6.6477569733534522E-4</v>
      </c>
      <c r="J2724" s="689">
        <v>1.9829686141078165E-5</v>
      </c>
      <c r="K2724" s="690">
        <v>2.0726296555448737E-5</v>
      </c>
    </row>
    <row r="2725" spans="2:11" ht="15.75" x14ac:dyDescent="0.25">
      <c r="B2725" s="667" t="s">
        <v>310</v>
      </c>
      <c r="C2725" s="110">
        <v>2043</v>
      </c>
      <c r="D2725" s="687" t="s">
        <v>2650</v>
      </c>
      <c r="E2725" s="688">
        <v>2.5053614454200963E-2</v>
      </c>
      <c r="F2725" s="310">
        <v>2.5372493225712341E-3</v>
      </c>
      <c r="G2725" s="311">
        <v>1.8075921386736433E-2</v>
      </c>
      <c r="H2725" s="311">
        <v>5.98139135167963E-4</v>
      </c>
      <c r="I2725" s="394">
        <v>6.4970180830904094E-4</v>
      </c>
      <c r="J2725" s="689">
        <v>1.9564900381314724E-5</v>
      </c>
      <c r="K2725" s="690">
        <v>2.0449538358598156E-5</v>
      </c>
    </row>
    <row r="2726" spans="2:11" ht="15.75" x14ac:dyDescent="0.25">
      <c r="B2726" s="667" t="s">
        <v>310</v>
      </c>
      <c r="C2726" s="110">
        <v>2044</v>
      </c>
      <c r="D2726" s="687" t="s">
        <v>2651</v>
      </c>
      <c r="E2726" s="688">
        <v>2.4969160924269512E-2</v>
      </c>
      <c r="F2726" s="310">
        <v>2.4617368978694259E-3</v>
      </c>
      <c r="G2726" s="311">
        <v>1.7875664789331617E-2</v>
      </c>
      <c r="H2726" s="311">
        <v>5.8643731824144295E-4</v>
      </c>
      <c r="I2726" s="394">
        <v>6.3698396414010438E-4</v>
      </c>
      <c r="J2726" s="689">
        <v>1.9353707946475997E-5</v>
      </c>
      <c r="K2726" s="690">
        <v>2.0228796739008553E-5</v>
      </c>
    </row>
    <row r="2727" spans="2:11" ht="15.75" x14ac:dyDescent="0.25">
      <c r="B2727" s="667" t="s">
        <v>310</v>
      </c>
      <c r="C2727" s="110">
        <v>2045</v>
      </c>
      <c r="D2727" s="687" t="s">
        <v>2652</v>
      </c>
      <c r="E2727" s="688">
        <v>2.4897911730811021E-2</v>
      </c>
      <c r="F2727" s="310">
        <v>2.4108200530655777E-3</v>
      </c>
      <c r="G2727" s="311">
        <v>1.773747245758913E-2</v>
      </c>
      <c r="H2727" s="311">
        <v>5.7659278522570413E-4</v>
      </c>
      <c r="I2727" s="394">
        <v>6.2628401363986881E-4</v>
      </c>
      <c r="J2727" s="689">
        <v>1.9191412533871013E-5</v>
      </c>
      <c r="K2727" s="690">
        <v>2.0059163048020813E-5</v>
      </c>
    </row>
    <row r="2728" spans="2:11" ht="15.75" x14ac:dyDescent="0.25">
      <c r="B2728" s="667" t="s">
        <v>310</v>
      </c>
      <c r="C2728" s="110">
        <v>2046</v>
      </c>
      <c r="D2728" s="687" t="s">
        <v>2653</v>
      </c>
      <c r="E2728" s="688">
        <v>2.4838749419350329E-2</v>
      </c>
      <c r="F2728" s="310">
        <v>2.3671776260732452E-3</v>
      </c>
      <c r="G2728" s="311">
        <v>1.7625805195593539E-2</v>
      </c>
      <c r="H2728" s="311">
        <v>5.6844133066160545E-4</v>
      </c>
      <c r="I2728" s="394">
        <v>6.1742395697620756E-4</v>
      </c>
      <c r="J2728" s="689">
        <v>1.9064124408560225E-5</v>
      </c>
      <c r="K2728" s="690">
        <v>1.9926119518516176E-5</v>
      </c>
    </row>
    <row r="2729" spans="2:11" ht="15.75" x14ac:dyDescent="0.25">
      <c r="B2729" s="667" t="s">
        <v>310</v>
      </c>
      <c r="C2729" s="110">
        <v>2047</v>
      </c>
      <c r="D2729" s="687" t="s">
        <v>2654</v>
      </c>
      <c r="E2729" s="688">
        <v>2.4790245717411022E-2</v>
      </c>
      <c r="F2729" s="310">
        <v>2.3268291610033329E-3</v>
      </c>
      <c r="G2729" s="311">
        <v>1.7514656846573079E-2</v>
      </c>
      <c r="H2729" s="311">
        <v>5.6168197963629555E-4</v>
      </c>
      <c r="I2729" s="394">
        <v>6.1007683966714178E-4</v>
      </c>
      <c r="J2729" s="689">
        <v>1.8962800719167192E-5</v>
      </c>
      <c r="K2729" s="690">
        <v>1.9820214421506002E-5</v>
      </c>
    </row>
    <row r="2730" spans="2:11" ht="15.75" x14ac:dyDescent="0.25">
      <c r="B2730" s="667" t="s">
        <v>310</v>
      </c>
      <c r="C2730" s="110">
        <v>2048</v>
      </c>
      <c r="D2730" s="687" t="s">
        <v>2655</v>
      </c>
      <c r="E2730" s="688">
        <v>2.4750611423575042E-2</v>
      </c>
      <c r="F2730" s="310">
        <v>2.2930527704489085E-3</v>
      </c>
      <c r="G2730" s="311">
        <v>1.7417141056514065E-2</v>
      </c>
      <c r="H2730" s="311">
        <v>5.5606771578380683E-4</v>
      </c>
      <c r="I2730" s="394">
        <v>6.0397428076367421E-4</v>
      </c>
      <c r="J2730" s="689">
        <v>1.8881025356429546E-5</v>
      </c>
      <c r="K2730" s="690">
        <v>1.973474153973813E-5</v>
      </c>
    </row>
    <row r="2731" spans="2:11" ht="15.75" x14ac:dyDescent="0.25">
      <c r="B2731" s="667" t="s">
        <v>310</v>
      </c>
      <c r="C2731" s="110">
        <v>2049</v>
      </c>
      <c r="D2731" s="687" t="s">
        <v>2656</v>
      </c>
      <c r="E2731" s="688">
        <v>2.4718696577362122E-2</v>
      </c>
      <c r="F2731" s="310">
        <v>2.2808866468412938E-3</v>
      </c>
      <c r="G2731" s="311">
        <v>1.7423116227841248E-2</v>
      </c>
      <c r="H2731" s="311">
        <v>5.5250704246144608E-4</v>
      </c>
      <c r="I2731" s="394">
        <v>6.0010434572715953E-4</v>
      </c>
      <c r="J2731" s="689">
        <v>1.8819148340890553E-5</v>
      </c>
      <c r="K2731" s="690">
        <v>1.9670066720131654E-5</v>
      </c>
    </row>
    <row r="2732" spans="2:11" ht="16.5" thickBot="1" x14ac:dyDescent="0.3">
      <c r="B2732" s="669" t="s">
        <v>310</v>
      </c>
      <c r="C2732" s="287">
        <v>2050</v>
      </c>
      <c r="D2732" s="691" t="s">
        <v>2657</v>
      </c>
      <c r="E2732" s="692">
        <v>2.4692375308652287E-2</v>
      </c>
      <c r="F2732" s="312">
        <v>2.2713979196713752E-3</v>
      </c>
      <c r="G2732" s="313">
        <v>1.7431922685019363E-2</v>
      </c>
      <c r="H2732" s="313">
        <v>5.4961877569638113E-4</v>
      </c>
      <c r="I2732" s="395">
        <v>5.9696565248821447E-4</v>
      </c>
      <c r="J2732" s="693">
        <v>1.8758726982356064E-5</v>
      </c>
      <c r="K2732" s="694">
        <v>1.9606913375880038E-5</v>
      </c>
    </row>
  </sheetData>
  <sheetProtection algorithmName="SHA-512" hashValue="TGXLJukiyPH0vn1sFtSMLxzwCZRpGC1Y884oWOqZ34PhULZZ9pU3yV97yzVpoUeL805eTCscQY5cGIWA6dQxdQ==" saltValue="oLgy8GAlMyKgb4d1cw2n/g==" spinCount="100000" sheet="1" objects="1" scenarios="1"/>
  <hyperlinks>
    <hyperlink ref="B23" r:id="rId1" tooltip="Link to EMFAC2017 Database"/>
  </hyperlinks>
  <pageMargins left="0.7" right="0.7" top="0.98479166666666662" bottom="0.75" header="0.3" footer="0.3"/>
  <pageSetup scale="65" fitToHeight="0" orientation="portrait" r:id="rId2"/>
  <headerFooter>
    <oddFooter>&amp;L&amp;"Avenir LT Std 55 Roman,Regular"&amp;12&amp;K000000FINAL November 1, 2019&amp;C&amp;"Avenir LT Std 55 Roman,Regular"&amp;12Page &amp;P of &amp;N&amp;R&amp;"Avenir LT Std 55 Roman,Regular"&amp;12&amp;K000000&amp;A</oddFooter>
  </headerFooter>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2:P950"/>
  <sheetViews>
    <sheetView showGridLines="0" zoomScaleNormal="100" workbookViewId="0"/>
  </sheetViews>
  <sheetFormatPr defaultRowHeight="15" x14ac:dyDescent="0.25"/>
  <cols>
    <col min="1" max="1" width="3.5703125" style="71" customWidth="1"/>
    <col min="2" max="2" width="11.7109375" style="71" customWidth="1"/>
    <col min="3" max="3" width="9.140625" style="71" customWidth="1"/>
    <col min="4" max="4" width="15.42578125" style="71" customWidth="1"/>
    <col min="5" max="6" width="17.7109375" style="302" customWidth="1"/>
    <col min="7" max="7" width="19.5703125" style="302" customWidth="1"/>
    <col min="8" max="8" width="17.7109375" style="302" customWidth="1"/>
    <col min="9" max="9" width="14.28515625" style="71" customWidth="1"/>
    <col min="10" max="10" width="12.140625" style="71" customWidth="1"/>
    <col min="11" max="11" width="15.28515625" style="71" customWidth="1"/>
    <col min="12" max="12" width="18.28515625" style="71" customWidth="1"/>
    <col min="13" max="13" width="14.7109375" style="71" customWidth="1"/>
    <col min="14" max="14" width="7" style="71" customWidth="1"/>
    <col min="15" max="15" width="15.7109375" style="71" customWidth="1"/>
    <col min="16" max="16" width="16.140625" style="71" customWidth="1"/>
    <col min="17" max="16384" width="9.140625" style="71"/>
  </cols>
  <sheetData>
    <row r="2" spans="2:12" ht="18.75" x14ac:dyDescent="0.3">
      <c r="G2" s="72"/>
    </row>
    <row r="3" spans="2:12" ht="18.75" x14ac:dyDescent="0.3">
      <c r="G3" s="73"/>
    </row>
    <row r="4" spans="2:12" ht="18.75" x14ac:dyDescent="0.3">
      <c r="G4" s="74"/>
    </row>
    <row r="7" spans="2:12" ht="15.75" thickBot="1" x14ac:dyDescent="0.3"/>
    <row r="8" spans="2:12" ht="15.95" customHeight="1" x14ac:dyDescent="0.25">
      <c r="B8" s="971" t="s">
        <v>4712</v>
      </c>
      <c r="C8" s="972"/>
      <c r="D8" s="972"/>
      <c r="E8" s="972"/>
      <c r="F8" s="972"/>
      <c r="G8" s="972"/>
      <c r="H8" s="972"/>
      <c r="I8" s="972"/>
      <c r="J8" s="972"/>
      <c r="K8" s="972"/>
      <c r="L8" s="973"/>
    </row>
    <row r="9" spans="2:12" ht="15.75" x14ac:dyDescent="0.25">
      <c r="B9" s="161" t="s">
        <v>182</v>
      </c>
      <c r="C9" s="303"/>
      <c r="D9" s="303"/>
      <c r="E9" s="303"/>
      <c r="F9" s="304"/>
      <c r="G9" s="304"/>
      <c r="H9" s="304"/>
      <c r="I9" s="304"/>
      <c r="J9" s="304"/>
      <c r="K9" s="304"/>
      <c r="L9" s="496"/>
    </row>
    <row r="10" spans="2:12" ht="15.75" x14ac:dyDescent="0.25">
      <c r="B10" s="149" t="s">
        <v>4591</v>
      </c>
      <c r="C10" s="64"/>
      <c r="D10" s="64"/>
      <c r="E10" s="64"/>
      <c r="F10" s="305"/>
      <c r="G10" s="305"/>
      <c r="H10" s="305"/>
      <c r="I10" s="305"/>
      <c r="J10" s="497"/>
      <c r="K10" s="497"/>
      <c r="L10" s="314"/>
    </row>
    <row r="11" spans="2:12" ht="15.75" x14ac:dyDescent="0.25">
      <c r="B11" s="149" t="s">
        <v>506</v>
      </c>
      <c r="C11" s="64"/>
      <c r="D11" s="64"/>
      <c r="E11" s="64"/>
      <c r="F11" s="305"/>
      <c r="G11" s="305"/>
      <c r="H11" s="305"/>
      <c r="I11" s="305"/>
      <c r="J11" s="305"/>
      <c r="K11" s="305"/>
      <c r="L11" s="314"/>
    </row>
    <row r="12" spans="2:12" ht="15.75" x14ac:dyDescent="0.25">
      <c r="B12" s="149" t="s">
        <v>184</v>
      </c>
      <c r="C12" s="64"/>
      <c r="D12" s="64"/>
      <c r="E12" s="64"/>
      <c r="F12" s="305"/>
      <c r="G12" s="305"/>
      <c r="H12" s="305"/>
      <c r="I12" s="305"/>
      <c r="J12" s="305"/>
      <c r="K12" s="305"/>
      <c r="L12" s="314"/>
    </row>
    <row r="13" spans="2:12" ht="15.75" customHeight="1" x14ac:dyDescent="0.25">
      <c r="B13" s="911" t="s">
        <v>5101</v>
      </c>
      <c r="C13" s="909"/>
      <c r="D13" s="909"/>
      <c r="E13" s="909"/>
      <c r="F13" s="909"/>
      <c r="G13" s="909"/>
      <c r="H13" s="909"/>
      <c r="I13" s="909"/>
      <c r="J13" s="909"/>
      <c r="K13" s="909"/>
      <c r="L13" s="910"/>
    </row>
    <row r="14" spans="2:12" ht="15.75" customHeight="1" x14ac:dyDescent="0.25">
      <c r="B14" s="911" t="s">
        <v>5102</v>
      </c>
      <c r="C14" s="909"/>
      <c r="D14" s="909"/>
      <c r="E14" s="909"/>
      <c r="F14" s="909"/>
      <c r="G14" s="909"/>
      <c r="H14" s="909"/>
      <c r="I14" s="909"/>
      <c r="J14" s="909"/>
      <c r="K14" s="909"/>
      <c r="L14" s="910"/>
    </row>
    <row r="15" spans="2:12" ht="15.75" customHeight="1" x14ac:dyDescent="0.25">
      <c r="B15" s="149" t="s">
        <v>185</v>
      </c>
      <c r="C15" s="64"/>
      <c r="D15" s="64"/>
      <c r="E15" s="64"/>
      <c r="F15" s="305"/>
      <c r="G15" s="305"/>
      <c r="H15" s="305"/>
      <c r="I15" s="305"/>
      <c r="J15" s="305"/>
      <c r="K15" s="305"/>
      <c r="L15" s="314"/>
    </row>
    <row r="16" spans="2:12" ht="15.75" x14ac:dyDescent="0.25">
      <c r="B16" s="149" t="s">
        <v>4759</v>
      </c>
      <c r="C16" s="64"/>
      <c r="D16" s="64"/>
      <c r="E16" s="64"/>
      <c r="F16" s="305"/>
      <c r="G16" s="305"/>
      <c r="H16" s="305"/>
      <c r="I16" s="305"/>
      <c r="J16" s="305"/>
      <c r="K16" s="305"/>
      <c r="L16" s="314"/>
    </row>
    <row r="17" spans="2:16" ht="15.75" x14ac:dyDescent="0.25">
      <c r="B17" s="149" t="s">
        <v>186</v>
      </c>
      <c r="C17" s="64"/>
      <c r="D17" s="64"/>
      <c r="E17" s="64"/>
      <c r="F17" s="305"/>
      <c r="G17" s="305"/>
      <c r="H17" s="305"/>
      <c r="I17" s="305"/>
      <c r="J17" s="305"/>
      <c r="K17" s="305"/>
      <c r="L17" s="314"/>
    </row>
    <row r="18" spans="2:16" ht="15.75" x14ac:dyDescent="0.25">
      <c r="B18" s="149" t="s">
        <v>187</v>
      </c>
      <c r="C18" s="64"/>
      <c r="D18" s="64"/>
      <c r="E18" s="64"/>
      <c r="F18" s="305"/>
      <c r="G18" s="305"/>
      <c r="H18" s="305"/>
      <c r="I18" s="305"/>
      <c r="J18" s="305"/>
      <c r="K18" s="305"/>
      <c r="L18" s="314"/>
    </row>
    <row r="19" spans="2:16" ht="15.75" x14ac:dyDescent="0.25">
      <c r="B19" s="149" t="s">
        <v>188</v>
      </c>
      <c r="C19" s="64"/>
      <c r="D19" s="64"/>
      <c r="E19" s="64"/>
      <c r="F19" s="305"/>
      <c r="G19" s="305"/>
      <c r="H19" s="305"/>
      <c r="I19" s="305"/>
      <c r="J19" s="305"/>
      <c r="K19" s="305"/>
      <c r="L19" s="314"/>
    </row>
    <row r="20" spans="2:16" ht="15.75" customHeight="1" x14ac:dyDescent="0.25">
      <c r="B20" s="908" t="s">
        <v>515</v>
      </c>
      <c r="C20" s="909"/>
      <c r="D20" s="909"/>
      <c r="E20" s="909"/>
      <c r="F20" s="909"/>
      <c r="G20" s="909"/>
      <c r="H20" s="909"/>
      <c r="I20" s="909"/>
      <c r="J20" s="909"/>
      <c r="K20" s="909"/>
      <c r="L20" s="910"/>
    </row>
    <row r="21" spans="2:16" ht="15.75" customHeight="1" x14ac:dyDescent="0.25">
      <c r="B21" s="905" t="s">
        <v>190</v>
      </c>
      <c r="C21" s="27"/>
      <c r="D21" s="27"/>
      <c r="E21" s="27"/>
      <c r="F21" s="27"/>
      <c r="G21" s="27"/>
      <c r="H21" s="27"/>
      <c r="I21" s="27"/>
      <c r="J21" s="27"/>
      <c r="K21" s="27"/>
      <c r="L21" s="1032"/>
      <c r="M21" s="17"/>
    </row>
    <row r="22" spans="2:16" ht="15.75" customHeight="1" thickBot="1" x14ac:dyDescent="0.3">
      <c r="B22" s="1137" t="s">
        <v>4590</v>
      </c>
      <c r="C22" s="165"/>
      <c r="D22" s="159"/>
      <c r="E22" s="159"/>
      <c r="F22" s="307"/>
      <c r="G22" s="307"/>
      <c r="H22" s="307"/>
      <c r="I22" s="307"/>
      <c r="J22" s="307"/>
      <c r="K22" s="307"/>
      <c r="L22" s="315"/>
      <c r="M22" s="17"/>
    </row>
    <row r="23" spans="2:16" ht="15.75" customHeight="1" x14ac:dyDescent="0.25">
      <c r="B23" s="498"/>
      <c r="C23" s="18"/>
      <c r="D23" s="17"/>
      <c r="E23" s="17"/>
      <c r="F23" s="308"/>
      <c r="G23" s="308"/>
      <c r="H23" s="308"/>
      <c r="I23" s="308"/>
      <c r="J23" s="308"/>
      <c r="K23" s="308"/>
      <c r="L23" s="308"/>
      <c r="M23" s="17"/>
    </row>
    <row r="24" spans="2:16" ht="21" customHeight="1" x14ac:dyDescent="0.25">
      <c r="B24" s="930" t="s">
        <v>4704</v>
      </c>
      <c r="C24" s="930"/>
      <c r="D24" s="930"/>
      <c r="E24" s="930"/>
      <c r="F24" s="930"/>
      <c r="G24" s="930"/>
      <c r="H24" s="930"/>
      <c r="I24" s="930"/>
      <c r="J24" s="930"/>
      <c r="K24" s="930"/>
      <c r="L24" s="930"/>
      <c r="M24" s="930"/>
      <c r="N24" s="930"/>
      <c r="O24" s="930"/>
      <c r="P24" s="655"/>
    </row>
    <row r="25" spans="2:16" ht="16.5" thickBot="1" x14ac:dyDescent="0.3">
      <c r="B25" s="499"/>
      <c r="C25" s="499"/>
      <c r="D25" s="499"/>
      <c r="E25" s="499"/>
      <c r="F25" s="500"/>
      <c r="G25" s="500"/>
      <c r="H25" s="500"/>
      <c r="I25" s="500"/>
      <c r="J25" s="500"/>
      <c r="K25" s="500"/>
      <c r="L25" s="500"/>
      <c r="M25" s="499"/>
    </row>
    <row r="26" spans="2:16" ht="15" customHeight="1" thickBot="1" x14ac:dyDescent="0.3">
      <c r="B26" s="64"/>
      <c r="C26" s="64"/>
      <c r="D26" s="64"/>
      <c r="E26" s="208" t="s">
        <v>155</v>
      </c>
      <c r="F26" s="1028" t="s">
        <v>484</v>
      </c>
      <c r="G26" s="1029"/>
      <c r="H26" s="1029"/>
      <c r="I26" s="1029"/>
      <c r="J26" s="1029"/>
      <c r="K26" s="1029"/>
      <c r="L26" s="1030" t="s">
        <v>334</v>
      </c>
      <c r="M26" s="1031"/>
      <c r="O26" s="1026" t="s">
        <v>4847</v>
      </c>
      <c r="P26" s="1027"/>
    </row>
    <row r="27" spans="2:16" ht="51" thickBot="1" x14ac:dyDescent="0.3">
      <c r="B27" s="501" t="s">
        <v>192</v>
      </c>
      <c r="C27" s="502" t="s">
        <v>512</v>
      </c>
      <c r="D27" s="503" t="s">
        <v>516</v>
      </c>
      <c r="E27" s="504" t="s">
        <v>4592</v>
      </c>
      <c r="F27" s="473" t="s">
        <v>508</v>
      </c>
      <c r="G27" s="505" t="s">
        <v>4699</v>
      </c>
      <c r="H27" s="505" t="s">
        <v>4546</v>
      </c>
      <c r="I27" s="505" t="s">
        <v>4705</v>
      </c>
      <c r="J27" s="506" t="s">
        <v>4565</v>
      </c>
      <c r="K27" s="507" t="s">
        <v>4706</v>
      </c>
      <c r="L27" s="508" t="s">
        <v>4548</v>
      </c>
      <c r="M27" s="509" t="s">
        <v>4709</v>
      </c>
      <c r="O27" s="670" t="s">
        <v>4707</v>
      </c>
      <c r="P27" s="671" t="s">
        <v>4708</v>
      </c>
    </row>
    <row r="28" spans="2:16" ht="16.5" thickBot="1" x14ac:dyDescent="0.3">
      <c r="B28" s="510">
        <v>2015</v>
      </c>
      <c r="C28" s="511">
        <v>1983</v>
      </c>
      <c r="D28" s="512" t="s">
        <v>4605</v>
      </c>
      <c r="E28" s="513">
        <v>0.20033208494823543</v>
      </c>
      <c r="F28" s="391">
        <v>2.6030276968405599</v>
      </c>
      <c r="G28" s="514">
        <v>0.77873105098749684</v>
      </c>
      <c r="H28" s="514">
        <v>20.101718079045199</v>
      </c>
      <c r="I28" s="514">
        <v>1.4268894581285134</v>
      </c>
      <c r="J28" s="514">
        <v>1.88214276286611</v>
      </c>
      <c r="K28" s="514">
        <v>0.14922878604125611</v>
      </c>
      <c r="L28" s="515">
        <v>1.9672449067180999</v>
      </c>
      <c r="M28" s="516">
        <v>0.15597624955311065</v>
      </c>
      <c r="O28" s="672">
        <v>3.0000008598028201E-3</v>
      </c>
      <c r="P28" s="673">
        <v>5.5860016009528501E-2</v>
      </c>
    </row>
    <row r="29" spans="2:16" ht="15.75" x14ac:dyDescent="0.25">
      <c r="B29" s="212">
        <v>2015</v>
      </c>
      <c r="C29" s="309">
        <v>1984</v>
      </c>
      <c r="D29" s="250" t="s">
        <v>4606</v>
      </c>
      <c r="E29" s="517">
        <v>0.20033208494823543</v>
      </c>
      <c r="F29" s="310">
        <v>2.6030276968405599</v>
      </c>
      <c r="G29" s="311">
        <v>0.77873105098749684</v>
      </c>
      <c r="H29" s="311">
        <v>20.101718079045199</v>
      </c>
      <c r="I29" s="311">
        <v>1.4268894581285134</v>
      </c>
      <c r="J29" s="311">
        <v>1.88214276286611</v>
      </c>
      <c r="K29" s="311">
        <v>0.14922878604125611</v>
      </c>
      <c r="L29" s="518">
        <v>1.9672449067180999</v>
      </c>
      <c r="M29" s="519">
        <v>0.15597624955311065</v>
      </c>
    </row>
    <row r="30" spans="2:16" ht="15.75" x14ac:dyDescent="0.25">
      <c r="B30" s="212">
        <v>2015</v>
      </c>
      <c r="C30" s="309">
        <v>1985</v>
      </c>
      <c r="D30" s="250" t="s">
        <v>4607</v>
      </c>
      <c r="E30" s="517">
        <v>0.20023923781037306</v>
      </c>
      <c r="F30" s="310">
        <v>2.6019351958567301</v>
      </c>
      <c r="G30" s="311">
        <v>0.77873105098749762</v>
      </c>
      <c r="H30" s="311">
        <v>20.095811715169301</v>
      </c>
      <c r="I30" s="311">
        <v>1.4268894581285123</v>
      </c>
      <c r="J30" s="311">
        <v>1.8801623497326601</v>
      </c>
      <c r="K30" s="311">
        <v>0.149228786041256</v>
      </c>
      <c r="L30" s="518">
        <v>1.9651749480907099</v>
      </c>
      <c r="M30" s="519">
        <v>0.15597624955311051</v>
      </c>
    </row>
    <row r="31" spans="2:16" ht="15.75" x14ac:dyDescent="0.25">
      <c r="B31" s="212">
        <v>2015</v>
      </c>
      <c r="C31" s="309">
        <v>1986</v>
      </c>
      <c r="D31" s="250" t="s">
        <v>4608</v>
      </c>
      <c r="E31" s="517">
        <v>0.20033208494823543</v>
      </c>
      <c r="F31" s="310">
        <v>2.6030276968405599</v>
      </c>
      <c r="G31" s="311">
        <v>0.77873105098749684</v>
      </c>
      <c r="H31" s="311">
        <v>20.101718079045199</v>
      </c>
      <c r="I31" s="311">
        <v>1.4268894581285134</v>
      </c>
      <c r="J31" s="311">
        <v>1.88214276286611</v>
      </c>
      <c r="K31" s="311">
        <v>0.14922878604125611</v>
      </c>
      <c r="L31" s="518">
        <v>1.9672449067180999</v>
      </c>
      <c r="M31" s="519">
        <v>0.15597624955311065</v>
      </c>
    </row>
    <row r="32" spans="2:16" ht="15.75" x14ac:dyDescent="0.25">
      <c r="B32" s="212">
        <v>2015</v>
      </c>
      <c r="C32" s="309">
        <v>1987</v>
      </c>
      <c r="D32" s="250" t="s">
        <v>4609</v>
      </c>
      <c r="E32" s="517">
        <v>0.19530214841147253</v>
      </c>
      <c r="F32" s="310">
        <v>2.7226274732170599</v>
      </c>
      <c r="G32" s="311">
        <v>0.45603330577031215</v>
      </c>
      <c r="H32" s="311">
        <v>20.261446117702398</v>
      </c>
      <c r="I32" s="311">
        <v>2.1918694617265797</v>
      </c>
      <c r="J32" s="311">
        <v>1.83852784463691</v>
      </c>
      <c r="K32" s="311">
        <v>7.4430677837689405E-2</v>
      </c>
      <c r="L32" s="518">
        <v>1.92165791542491</v>
      </c>
      <c r="M32" s="519">
        <v>7.7796102808268458E-2</v>
      </c>
    </row>
    <row r="33" spans="2:13" ht="15.75" x14ac:dyDescent="0.25">
      <c r="B33" s="212">
        <v>2015</v>
      </c>
      <c r="C33" s="309">
        <v>1988</v>
      </c>
      <c r="D33" s="250" t="s">
        <v>4610</v>
      </c>
      <c r="E33" s="517">
        <v>0.19523774513450404</v>
      </c>
      <c r="F33" s="310">
        <v>2.7206019444158001</v>
      </c>
      <c r="G33" s="311">
        <v>0.45603330577031137</v>
      </c>
      <c r="H33" s="311">
        <v>20.257466702936998</v>
      </c>
      <c r="I33" s="311">
        <v>2.1918694617265766</v>
      </c>
      <c r="J33" s="311">
        <v>1.83726141134819</v>
      </c>
      <c r="K33" s="311">
        <v>7.443067783768928E-2</v>
      </c>
      <c r="L33" s="518">
        <v>1.9203342196425801</v>
      </c>
      <c r="M33" s="519">
        <v>7.7796102808268333E-2</v>
      </c>
    </row>
    <row r="34" spans="2:13" ht="15.75" x14ac:dyDescent="0.25">
      <c r="B34" s="212">
        <v>2015</v>
      </c>
      <c r="C34" s="309">
        <v>1989</v>
      </c>
      <c r="D34" s="250" t="s">
        <v>4611</v>
      </c>
      <c r="E34" s="517">
        <v>0.19523469953499359</v>
      </c>
      <c r="F34" s="310">
        <v>2.72128448340233</v>
      </c>
      <c r="G34" s="311">
        <v>0.45603330577031159</v>
      </c>
      <c r="H34" s="311">
        <v>20.258461998070299</v>
      </c>
      <c r="I34" s="311">
        <v>2.1918694617265775</v>
      </c>
      <c r="J34" s="311">
        <v>1.83714177822439</v>
      </c>
      <c r="K34" s="311">
        <v>7.4430677837689321E-2</v>
      </c>
      <c r="L34" s="518">
        <v>1.92020917723979</v>
      </c>
      <c r="M34" s="519">
        <v>7.7796102808268389E-2</v>
      </c>
    </row>
    <row r="35" spans="2:13" ht="15.75" x14ac:dyDescent="0.25">
      <c r="B35" s="212">
        <v>2015</v>
      </c>
      <c r="C35" s="309">
        <v>1990</v>
      </c>
      <c r="D35" s="250" t="s">
        <v>4612</v>
      </c>
      <c r="E35" s="517">
        <v>0.19521959766055405</v>
      </c>
      <c r="F35" s="310">
        <v>2.7203613807761999</v>
      </c>
      <c r="G35" s="311">
        <v>0.45603330577031143</v>
      </c>
      <c r="H35" s="311">
        <v>20.2567992826642</v>
      </c>
      <c r="I35" s="311">
        <v>2.1918694617265766</v>
      </c>
      <c r="J35" s="311">
        <v>1.83688300962638</v>
      </c>
      <c r="K35" s="311">
        <v>7.4430677837689294E-2</v>
      </c>
      <c r="L35" s="518">
        <v>1.91993870827405</v>
      </c>
      <c r="M35" s="519">
        <v>7.7796102808268347E-2</v>
      </c>
    </row>
    <row r="36" spans="2:13" ht="15.75" x14ac:dyDescent="0.25">
      <c r="B36" s="212">
        <v>2015</v>
      </c>
      <c r="C36" s="309">
        <v>1991</v>
      </c>
      <c r="D36" s="250" t="s">
        <v>4613</v>
      </c>
      <c r="E36" s="517">
        <v>0.18876848974167706</v>
      </c>
      <c r="F36" s="310">
        <v>1.8439885267385501</v>
      </c>
      <c r="G36" s="311">
        <v>0.36387577062833576</v>
      </c>
      <c r="H36" s="311">
        <v>24.0664774030293</v>
      </c>
      <c r="I36" s="311">
        <v>2.450020282224822</v>
      </c>
      <c r="J36" s="311">
        <v>0.82018085099724702</v>
      </c>
      <c r="K36" s="311">
        <v>5.566108460396503E-2</v>
      </c>
      <c r="L36" s="518">
        <v>0.85726578958071897</v>
      </c>
      <c r="M36" s="519">
        <v>5.8177831857351481E-2</v>
      </c>
    </row>
    <row r="37" spans="2:13" ht="15.75" x14ac:dyDescent="0.25">
      <c r="B37" s="212">
        <v>2015</v>
      </c>
      <c r="C37" s="309">
        <v>1992</v>
      </c>
      <c r="D37" s="250" t="s">
        <v>4614</v>
      </c>
      <c r="E37" s="517">
        <v>0.18876351522818305</v>
      </c>
      <c r="F37" s="310">
        <v>1.8437117806624601</v>
      </c>
      <c r="G37" s="311">
        <v>0.36387577062833487</v>
      </c>
      <c r="H37" s="311">
        <v>24.0659117941963</v>
      </c>
      <c r="I37" s="311">
        <v>2.4500202822248167</v>
      </c>
      <c r="J37" s="311">
        <v>0.82010195010015596</v>
      </c>
      <c r="K37" s="311">
        <v>5.5661084603964898E-2</v>
      </c>
      <c r="L37" s="518">
        <v>0.85718332113518003</v>
      </c>
      <c r="M37" s="519">
        <v>5.8177831857351342E-2</v>
      </c>
    </row>
    <row r="38" spans="2:13" ht="15.75" x14ac:dyDescent="0.25">
      <c r="B38" s="212">
        <v>2015</v>
      </c>
      <c r="C38" s="309">
        <v>1993</v>
      </c>
      <c r="D38" s="250" t="s">
        <v>4615</v>
      </c>
      <c r="E38" s="517">
        <v>0.18803632922145369</v>
      </c>
      <c r="F38" s="310">
        <v>1.75798936664969</v>
      </c>
      <c r="G38" s="311">
        <v>0.36387577062833537</v>
      </c>
      <c r="H38" s="311">
        <v>22.410209509857399</v>
      </c>
      <c r="I38" s="311">
        <v>2.4500202822248198</v>
      </c>
      <c r="J38" s="311">
        <v>0.84591361916816099</v>
      </c>
      <c r="K38" s="311">
        <v>5.5661084603964982E-2</v>
      </c>
      <c r="L38" s="518">
        <v>0.884162079340854</v>
      </c>
      <c r="M38" s="519">
        <v>5.8177831857351418E-2</v>
      </c>
    </row>
    <row r="39" spans="2:13" ht="15.75" x14ac:dyDescent="0.25">
      <c r="B39" s="212">
        <v>2015</v>
      </c>
      <c r="C39" s="309">
        <v>1994</v>
      </c>
      <c r="D39" s="250" t="s">
        <v>4616</v>
      </c>
      <c r="E39" s="517">
        <v>0.18025764521739943</v>
      </c>
      <c r="F39" s="310">
        <v>1.6899189781049899</v>
      </c>
      <c r="G39" s="311">
        <v>0.29122825229528077</v>
      </c>
      <c r="H39" s="311">
        <v>19.972005122788701</v>
      </c>
      <c r="I39" s="311">
        <v>2.662996476464853</v>
      </c>
      <c r="J39" s="311">
        <v>0.64124809261429405</v>
      </c>
      <c r="K39" s="311">
        <v>4.1827118427360754E-2</v>
      </c>
      <c r="L39" s="518">
        <v>0.67024248586604396</v>
      </c>
      <c r="M39" s="519">
        <v>4.3718355117556847E-2</v>
      </c>
    </row>
    <row r="40" spans="2:13" ht="15.75" x14ac:dyDescent="0.25">
      <c r="B40" s="212">
        <v>2015</v>
      </c>
      <c r="C40" s="309">
        <v>1995</v>
      </c>
      <c r="D40" s="250" t="s">
        <v>4617</v>
      </c>
      <c r="E40" s="517">
        <v>0.18025171441288107</v>
      </c>
      <c r="F40" s="310">
        <v>1.6902120255167701</v>
      </c>
      <c r="G40" s="311">
        <v>0.2912282522952811</v>
      </c>
      <c r="H40" s="311">
        <v>19.974166610492599</v>
      </c>
      <c r="I40" s="311">
        <v>2.6629964764648704</v>
      </c>
      <c r="J40" s="311">
        <v>0.64137710360530398</v>
      </c>
      <c r="K40" s="311">
        <v>4.1827118427360796E-2</v>
      </c>
      <c r="L40" s="518">
        <v>0.67037733016158996</v>
      </c>
      <c r="M40" s="519">
        <v>4.3718355117556888E-2</v>
      </c>
    </row>
    <row r="41" spans="2:13" ht="15.75" x14ac:dyDescent="0.25">
      <c r="B41" s="212">
        <v>2015</v>
      </c>
      <c r="C41" s="309">
        <v>1996</v>
      </c>
      <c r="D41" s="250" t="s">
        <v>4618</v>
      </c>
      <c r="E41" s="517">
        <v>0.18070230747350705</v>
      </c>
      <c r="F41" s="310">
        <v>1.46342854742244</v>
      </c>
      <c r="G41" s="311">
        <v>0.25409665012763222</v>
      </c>
      <c r="H41" s="311">
        <v>19.7335724800344</v>
      </c>
      <c r="I41" s="311">
        <v>2.6629964764648615</v>
      </c>
      <c r="J41" s="311">
        <v>0.56188135849043996</v>
      </c>
      <c r="K41" s="311">
        <v>3.649416082787213E-2</v>
      </c>
      <c r="L41" s="518">
        <v>0.58728714020977701</v>
      </c>
      <c r="M41" s="519">
        <v>3.81442648400682E-2</v>
      </c>
    </row>
    <row r="42" spans="2:13" ht="15.75" x14ac:dyDescent="0.25">
      <c r="B42" s="212">
        <v>2015</v>
      </c>
      <c r="C42" s="309">
        <v>1997</v>
      </c>
      <c r="D42" s="250" t="s">
        <v>4619</v>
      </c>
      <c r="E42" s="517">
        <v>0.18069711964459334</v>
      </c>
      <c r="F42" s="310">
        <v>1.46355128531847</v>
      </c>
      <c r="G42" s="311">
        <v>0.25409665012763261</v>
      </c>
      <c r="H42" s="311">
        <v>19.735055578457001</v>
      </c>
      <c r="I42" s="311">
        <v>2.6629964764648517</v>
      </c>
      <c r="J42" s="311">
        <v>0.56196496680210395</v>
      </c>
      <c r="K42" s="311">
        <v>3.6494160827872192E-2</v>
      </c>
      <c r="L42" s="518">
        <v>0.58737452891828701</v>
      </c>
      <c r="M42" s="519">
        <v>3.8144264840068269E-2</v>
      </c>
    </row>
    <row r="43" spans="2:13" ht="15.75" x14ac:dyDescent="0.25">
      <c r="B43" s="212">
        <v>2015</v>
      </c>
      <c r="C43" s="309">
        <v>1998</v>
      </c>
      <c r="D43" s="250" t="s">
        <v>4620</v>
      </c>
      <c r="E43" s="517">
        <v>0.18495298854212699</v>
      </c>
      <c r="F43" s="310">
        <v>1.4603409381621699</v>
      </c>
      <c r="G43" s="311">
        <v>0.19379162026162014</v>
      </c>
      <c r="H43" s="311">
        <v>19.9012017432925</v>
      </c>
      <c r="I43" s="311">
        <v>2.8657708729529494</v>
      </c>
      <c r="J43" s="311">
        <v>0.549240165369694</v>
      </c>
      <c r="K43" s="311">
        <v>2.5798049761776624E-2</v>
      </c>
      <c r="L43" s="518">
        <v>0.57407436843057402</v>
      </c>
      <c r="M43" s="519">
        <v>2.6964523094853851E-2</v>
      </c>
    </row>
    <row r="44" spans="2:13" ht="15.75" x14ac:dyDescent="0.25">
      <c r="B44" s="212">
        <v>2015</v>
      </c>
      <c r="C44" s="309">
        <v>1999</v>
      </c>
      <c r="D44" s="250" t="s">
        <v>4621</v>
      </c>
      <c r="E44" s="517">
        <v>0.1867348764800138</v>
      </c>
      <c r="F44" s="310">
        <v>1.67245484758838</v>
      </c>
      <c r="G44" s="311">
        <v>0.1937916202616207</v>
      </c>
      <c r="H44" s="311">
        <v>24.497180906875698</v>
      </c>
      <c r="I44" s="311">
        <v>2.8657708729529574</v>
      </c>
      <c r="J44" s="311">
        <v>0.50604880399914498</v>
      </c>
      <c r="K44" s="311">
        <v>2.5798049761776701E-2</v>
      </c>
      <c r="L44" s="518">
        <v>0.52893008535767605</v>
      </c>
      <c r="M44" s="519">
        <v>2.6964523094853927E-2</v>
      </c>
    </row>
    <row r="45" spans="2:13" ht="15.75" x14ac:dyDescent="0.25">
      <c r="B45" s="212">
        <v>2015</v>
      </c>
      <c r="C45" s="309">
        <v>2000</v>
      </c>
      <c r="D45" s="250" t="s">
        <v>4622</v>
      </c>
      <c r="E45" s="517">
        <v>0.18673318649765799</v>
      </c>
      <c r="F45" s="310">
        <v>1.6326845748908601</v>
      </c>
      <c r="G45" s="311">
        <v>0.19379162026162056</v>
      </c>
      <c r="H45" s="311">
        <v>24.365734574309101</v>
      </c>
      <c r="I45" s="311">
        <v>2.8657708729529552</v>
      </c>
      <c r="J45" s="311">
        <v>0.49729160850666398</v>
      </c>
      <c r="K45" s="311">
        <v>2.5798049761776683E-2</v>
      </c>
      <c r="L45" s="518">
        <v>0.51977692834450495</v>
      </c>
      <c r="M45" s="519">
        <v>2.696452309485391E-2</v>
      </c>
    </row>
    <row r="46" spans="2:13" ht="15.75" x14ac:dyDescent="0.25">
      <c r="B46" s="212">
        <v>2015</v>
      </c>
      <c r="C46" s="309">
        <v>2001</v>
      </c>
      <c r="D46" s="250" t="s">
        <v>4623</v>
      </c>
      <c r="E46" s="517">
        <v>0.18506607316772961</v>
      </c>
      <c r="F46" s="310">
        <v>1.5883978367579099</v>
      </c>
      <c r="G46" s="311">
        <v>0.17441245823545865</v>
      </c>
      <c r="H46" s="311">
        <v>24.218672092672598</v>
      </c>
      <c r="I46" s="311">
        <v>2.5791937856576617</v>
      </c>
      <c r="J46" s="311">
        <v>0.48754524809592698</v>
      </c>
      <c r="K46" s="311">
        <v>2.3218244785599033E-2</v>
      </c>
      <c r="L46" s="518">
        <v>0.50958988076482803</v>
      </c>
      <c r="M46" s="519">
        <v>2.4268070785368537E-2</v>
      </c>
    </row>
    <row r="47" spans="2:13" ht="15.75" x14ac:dyDescent="0.25">
      <c r="B47" s="212">
        <v>2015</v>
      </c>
      <c r="C47" s="309">
        <v>2002</v>
      </c>
      <c r="D47" s="250" t="s">
        <v>4624</v>
      </c>
      <c r="E47" s="517">
        <v>0.18356773330272338</v>
      </c>
      <c r="F47" s="310">
        <v>1.53898495147554</v>
      </c>
      <c r="G47" s="311">
        <v>0.1569712124119127</v>
      </c>
      <c r="H47" s="311">
        <v>24.0543757664297</v>
      </c>
      <c r="I47" s="311">
        <v>2.3212744070918943</v>
      </c>
      <c r="J47" s="311">
        <v>0.47667747874280603</v>
      </c>
      <c r="K47" s="311">
        <v>2.0896420307039119E-2</v>
      </c>
      <c r="L47" s="518">
        <v>0.49823071910657102</v>
      </c>
      <c r="M47" s="519">
        <v>2.1841263706831676E-2</v>
      </c>
    </row>
    <row r="48" spans="2:13" ht="15.75" x14ac:dyDescent="0.25">
      <c r="B48" s="212">
        <v>2015</v>
      </c>
      <c r="C48" s="309">
        <v>2003</v>
      </c>
      <c r="D48" s="250" t="s">
        <v>4625</v>
      </c>
      <c r="E48" s="517">
        <v>0.18079888624064458</v>
      </c>
      <c r="F48" s="310">
        <v>0.97376767781182105</v>
      </c>
      <c r="G48" s="311">
        <v>0.11584950659905964</v>
      </c>
      <c r="H48" s="311">
        <v>13.497833463925501</v>
      </c>
      <c r="I48" s="311">
        <v>2.1661539237563101</v>
      </c>
      <c r="J48" s="311">
        <v>0.56583132614981801</v>
      </c>
      <c r="K48" s="311">
        <v>1.4551440546296052E-2</v>
      </c>
      <c r="L48" s="518">
        <v>0.59141570787899</v>
      </c>
      <c r="M48" s="519">
        <v>1.5209392116738472E-2</v>
      </c>
    </row>
    <row r="49" spans="2:13" ht="15.75" x14ac:dyDescent="0.25">
      <c r="B49" s="212">
        <v>2015</v>
      </c>
      <c r="C49" s="309">
        <v>2004</v>
      </c>
      <c r="D49" s="250" t="s">
        <v>4626</v>
      </c>
      <c r="E49" s="517">
        <v>0.17955435007730169</v>
      </c>
      <c r="F49" s="310">
        <v>0.93389132233842198</v>
      </c>
      <c r="G49" s="311">
        <v>0.10426455593915365</v>
      </c>
      <c r="H49" s="311">
        <v>11.558845991788999</v>
      </c>
      <c r="I49" s="311">
        <v>1.9495385313806788</v>
      </c>
      <c r="J49" s="311">
        <v>0.66805770145285004</v>
      </c>
      <c r="K49" s="311">
        <v>1.3096296491666541E-2</v>
      </c>
      <c r="L49" s="518">
        <v>0.69826430625040203</v>
      </c>
      <c r="M49" s="519">
        <v>1.3688452905064714E-2</v>
      </c>
    </row>
    <row r="50" spans="2:13" ht="15.75" x14ac:dyDescent="0.25">
      <c r="B50" s="212">
        <v>2015</v>
      </c>
      <c r="C50" s="309">
        <v>2005</v>
      </c>
      <c r="D50" s="250" t="s">
        <v>4627</v>
      </c>
      <c r="E50" s="517">
        <v>0.17844104088095536</v>
      </c>
      <c r="F50" s="310">
        <v>0.89312538261691499</v>
      </c>
      <c r="G50" s="311">
        <v>9.383810034523829E-2</v>
      </c>
      <c r="H50" s="311">
        <v>11.411739140590299</v>
      </c>
      <c r="I50" s="311">
        <v>1.7545846782426107</v>
      </c>
      <c r="J50" s="311">
        <v>0.64731072070200102</v>
      </c>
      <c r="K50" s="311">
        <v>1.17866668424998E-2</v>
      </c>
      <c r="L50" s="518">
        <v>0.67657923909336304</v>
      </c>
      <c r="M50" s="519">
        <v>1.2319607614558158E-2</v>
      </c>
    </row>
    <row r="51" spans="2:13" ht="15.75" x14ac:dyDescent="0.25">
      <c r="B51" s="212">
        <v>2015</v>
      </c>
      <c r="C51" s="309">
        <v>2006</v>
      </c>
      <c r="D51" s="250" t="s">
        <v>4628</v>
      </c>
      <c r="E51" s="517">
        <v>0.17738485062261183</v>
      </c>
      <c r="F51" s="310">
        <v>0.845970912203447</v>
      </c>
      <c r="G51" s="311">
        <v>8.4454290310714344E-2</v>
      </c>
      <c r="H51" s="311">
        <v>11.254392031614501</v>
      </c>
      <c r="I51" s="311">
        <v>1.5791262104183477</v>
      </c>
      <c r="J51" s="311">
        <v>0.62305230290565194</v>
      </c>
      <c r="K51" s="311">
        <v>1.0608000158249807E-2</v>
      </c>
      <c r="L51" s="518">
        <v>0.65122396328939902</v>
      </c>
      <c r="M51" s="519">
        <v>1.1087646853102328E-2</v>
      </c>
    </row>
    <row r="52" spans="2:13" ht="15.75" x14ac:dyDescent="0.25">
      <c r="B52" s="212">
        <v>2015</v>
      </c>
      <c r="C52" s="309">
        <v>2007</v>
      </c>
      <c r="D52" s="250" t="s">
        <v>4629</v>
      </c>
      <c r="E52" s="517">
        <v>0.17801276052217999</v>
      </c>
      <c r="F52" s="310">
        <v>0.59334921487784198</v>
      </c>
      <c r="G52" s="311">
        <v>6.3367544769403233E-2</v>
      </c>
      <c r="H52" s="311">
        <v>10.151474345179601</v>
      </c>
      <c r="I52" s="311">
        <v>1.421213589376511</v>
      </c>
      <c r="J52" s="311">
        <v>0.434800492276819</v>
      </c>
      <c r="K52" s="311">
        <v>8.0715686668446623E-3</v>
      </c>
      <c r="L52" s="518">
        <v>0.45446024113896799</v>
      </c>
      <c r="M52" s="519">
        <v>8.4365291849039289E-3</v>
      </c>
    </row>
    <row r="53" spans="2:13" ht="15.75" x14ac:dyDescent="0.25">
      <c r="B53" s="212">
        <v>2015</v>
      </c>
      <c r="C53" s="309">
        <v>2008</v>
      </c>
      <c r="D53" s="250" t="s">
        <v>4630</v>
      </c>
      <c r="E53" s="517">
        <v>0.18150070090088777</v>
      </c>
      <c r="F53" s="310">
        <v>0.22170803471643799</v>
      </c>
      <c r="G53" s="311">
        <v>2.874433666867901E-2</v>
      </c>
      <c r="H53" s="311">
        <v>7.8793342243819797</v>
      </c>
      <c r="I53" s="311">
        <v>1.0925804567381239</v>
      </c>
      <c r="J53" s="311">
        <v>4.3154929948725398E-2</v>
      </c>
      <c r="K53" s="311">
        <v>4.4608205220535998E-4</v>
      </c>
      <c r="L53" s="518">
        <v>4.5106204383841199E-2</v>
      </c>
      <c r="M53" s="519">
        <v>4.6625190314629591E-4</v>
      </c>
    </row>
    <row r="54" spans="2:13" ht="15.75" x14ac:dyDescent="0.25">
      <c r="B54" s="212">
        <v>2015</v>
      </c>
      <c r="C54" s="309">
        <v>2009</v>
      </c>
      <c r="D54" s="250" t="s">
        <v>4631</v>
      </c>
      <c r="E54" s="517">
        <v>0.18163020637913152</v>
      </c>
      <c r="F54" s="310">
        <v>0.19847508587246299</v>
      </c>
      <c r="G54" s="311">
        <v>2.7080713728024661E-2</v>
      </c>
      <c r="H54" s="311">
        <v>7.63765005585332</v>
      </c>
      <c r="I54" s="311">
        <v>0.54339215489080139</v>
      </c>
      <c r="J54" s="311">
        <v>3.1376851185394398E-2</v>
      </c>
      <c r="K54" s="311">
        <v>1.1228251375681801E-4</v>
      </c>
      <c r="L54" s="518">
        <v>3.2795573163283E-2</v>
      </c>
      <c r="M54" s="519">
        <v>1.173594307826261E-4</v>
      </c>
    </row>
    <row r="55" spans="2:13" ht="15.75" x14ac:dyDescent="0.25">
      <c r="B55" s="212">
        <v>2015</v>
      </c>
      <c r="C55" s="309">
        <v>2010</v>
      </c>
      <c r="D55" s="250" t="s">
        <v>4632</v>
      </c>
      <c r="E55" s="517">
        <v>0.18038459234808141</v>
      </c>
      <c r="F55" s="310">
        <v>0.19367846589325499</v>
      </c>
      <c r="G55" s="311">
        <v>2.7153118096303677E-2</v>
      </c>
      <c r="H55" s="311">
        <v>6.6966588262319897</v>
      </c>
      <c r="I55" s="311">
        <v>0.48753162036835346</v>
      </c>
      <c r="J55" s="311">
        <v>4.1829863260859197E-2</v>
      </c>
      <c r="K55" s="311">
        <v>1.1228251375681798E-4</v>
      </c>
      <c r="L55" s="518">
        <v>4.3721224060245999E-2</v>
      </c>
      <c r="M55" s="519">
        <v>1.1735943078262605E-4</v>
      </c>
    </row>
    <row r="56" spans="2:13" ht="15.75" x14ac:dyDescent="0.25">
      <c r="B56" s="212">
        <v>2015</v>
      </c>
      <c r="C56" s="309">
        <v>2011</v>
      </c>
      <c r="D56" s="250" t="s">
        <v>4633</v>
      </c>
      <c r="E56" s="517">
        <v>0.17473489970278161</v>
      </c>
      <c r="F56" s="310">
        <v>8.2630499429714704E-2</v>
      </c>
      <c r="G56" s="311">
        <v>2.7484084051889145E-2</v>
      </c>
      <c r="H56" s="311">
        <v>3.39954459817181</v>
      </c>
      <c r="I56" s="311">
        <v>0.36910332713091709</v>
      </c>
      <c r="J56" s="311">
        <v>3.6434898168582301E-2</v>
      </c>
      <c r="K56" s="311">
        <v>1.1228251375681811E-4</v>
      </c>
      <c r="L56" s="518">
        <v>3.8082322586299497E-2</v>
      </c>
      <c r="M56" s="519">
        <v>1.173594307826262E-4</v>
      </c>
    </row>
    <row r="57" spans="2:13" ht="15.75" x14ac:dyDescent="0.25">
      <c r="B57" s="212">
        <v>2015</v>
      </c>
      <c r="C57" s="309">
        <v>2012</v>
      </c>
      <c r="D57" s="250" t="s">
        <v>4634</v>
      </c>
      <c r="E57" s="517">
        <v>0.17315358965756009</v>
      </c>
      <c r="F57" s="310">
        <v>1.6562104541367501E-2</v>
      </c>
      <c r="G57" s="311">
        <v>2.7576193796645585E-2</v>
      </c>
      <c r="H57" s="311">
        <v>2.4758234603299498</v>
      </c>
      <c r="I57" s="311">
        <v>0.32586614060465569</v>
      </c>
      <c r="J57" s="311">
        <v>1.7314503204363198E-2</v>
      </c>
      <c r="K57" s="311">
        <v>1.1228251375681726E-4</v>
      </c>
      <c r="L57" s="518">
        <v>1.8097388207294399E-2</v>
      </c>
      <c r="M57" s="519">
        <v>1.173594307826253E-4</v>
      </c>
    </row>
    <row r="58" spans="2:13" ht="15.75" x14ac:dyDescent="0.25">
      <c r="B58" s="212">
        <v>2015</v>
      </c>
      <c r="C58" s="309">
        <v>2013</v>
      </c>
      <c r="D58" s="250" t="s">
        <v>4635</v>
      </c>
      <c r="E58" s="517">
        <v>0.17192829752115338</v>
      </c>
      <c r="F58" s="310">
        <v>1.5488252017433301E-2</v>
      </c>
      <c r="G58" s="311">
        <v>2.7576193796645648E-2</v>
      </c>
      <c r="H58" s="311">
        <v>2.1757822896341001</v>
      </c>
      <c r="I58" s="311">
        <v>0.32586614060465646</v>
      </c>
      <c r="J58" s="311">
        <v>1.4743703721766701E-2</v>
      </c>
      <c r="K58" s="311">
        <v>1.1228251375681752E-4</v>
      </c>
      <c r="L58" s="518">
        <v>1.54103485798486E-2</v>
      </c>
      <c r="M58" s="519">
        <v>1.1735943078262557E-4</v>
      </c>
    </row>
    <row r="59" spans="2:13" ht="15.75" x14ac:dyDescent="0.25">
      <c r="B59" s="212">
        <v>2015</v>
      </c>
      <c r="C59" s="309">
        <v>2014</v>
      </c>
      <c r="D59" s="250" t="s">
        <v>4636</v>
      </c>
      <c r="E59" s="517">
        <v>0.15457966635831355</v>
      </c>
      <c r="F59" s="310">
        <v>1.39846955223014E-2</v>
      </c>
      <c r="G59" s="311">
        <v>2.7576193796645582E-2</v>
      </c>
      <c r="H59" s="311">
        <v>1.41970499840959</v>
      </c>
      <c r="I59" s="311">
        <v>0.3258661406046563</v>
      </c>
      <c r="J59" s="311">
        <v>1.11311754135955E-2</v>
      </c>
      <c r="K59" s="311">
        <v>1.1228251375681723E-4</v>
      </c>
      <c r="L59" s="518">
        <v>1.1634477771938901E-2</v>
      </c>
      <c r="M59" s="519">
        <v>1.1735943078262528E-4</v>
      </c>
    </row>
    <row r="60" spans="2:13" ht="15.75" x14ac:dyDescent="0.25">
      <c r="B60" s="212">
        <v>2015</v>
      </c>
      <c r="C60" s="309">
        <v>2015</v>
      </c>
      <c r="D60" s="250" t="s">
        <v>4637</v>
      </c>
      <c r="E60" s="517">
        <v>0.15255432755390916</v>
      </c>
      <c r="F60" s="310">
        <v>1.32347913345785E-2</v>
      </c>
      <c r="G60" s="311">
        <v>2.7576193796645498E-2</v>
      </c>
      <c r="H60" s="311">
        <v>1.1887156644741601</v>
      </c>
      <c r="I60" s="311">
        <v>0.32586614060465469</v>
      </c>
      <c r="J60" s="311">
        <v>9.3001045314348302E-3</v>
      </c>
      <c r="K60" s="311">
        <v>1.1228251375681689E-4</v>
      </c>
      <c r="L60" s="518">
        <v>9.7206139897436494E-3</v>
      </c>
      <c r="M60" s="519">
        <v>1.1735943078262493E-4</v>
      </c>
    </row>
    <row r="61" spans="2:13" ht="15.75" x14ac:dyDescent="0.25">
      <c r="B61" s="212">
        <v>2015</v>
      </c>
      <c r="C61" s="309">
        <v>2016</v>
      </c>
      <c r="D61" s="250" t="s">
        <v>4702</v>
      </c>
      <c r="E61" s="517">
        <v>0.16267976928660588</v>
      </c>
      <c r="F61" s="310">
        <v>1.2625490735193701E-2</v>
      </c>
      <c r="G61" s="311">
        <v>6.6182865111949721E-2</v>
      </c>
      <c r="H61" s="311">
        <v>1.09083450884885</v>
      </c>
      <c r="I61" s="311">
        <v>0.7820787374511774</v>
      </c>
      <c r="J61" s="311">
        <v>7.8083332029863896E-3</v>
      </c>
      <c r="K61" s="311">
        <v>2.6947803301636267E-4</v>
      </c>
      <c r="L61" s="518">
        <v>8.1613913814600203E-3</v>
      </c>
      <c r="M61" s="519">
        <v>2.8166263387830208E-4</v>
      </c>
    </row>
    <row r="62" spans="2:13" ht="15.75" x14ac:dyDescent="0.25">
      <c r="B62" s="212">
        <v>2016</v>
      </c>
      <c r="C62" s="309">
        <v>1984</v>
      </c>
      <c r="D62" s="250" t="s">
        <v>4648</v>
      </c>
      <c r="E62" s="517">
        <v>0.19953304243064701</v>
      </c>
      <c r="F62" s="310">
        <v>2.6030276968405599</v>
      </c>
      <c r="G62" s="311">
        <v>0.73640307672377947</v>
      </c>
      <c r="H62" s="311">
        <v>20.101718079045199</v>
      </c>
      <c r="I62" s="311">
        <v>1.3493307937035539</v>
      </c>
      <c r="J62" s="311">
        <v>1.88214276286611</v>
      </c>
      <c r="K62" s="311">
        <v>0.14111744618014443</v>
      </c>
      <c r="L62" s="518">
        <v>1.9672449067180999</v>
      </c>
      <c r="M62" s="519">
        <v>0.14749815089701707</v>
      </c>
    </row>
    <row r="63" spans="2:13" ht="15.75" x14ac:dyDescent="0.25">
      <c r="B63" s="212">
        <v>2016</v>
      </c>
      <c r="C63" s="309">
        <v>1985</v>
      </c>
      <c r="D63" s="250" t="s">
        <v>4649</v>
      </c>
      <c r="E63" s="517">
        <v>0.19958903561875091</v>
      </c>
      <c r="F63" s="310">
        <v>2.6066751081716499</v>
      </c>
      <c r="G63" s="311">
        <v>0.73640307672377747</v>
      </c>
      <c r="H63" s="311">
        <v>20.105743269621399</v>
      </c>
      <c r="I63" s="311">
        <v>1.3493307937035526</v>
      </c>
      <c r="J63" s="311">
        <v>1.8830717381711399</v>
      </c>
      <c r="K63" s="311">
        <v>0.14111744618014432</v>
      </c>
      <c r="L63" s="518">
        <v>1.9682158861641601</v>
      </c>
      <c r="M63" s="519">
        <v>0.14749815089701693</v>
      </c>
    </row>
    <row r="64" spans="2:13" ht="15.75" x14ac:dyDescent="0.25">
      <c r="B64" s="212">
        <v>2016</v>
      </c>
      <c r="C64" s="309">
        <v>1986</v>
      </c>
      <c r="D64" s="250" t="s">
        <v>4650</v>
      </c>
      <c r="E64" s="517">
        <v>0.19953304243064701</v>
      </c>
      <c r="F64" s="310">
        <v>2.6030276968405599</v>
      </c>
      <c r="G64" s="311">
        <v>0.73640307672377947</v>
      </c>
      <c r="H64" s="311">
        <v>20.101718079045199</v>
      </c>
      <c r="I64" s="311">
        <v>1.3493307937035539</v>
      </c>
      <c r="J64" s="311">
        <v>1.88214276286611</v>
      </c>
      <c r="K64" s="311">
        <v>0.14111744618014443</v>
      </c>
      <c r="L64" s="518">
        <v>1.9672449067180999</v>
      </c>
      <c r="M64" s="519">
        <v>0.14749815089701707</v>
      </c>
    </row>
    <row r="65" spans="2:13" ht="15.75" x14ac:dyDescent="0.25">
      <c r="B65" s="212">
        <v>2016</v>
      </c>
      <c r="C65" s="309">
        <v>1987</v>
      </c>
      <c r="D65" s="250" t="s">
        <v>4651</v>
      </c>
      <c r="E65" s="517">
        <v>0.19445896234021728</v>
      </c>
      <c r="F65" s="310">
        <v>2.7226274732170599</v>
      </c>
      <c r="G65" s="311">
        <v>0.43124558733328838</v>
      </c>
      <c r="H65" s="311">
        <v>20.261446117702398</v>
      </c>
      <c r="I65" s="311">
        <v>2.072730262066119</v>
      </c>
      <c r="J65" s="311">
        <v>1.83852784463691</v>
      </c>
      <c r="K65" s="311">
        <v>7.0384993757223027E-2</v>
      </c>
      <c r="L65" s="518">
        <v>1.92165791542491</v>
      </c>
      <c r="M65" s="519">
        <v>7.3567490846140476E-2</v>
      </c>
    </row>
    <row r="66" spans="2:13" ht="15.75" x14ac:dyDescent="0.25">
      <c r="B66" s="212">
        <v>2016</v>
      </c>
      <c r="C66" s="309">
        <v>1988</v>
      </c>
      <c r="D66" s="250" t="s">
        <v>4652</v>
      </c>
      <c r="E66" s="517">
        <v>0.19445896234021728</v>
      </c>
      <c r="F66" s="310">
        <v>2.7226274732170599</v>
      </c>
      <c r="G66" s="311">
        <v>0.43124558733328838</v>
      </c>
      <c r="H66" s="311">
        <v>20.261446117702398</v>
      </c>
      <c r="I66" s="311">
        <v>2.072730262066119</v>
      </c>
      <c r="J66" s="311">
        <v>1.83852784463691</v>
      </c>
      <c r="K66" s="311">
        <v>7.0384993757223027E-2</v>
      </c>
      <c r="L66" s="518">
        <v>1.92165791542491</v>
      </c>
      <c r="M66" s="519">
        <v>7.3567490846140476E-2</v>
      </c>
    </row>
    <row r="67" spans="2:13" ht="15.75" x14ac:dyDescent="0.25">
      <c r="B67" s="212">
        <v>2016</v>
      </c>
      <c r="C67" s="309">
        <v>1989</v>
      </c>
      <c r="D67" s="250" t="s">
        <v>4653</v>
      </c>
      <c r="E67" s="517">
        <v>0.19445896234021728</v>
      </c>
      <c r="F67" s="310">
        <v>2.7226274732170599</v>
      </c>
      <c r="G67" s="311">
        <v>0.43124558733328838</v>
      </c>
      <c r="H67" s="311">
        <v>20.261446117702398</v>
      </c>
      <c r="I67" s="311">
        <v>2.072730262066119</v>
      </c>
      <c r="J67" s="311">
        <v>1.83852784463691</v>
      </c>
      <c r="K67" s="311">
        <v>7.0384993757223027E-2</v>
      </c>
      <c r="L67" s="518">
        <v>1.92165791542491</v>
      </c>
      <c r="M67" s="519">
        <v>7.3567490846140476E-2</v>
      </c>
    </row>
    <row r="68" spans="2:13" ht="15.75" x14ac:dyDescent="0.25">
      <c r="B68" s="212">
        <v>2016</v>
      </c>
      <c r="C68" s="309">
        <v>1990</v>
      </c>
      <c r="D68" s="250" t="s">
        <v>4654</v>
      </c>
      <c r="E68" s="517">
        <v>0.19438726527935762</v>
      </c>
      <c r="F68" s="310">
        <v>2.7196561103542898</v>
      </c>
      <c r="G68" s="311">
        <v>0.43124558733328994</v>
      </c>
      <c r="H68" s="311">
        <v>20.255728104524898</v>
      </c>
      <c r="I68" s="311">
        <v>2.0727302620661265</v>
      </c>
      <c r="J68" s="311">
        <v>1.8371878241461299</v>
      </c>
      <c r="K68" s="311">
        <v>7.0384993757223152E-2</v>
      </c>
      <c r="L68" s="518">
        <v>1.9202573051537899</v>
      </c>
      <c r="M68" s="519">
        <v>7.3567490846140754E-2</v>
      </c>
    </row>
    <row r="69" spans="2:13" ht="15.75" x14ac:dyDescent="0.25">
      <c r="B69" s="212">
        <v>2016</v>
      </c>
      <c r="C69" s="309">
        <v>1991</v>
      </c>
      <c r="D69" s="250" t="s">
        <v>4655</v>
      </c>
      <c r="E69" s="517">
        <v>0.18804762511311443</v>
      </c>
      <c r="F69" s="310">
        <v>1.84452734270218</v>
      </c>
      <c r="G69" s="311">
        <v>0.34409728069292611</v>
      </c>
      <c r="H69" s="311">
        <v>24.054035467238201</v>
      </c>
      <c r="I69" s="311">
        <v>2.316849278808307</v>
      </c>
      <c r="J69" s="311">
        <v>0.820433061046279</v>
      </c>
      <c r="K69" s="311">
        <v>5.2635622920345647E-2</v>
      </c>
      <c r="L69" s="518">
        <v>0.85752940344900297</v>
      </c>
      <c r="M69" s="519">
        <v>5.501557222168621E-2</v>
      </c>
    </row>
    <row r="70" spans="2:13" ht="15.75" x14ac:dyDescent="0.25">
      <c r="B70" s="212">
        <v>2016</v>
      </c>
      <c r="C70" s="309">
        <v>1992</v>
      </c>
      <c r="D70" s="250" t="s">
        <v>4656</v>
      </c>
      <c r="E70" s="517">
        <v>0.1879089208666912</v>
      </c>
      <c r="F70" s="310">
        <v>1.8427460402503</v>
      </c>
      <c r="G70" s="311">
        <v>0.34409728069292617</v>
      </c>
      <c r="H70" s="311">
        <v>24.062386883462899</v>
      </c>
      <c r="I70" s="311">
        <v>2.3168492788083075</v>
      </c>
      <c r="J70" s="311">
        <v>0.81986897696180305</v>
      </c>
      <c r="K70" s="311">
        <v>5.2635622920345654E-2</v>
      </c>
      <c r="L70" s="518">
        <v>0.85693981398531205</v>
      </c>
      <c r="M70" s="519">
        <v>5.501557222168621E-2</v>
      </c>
    </row>
    <row r="71" spans="2:13" ht="15.75" x14ac:dyDescent="0.25">
      <c r="B71" s="212">
        <v>2016</v>
      </c>
      <c r="C71" s="309">
        <v>1993</v>
      </c>
      <c r="D71" s="250" t="s">
        <v>4657</v>
      </c>
      <c r="E71" s="517">
        <v>0.18716819941815196</v>
      </c>
      <c r="F71" s="310">
        <v>1.75646831638125</v>
      </c>
      <c r="G71" s="311">
        <v>0.34409728069292644</v>
      </c>
      <c r="H71" s="311">
        <v>22.381039157476099</v>
      </c>
      <c r="I71" s="311">
        <v>2.3168492788083097</v>
      </c>
      <c r="J71" s="311">
        <v>0.84630902069918001</v>
      </c>
      <c r="K71" s="311">
        <v>5.2635622920345702E-2</v>
      </c>
      <c r="L71" s="518">
        <v>0.884575359174537</v>
      </c>
      <c r="M71" s="519">
        <v>5.5015572221686265E-2</v>
      </c>
    </row>
    <row r="72" spans="2:13" ht="15.75" x14ac:dyDescent="0.25">
      <c r="B72" s="212">
        <v>2016</v>
      </c>
      <c r="C72" s="309">
        <v>1994</v>
      </c>
      <c r="D72" s="250" t="s">
        <v>4658</v>
      </c>
      <c r="E72" s="517">
        <v>0.17935107000176087</v>
      </c>
      <c r="F72" s="310">
        <v>1.6856642323714399</v>
      </c>
      <c r="G72" s="311">
        <v>0.27539852269558096</v>
      </c>
      <c r="H72" s="311">
        <v>19.8970135304825</v>
      </c>
      <c r="I72" s="311">
        <v>2.5182491388863166</v>
      </c>
      <c r="J72" s="311">
        <v>0.64193072407199903</v>
      </c>
      <c r="K72" s="311">
        <v>3.9553602827753269E-2</v>
      </c>
      <c r="L72" s="518">
        <v>0.67095598288913505</v>
      </c>
      <c r="M72" s="519">
        <v>4.1342041231111182E-2</v>
      </c>
    </row>
    <row r="73" spans="2:13" ht="15.75" x14ac:dyDescent="0.25">
      <c r="B73" s="212">
        <v>2016</v>
      </c>
      <c r="C73" s="309">
        <v>1995</v>
      </c>
      <c r="D73" s="250" t="s">
        <v>4659</v>
      </c>
      <c r="E73" s="517">
        <v>0.1793504799703895</v>
      </c>
      <c r="F73" s="310">
        <v>1.6860174427108501</v>
      </c>
      <c r="G73" s="311">
        <v>0.27539852269558035</v>
      </c>
      <c r="H73" s="311">
        <v>19.898471374028599</v>
      </c>
      <c r="I73" s="311">
        <v>2.5182491388863255</v>
      </c>
      <c r="J73" s="311">
        <v>0.64203270580116101</v>
      </c>
      <c r="K73" s="311">
        <v>3.9553602827753186E-2</v>
      </c>
      <c r="L73" s="518">
        <v>0.67106257577955197</v>
      </c>
      <c r="M73" s="519">
        <v>4.1342041231111092E-2</v>
      </c>
    </row>
    <row r="74" spans="2:13" ht="15.75" x14ac:dyDescent="0.25">
      <c r="B74" s="212">
        <v>2016</v>
      </c>
      <c r="C74" s="309">
        <v>1996</v>
      </c>
      <c r="D74" s="250" t="s">
        <v>4660</v>
      </c>
      <c r="E74" s="517">
        <v>0.17978839580101935</v>
      </c>
      <c r="F74" s="310">
        <v>1.4597580278959601</v>
      </c>
      <c r="G74" s="311">
        <v>0.24028521105189374</v>
      </c>
      <c r="H74" s="311">
        <v>19.6560690529097</v>
      </c>
      <c r="I74" s="311">
        <v>2.5182491388863215</v>
      </c>
      <c r="J74" s="311">
        <v>0.56261531261523101</v>
      </c>
      <c r="K74" s="311">
        <v>3.4510518467214563E-2</v>
      </c>
      <c r="L74" s="518">
        <v>0.58805428048321795</v>
      </c>
      <c r="M74" s="519">
        <v>3.6070930974144315E-2</v>
      </c>
    </row>
    <row r="75" spans="2:13" ht="15.75" x14ac:dyDescent="0.25">
      <c r="B75" s="212">
        <v>2016</v>
      </c>
      <c r="C75" s="309">
        <v>1997</v>
      </c>
      <c r="D75" s="250" t="s">
        <v>4661</v>
      </c>
      <c r="E75" s="517">
        <v>0.17978242311664769</v>
      </c>
      <c r="F75" s="310">
        <v>1.4598893168240701</v>
      </c>
      <c r="G75" s="311">
        <v>0.2402852110518946</v>
      </c>
      <c r="H75" s="311">
        <v>19.6577078512816</v>
      </c>
      <c r="I75" s="311">
        <v>2.5182491388863304</v>
      </c>
      <c r="J75" s="311">
        <v>0.56270325523139697</v>
      </c>
      <c r="K75" s="311">
        <v>3.4510518467214681E-2</v>
      </c>
      <c r="L75" s="518">
        <v>0.58814619947424696</v>
      </c>
      <c r="M75" s="519">
        <v>3.6070930974144433E-2</v>
      </c>
    </row>
    <row r="76" spans="2:13" ht="15.75" x14ac:dyDescent="0.25">
      <c r="B76" s="212">
        <v>2016</v>
      </c>
      <c r="C76" s="309">
        <v>1998</v>
      </c>
      <c r="D76" s="250" t="s">
        <v>4662</v>
      </c>
      <c r="E76" s="517">
        <v>0.18401639321899282</v>
      </c>
      <c r="F76" s="310">
        <v>1.4568653630656101</v>
      </c>
      <c r="G76" s="311">
        <v>0.18325806480039139</v>
      </c>
      <c r="H76" s="311">
        <v>19.823570086764398</v>
      </c>
      <c r="I76" s="311">
        <v>2.7100017205578588</v>
      </c>
      <c r="J76" s="311">
        <v>0.54999300004271101</v>
      </c>
      <c r="K76" s="311">
        <v>2.4395795177237032E-2</v>
      </c>
      <c r="L76" s="518">
        <v>0.57486124294685104</v>
      </c>
      <c r="M76" s="519">
        <v>2.5498864780413934E-2</v>
      </c>
    </row>
    <row r="77" spans="2:13" ht="15.75" x14ac:dyDescent="0.25">
      <c r="B77" s="212">
        <v>2016</v>
      </c>
      <c r="C77" s="309">
        <v>1999</v>
      </c>
      <c r="D77" s="250" t="s">
        <v>4663</v>
      </c>
      <c r="E77" s="517">
        <v>0.18582740668570755</v>
      </c>
      <c r="F77" s="310">
        <v>1.6727252406495901</v>
      </c>
      <c r="G77" s="311">
        <v>0.18325806480038992</v>
      </c>
      <c r="H77" s="311">
        <v>24.4979873394186</v>
      </c>
      <c r="I77" s="311">
        <v>2.7100017205578371</v>
      </c>
      <c r="J77" s="311">
        <v>0.50610920006012505</v>
      </c>
      <c r="K77" s="311">
        <v>2.4395795177236834E-2</v>
      </c>
      <c r="L77" s="518">
        <v>0.52899321226052998</v>
      </c>
      <c r="M77" s="519">
        <v>2.5498864780413737E-2</v>
      </c>
    </row>
    <row r="78" spans="2:13" ht="15.75" x14ac:dyDescent="0.25">
      <c r="B78" s="212">
        <v>2016</v>
      </c>
      <c r="C78" s="309">
        <v>2000</v>
      </c>
      <c r="D78" s="250" t="s">
        <v>4664</v>
      </c>
      <c r="E78" s="517">
        <v>0.18582665574804449</v>
      </c>
      <c r="F78" s="310">
        <v>1.6724231517396799</v>
      </c>
      <c r="G78" s="311">
        <v>0.18325806480039281</v>
      </c>
      <c r="H78" s="311">
        <v>24.497110347182801</v>
      </c>
      <c r="I78" s="311">
        <v>2.7100017205578597</v>
      </c>
      <c r="J78" s="311">
        <v>0.506041794883067</v>
      </c>
      <c r="K78" s="311">
        <v>2.4395795177237039E-2</v>
      </c>
      <c r="L78" s="518">
        <v>0.52892275932047195</v>
      </c>
      <c r="M78" s="519">
        <v>2.5498864780413948E-2</v>
      </c>
    </row>
    <row r="79" spans="2:13" ht="15.75" x14ac:dyDescent="0.25">
      <c r="B79" s="212">
        <v>2016</v>
      </c>
      <c r="C79" s="309">
        <v>2001</v>
      </c>
      <c r="D79" s="250" t="s">
        <v>4665</v>
      </c>
      <c r="E79" s="517">
        <v>0.18582789647603146</v>
      </c>
      <c r="F79" s="310">
        <v>1.6326033389913801</v>
      </c>
      <c r="G79" s="311">
        <v>0.18325806480039167</v>
      </c>
      <c r="H79" s="311">
        <v>24.365136186028899</v>
      </c>
      <c r="I79" s="311">
        <v>2.7100017205578628</v>
      </c>
      <c r="J79" s="311">
        <v>0.49727689754292798</v>
      </c>
      <c r="K79" s="311">
        <v>2.439579517723707E-2</v>
      </c>
      <c r="L79" s="518">
        <v>0.51976155221626796</v>
      </c>
      <c r="M79" s="519">
        <v>2.5498864780413976E-2</v>
      </c>
    </row>
    <row r="80" spans="2:13" ht="15.75" x14ac:dyDescent="0.25">
      <c r="B80" s="212">
        <v>2016</v>
      </c>
      <c r="C80" s="309">
        <v>2002</v>
      </c>
      <c r="D80" s="250" t="s">
        <v>4666</v>
      </c>
      <c r="E80" s="517">
        <v>0.18425552580694765</v>
      </c>
      <c r="F80" s="310">
        <v>1.58800785755506</v>
      </c>
      <c r="G80" s="311">
        <v>0.1649322583203523</v>
      </c>
      <c r="H80" s="311">
        <v>24.2165083010673</v>
      </c>
      <c r="I80" s="311">
        <v>2.4390015485020733</v>
      </c>
      <c r="J80" s="311">
        <v>0.48747388695124599</v>
      </c>
      <c r="K80" s="311">
        <v>2.1956215659513334E-2</v>
      </c>
      <c r="L80" s="518">
        <v>0.50951529298584497</v>
      </c>
      <c r="M80" s="519">
        <v>2.2948978302372549E-2</v>
      </c>
    </row>
    <row r="81" spans="2:13" ht="15.75" x14ac:dyDescent="0.25">
      <c r="B81" s="212">
        <v>2016</v>
      </c>
      <c r="C81" s="309">
        <v>2003</v>
      </c>
      <c r="D81" s="250" t="s">
        <v>4667</v>
      </c>
      <c r="E81" s="517">
        <v>0.18142564078606863</v>
      </c>
      <c r="F81" s="310">
        <v>1.006878544109</v>
      </c>
      <c r="G81" s="311">
        <v>0.12172499947660048</v>
      </c>
      <c r="H81" s="311">
        <v>13.6354310358953</v>
      </c>
      <c r="I81" s="311">
        <v>2.2760138819409801</v>
      </c>
      <c r="J81" s="311">
        <v>0.57967447441882802</v>
      </c>
      <c r="K81" s="311">
        <v>1.5289440109674559E-2</v>
      </c>
      <c r="L81" s="518">
        <v>0.60588478188466299</v>
      </c>
      <c r="M81" s="519">
        <v>1.5980760745548394E-2</v>
      </c>
    </row>
    <row r="82" spans="2:13" ht="15.75" x14ac:dyDescent="0.25">
      <c r="B82" s="212">
        <v>2016</v>
      </c>
      <c r="C82" s="309">
        <v>2004</v>
      </c>
      <c r="D82" s="250" t="s">
        <v>4668</v>
      </c>
      <c r="E82" s="517">
        <v>0.18012204899348722</v>
      </c>
      <c r="F82" s="310">
        <v>0.97061388123102499</v>
      </c>
      <c r="G82" s="311">
        <v>0.10955249952894082</v>
      </c>
      <c r="H82" s="311">
        <v>11.6915637274536</v>
      </c>
      <c r="I82" s="311">
        <v>2.0484124937468891</v>
      </c>
      <c r="J82" s="311">
        <v>0.68666961100957002</v>
      </c>
      <c r="K82" s="311">
        <v>1.3760496098707152E-2</v>
      </c>
      <c r="L82" s="518">
        <v>0.717717763768152</v>
      </c>
      <c r="M82" s="519">
        <v>1.4382684670993602E-2</v>
      </c>
    </row>
    <row r="83" spans="2:13" ht="15.75" x14ac:dyDescent="0.25">
      <c r="B83" s="212">
        <v>2016</v>
      </c>
      <c r="C83" s="309">
        <v>2005</v>
      </c>
      <c r="D83" s="250" t="s">
        <v>4669</v>
      </c>
      <c r="E83" s="517">
        <v>0.17894909533141226</v>
      </c>
      <c r="F83" s="310">
        <v>0.93386551161369502</v>
      </c>
      <c r="G83" s="311">
        <v>9.85972495760465E-2</v>
      </c>
      <c r="H83" s="311">
        <v>11.558888775156801</v>
      </c>
      <c r="I83" s="311">
        <v>1.8435712443721959</v>
      </c>
      <c r="J83" s="311">
        <v>0.66801644080692502</v>
      </c>
      <c r="K83" s="311">
        <v>1.2384446488836406E-2</v>
      </c>
      <c r="L83" s="518">
        <v>0.69822117998116096</v>
      </c>
      <c r="M83" s="519">
        <v>1.2944416203894213E-2</v>
      </c>
    </row>
    <row r="84" spans="2:13" ht="15.75" x14ac:dyDescent="0.25">
      <c r="B84" s="212">
        <v>2016</v>
      </c>
      <c r="C84" s="309">
        <v>2006</v>
      </c>
      <c r="D84" s="250" t="s">
        <v>4670</v>
      </c>
      <c r="E84" s="517">
        <v>0.17784498364324902</v>
      </c>
      <c r="F84" s="310">
        <v>0.89120283155439295</v>
      </c>
      <c r="G84" s="311">
        <v>8.8737524618441907E-2</v>
      </c>
      <c r="H84" s="311">
        <v>11.4183114521113</v>
      </c>
      <c r="I84" s="311">
        <v>1.6592141199349775</v>
      </c>
      <c r="J84" s="311">
        <v>0.64598848394135999</v>
      </c>
      <c r="K84" s="311">
        <v>1.1146001839952773E-2</v>
      </c>
      <c r="L84" s="518">
        <v>0.67519721665374499</v>
      </c>
      <c r="M84" s="519">
        <v>1.1649974583504799E-2</v>
      </c>
    </row>
    <row r="85" spans="2:13" ht="15.75" x14ac:dyDescent="0.25">
      <c r="B85" s="212">
        <v>2016</v>
      </c>
      <c r="C85" s="309">
        <v>2007</v>
      </c>
      <c r="D85" s="250" t="s">
        <v>4671</v>
      </c>
      <c r="E85" s="517">
        <v>0.17843421176037094</v>
      </c>
      <c r="F85" s="310">
        <v>0.62904354578176402</v>
      </c>
      <c r="G85" s="311">
        <v>6.6581331076223257E-2</v>
      </c>
      <c r="H85" s="311">
        <v>10.323979787430099</v>
      </c>
      <c r="I85" s="311">
        <v>1.4932927079414795</v>
      </c>
      <c r="J85" s="311">
        <v>0.45338404447903702</v>
      </c>
      <c r="K85" s="311">
        <v>8.4809311717430388E-3</v>
      </c>
      <c r="L85" s="518">
        <v>0.47388405910847797</v>
      </c>
      <c r="M85" s="519">
        <v>8.8644012457545999E-3</v>
      </c>
    </row>
    <row r="86" spans="2:13" ht="15.75" x14ac:dyDescent="0.25">
      <c r="B86" s="212">
        <v>2016</v>
      </c>
      <c r="C86" s="309">
        <v>2008</v>
      </c>
      <c r="D86" s="250" t="s">
        <v>4672</v>
      </c>
      <c r="E86" s="517">
        <v>0.18102785897467322</v>
      </c>
      <c r="F86" s="310">
        <v>0.23428826510737799</v>
      </c>
      <c r="G86" s="311">
        <v>2.7181936477757303E-2</v>
      </c>
      <c r="H86" s="311">
        <v>8.0326485600688802</v>
      </c>
      <c r="I86" s="311">
        <v>1.0331931786846686</v>
      </c>
      <c r="J86" s="311">
        <v>4.5838173463027099E-2</v>
      </c>
      <c r="K86" s="311">
        <v>4.2183523476908087E-4</v>
      </c>
      <c r="L86" s="518">
        <v>4.7910772263142901E-2</v>
      </c>
      <c r="M86" s="519">
        <v>4.4090875221920717E-4</v>
      </c>
    </row>
    <row r="87" spans="2:13" ht="15.75" x14ac:dyDescent="0.25">
      <c r="B87" s="212">
        <v>2016</v>
      </c>
      <c r="C87" s="309">
        <v>2009</v>
      </c>
      <c r="D87" s="250" t="s">
        <v>4673</v>
      </c>
      <c r="E87" s="517">
        <v>0.18115316325267947</v>
      </c>
      <c r="F87" s="310">
        <v>0.210183693634341</v>
      </c>
      <c r="G87" s="311">
        <v>2.5608739864558708E-2</v>
      </c>
      <c r="H87" s="311">
        <v>7.7892143918305798</v>
      </c>
      <c r="I87" s="311">
        <v>0.51385604082657121</v>
      </c>
      <c r="J87" s="311">
        <v>3.35860812155616E-2</v>
      </c>
      <c r="K87" s="311">
        <v>1.0617939080244573E-4</v>
      </c>
      <c r="L87" s="518">
        <v>3.5104694772101201E-2</v>
      </c>
      <c r="M87" s="519">
        <v>1.1098035169046409E-4</v>
      </c>
    </row>
    <row r="88" spans="2:13" ht="15.75" x14ac:dyDescent="0.25">
      <c r="B88" s="212">
        <v>2016</v>
      </c>
      <c r="C88" s="309">
        <v>2010</v>
      </c>
      <c r="D88" s="250" t="s">
        <v>4674</v>
      </c>
      <c r="E88" s="517">
        <v>0.17992209196314571</v>
      </c>
      <c r="F88" s="310">
        <v>0.20584024577832999</v>
      </c>
      <c r="G88" s="311">
        <v>2.5677208688938195E-2</v>
      </c>
      <c r="H88" s="311">
        <v>6.8602131612124504</v>
      </c>
      <c r="I88" s="311">
        <v>0.46103180910035246</v>
      </c>
      <c r="J88" s="311">
        <v>4.5023014713586003E-2</v>
      </c>
      <c r="K88" s="311">
        <v>1.061793908024457E-4</v>
      </c>
      <c r="L88" s="518">
        <v>4.7058755652265499E-2</v>
      </c>
      <c r="M88" s="519">
        <v>1.1098035169046406E-4</v>
      </c>
    </row>
    <row r="89" spans="2:13" ht="15.75" x14ac:dyDescent="0.25">
      <c r="B89" s="212">
        <v>2016</v>
      </c>
      <c r="C89" s="309">
        <v>2011</v>
      </c>
      <c r="D89" s="250" t="s">
        <v>4675</v>
      </c>
      <c r="E89" s="517">
        <v>0.1743096755411587</v>
      </c>
      <c r="F89" s="310">
        <v>8.8006844841810095E-2</v>
      </c>
      <c r="G89" s="311">
        <v>2.5990184969612942E-2</v>
      </c>
      <c r="H89" s="311">
        <v>3.5993478545254001</v>
      </c>
      <c r="I89" s="311">
        <v>0.34904069303967589</v>
      </c>
      <c r="J89" s="311">
        <v>3.9889894661544398E-2</v>
      </c>
      <c r="K89" s="311">
        <v>1.0617939080244607E-4</v>
      </c>
      <c r="L89" s="518">
        <v>4.16935386893535E-2</v>
      </c>
      <c r="M89" s="519">
        <v>1.1098035169046443E-4</v>
      </c>
    </row>
    <row r="90" spans="2:13" ht="15.75" x14ac:dyDescent="0.25">
      <c r="B90" s="212">
        <v>2016</v>
      </c>
      <c r="C90" s="309">
        <v>2012</v>
      </c>
      <c r="D90" s="250" t="s">
        <v>4676</v>
      </c>
      <c r="E90" s="517">
        <v>0.17273814756293776</v>
      </c>
      <c r="F90" s="310">
        <v>1.75184989778321E-2</v>
      </c>
      <c r="G90" s="311">
        <v>2.6077288083517114E-2</v>
      </c>
      <c r="H90" s="311">
        <v>2.6803392013640099</v>
      </c>
      <c r="I90" s="311">
        <v>0.30815366645142939</v>
      </c>
      <c r="J90" s="311">
        <v>1.96055983387378E-2</v>
      </c>
      <c r="K90" s="311">
        <v>1.061793908024452E-4</v>
      </c>
      <c r="L90" s="518">
        <v>2.04920764970614E-2</v>
      </c>
      <c r="M90" s="519">
        <v>1.1098035169046353E-4</v>
      </c>
    </row>
    <row r="91" spans="2:13" ht="15.75" x14ac:dyDescent="0.25">
      <c r="B91" s="212">
        <v>2016</v>
      </c>
      <c r="C91" s="309">
        <v>2013</v>
      </c>
      <c r="D91" s="250" t="s">
        <v>4677</v>
      </c>
      <c r="E91" s="517">
        <v>0.17151160460683348</v>
      </c>
      <c r="F91" s="310">
        <v>1.6408583203521499E-2</v>
      </c>
      <c r="G91" s="311">
        <v>2.6077288083516979E-2</v>
      </c>
      <c r="H91" s="311">
        <v>2.3676749375319699</v>
      </c>
      <c r="I91" s="311">
        <v>0.30815366645142778</v>
      </c>
      <c r="J91" s="311">
        <v>1.6951496336238499E-2</v>
      </c>
      <c r="K91" s="311">
        <v>1.0617939080244465E-4</v>
      </c>
      <c r="L91" s="518">
        <v>1.77179677794123E-2</v>
      </c>
      <c r="M91" s="519">
        <v>1.1098035169046296E-4</v>
      </c>
    </row>
    <row r="92" spans="2:13" ht="15.75" x14ac:dyDescent="0.25">
      <c r="B92" s="212">
        <v>2016</v>
      </c>
      <c r="C92" s="309">
        <v>2014</v>
      </c>
      <c r="D92" s="250" t="s">
        <v>4678</v>
      </c>
      <c r="E92" s="517">
        <v>0.15418625327326269</v>
      </c>
      <c r="F92" s="310">
        <v>1.46528298999276E-2</v>
      </c>
      <c r="G92" s="311">
        <v>2.6077288083517006E-2</v>
      </c>
      <c r="H92" s="311">
        <v>1.53398784255837</v>
      </c>
      <c r="I92" s="311">
        <v>0.30815366645142811</v>
      </c>
      <c r="J92" s="311">
        <v>1.27584876500827E-2</v>
      </c>
      <c r="K92" s="311">
        <v>1.0617939080244477E-4</v>
      </c>
      <c r="L92" s="518">
        <v>1.3335369846669E-2</v>
      </c>
      <c r="M92" s="519">
        <v>1.1098035169046309E-4</v>
      </c>
    </row>
    <row r="93" spans="2:13" ht="15.75" x14ac:dyDescent="0.25">
      <c r="B93" s="212">
        <v>2016</v>
      </c>
      <c r="C93" s="309">
        <v>2015</v>
      </c>
      <c r="D93" s="250" t="s">
        <v>4679</v>
      </c>
      <c r="E93" s="517">
        <v>0.15216039467767614</v>
      </c>
      <c r="F93" s="310">
        <v>1.3840598114160701E-2</v>
      </c>
      <c r="G93" s="311">
        <v>2.6077288083517045E-2</v>
      </c>
      <c r="H93" s="311">
        <v>1.28684236350793</v>
      </c>
      <c r="I93" s="311">
        <v>0.30815366645142855</v>
      </c>
      <c r="J93" s="311">
        <v>1.07843077095361E-2</v>
      </c>
      <c r="K93" s="311">
        <v>1.0617939080244493E-4</v>
      </c>
      <c r="L93" s="518">
        <v>1.1271926249504601E-2</v>
      </c>
      <c r="M93" s="519">
        <v>1.1098035169046325E-4</v>
      </c>
    </row>
    <row r="94" spans="2:13" ht="15.75" x14ac:dyDescent="0.25">
      <c r="B94" s="212">
        <v>2016</v>
      </c>
      <c r="C94" s="309">
        <v>2016</v>
      </c>
      <c r="D94" s="250" t="s">
        <v>4680</v>
      </c>
      <c r="E94" s="517">
        <v>0.15216015051582291</v>
      </c>
      <c r="F94" s="310">
        <v>1.3234324085972001E-2</v>
      </c>
      <c r="G94" s="311">
        <v>2.6077288083517034E-2</v>
      </c>
      <c r="H94" s="311">
        <v>1.18874281489264</v>
      </c>
      <c r="I94" s="311">
        <v>0.30815366645142911</v>
      </c>
      <c r="J94" s="311">
        <v>9.2990974145815506E-3</v>
      </c>
      <c r="K94" s="311">
        <v>1.0617939080244488E-4</v>
      </c>
      <c r="L94" s="518">
        <v>9.7195613355352904E-3</v>
      </c>
      <c r="M94" s="519">
        <v>1.1098035169046319E-4</v>
      </c>
    </row>
    <row r="95" spans="2:13" ht="15.75" x14ac:dyDescent="0.25">
      <c r="B95" s="212">
        <v>2016</v>
      </c>
      <c r="C95" s="309">
        <v>2017</v>
      </c>
      <c r="D95" s="250" t="s">
        <v>4703</v>
      </c>
      <c r="E95" s="517">
        <v>0.15562565507283949</v>
      </c>
      <c r="F95" s="310">
        <v>1.2628513525359999E-2</v>
      </c>
      <c r="G95" s="311">
        <v>6.2585491400441076E-2</v>
      </c>
      <c r="H95" s="311">
        <v>1.09059575695944</v>
      </c>
      <c r="I95" s="311">
        <v>0.73956879948343068</v>
      </c>
      <c r="J95" s="311">
        <v>7.8150901219071704E-3</v>
      </c>
      <c r="K95" s="311">
        <v>2.5483053792586856E-4</v>
      </c>
      <c r="L95" s="518">
        <v>8.1684538182710108E-3</v>
      </c>
      <c r="M95" s="519">
        <v>2.6635284405711253E-4</v>
      </c>
    </row>
    <row r="96" spans="2:13" ht="15.75" x14ac:dyDescent="0.25">
      <c r="B96" s="212">
        <v>2017</v>
      </c>
      <c r="C96" s="309">
        <v>1985</v>
      </c>
      <c r="D96" s="250" t="s">
        <v>2975</v>
      </c>
      <c r="E96" s="517">
        <v>0.19959839224456657</v>
      </c>
      <c r="F96" s="310">
        <v>2.6066720691416601</v>
      </c>
      <c r="G96" s="311">
        <v>0.73691154597828512</v>
      </c>
      <c r="H96" s="311">
        <v>20.105736777596</v>
      </c>
      <c r="I96" s="311">
        <v>1.3502624753388457</v>
      </c>
      <c r="J96" s="311">
        <v>1.8830666097508899</v>
      </c>
      <c r="K96" s="311">
        <v>0.14121488450560091</v>
      </c>
      <c r="L96" s="518">
        <v>1.9682105258595</v>
      </c>
      <c r="M96" s="519">
        <v>0.14759999495117448</v>
      </c>
    </row>
    <row r="97" spans="2:13" ht="15.75" x14ac:dyDescent="0.25">
      <c r="B97" s="212">
        <v>2017</v>
      </c>
      <c r="C97" s="309">
        <v>1986</v>
      </c>
      <c r="D97" s="250" t="s">
        <v>2976</v>
      </c>
      <c r="E97" s="517">
        <v>0.19954234384477593</v>
      </c>
      <c r="F97" s="310">
        <v>2.6030240751278799</v>
      </c>
      <c r="G97" s="311">
        <v>0.7369096365105009</v>
      </c>
      <c r="H97" s="311">
        <v>20.101710764173401</v>
      </c>
      <c r="I97" s="311">
        <v>1.3502589765706285</v>
      </c>
      <c r="J97" s="311">
        <v>1.88213725909431</v>
      </c>
      <c r="K97" s="311">
        <v>0.14121451859292919</v>
      </c>
      <c r="L97" s="518">
        <v>1.9672391540901599</v>
      </c>
      <c r="M97" s="519">
        <v>0.14759961249355547</v>
      </c>
    </row>
    <row r="98" spans="2:13" ht="15.75" x14ac:dyDescent="0.25">
      <c r="B98" s="212">
        <v>2017</v>
      </c>
      <c r="C98" s="309">
        <v>1987</v>
      </c>
      <c r="D98" s="250" t="s">
        <v>2977</v>
      </c>
      <c r="E98" s="517">
        <v>0.19446885514480566</v>
      </c>
      <c r="F98" s="310">
        <v>2.7226238737372901</v>
      </c>
      <c r="G98" s="311">
        <v>0.43154348011022442</v>
      </c>
      <c r="H98" s="311">
        <v>20.261438697582001</v>
      </c>
      <c r="I98" s="311">
        <v>2.0741620480176626</v>
      </c>
      <c r="J98" s="311">
        <v>1.8385227281997101</v>
      </c>
      <c r="K98" s="311">
        <v>7.0433613805429562E-2</v>
      </c>
      <c r="L98" s="518">
        <v>1.9216525676451199</v>
      </c>
      <c r="M98" s="519">
        <v>7.3618309277178787E-2</v>
      </c>
    </row>
    <row r="99" spans="2:13" ht="15.75" x14ac:dyDescent="0.25">
      <c r="B99" s="212">
        <v>2017</v>
      </c>
      <c r="C99" s="309">
        <v>1988</v>
      </c>
      <c r="D99" s="250" t="s">
        <v>2978</v>
      </c>
      <c r="E99" s="517">
        <v>0.19446885514480566</v>
      </c>
      <c r="F99" s="310">
        <v>2.7226238737372901</v>
      </c>
      <c r="G99" s="311">
        <v>0.43154348011022442</v>
      </c>
      <c r="H99" s="311">
        <v>20.261438697582001</v>
      </c>
      <c r="I99" s="311">
        <v>2.0741620480176626</v>
      </c>
      <c r="J99" s="311">
        <v>1.8385227281997101</v>
      </c>
      <c r="K99" s="311">
        <v>7.0433613805429562E-2</v>
      </c>
      <c r="L99" s="518">
        <v>1.9216525676451199</v>
      </c>
      <c r="M99" s="519">
        <v>7.3618309277178787E-2</v>
      </c>
    </row>
    <row r="100" spans="2:13" ht="15.75" x14ac:dyDescent="0.25">
      <c r="B100" s="212">
        <v>2017</v>
      </c>
      <c r="C100" s="309">
        <v>1989</v>
      </c>
      <c r="D100" s="250" t="s">
        <v>2979</v>
      </c>
      <c r="E100" s="517">
        <v>0.19446885514480566</v>
      </c>
      <c r="F100" s="310">
        <v>2.7226238737372901</v>
      </c>
      <c r="G100" s="311">
        <v>0.43154348011022442</v>
      </c>
      <c r="H100" s="311">
        <v>20.261438697582001</v>
      </c>
      <c r="I100" s="311">
        <v>2.0741620480176626</v>
      </c>
      <c r="J100" s="311">
        <v>1.8385227281997101</v>
      </c>
      <c r="K100" s="311">
        <v>7.0433613805429562E-2</v>
      </c>
      <c r="L100" s="518">
        <v>1.9216525676451199</v>
      </c>
      <c r="M100" s="519">
        <v>7.3618309277178787E-2</v>
      </c>
    </row>
    <row r="101" spans="2:13" ht="15.75" x14ac:dyDescent="0.25">
      <c r="B101" s="212">
        <v>2017</v>
      </c>
      <c r="C101" s="309">
        <v>1990</v>
      </c>
      <c r="D101" s="250" t="s">
        <v>2980</v>
      </c>
      <c r="E101" s="517">
        <v>0.19439714228162636</v>
      </c>
      <c r="F101" s="310">
        <v>2.7196521960321798</v>
      </c>
      <c r="G101" s="311">
        <v>0.43154304335681259</v>
      </c>
      <c r="H101" s="311">
        <v>20.255720259649799</v>
      </c>
      <c r="I101" s="311">
        <v>2.0741599488146956</v>
      </c>
      <c r="J101" s="311">
        <v>1.83718271785996</v>
      </c>
      <c r="K101" s="311">
        <v>7.0433542521485662E-2</v>
      </c>
      <c r="L101" s="518">
        <v>1.92025196798402</v>
      </c>
      <c r="M101" s="519">
        <v>7.3618234770091259E-2</v>
      </c>
    </row>
    <row r="102" spans="2:13" ht="15.75" x14ac:dyDescent="0.25">
      <c r="B102" s="212">
        <v>2017</v>
      </c>
      <c r="C102" s="309">
        <v>1991</v>
      </c>
      <c r="D102" s="250" t="s">
        <v>2981</v>
      </c>
      <c r="E102" s="517">
        <v>0.18805776049246367</v>
      </c>
      <c r="F102" s="310">
        <v>1.8445326802483399</v>
      </c>
      <c r="G102" s="311">
        <v>0.34433487188900047</v>
      </c>
      <c r="H102" s="311">
        <v>24.054076081994001</v>
      </c>
      <c r="I102" s="311">
        <v>2.3184490095302928</v>
      </c>
      <c r="J102" s="311">
        <v>0.82043430861551403</v>
      </c>
      <c r="K102" s="311">
        <v>5.2671966597867839E-2</v>
      </c>
      <c r="L102" s="518">
        <v>0.85753070742778204</v>
      </c>
      <c r="M102" s="519">
        <v>5.5053559199033271E-2</v>
      </c>
    </row>
    <row r="103" spans="2:13" ht="15.75" x14ac:dyDescent="0.25">
      <c r="B103" s="212">
        <v>2017</v>
      </c>
      <c r="C103" s="309">
        <v>1992</v>
      </c>
      <c r="D103" s="250" t="s">
        <v>2982</v>
      </c>
      <c r="E103" s="517">
        <v>0.18791903881045652</v>
      </c>
      <c r="F103" s="310">
        <v>1.84275054580076</v>
      </c>
      <c r="G103" s="311">
        <v>0.34433461179864272</v>
      </c>
      <c r="H103" s="311">
        <v>24.062425727525898</v>
      </c>
      <c r="I103" s="311">
        <v>2.3184472583099498</v>
      </c>
      <c r="J103" s="311">
        <v>0.81986999610775102</v>
      </c>
      <c r="K103" s="311">
        <v>5.2671926812554885E-2</v>
      </c>
      <c r="L103" s="518">
        <v>0.85694087921251805</v>
      </c>
      <c r="M103" s="519">
        <v>5.5053517614805009E-2</v>
      </c>
    </row>
    <row r="104" spans="2:13" ht="15.75" x14ac:dyDescent="0.25">
      <c r="B104" s="212">
        <v>2017</v>
      </c>
      <c r="C104" s="309">
        <v>1993</v>
      </c>
      <c r="D104" s="250" t="s">
        <v>2983</v>
      </c>
      <c r="E104" s="517">
        <v>0.18717832054786726</v>
      </c>
      <c r="F104" s="310">
        <v>1.7564717295110199</v>
      </c>
      <c r="G104" s="311">
        <v>0.34433402430222149</v>
      </c>
      <c r="H104" s="311">
        <v>22.381075327008599</v>
      </c>
      <c r="I104" s="311">
        <v>2.3184433026243454</v>
      </c>
      <c r="J104" s="311">
        <v>0.84631058516295099</v>
      </c>
      <c r="K104" s="311">
        <v>5.2671836944829013E-2</v>
      </c>
      <c r="L104" s="518">
        <v>0.88457699437641701</v>
      </c>
      <c r="M104" s="519">
        <v>5.5053423683659355E-2</v>
      </c>
    </row>
    <row r="105" spans="2:13" ht="15.75" x14ac:dyDescent="0.25">
      <c r="B105" s="212">
        <v>2017</v>
      </c>
      <c r="C105" s="309">
        <v>1994</v>
      </c>
      <c r="D105" s="250" t="s">
        <v>2984</v>
      </c>
      <c r="E105" s="517">
        <v>0.17936148177188202</v>
      </c>
      <c r="F105" s="310">
        <v>1.6856656651703401</v>
      </c>
      <c r="G105" s="311">
        <v>0.27558825632392514</v>
      </c>
      <c r="H105" s="311">
        <v>19.8970447947972</v>
      </c>
      <c r="I105" s="311">
        <v>2.5199840666612339</v>
      </c>
      <c r="J105" s="311">
        <v>0.64193240589237299</v>
      </c>
      <c r="K105" s="311">
        <v>3.9580852968767614E-2</v>
      </c>
      <c r="L105" s="518">
        <v>0.67095774075396297</v>
      </c>
      <c r="M105" s="519">
        <v>4.1370523502581476E-2</v>
      </c>
    </row>
    <row r="106" spans="2:13" ht="15.75" x14ac:dyDescent="0.25">
      <c r="B106" s="212">
        <v>2017</v>
      </c>
      <c r="C106" s="309">
        <v>1995</v>
      </c>
      <c r="D106" s="250" t="s">
        <v>2985</v>
      </c>
      <c r="E106" s="517">
        <v>0.17936089032769198</v>
      </c>
      <c r="F106" s="310">
        <v>1.6860190771378301</v>
      </c>
      <c r="G106" s="311">
        <v>0.27558819299431003</v>
      </c>
      <c r="H106" s="311">
        <v>19.898503069018201</v>
      </c>
      <c r="I106" s="311">
        <v>2.5199834875740721</v>
      </c>
      <c r="J106" s="311">
        <v>0.64203442529366905</v>
      </c>
      <c r="K106" s="311">
        <v>3.9580843873168917E-2</v>
      </c>
      <c r="L106" s="518">
        <v>0.67106437301988098</v>
      </c>
      <c r="M106" s="519">
        <v>4.1370513995720171E-2</v>
      </c>
    </row>
    <row r="107" spans="2:13" ht="15.75" x14ac:dyDescent="0.25">
      <c r="B107" s="212">
        <v>2017</v>
      </c>
      <c r="C107" s="309">
        <v>1996</v>
      </c>
      <c r="D107" s="250" t="s">
        <v>2986</v>
      </c>
      <c r="E107" s="517">
        <v>0.17979882179629236</v>
      </c>
      <c r="F107" s="310">
        <v>1.45975926475937</v>
      </c>
      <c r="G107" s="311">
        <v>0.24045046344617446</v>
      </c>
      <c r="H107" s="311">
        <v>19.6561009583688</v>
      </c>
      <c r="I107" s="311">
        <v>2.519981025329816</v>
      </c>
      <c r="J107" s="311">
        <v>0.56261688878012395</v>
      </c>
      <c r="K107" s="311">
        <v>3.4534252536321898E-2</v>
      </c>
      <c r="L107" s="518">
        <v>0.58805592791529204</v>
      </c>
      <c r="M107" s="519">
        <v>3.6095738192538307E-2</v>
      </c>
    </row>
    <row r="108" spans="2:13" ht="15.75" x14ac:dyDescent="0.25">
      <c r="B108" s="212">
        <v>2017</v>
      </c>
      <c r="C108" s="309">
        <v>1997</v>
      </c>
      <c r="D108" s="250" t="s">
        <v>2987</v>
      </c>
      <c r="E108" s="517">
        <v>0.17979283764608847</v>
      </c>
      <c r="F108" s="310">
        <v>1.45989060161659</v>
      </c>
      <c r="G108" s="311">
        <v>0.24045030227355596</v>
      </c>
      <c r="H108" s="311">
        <v>19.6577402275657</v>
      </c>
      <c r="I108" s="311">
        <v>2.5199793362004437</v>
      </c>
      <c r="J108" s="311">
        <v>0.56270485564411199</v>
      </c>
      <c r="K108" s="311">
        <v>3.4534229388203025E-2</v>
      </c>
      <c r="L108" s="518">
        <v>0.58814787225052301</v>
      </c>
      <c r="M108" s="519">
        <v>3.609571399776422E-2</v>
      </c>
    </row>
    <row r="109" spans="2:13" ht="15.75" x14ac:dyDescent="0.25">
      <c r="B109" s="212">
        <v>2017</v>
      </c>
      <c r="C109" s="309">
        <v>1998</v>
      </c>
      <c r="D109" s="250" t="s">
        <v>2988</v>
      </c>
      <c r="E109" s="517">
        <v>0.18402708785348307</v>
      </c>
      <c r="F109" s="310">
        <v>1.4568666765821101</v>
      </c>
      <c r="G109" s="311">
        <v>0.18338396337191779</v>
      </c>
      <c r="H109" s="311">
        <v>19.8236027771067</v>
      </c>
      <c r="I109" s="311">
        <v>2.7118634958954075</v>
      </c>
      <c r="J109" s="311">
        <v>0.54999456731361995</v>
      </c>
      <c r="K109" s="311">
        <v>2.4412555125932385E-2</v>
      </c>
      <c r="L109" s="518">
        <v>0.57486288108279504</v>
      </c>
      <c r="M109" s="519">
        <v>2.5516382539618125E-2</v>
      </c>
    </row>
    <row r="110" spans="2:13" ht="15.75" x14ac:dyDescent="0.25">
      <c r="B110" s="212">
        <v>2017</v>
      </c>
      <c r="C110" s="309">
        <v>1999</v>
      </c>
      <c r="D110" s="250" t="s">
        <v>2989</v>
      </c>
      <c r="E110" s="517">
        <v>0.185838030825835</v>
      </c>
      <c r="F110" s="310">
        <v>1.6727295230516701</v>
      </c>
      <c r="G110" s="311">
        <v>0.18338396015916067</v>
      </c>
      <c r="H110" s="311">
        <v>24.4980279731809</v>
      </c>
      <c r="I110" s="311">
        <v>2.71186344838548</v>
      </c>
      <c r="J110" s="311">
        <v>0.50610985965853705</v>
      </c>
      <c r="K110" s="311">
        <v>2.4412554698241714E-2</v>
      </c>
      <c r="L110" s="518">
        <v>0.52899390168305505</v>
      </c>
      <c r="M110" s="519">
        <v>2.551638209258918E-2</v>
      </c>
    </row>
    <row r="111" spans="2:13" ht="15.75" x14ac:dyDescent="0.25">
      <c r="B111" s="212">
        <v>2017</v>
      </c>
      <c r="C111" s="309">
        <v>2000</v>
      </c>
      <c r="D111" s="250" t="s">
        <v>2990</v>
      </c>
      <c r="E111" s="517">
        <v>0.18583727909550446</v>
      </c>
      <c r="F111" s="310">
        <v>1.6727043653354201</v>
      </c>
      <c r="G111" s="311">
        <v>0.18338394906971409</v>
      </c>
      <c r="H111" s="311">
        <v>24.4980678545998</v>
      </c>
      <c r="I111" s="311">
        <v>2.7118632843958665</v>
      </c>
      <c r="J111" s="311">
        <v>0.50610341576893703</v>
      </c>
      <c r="K111" s="311">
        <v>2.4412553221985444E-2</v>
      </c>
      <c r="L111" s="518">
        <v>0.52898716642936305</v>
      </c>
      <c r="M111" s="519">
        <v>2.5516380549583155E-2</v>
      </c>
    </row>
    <row r="112" spans="2:13" ht="15.75" x14ac:dyDescent="0.25">
      <c r="B112" s="212">
        <v>2017</v>
      </c>
      <c r="C112" s="309">
        <v>2001</v>
      </c>
      <c r="D112" s="250" t="s">
        <v>2991</v>
      </c>
      <c r="E112" s="517">
        <v>0.18583851994833525</v>
      </c>
      <c r="F112" s="310">
        <v>1.67243869799487</v>
      </c>
      <c r="G112" s="311">
        <v>0.18338395169630342</v>
      </c>
      <c r="H112" s="311">
        <v>24.497050483850899</v>
      </c>
      <c r="I112" s="311">
        <v>2.7118633232376035</v>
      </c>
      <c r="J112" s="311">
        <v>0.50604577097611303</v>
      </c>
      <c r="K112" s="311">
        <v>2.4412553571643916E-2</v>
      </c>
      <c r="L112" s="518">
        <v>0.52892691519480095</v>
      </c>
      <c r="M112" s="519">
        <v>2.551638091505163E-2</v>
      </c>
    </row>
    <row r="113" spans="2:13" ht="15.75" x14ac:dyDescent="0.25">
      <c r="B113" s="212">
        <v>2017</v>
      </c>
      <c r="C113" s="309">
        <v>2002</v>
      </c>
      <c r="D113" s="250" t="s">
        <v>2992</v>
      </c>
      <c r="E113" s="517">
        <v>0.18584601787925814</v>
      </c>
      <c r="F113" s="310">
        <v>1.63225921418479</v>
      </c>
      <c r="G113" s="311">
        <v>0.18338413439219342</v>
      </c>
      <c r="H113" s="311">
        <v>24.363061362484199</v>
      </c>
      <c r="I113" s="311">
        <v>2.7118660249259401</v>
      </c>
      <c r="J113" s="311">
        <v>0.49721575912098298</v>
      </c>
      <c r="K113" s="311">
        <v>2.4412577892600911E-2</v>
      </c>
      <c r="L113" s="518">
        <v>0.51969764938618002</v>
      </c>
      <c r="M113" s="519">
        <v>2.5516406335694373E-2</v>
      </c>
    </row>
    <row r="114" spans="2:13" ht="15.75" x14ac:dyDescent="0.25">
      <c r="B114" s="212">
        <v>2017</v>
      </c>
      <c r="C114" s="309">
        <v>2003</v>
      </c>
      <c r="D114" s="250" t="s">
        <v>2993</v>
      </c>
      <c r="E114" s="517">
        <v>0.18288216350423128</v>
      </c>
      <c r="F114" s="310">
        <v>1.0367044298533801</v>
      </c>
      <c r="G114" s="311">
        <v>0.13534297951194618</v>
      </c>
      <c r="H114" s="311">
        <v>13.7593746449619</v>
      </c>
      <c r="I114" s="311">
        <v>2.5306428549351443</v>
      </c>
      <c r="J114" s="311">
        <v>0.59212165648422199</v>
      </c>
      <c r="K114" s="311">
        <v>1.699994568421093E-2</v>
      </c>
      <c r="L114" s="518">
        <v>0.61889477028950202</v>
      </c>
      <c r="M114" s="519">
        <v>1.7768607791909228E-2</v>
      </c>
    </row>
    <row r="115" spans="2:13" ht="15.75" x14ac:dyDescent="0.25">
      <c r="B115" s="212">
        <v>2017</v>
      </c>
      <c r="C115" s="309">
        <v>2004</v>
      </c>
      <c r="D115" s="250" t="s">
        <v>2994</v>
      </c>
      <c r="E115" s="517">
        <v>0.18143289387731562</v>
      </c>
      <c r="F115" s="310">
        <v>1.00364605267746</v>
      </c>
      <c r="G115" s="311">
        <v>0.12180865795589342</v>
      </c>
      <c r="H115" s="311">
        <v>11.8108350167912</v>
      </c>
      <c r="I115" s="311">
        <v>2.2775781280780225</v>
      </c>
      <c r="J115" s="311">
        <v>0.70345292901763001</v>
      </c>
      <c r="K115" s="311">
        <v>1.5299948150868362E-2</v>
      </c>
      <c r="L115" s="518">
        <v>0.73525994894166602</v>
      </c>
      <c r="M115" s="519">
        <v>1.5991743913736239E-2</v>
      </c>
    </row>
    <row r="116" spans="2:13" ht="15.75" x14ac:dyDescent="0.25">
      <c r="B116" s="212">
        <v>2017</v>
      </c>
      <c r="C116" s="309">
        <v>2005</v>
      </c>
      <c r="D116" s="250" t="s">
        <v>2995</v>
      </c>
      <c r="E116" s="517">
        <v>0.1801288318540675</v>
      </c>
      <c r="F116" s="310">
        <v>0.97056655815283199</v>
      </c>
      <c r="G116" s="311">
        <v>0.10962778668768985</v>
      </c>
      <c r="H116" s="311">
        <v>11.6914136268033</v>
      </c>
      <c r="I116" s="311">
        <v>2.049820212943287</v>
      </c>
      <c r="J116" s="311">
        <v>0.68666377612983398</v>
      </c>
      <c r="K116" s="311">
        <v>1.3769952648386104E-2</v>
      </c>
      <c r="L116" s="518">
        <v>0.717711665061046</v>
      </c>
      <c r="M116" s="519">
        <v>1.4392568803886221E-2</v>
      </c>
    </row>
    <row r="117" spans="2:13" ht="15.75" x14ac:dyDescent="0.25">
      <c r="B117" s="212">
        <v>2017</v>
      </c>
      <c r="C117" s="309">
        <v>2006</v>
      </c>
      <c r="D117" s="250" t="s">
        <v>2996</v>
      </c>
      <c r="E117" s="517">
        <v>0.17890672185343015</v>
      </c>
      <c r="F117" s="310">
        <v>0.93189622218812995</v>
      </c>
      <c r="G117" s="311">
        <v>9.8664993703731246E-2</v>
      </c>
      <c r="H117" s="311">
        <v>11.5656504981759</v>
      </c>
      <c r="I117" s="311">
        <v>1.8448379239835615</v>
      </c>
      <c r="J117" s="311">
        <v>0.666665172141792</v>
      </c>
      <c r="K117" s="311">
        <v>1.2392955585468018E-2</v>
      </c>
      <c r="L117" s="518">
        <v>0.696808812943156</v>
      </c>
      <c r="M117" s="519">
        <v>1.2953310044116853E-2</v>
      </c>
    </row>
    <row r="118" spans="2:13" ht="15.75" x14ac:dyDescent="0.25">
      <c r="B118" s="212">
        <v>2017</v>
      </c>
      <c r="C118" s="309">
        <v>2007</v>
      </c>
      <c r="D118" s="250" t="s">
        <v>2997</v>
      </c>
      <c r="E118" s="517">
        <v>0.17940815509084532</v>
      </c>
      <c r="F118" s="310">
        <v>0.66115557759008303</v>
      </c>
      <c r="G118" s="311">
        <v>7.4030076696845901E-2</v>
      </c>
      <c r="H118" s="311">
        <v>10.479122959391701</v>
      </c>
      <c r="I118" s="311">
        <v>1.6603539147210931</v>
      </c>
      <c r="J118" s="311">
        <v>0.47011909631486098</v>
      </c>
      <c r="K118" s="311">
        <v>9.4297301504237523E-3</v>
      </c>
      <c r="L118" s="518">
        <v>0.49137579572762502</v>
      </c>
      <c r="M118" s="519">
        <v>9.8561007040181489E-3</v>
      </c>
    </row>
    <row r="119" spans="2:13" ht="15.75" x14ac:dyDescent="0.25">
      <c r="B119" s="212">
        <v>2017</v>
      </c>
      <c r="C119" s="309">
        <v>2008</v>
      </c>
      <c r="D119" s="250" t="s">
        <v>2998</v>
      </c>
      <c r="E119" s="517">
        <v>0.1819517452601172</v>
      </c>
      <c r="F119" s="310">
        <v>0.245592057625073</v>
      </c>
      <c r="G119" s="311">
        <v>3.0222897844025889E-2</v>
      </c>
      <c r="H119" s="311">
        <v>8.17057042005945</v>
      </c>
      <c r="I119" s="311">
        <v>1.1487809898343011</v>
      </c>
      <c r="J119" s="311">
        <v>4.8252391196484001E-2</v>
      </c>
      <c r="K119" s="311">
        <v>4.6902777577561682E-4</v>
      </c>
      <c r="L119" s="518">
        <v>5.0434150209574202E-2</v>
      </c>
      <c r="M119" s="519">
        <v>4.9023513051625947E-4</v>
      </c>
    </row>
    <row r="120" spans="2:13" ht="15.75" x14ac:dyDescent="0.25">
      <c r="B120" s="212">
        <v>2017</v>
      </c>
      <c r="C120" s="309">
        <v>2009</v>
      </c>
      <c r="D120" s="250" t="s">
        <v>2999</v>
      </c>
      <c r="E120" s="517">
        <v>0.1811584169847745</v>
      </c>
      <c r="F120" s="310">
        <v>0.22189902139430101</v>
      </c>
      <c r="G120" s="311">
        <v>2.5626332963177227E-2</v>
      </c>
      <c r="H120" s="311">
        <v>7.9407996204218296</v>
      </c>
      <c r="I120" s="311">
        <v>0.5142090578063131</v>
      </c>
      <c r="J120" s="311">
        <v>3.57954264555565E-2</v>
      </c>
      <c r="K120" s="311">
        <v>1.0625233560580276E-4</v>
      </c>
      <c r="L120" s="518">
        <v>3.7413936800024403E-2</v>
      </c>
      <c r="M120" s="519">
        <v>1.1105659473414114E-4</v>
      </c>
    </row>
    <row r="121" spans="2:13" ht="15.75" x14ac:dyDescent="0.25">
      <c r="B121" s="212">
        <v>2017</v>
      </c>
      <c r="C121" s="309">
        <v>2010</v>
      </c>
      <c r="D121" s="250" t="s">
        <v>3000</v>
      </c>
      <c r="E121" s="517">
        <v>0.17992731919583585</v>
      </c>
      <c r="F121" s="310">
        <v>0.21797833824483701</v>
      </c>
      <c r="G121" s="311">
        <v>2.569484981331091E-2</v>
      </c>
      <c r="H121" s="311">
        <v>7.0237021109835602</v>
      </c>
      <c r="I121" s="311">
        <v>0.46134855378949091</v>
      </c>
      <c r="J121" s="311">
        <v>4.8219877072562103E-2</v>
      </c>
      <c r="K121" s="311">
        <v>1.0625233969115308E-4</v>
      </c>
      <c r="L121" s="518">
        <v>5.0400165941247903E-2</v>
      </c>
      <c r="M121" s="519">
        <v>1.1105659900421291E-4</v>
      </c>
    </row>
    <row r="122" spans="2:13" ht="15.75" x14ac:dyDescent="0.25">
      <c r="B122" s="212">
        <v>2017</v>
      </c>
      <c r="C122" s="309">
        <v>2011</v>
      </c>
      <c r="D122" s="250" t="s">
        <v>3001</v>
      </c>
      <c r="E122" s="517">
        <v>0.17431476524332684</v>
      </c>
      <c r="F122" s="310">
        <v>9.3382540160200506E-2</v>
      </c>
      <c r="G122" s="311">
        <v>2.6008042892493827E-2</v>
      </c>
      <c r="H122" s="311">
        <v>3.7991792473397399</v>
      </c>
      <c r="I122" s="311">
        <v>0.34928051979681063</v>
      </c>
      <c r="J122" s="311">
        <v>4.3349210411310998E-2</v>
      </c>
      <c r="K122" s="311">
        <v>1.0625234693472086E-4</v>
      </c>
      <c r="L122" s="518">
        <v>4.5309269346838203E-2</v>
      </c>
      <c r="M122" s="519">
        <v>1.1105660657530266E-4</v>
      </c>
    </row>
    <row r="123" spans="2:13" ht="15.75" x14ac:dyDescent="0.25">
      <c r="B123" s="212">
        <v>2017</v>
      </c>
      <c r="C123" s="309">
        <v>2012</v>
      </c>
      <c r="D123" s="250" t="s">
        <v>3002</v>
      </c>
      <c r="E123" s="517">
        <v>0.1727412331017012</v>
      </c>
      <c r="F123" s="310">
        <v>1.8473244714161601E-2</v>
      </c>
      <c r="G123" s="311">
        <v>2.6095205204596437E-2</v>
      </c>
      <c r="H123" s="311">
        <v>2.88462822598976</v>
      </c>
      <c r="I123" s="311">
        <v>0.30836539193972329</v>
      </c>
      <c r="J123" s="311">
        <v>2.1888818646330799E-2</v>
      </c>
      <c r="K123" s="311">
        <v>1.0625234428576153E-4</v>
      </c>
      <c r="L123" s="518">
        <v>2.2878533895323599E-2</v>
      </c>
      <c r="M123" s="519">
        <v>1.1105660380656916E-4</v>
      </c>
    </row>
    <row r="124" spans="2:13" ht="15.75" x14ac:dyDescent="0.25">
      <c r="B124" s="212">
        <v>2017</v>
      </c>
      <c r="C124" s="309">
        <v>2013</v>
      </c>
      <c r="D124" s="250" t="s">
        <v>3003</v>
      </c>
      <c r="E124" s="517">
        <v>0.17151665071283503</v>
      </c>
      <c r="F124" s="310">
        <v>1.7329405590141601E-2</v>
      </c>
      <c r="G124" s="311">
        <v>2.609519926096875E-2</v>
      </c>
      <c r="H124" s="311">
        <v>2.5596243887876602</v>
      </c>
      <c r="I124" s="311">
        <v>0.30836532170424968</v>
      </c>
      <c r="J124" s="311">
        <v>1.91604040048425E-2</v>
      </c>
      <c r="K124" s="311">
        <v>1.0625232008497945E-4</v>
      </c>
      <c r="L124" s="518">
        <v>2.0026752450908E-2</v>
      </c>
      <c r="M124" s="519">
        <v>1.1105657851153508E-4</v>
      </c>
    </row>
    <row r="125" spans="2:13" ht="15.75" x14ac:dyDescent="0.25">
      <c r="B125" s="212">
        <v>2017</v>
      </c>
      <c r="C125" s="309">
        <v>2014</v>
      </c>
      <c r="D125" s="250" t="s">
        <v>3004</v>
      </c>
      <c r="E125" s="517">
        <v>0.15419102733194373</v>
      </c>
      <c r="F125" s="310">
        <v>1.53211507024068E-2</v>
      </c>
      <c r="G125" s="311">
        <v>2.6095199079859129E-2</v>
      </c>
      <c r="H125" s="311">
        <v>1.6482563339888301</v>
      </c>
      <c r="I125" s="311">
        <v>0.30836531956408875</v>
      </c>
      <c r="J125" s="311">
        <v>1.4386388036848699E-2</v>
      </c>
      <c r="K125" s="311">
        <v>1.0625231934755194E-4</v>
      </c>
      <c r="L125" s="518">
        <v>1.5036876665223501E-2</v>
      </c>
      <c r="M125" s="519">
        <v>1.1105657774076438E-4</v>
      </c>
    </row>
    <row r="126" spans="2:13" ht="15.75" x14ac:dyDescent="0.25">
      <c r="B126" s="212">
        <v>2017</v>
      </c>
      <c r="C126" s="309">
        <v>2015</v>
      </c>
      <c r="D126" s="250" t="s">
        <v>3005</v>
      </c>
      <c r="E126" s="517">
        <v>0.15216516748095518</v>
      </c>
      <c r="F126" s="310">
        <v>1.4446489999250399E-2</v>
      </c>
      <c r="G126" s="311">
        <v>2.6095199106027159E-2</v>
      </c>
      <c r="H126" s="311">
        <v>1.38498027590897</v>
      </c>
      <c r="I126" s="311">
        <v>0.30836531987331545</v>
      </c>
      <c r="J126" s="311">
        <v>1.22686600458693E-2</v>
      </c>
      <c r="K126" s="311">
        <v>1.0625231945410107E-4</v>
      </c>
      <c r="L126" s="518">
        <v>1.28233944117709E-2</v>
      </c>
      <c r="M126" s="519">
        <v>1.1105657785213119E-4</v>
      </c>
    </row>
    <row r="127" spans="2:13" ht="15.75" x14ac:dyDescent="0.25">
      <c r="B127" s="212">
        <v>2017</v>
      </c>
      <c r="C127" s="309">
        <v>2016</v>
      </c>
      <c r="D127" s="250" t="s">
        <v>3006</v>
      </c>
      <c r="E127" s="517">
        <v>0.15216492385633837</v>
      </c>
      <c r="F127" s="310">
        <v>1.38401929839027E-2</v>
      </c>
      <c r="G127" s="311">
        <v>2.6095201946026159E-2</v>
      </c>
      <c r="H127" s="311">
        <v>1.2868847470542999</v>
      </c>
      <c r="I127" s="311">
        <v>0.30836535343340415</v>
      </c>
      <c r="J127" s="311">
        <v>1.07832622229418E-2</v>
      </c>
      <c r="K127" s="311">
        <v>1.0625233101777883E-4</v>
      </c>
      <c r="L127" s="518">
        <v>1.1270833490645799E-2</v>
      </c>
      <c r="M127" s="519">
        <v>1.1105658993866715E-4</v>
      </c>
    </row>
    <row r="128" spans="2:13" ht="15.75" x14ac:dyDescent="0.25">
      <c r="B128" s="212">
        <v>2017</v>
      </c>
      <c r="C128" s="309">
        <v>2017</v>
      </c>
      <c r="D128" s="250" t="s">
        <v>3007</v>
      </c>
      <c r="E128" s="517">
        <v>0.14640950009092174</v>
      </c>
      <c r="F128" s="310">
        <v>1.32323498579429E-2</v>
      </c>
      <c r="G128" s="311">
        <v>2.6095209526652778E-2</v>
      </c>
      <c r="H128" s="311">
        <v>1.1889088995528201</v>
      </c>
      <c r="I128" s="311">
        <v>0.30836544301318958</v>
      </c>
      <c r="J128" s="311">
        <v>9.2943105505775593E-3</v>
      </c>
      <c r="K128" s="311">
        <v>1.0625236188396073E-4</v>
      </c>
      <c r="L128" s="518">
        <v>9.7145580307824303E-3</v>
      </c>
      <c r="M128" s="519">
        <v>1.1105662220048081E-4</v>
      </c>
    </row>
    <row r="129" spans="2:13" ht="15.75" x14ac:dyDescent="0.25">
      <c r="B129" s="212">
        <v>2017</v>
      </c>
      <c r="C129" s="309">
        <v>2018</v>
      </c>
      <c r="D129" s="250" t="s">
        <v>4493</v>
      </c>
      <c r="E129" s="517">
        <v>0.15563408754536129</v>
      </c>
      <c r="F129" s="310">
        <v>1.26266296690176E-2</v>
      </c>
      <c r="G129" s="311">
        <v>6.262850286396672E-2</v>
      </c>
      <c r="H129" s="311">
        <v>1.09074812904818</v>
      </c>
      <c r="I129" s="311">
        <v>0.74007706323165712</v>
      </c>
      <c r="J129" s="311">
        <v>7.81106717517109E-3</v>
      </c>
      <c r="K129" s="311">
        <v>2.5500566852150594E-4</v>
      </c>
      <c r="L129" s="518">
        <v>8.1642489717350906E-3</v>
      </c>
      <c r="M129" s="519">
        <v>2.6653589328115416E-4</v>
      </c>
    </row>
    <row r="130" spans="2:13" ht="15.75" x14ac:dyDescent="0.25">
      <c r="B130" s="212">
        <v>2018</v>
      </c>
      <c r="C130" s="309">
        <v>1996</v>
      </c>
      <c r="D130" s="250" t="s">
        <v>3030</v>
      </c>
      <c r="E130" s="517">
        <v>0.17978636091322431</v>
      </c>
      <c r="F130" s="310">
        <v>1.45976026137703</v>
      </c>
      <c r="G130" s="311">
        <v>0.24025714088807335</v>
      </c>
      <c r="H130" s="311">
        <v>19.6561194568839</v>
      </c>
      <c r="I130" s="311">
        <v>2.5179549565454149</v>
      </c>
      <c r="J130" s="311">
        <v>0.56261783756068295</v>
      </c>
      <c r="K130" s="311">
        <v>3.4506486941917346E-2</v>
      </c>
      <c r="L130" s="518">
        <v>0.588056919595498</v>
      </c>
      <c r="M130" s="519">
        <v>3.6066717161162783E-2</v>
      </c>
    </row>
    <row r="131" spans="2:13" ht="15.75" x14ac:dyDescent="0.25">
      <c r="B131" s="212">
        <v>2018</v>
      </c>
      <c r="C131" s="309">
        <v>1997</v>
      </c>
      <c r="D131" s="250" t="s">
        <v>3031</v>
      </c>
      <c r="E131" s="517">
        <v>0.17978037020148138</v>
      </c>
      <c r="F131" s="310">
        <v>1.4598916254882099</v>
      </c>
      <c r="G131" s="311">
        <v>0.24025688771298367</v>
      </c>
      <c r="H131" s="311">
        <v>19.657758991342799</v>
      </c>
      <c r="I131" s="311">
        <v>2.5179523032071232</v>
      </c>
      <c r="J131" s="311">
        <v>0.56270581839955702</v>
      </c>
      <c r="K131" s="311">
        <v>3.4506450580113937E-2</v>
      </c>
      <c r="L131" s="518">
        <v>0.58814887853749698</v>
      </c>
      <c r="M131" s="519">
        <v>3.6066679155239971E-2</v>
      </c>
    </row>
    <row r="132" spans="2:13" ht="15.75" x14ac:dyDescent="0.25">
      <c r="B132" s="212">
        <v>2018</v>
      </c>
      <c r="C132" s="309">
        <v>1998</v>
      </c>
      <c r="D132" s="250" t="s">
        <v>3032</v>
      </c>
      <c r="E132" s="517">
        <v>0.18401428585406127</v>
      </c>
      <c r="F132" s="310">
        <v>1.4568677142721</v>
      </c>
      <c r="G132" s="311">
        <v>0.18323644981849721</v>
      </c>
      <c r="H132" s="311">
        <v>19.8236217029825</v>
      </c>
      <c r="I132" s="311">
        <v>2.7096820803925712</v>
      </c>
      <c r="J132" s="311">
        <v>0.549995509138413</v>
      </c>
      <c r="K132" s="311">
        <v>2.4392917734044423E-2</v>
      </c>
      <c r="L132" s="518">
        <v>0.57486386549272595</v>
      </c>
      <c r="M132" s="519">
        <v>2.5495857232008624E-2</v>
      </c>
    </row>
    <row r="133" spans="2:13" ht="15.75" x14ac:dyDescent="0.25">
      <c r="B133" s="212">
        <v>2018</v>
      </c>
      <c r="C133" s="309">
        <v>1999</v>
      </c>
      <c r="D133" s="250" t="s">
        <v>3033</v>
      </c>
      <c r="E133" s="517">
        <v>0.1858251882908552</v>
      </c>
      <c r="F133" s="310">
        <v>1.67273224618201</v>
      </c>
      <c r="G133" s="311">
        <v>0.18323643830749775</v>
      </c>
      <c r="H133" s="311">
        <v>24.498051232751099</v>
      </c>
      <c r="I133" s="311">
        <v>2.7096819101690759</v>
      </c>
      <c r="J133" s="311">
        <v>0.50611029489461901</v>
      </c>
      <c r="K133" s="311">
        <v>2.4392916201669928E-2</v>
      </c>
      <c r="L133" s="518">
        <v>0.52899435659858196</v>
      </c>
      <c r="M133" s="519">
        <v>2.5495855630346956E-2</v>
      </c>
    </row>
    <row r="134" spans="2:13" ht="15.75" x14ac:dyDescent="0.25">
      <c r="B134" s="212">
        <v>2018</v>
      </c>
      <c r="C134" s="309">
        <v>2000</v>
      </c>
      <c r="D134" s="250" t="s">
        <v>3034</v>
      </c>
      <c r="E134" s="517">
        <v>0.18582443488835199</v>
      </c>
      <c r="F134" s="310">
        <v>1.6727071133631</v>
      </c>
      <c r="G134" s="311">
        <v>0.18323640919461104</v>
      </c>
      <c r="H134" s="311">
        <v>24.498091217605499</v>
      </c>
      <c r="I134" s="311">
        <v>2.7096814796506523</v>
      </c>
      <c r="J134" s="311">
        <v>0.506103855300714</v>
      </c>
      <c r="K134" s="311">
        <v>2.4392912326085942E-2</v>
      </c>
      <c r="L134" s="518">
        <v>0.52898762583481596</v>
      </c>
      <c r="M134" s="519">
        <v>2.5495851579526257E-2</v>
      </c>
    </row>
    <row r="135" spans="2:13" ht="15.75" x14ac:dyDescent="0.25">
      <c r="B135" s="212">
        <v>2018</v>
      </c>
      <c r="C135" s="309">
        <v>2001</v>
      </c>
      <c r="D135" s="250" t="s">
        <v>3035</v>
      </c>
      <c r="E135" s="517">
        <v>0.18582567623788515</v>
      </c>
      <c r="F135" s="310">
        <v>1.6727183625853399</v>
      </c>
      <c r="G135" s="311">
        <v>0.1832364174542091</v>
      </c>
      <c r="H135" s="311">
        <v>24.4979906612264</v>
      </c>
      <c r="I135" s="311">
        <v>2.7096816017927532</v>
      </c>
      <c r="J135" s="311">
        <v>0.50610716972209302</v>
      </c>
      <c r="K135" s="311">
        <v>2.4392913425625339E-2</v>
      </c>
      <c r="L135" s="518">
        <v>0.52899109011962198</v>
      </c>
      <c r="M135" s="519">
        <v>2.5495852728781947E-2</v>
      </c>
    </row>
    <row r="136" spans="2:13" ht="15.75" x14ac:dyDescent="0.25">
      <c r="B136" s="212">
        <v>2018</v>
      </c>
      <c r="C136" s="309">
        <v>2002</v>
      </c>
      <c r="D136" s="250" t="s">
        <v>3036</v>
      </c>
      <c r="E136" s="517">
        <v>0.18583318721337266</v>
      </c>
      <c r="F136" s="310">
        <v>1.67208451820683</v>
      </c>
      <c r="G136" s="311">
        <v>0.1832367232001863</v>
      </c>
      <c r="H136" s="311">
        <v>24.4949464218911</v>
      </c>
      <c r="I136" s="311">
        <v>2.7096861231333293</v>
      </c>
      <c r="J136" s="311">
        <v>0.50598331160348697</v>
      </c>
      <c r="K136" s="311">
        <v>2.4392954127333305E-2</v>
      </c>
      <c r="L136" s="518">
        <v>0.52886163168650402</v>
      </c>
      <c r="M136" s="519">
        <v>2.5495895270840539E-2</v>
      </c>
    </row>
    <row r="137" spans="2:13" ht="15.75" x14ac:dyDescent="0.25">
      <c r="B137" s="212">
        <v>2018</v>
      </c>
      <c r="C137" s="309">
        <v>2003</v>
      </c>
      <c r="D137" s="250" t="s">
        <v>3037</v>
      </c>
      <c r="E137" s="517">
        <v>0.18447776765679999</v>
      </c>
      <c r="F137" s="310">
        <v>1.0635481547555099</v>
      </c>
      <c r="G137" s="311">
        <v>0.15026015732353265</v>
      </c>
      <c r="H137" s="311">
        <v>13.8709264190031</v>
      </c>
      <c r="I137" s="311">
        <v>2.8095642262601808</v>
      </c>
      <c r="J137" s="311">
        <v>0.60332323523887799</v>
      </c>
      <c r="K137" s="311">
        <v>1.8873638826427463E-2</v>
      </c>
      <c r="L137" s="518">
        <v>0.630602834729175</v>
      </c>
      <c r="M137" s="519">
        <v>1.9727021023626615E-2</v>
      </c>
    </row>
    <row r="138" spans="2:13" ht="15.75" x14ac:dyDescent="0.25">
      <c r="B138" s="212">
        <v>2018</v>
      </c>
      <c r="C138" s="309">
        <v>2004</v>
      </c>
      <c r="D138" s="250" t="s">
        <v>3038</v>
      </c>
      <c r="E138" s="517">
        <v>0.18286892454044776</v>
      </c>
      <c r="F138" s="310">
        <v>1.03337584151226</v>
      </c>
      <c r="G138" s="311">
        <v>0.13523411066951035</v>
      </c>
      <c r="H138" s="311">
        <v>11.9181868451337</v>
      </c>
      <c r="I138" s="311">
        <v>2.5286072254608354</v>
      </c>
      <c r="J138" s="311">
        <v>0.71855670520017001</v>
      </c>
      <c r="K138" s="311">
        <v>1.6986271059824903E-2</v>
      </c>
      <c r="L138" s="518">
        <v>0.75104665086116595</v>
      </c>
      <c r="M138" s="519">
        <v>1.775431486168871E-2</v>
      </c>
    </row>
    <row r="139" spans="2:13" ht="15.75" x14ac:dyDescent="0.25">
      <c r="B139" s="212">
        <v>2018</v>
      </c>
      <c r="C139" s="309">
        <v>2005</v>
      </c>
      <c r="D139" s="250" t="s">
        <v>3039</v>
      </c>
      <c r="E139" s="517">
        <v>0.1814212442482577</v>
      </c>
      <c r="F139" s="310">
        <v>1.0035982943791699</v>
      </c>
      <c r="G139" s="311">
        <v>0.12171067446477622</v>
      </c>
      <c r="H139" s="311">
        <v>11.8106935350767</v>
      </c>
      <c r="I139" s="311">
        <v>2.2757460328885157</v>
      </c>
      <c r="J139" s="311">
        <v>0.703445223558963</v>
      </c>
      <c r="K139" s="311">
        <v>1.5287640796375847E-2</v>
      </c>
      <c r="L139" s="518">
        <v>0.73525189507635003</v>
      </c>
      <c r="M139" s="519">
        <v>1.5978880075286531E-2</v>
      </c>
    </row>
    <row r="140" spans="2:13" ht="15.75" x14ac:dyDescent="0.25">
      <c r="B140" s="212">
        <v>2018</v>
      </c>
      <c r="C140" s="309">
        <v>2006</v>
      </c>
      <c r="D140" s="250" t="s">
        <v>3040</v>
      </c>
      <c r="E140" s="517">
        <v>0.18006988068145435</v>
      </c>
      <c r="F140" s="310">
        <v>0.96852101878088603</v>
      </c>
      <c r="G140" s="311">
        <v>0.10953959265171334</v>
      </c>
      <c r="H140" s="311">
        <v>11.6982630559204</v>
      </c>
      <c r="I140" s="311">
        <v>2.048171160973272</v>
      </c>
      <c r="J140" s="311">
        <v>0.68527308448642499</v>
      </c>
      <c r="K140" s="311">
        <v>1.3758874912202974E-2</v>
      </c>
      <c r="L140" s="518">
        <v>0.71625809251262496</v>
      </c>
      <c r="M140" s="519">
        <v>1.4380990181629617E-2</v>
      </c>
    </row>
    <row r="141" spans="2:13" ht="15.75" x14ac:dyDescent="0.25">
      <c r="B141" s="212">
        <v>2018</v>
      </c>
      <c r="C141" s="309">
        <v>2007</v>
      </c>
      <c r="D141" s="250" t="s">
        <v>3041</v>
      </c>
      <c r="E141" s="517">
        <v>0.1804751666571012</v>
      </c>
      <c r="F141" s="310">
        <v>0.69005720410204996</v>
      </c>
      <c r="G141" s="311">
        <v>8.2189465569500311E-2</v>
      </c>
      <c r="H141" s="311">
        <v>10.6187579288717</v>
      </c>
      <c r="I141" s="311">
        <v>1.8433534989565725</v>
      </c>
      <c r="J141" s="311">
        <v>0.48518005044112</v>
      </c>
      <c r="K141" s="311">
        <v>1.046904874489955E-2</v>
      </c>
      <c r="L141" s="518">
        <v>0.50711773936747995</v>
      </c>
      <c r="M141" s="519">
        <v>1.0942412673428189E-2</v>
      </c>
    </row>
    <row r="142" spans="2:13" ht="15.75" x14ac:dyDescent="0.25">
      <c r="B142" s="212">
        <v>2018</v>
      </c>
      <c r="C142" s="309">
        <v>2008</v>
      </c>
      <c r="D142" s="250" t="s">
        <v>3042</v>
      </c>
      <c r="E142" s="517">
        <v>0.18296400608357075</v>
      </c>
      <c r="F142" s="310">
        <v>0.25576644433697499</v>
      </c>
      <c r="G142" s="311">
        <v>3.3553982285151704E-2</v>
      </c>
      <c r="H142" s="311">
        <v>8.2947036976364501</v>
      </c>
      <c r="I142" s="311">
        <v>1.2753964620251836</v>
      </c>
      <c r="J142" s="311">
        <v>5.0425228515418398E-2</v>
      </c>
      <c r="K142" s="311">
        <v>5.2072272357331232E-4</v>
      </c>
      <c r="L142" s="518">
        <v>5.2705233590248098E-2</v>
      </c>
      <c r="M142" s="519">
        <v>5.4426749446043318E-4</v>
      </c>
    </row>
    <row r="143" spans="2:13" ht="15.75" x14ac:dyDescent="0.25">
      <c r="B143" s="212">
        <v>2018</v>
      </c>
      <c r="C143" s="309">
        <v>2009</v>
      </c>
      <c r="D143" s="250" t="s">
        <v>3043</v>
      </c>
      <c r="E143" s="517">
        <v>0.18207129853201978</v>
      </c>
      <c r="F143" s="310">
        <v>0.23244370859428301</v>
      </c>
      <c r="G143" s="311">
        <v>2.8450797622866772E-2</v>
      </c>
      <c r="H143" s="311">
        <v>8.0772297625188205</v>
      </c>
      <c r="I143" s="311">
        <v>0.57088378038769494</v>
      </c>
      <c r="J143" s="311">
        <v>3.7783870682710302E-2</v>
      </c>
      <c r="K143" s="311">
        <v>1.1796317879820521E-4</v>
      </c>
      <c r="L143" s="518">
        <v>3.9492289651539399E-2</v>
      </c>
      <c r="M143" s="519">
        <v>1.2329695028960705E-4</v>
      </c>
    </row>
    <row r="144" spans="2:13" ht="15.75" x14ac:dyDescent="0.25">
      <c r="B144" s="212">
        <v>2018</v>
      </c>
      <c r="C144" s="309">
        <v>2010</v>
      </c>
      <c r="D144" s="250" t="s">
        <v>3044</v>
      </c>
      <c r="E144" s="517">
        <v>0.17992058121087567</v>
      </c>
      <c r="F144" s="310">
        <v>0.23011716629558401</v>
      </c>
      <c r="G144" s="311">
        <v>2.5674178048808134E-2</v>
      </c>
      <c r="H144" s="311">
        <v>7.1871935399801199</v>
      </c>
      <c r="I144" s="311">
        <v>0.46097739424868978</v>
      </c>
      <c r="J144" s="311">
        <v>5.1416659136547999E-2</v>
      </c>
      <c r="K144" s="311">
        <v>1.0616685861771114E-4</v>
      </c>
      <c r="L144" s="518">
        <v>5.3741492304657003E-2</v>
      </c>
      <c r="M144" s="519">
        <v>1.1096725285594656E-4</v>
      </c>
    </row>
    <row r="145" spans="2:13" ht="15.75" x14ac:dyDescent="0.25">
      <c r="B145" s="212">
        <v>2018</v>
      </c>
      <c r="C145" s="309">
        <v>2011</v>
      </c>
      <c r="D145" s="250" t="s">
        <v>3045</v>
      </c>
      <c r="E145" s="517">
        <v>0.17430879058007093</v>
      </c>
      <c r="F145" s="310">
        <v>9.8758175465235506E-2</v>
      </c>
      <c r="G145" s="311">
        <v>2.5987123002242932E-2</v>
      </c>
      <c r="H145" s="311">
        <v>3.9990079542954602</v>
      </c>
      <c r="I145" s="311">
        <v>0.34899957170044177</v>
      </c>
      <c r="J145" s="311">
        <v>4.6808339346680598E-2</v>
      </c>
      <c r="K145" s="311">
        <v>1.0616688154826474E-4</v>
      </c>
      <c r="L145" s="518">
        <v>4.8924804743007998E-2</v>
      </c>
      <c r="M145" s="519">
        <v>1.1096727682331802E-4</v>
      </c>
    </row>
    <row r="146" spans="2:13" ht="15.75" x14ac:dyDescent="0.25">
      <c r="B146" s="212">
        <v>2018</v>
      </c>
      <c r="C146" s="309">
        <v>2012</v>
      </c>
      <c r="D146" s="250" t="s">
        <v>3046</v>
      </c>
      <c r="E146" s="517">
        <v>0.17273420124818736</v>
      </c>
      <c r="F146" s="310">
        <v>1.9428455280381899E-2</v>
      </c>
      <c r="G146" s="311">
        <v>2.607422117775306E-2</v>
      </c>
      <c r="H146" s="311">
        <v>3.0889728324827699</v>
      </c>
      <c r="I146" s="311">
        <v>0.3081174250196973</v>
      </c>
      <c r="J146" s="311">
        <v>2.41736081050371E-2</v>
      </c>
      <c r="K146" s="311">
        <v>1.0616690322380464E-4</v>
      </c>
      <c r="L146" s="518">
        <v>2.5266631394749599E-2</v>
      </c>
      <c r="M146" s="519">
        <v>1.1096729947892965E-4</v>
      </c>
    </row>
    <row r="147" spans="2:13" ht="15.75" x14ac:dyDescent="0.25">
      <c r="B147" s="212">
        <v>2018</v>
      </c>
      <c r="C147" s="309">
        <v>2013</v>
      </c>
      <c r="D147" s="250" t="s">
        <v>3047</v>
      </c>
      <c r="E147" s="517">
        <v>0.17151088495636987</v>
      </c>
      <c r="F147" s="310">
        <v>1.8250206350940198E-2</v>
      </c>
      <c r="G147" s="311">
        <v>2.607420491621372E-2</v>
      </c>
      <c r="H147" s="311">
        <v>2.7515717975110898</v>
      </c>
      <c r="I147" s="311">
        <v>0.30811723285811388</v>
      </c>
      <c r="J147" s="311">
        <v>2.13692400227854E-2</v>
      </c>
      <c r="K147" s="311">
        <v>1.0616683701138505E-4</v>
      </c>
      <c r="L147" s="518">
        <v>2.2335462232017499E-2</v>
      </c>
      <c r="M147" s="519">
        <v>1.1096723027267825E-4</v>
      </c>
    </row>
    <row r="148" spans="2:13" ht="15.75" x14ac:dyDescent="0.25">
      <c r="B148" s="212">
        <v>2018</v>
      </c>
      <c r="C148" s="309">
        <v>2014</v>
      </c>
      <c r="D148" s="250" t="s">
        <v>3048</v>
      </c>
      <c r="E148" s="517">
        <v>0.15418556518880794</v>
      </c>
      <c r="F148" s="310">
        <v>1.5989449222520598E-2</v>
      </c>
      <c r="G148" s="311">
        <v>2.6074203767334509E-2</v>
      </c>
      <c r="H148" s="311">
        <v>1.76252620929897</v>
      </c>
      <c r="I148" s="311">
        <v>0.30811721928188079</v>
      </c>
      <c r="J148" s="311">
        <v>1.60142341389264E-2</v>
      </c>
      <c r="K148" s="311">
        <v>1.0616683233347166E-4</v>
      </c>
      <c r="L148" s="518">
        <v>1.6738326744577099E-2</v>
      </c>
      <c r="M148" s="519">
        <v>1.1096722538325039E-4</v>
      </c>
    </row>
    <row r="149" spans="2:13" ht="15.75" x14ac:dyDescent="0.25">
      <c r="B149" s="212">
        <v>2018</v>
      </c>
      <c r="C149" s="309">
        <v>2015</v>
      </c>
      <c r="D149" s="250" t="s">
        <v>3049</v>
      </c>
      <c r="E149" s="517">
        <v>0.15215970467179199</v>
      </c>
      <c r="F149" s="310">
        <v>1.5052360123649701E-2</v>
      </c>
      <c r="G149" s="311">
        <v>2.6074204604818928E-2</v>
      </c>
      <c r="H149" s="311">
        <v>1.48312017162636</v>
      </c>
      <c r="I149" s="311">
        <v>0.30811722917838069</v>
      </c>
      <c r="J149" s="311">
        <v>1.37529681849691E-2</v>
      </c>
      <c r="K149" s="311">
        <v>1.0616683574347293E-4</v>
      </c>
      <c r="L149" s="518">
        <v>1.4374816378400899E-2</v>
      </c>
      <c r="M149" s="519">
        <v>1.109672289474368E-4</v>
      </c>
    </row>
    <row r="150" spans="2:13" ht="15.75" x14ac:dyDescent="0.25">
      <c r="B150" s="212">
        <v>2018</v>
      </c>
      <c r="C150" s="309">
        <v>2016</v>
      </c>
      <c r="D150" s="250" t="s">
        <v>3050</v>
      </c>
      <c r="E150" s="517">
        <v>0.15215946129912955</v>
      </c>
      <c r="F150" s="310">
        <v>1.44460412661205E-2</v>
      </c>
      <c r="G150" s="311">
        <v>2.6074208799828833E-2</v>
      </c>
      <c r="H150" s="311">
        <v>1.3850284770263499</v>
      </c>
      <c r="I150" s="311">
        <v>0.30811727875054773</v>
      </c>
      <c r="J150" s="311">
        <v>1.2267392377060701E-2</v>
      </c>
      <c r="K150" s="311">
        <v>1.0616685282437468E-4</v>
      </c>
      <c r="L150" s="518">
        <v>1.2822069424603901E-2</v>
      </c>
      <c r="M150" s="519">
        <v>1.1096724680066114E-4</v>
      </c>
    </row>
    <row r="151" spans="2:13" ht="15.75" x14ac:dyDescent="0.25">
      <c r="B151" s="212">
        <v>2018</v>
      </c>
      <c r="C151" s="309">
        <v>2017</v>
      </c>
      <c r="D151" s="250" t="s">
        <v>3051</v>
      </c>
      <c r="E151" s="517">
        <v>0.14640424447595712</v>
      </c>
      <c r="F151" s="310">
        <v>1.38381039231615E-2</v>
      </c>
      <c r="G151" s="311">
        <v>2.6074215575693189E-2</v>
      </c>
      <c r="H151" s="311">
        <v>1.2870669400196399</v>
      </c>
      <c r="I151" s="311">
        <v>0.30811735882050895</v>
      </c>
      <c r="J151" s="311">
        <v>1.07776433153394E-2</v>
      </c>
      <c r="K151" s="311">
        <v>1.061668804137907E-4</v>
      </c>
      <c r="L151" s="518">
        <v>1.12649605209752E-2</v>
      </c>
      <c r="M151" s="519">
        <v>1.1096727563754812E-4</v>
      </c>
    </row>
    <row r="152" spans="2:13" ht="15.75" x14ac:dyDescent="0.25">
      <c r="B152" s="212">
        <v>2018</v>
      </c>
      <c r="C152" s="309">
        <v>2018</v>
      </c>
      <c r="D152" s="250" t="s">
        <v>3052</v>
      </c>
      <c r="E152" s="517">
        <v>0.14640424447595737</v>
      </c>
      <c r="F152" s="310">
        <v>1.32323822514025E-2</v>
      </c>
      <c r="G152" s="311">
        <v>2.6074215575693262E-2</v>
      </c>
      <c r="H152" s="311">
        <v>1.1889063777264299</v>
      </c>
      <c r="I152" s="311">
        <v>0.30811735882050983</v>
      </c>
      <c r="J152" s="311">
        <v>9.2943876378679697E-3</v>
      </c>
      <c r="K152" s="311">
        <v>1.0616688041379101E-4</v>
      </c>
      <c r="L152" s="518">
        <v>9.7146386036180508E-3</v>
      </c>
      <c r="M152" s="519">
        <v>1.1096727563754843E-4</v>
      </c>
    </row>
    <row r="153" spans="2:13" ht="15.75" x14ac:dyDescent="0.25">
      <c r="B153" s="212">
        <v>2018</v>
      </c>
      <c r="C153" s="309">
        <v>2019</v>
      </c>
      <c r="D153" s="250" t="s">
        <v>4494</v>
      </c>
      <c r="E153" s="517">
        <v>0.15562141062433457</v>
      </c>
      <c r="F153" s="310">
        <v>1.26266605796436E-2</v>
      </c>
      <c r="G153" s="311">
        <v>6.2578117381663773E-2</v>
      </c>
      <c r="H153" s="311">
        <v>1.0907458154332199</v>
      </c>
      <c r="I153" s="311">
        <v>0.73948166116922442</v>
      </c>
      <c r="J153" s="311">
        <v>7.8111319603964696E-3</v>
      </c>
      <c r="K153" s="311">
        <v>2.5480051299309821E-4</v>
      </c>
      <c r="L153" s="518">
        <v>8.1643166862608793E-3</v>
      </c>
      <c r="M153" s="519">
        <v>2.6632146153011596E-4</v>
      </c>
    </row>
    <row r="154" spans="2:13" ht="15.75" x14ac:dyDescent="0.25">
      <c r="B154" s="212">
        <v>2019</v>
      </c>
      <c r="C154" s="309">
        <v>1996</v>
      </c>
      <c r="D154" s="250" t="s">
        <v>3074</v>
      </c>
      <c r="E154" s="517">
        <v>0.17960065406536699</v>
      </c>
      <c r="F154" s="310">
        <v>1.4547727692024</v>
      </c>
      <c r="G154" s="311">
        <v>0.24009211734651664</v>
      </c>
      <c r="H154" s="311">
        <v>19.658661704537</v>
      </c>
      <c r="I154" s="311">
        <v>2.5162254685357208</v>
      </c>
      <c r="J154" s="311">
        <v>0.56187889300728699</v>
      </c>
      <c r="K154" s="311">
        <v>3.4482785741358706E-2</v>
      </c>
      <c r="L154" s="518">
        <v>0.58728456324841605</v>
      </c>
      <c r="M154" s="519">
        <v>3.6041944297487395E-2</v>
      </c>
    </row>
    <row r="155" spans="2:13" ht="15.75" x14ac:dyDescent="0.25">
      <c r="B155" s="212">
        <v>2019</v>
      </c>
      <c r="C155" s="309">
        <v>1997</v>
      </c>
      <c r="D155" s="250" t="s">
        <v>3075</v>
      </c>
      <c r="E155" s="517">
        <v>0.17959553951803581</v>
      </c>
      <c r="F155" s="310">
        <v>1.45493241896076</v>
      </c>
      <c r="G155" s="311">
        <v>0.24009179776248257</v>
      </c>
      <c r="H155" s="311">
        <v>19.660301520810801</v>
      </c>
      <c r="I155" s="311">
        <v>2.5162221192150738</v>
      </c>
      <c r="J155" s="311">
        <v>0.56197068389469995</v>
      </c>
      <c r="K155" s="311">
        <v>3.448273984169363E-2</v>
      </c>
      <c r="L155" s="518">
        <v>0.58738050451244195</v>
      </c>
      <c r="M155" s="519">
        <v>3.6041896322443145E-2</v>
      </c>
    </row>
    <row r="156" spans="2:13" ht="15.75" x14ac:dyDescent="0.25">
      <c r="B156" s="212">
        <v>2019</v>
      </c>
      <c r="C156" s="309">
        <v>1998</v>
      </c>
      <c r="D156" s="250" t="s">
        <v>3076</v>
      </c>
      <c r="E156" s="517">
        <v>0.18382527531281251</v>
      </c>
      <c r="F156" s="310">
        <v>1.4519220672094399</v>
      </c>
      <c r="G156" s="311">
        <v>0.1831105399411414</v>
      </c>
      <c r="H156" s="311">
        <v>19.826178185534001</v>
      </c>
      <c r="I156" s="311">
        <v>2.7078201378655611</v>
      </c>
      <c r="J156" s="311">
        <v>0.54927788623180196</v>
      </c>
      <c r="K156" s="311">
        <v>2.4376156280287348E-2</v>
      </c>
      <c r="L156" s="518">
        <v>0.57411379486268299</v>
      </c>
      <c r="M156" s="519">
        <v>2.5478337899690503E-2</v>
      </c>
    </row>
    <row r="157" spans="2:13" ht="15.75" x14ac:dyDescent="0.25">
      <c r="B157" s="212">
        <v>2019</v>
      </c>
      <c r="C157" s="309">
        <v>1999</v>
      </c>
      <c r="D157" s="250" t="s">
        <v>3077</v>
      </c>
      <c r="E157" s="517">
        <v>0.18560066407349873</v>
      </c>
      <c r="F157" s="310">
        <v>1.66911451526384</v>
      </c>
      <c r="G157" s="311">
        <v>0.18311052206959108</v>
      </c>
      <c r="H157" s="311">
        <v>24.5068210307555</v>
      </c>
      <c r="I157" s="311">
        <v>2.7078198735828827</v>
      </c>
      <c r="J157" s="311">
        <v>0.50491180019316195</v>
      </c>
      <c r="K157" s="311">
        <v>2.4376153901179597E-2</v>
      </c>
      <c r="L157" s="518">
        <v>0.52774167128496596</v>
      </c>
      <c r="M157" s="519">
        <v>2.5478335413010061E-2</v>
      </c>
    </row>
    <row r="158" spans="2:13" ht="15.75" x14ac:dyDescent="0.25">
      <c r="B158" s="212">
        <v>2019</v>
      </c>
      <c r="C158" s="309">
        <v>2000</v>
      </c>
      <c r="D158" s="250" t="s">
        <v>3078</v>
      </c>
      <c r="E158" s="517">
        <v>0.18559996488927852</v>
      </c>
      <c r="F158" s="310">
        <v>1.6690904507099</v>
      </c>
      <c r="G158" s="311">
        <v>0.18311047970034919</v>
      </c>
      <c r="H158" s="311">
        <v>24.5068587136555</v>
      </c>
      <c r="I158" s="311">
        <v>2.7078192470308209</v>
      </c>
      <c r="J158" s="311">
        <v>0.50490578346274495</v>
      </c>
      <c r="K158" s="311">
        <v>2.4376148260874777E-2</v>
      </c>
      <c r="L158" s="518">
        <v>0.52773538250469898</v>
      </c>
      <c r="M158" s="519">
        <v>2.5478329517675688E-2</v>
      </c>
    </row>
    <row r="159" spans="2:13" ht="15.75" x14ac:dyDescent="0.25">
      <c r="B159" s="212">
        <v>2019</v>
      </c>
      <c r="C159" s="309">
        <v>2001</v>
      </c>
      <c r="D159" s="250" t="s">
        <v>3079</v>
      </c>
      <c r="E159" s="517">
        <v>0.18560104639034003</v>
      </c>
      <c r="F159" s="310">
        <v>1.6690973786577701</v>
      </c>
      <c r="G159" s="311">
        <v>0.18311049166856483</v>
      </c>
      <c r="H159" s="311">
        <v>24.5067596312036</v>
      </c>
      <c r="I159" s="311">
        <v>2.7078194240155824</v>
      </c>
      <c r="J159" s="311">
        <v>0.50490806748553596</v>
      </c>
      <c r="K159" s="311">
        <v>2.4376149854115094E-2</v>
      </c>
      <c r="L159" s="518">
        <v>0.52773776980086495</v>
      </c>
      <c r="M159" s="519">
        <v>2.5478331182955258E-2</v>
      </c>
    </row>
    <row r="160" spans="2:13" ht="15.75" x14ac:dyDescent="0.25">
      <c r="B160" s="212">
        <v>2019</v>
      </c>
      <c r="C160" s="309">
        <v>2002</v>
      </c>
      <c r="D160" s="250" t="s">
        <v>3080</v>
      </c>
      <c r="E160" s="517">
        <v>0.18560764017186177</v>
      </c>
      <c r="F160" s="310">
        <v>1.6687225540336701</v>
      </c>
      <c r="G160" s="311">
        <v>0.18311088834800113</v>
      </c>
      <c r="H160" s="311">
        <v>24.504663186710701</v>
      </c>
      <c r="I160" s="311">
        <v>2.7078252900709514</v>
      </c>
      <c r="J160" s="311">
        <v>0.50483976370835404</v>
      </c>
      <c r="K160" s="311">
        <v>2.4376202661124103E-2</v>
      </c>
      <c r="L160" s="518">
        <v>0.52766637762997304</v>
      </c>
      <c r="M160" s="519">
        <v>2.5478386377662886E-2</v>
      </c>
    </row>
    <row r="161" spans="2:13" ht="15.75" x14ac:dyDescent="0.25">
      <c r="B161" s="212">
        <v>2019</v>
      </c>
      <c r="C161" s="309">
        <v>2003</v>
      </c>
      <c r="D161" s="250" t="s">
        <v>3081</v>
      </c>
      <c r="E161" s="517">
        <v>0.18425433117872445</v>
      </c>
      <c r="F161" s="310">
        <v>1.0846647113936401</v>
      </c>
      <c r="G161" s="311">
        <v>0.15015693196163815</v>
      </c>
      <c r="H161" s="311">
        <v>13.955211883913501</v>
      </c>
      <c r="I161" s="311">
        <v>2.8076341185776954</v>
      </c>
      <c r="J161" s="311">
        <v>0.61434588767616305</v>
      </c>
      <c r="K161" s="311">
        <v>1.886067305936848E-2</v>
      </c>
      <c r="L161" s="518">
        <v>0.64212388259737796</v>
      </c>
      <c r="M161" s="519">
        <v>1.9713469002115954E-2</v>
      </c>
    </row>
    <row r="162" spans="2:13" ht="15.75" x14ac:dyDescent="0.25">
      <c r="B162" s="212">
        <v>2019</v>
      </c>
      <c r="C162" s="309">
        <v>2004</v>
      </c>
      <c r="D162" s="250" t="s">
        <v>3082</v>
      </c>
      <c r="E162" s="517">
        <v>0.18425311808500971</v>
      </c>
      <c r="F162" s="310">
        <v>1.0568767953662599</v>
      </c>
      <c r="G162" s="311">
        <v>0.15015689372515931</v>
      </c>
      <c r="H162" s="311">
        <v>11.9888892009616</v>
      </c>
      <c r="I162" s="311">
        <v>2.8076334036320643</v>
      </c>
      <c r="J162" s="311">
        <v>0.73381348608668695</v>
      </c>
      <c r="K162" s="311">
        <v>1.886066825662153E-2</v>
      </c>
      <c r="L162" s="518">
        <v>0.76699327567840903</v>
      </c>
      <c r="M162" s="519">
        <v>1.9713463982210109E-2</v>
      </c>
    </row>
    <row r="163" spans="2:13" ht="15.75" x14ac:dyDescent="0.25">
      <c r="B163" s="212">
        <v>2019</v>
      </c>
      <c r="C163" s="309">
        <v>2005</v>
      </c>
      <c r="D163" s="250" t="s">
        <v>3083</v>
      </c>
      <c r="E163" s="517">
        <v>0.18264565539988675</v>
      </c>
      <c r="F163" s="310">
        <v>1.03014959172516</v>
      </c>
      <c r="G163" s="311">
        <v>0.13514116074211177</v>
      </c>
      <c r="H163" s="311">
        <v>11.892321756743801</v>
      </c>
      <c r="I163" s="311">
        <v>2.526869247839195</v>
      </c>
      <c r="J163" s="311">
        <v>0.72018195772924798</v>
      </c>
      <c r="K163" s="311">
        <v>1.6974595953197093E-2</v>
      </c>
      <c r="L163" s="518">
        <v>0.75274539009765795</v>
      </c>
      <c r="M163" s="519">
        <v>1.7742111858546711E-2</v>
      </c>
    </row>
    <row r="164" spans="2:13" ht="15.75" x14ac:dyDescent="0.25">
      <c r="B164" s="212">
        <v>2019</v>
      </c>
      <c r="C164" s="309">
        <v>2006</v>
      </c>
      <c r="D164" s="250" t="s">
        <v>3084</v>
      </c>
      <c r="E164" s="517">
        <v>0.18115066371340838</v>
      </c>
      <c r="F164" s="310">
        <v>0.99839417216512105</v>
      </c>
      <c r="G164" s="311">
        <v>0.12162703017726588</v>
      </c>
      <c r="H164" s="311">
        <v>11.792185610246801</v>
      </c>
      <c r="I164" s="311">
        <v>2.2741820521094063</v>
      </c>
      <c r="J164" s="311">
        <v>0.703607620460863</v>
      </c>
      <c r="K164" s="311">
        <v>1.5277134537760789E-2</v>
      </c>
      <c r="L164" s="518">
        <v>0.73542163484552903</v>
      </c>
      <c r="M164" s="519">
        <v>1.596789877027785E-2</v>
      </c>
    </row>
    <row r="165" spans="2:13" ht="15.75" x14ac:dyDescent="0.25">
      <c r="B165" s="212">
        <v>2019</v>
      </c>
      <c r="C165" s="309">
        <v>2007</v>
      </c>
      <c r="D165" s="250" t="s">
        <v>3085</v>
      </c>
      <c r="E165" s="517">
        <v>0.18143014524082138</v>
      </c>
      <c r="F165" s="310">
        <v>0.71311357266642095</v>
      </c>
      <c r="G165" s="311">
        <v>9.1258869728782097E-2</v>
      </c>
      <c r="H165" s="311">
        <v>10.7237262382364</v>
      </c>
      <c r="I165" s="311">
        <v>2.0467629964465708</v>
      </c>
      <c r="J165" s="311">
        <v>0.49956071865574603</v>
      </c>
      <c r="K165" s="311">
        <v>1.1624282369705492E-2</v>
      </c>
      <c r="L165" s="518">
        <v>0.52214863758550101</v>
      </c>
      <c r="M165" s="519">
        <v>1.2149880836474471E-2</v>
      </c>
    </row>
    <row r="166" spans="2:13" ht="15.75" x14ac:dyDescent="0.25">
      <c r="B166" s="212">
        <v>2019</v>
      </c>
      <c r="C166" s="309">
        <v>2008</v>
      </c>
      <c r="D166" s="250" t="s">
        <v>3086</v>
      </c>
      <c r="E166" s="517">
        <v>0.18379505189612058</v>
      </c>
      <c r="F166" s="310">
        <v>0.26204844077884099</v>
      </c>
      <c r="G166" s="311">
        <v>3.7256581885597995E-2</v>
      </c>
      <c r="H166" s="311">
        <v>8.3952664659441396</v>
      </c>
      <c r="I166" s="311">
        <v>1.4161333316632998</v>
      </c>
      <c r="J166" s="311">
        <v>5.2272251085527799E-2</v>
      </c>
      <c r="K166" s="311">
        <v>5.7818319821566222E-4</v>
      </c>
      <c r="L166" s="518">
        <v>5.4635770324936501E-2</v>
      </c>
      <c r="M166" s="519">
        <v>6.0432607678903127E-4</v>
      </c>
    </row>
    <row r="167" spans="2:13" ht="15.75" x14ac:dyDescent="0.25">
      <c r="B167" s="212">
        <v>2019</v>
      </c>
      <c r="C167" s="309">
        <v>2009</v>
      </c>
      <c r="D167" s="250" t="s">
        <v>3087</v>
      </c>
      <c r="E167" s="517">
        <v>0.18278919818615011</v>
      </c>
      <c r="F167" s="310">
        <v>0.23919137316472899</v>
      </c>
      <c r="G167" s="311">
        <v>3.1590273985358852E-2</v>
      </c>
      <c r="H167" s="311">
        <v>8.1892977253069006</v>
      </c>
      <c r="I167" s="311">
        <v>0.63387941790953384</v>
      </c>
      <c r="J167" s="311">
        <v>3.9481285815787803E-2</v>
      </c>
      <c r="K167" s="311">
        <v>1.3098012884616231E-4</v>
      </c>
      <c r="L167" s="518">
        <v>4.12664543647666E-2</v>
      </c>
      <c r="M167" s="519">
        <v>1.3690246905687244E-4</v>
      </c>
    </row>
    <row r="168" spans="2:13" ht="15.75" x14ac:dyDescent="0.25">
      <c r="B168" s="212">
        <v>2019</v>
      </c>
      <c r="C168" s="309">
        <v>2010</v>
      </c>
      <c r="D168" s="250" t="s">
        <v>3088</v>
      </c>
      <c r="E168" s="517">
        <v>0.18052002746678805</v>
      </c>
      <c r="F168" s="310">
        <v>0.238971747263926</v>
      </c>
      <c r="G168" s="311">
        <v>2.8507259987853278E-2</v>
      </c>
      <c r="H168" s="311">
        <v>7.3229128583711001</v>
      </c>
      <c r="I168" s="311">
        <v>0.51184510761701374</v>
      </c>
      <c r="J168" s="311">
        <v>5.43249693929393E-2</v>
      </c>
      <c r="K168" s="311">
        <v>1.178821084342079E-4</v>
      </c>
      <c r="L168" s="518">
        <v>5.6781303445406599E-2</v>
      </c>
      <c r="M168" s="519">
        <v>1.2321221428349417E-4</v>
      </c>
    </row>
    <row r="169" spans="2:13" ht="15.75" x14ac:dyDescent="0.25">
      <c r="B169" s="212">
        <v>2019</v>
      </c>
      <c r="C169" s="309">
        <v>2011</v>
      </c>
      <c r="D169" s="250" t="s">
        <v>3089</v>
      </c>
      <c r="E169" s="517">
        <v>0.17400683196127242</v>
      </c>
      <c r="F169" s="310">
        <v>0.10384783689416301</v>
      </c>
      <c r="G169" s="311">
        <v>2.5969266725070217E-2</v>
      </c>
      <c r="H169" s="311">
        <v>4.1861794158814298</v>
      </c>
      <c r="I169" s="311">
        <v>0.34875976704469347</v>
      </c>
      <c r="J169" s="311">
        <v>5.0442684485481497E-2</v>
      </c>
      <c r="K169" s="311">
        <v>1.0609393213930842E-4</v>
      </c>
      <c r="L169" s="518">
        <v>5.2723478841817703E-2</v>
      </c>
      <c r="M169" s="519">
        <v>1.108910289657969E-4</v>
      </c>
    </row>
    <row r="170" spans="2:13" ht="15.75" x14ac:dyDescent="0.25">
      <c r="B170" s="212">
        <v>2019</v>
      </c>
      <c r="C170" s="309">
        <v>2012</v>
      </c>
      <c r="D170" s="250" t="s">
        <v>3090</v>
      </c>
      <c r="E170" s="517">
        <v>0.17243095009203074</v>
      </c>
      <c r="F170" s="310">
        <v>2.0344471753298701E-2</v>
      </c>
      <c r="G170" s="311">
        <v>2.6056312205855477E-2</v>
      </c>
      <c r="H170" s="311">
        <v>3.2816406028060001</v>
      </c>
      <c r="I170" s="311">
        <v>0.30790579582976935</v>
      </c>
      <c r="J170" s="311">
        <v>2.6558558622928E-2</v>
      </c>
      <c r="K170" s="311">
        <v>1.0609398292166686E-4</v>
      </c>
      <c r="L170" s="518">
        <v>2.7759418791998301E-2</v>
      </c>
      <c r="M170" s="519">
        <v>1.1089108204430828E-4</v>
      </c>
    </row>
    <row r="171" spans="2:13" ht="15.75" x14ac:dyDescent="0.25">
      <c r="B171" s="212">
        <v>2019</v>
      </c>
      <c r="C171" s="309">
        <v>2013</v>
      </c>
      <c r="D171" s="250" t="s">
        <v>3091</v>
      </c>
      <c r="E171" s="517">
        <v>0.17121206404966602</v>
      </c>
      <c r="F171" s="310">
        <v>1.91339010932195E-2</v>
      </c>
      <c r="G171" s="311">
        <v>2.6056285612124686E-2</v>
      </c>
      <c r="H171" s="311">
        <v>2.93220514830691</v>
      </c>
      <c r="I171" s="311">
        <v>0.30790548157333203</v>
      </c>
      <c r="J171" s="311">
        <v>2.3665921244929899E-2</v>
      </c>
      <c r="K171" s="311">
        <v>1.0609387463946645E-4</v>
      </c>
      <c r="L171" s="518">
        <v>2.4735989187655402E-2</v>
      </c>
      <c r="M171" s="519">
        <v>1.1089096886606724E-4</v>
      </c>
    </row>
    <row r="172" spans="2:13" ht="15.75" x14ac:dyDescent="0.25">
      <c r="B172" s="212">
        <v>2019</v>
      </c>
      <c r="C172" s="309">
        <v>2014</v>
      </c>
      <c r="D172" s="250" t="s">
        <v>3092</v>
      </c>
      <c r="E172" s="517">
        <v>0.15391737356218546</v>
      </c>
      <c r="F172" s="310">
        <v>1.66245501444106E-2</v>
      </c>
      <c r="G172" s="311">
        <v>2.6056283734658885E-2</v>
      </c>
      <c r="H172" s="311">
        <v>1.86397366991227</v>
      </c>
      <c r="I172" s="311">
        <v>0.30790545938743724</v>
      </c>
      <c r="J172" s="311">
        <v>1.7707783381384901E-2</v>
      </c>
      <c r="K172" s="311">
        <v>1.060938669949532E-4</v>
      </c>
      <c r="L172" s="518">
        <v>1.8508450768766099E-2</v>
      </c>
      <c r="M172" s="519">
        <v>1.1089096087590302E-4</v>
      </c>
    </row>
    <row r="173" spans="2:13" ht="15.75" x14ac:dyDescent="0.25">
      <c r="B173" s="212">
        <v>2019</v>
      </c>
      <c r="C173" s="309">
        <v>2015</v>
      </c>
      <c r="D173" s="250" t="s">
        <v>3093</v>
      </c>
      <c r="E173" s="517">
        <v>0.1518952657161492</v>
      </c>
      <c r="F173" s="310">
        <v>1.5626823147901502E-2</v>
      </c>
      <c r="G173" s="311">
        <v>2.6056285201061909E-2</v>
      </c>
      <c r="H173" s="311">
        <v>1.56875613018125</v>
      </c>
      <c r="I173" s="311">
        <v>0.30790547671582918</v>
      </c>
      <c r="J173" s="311">
        <v>1.5293996064788E-2</v>
      </c>
      <c r="K173" s="311">
        <v>1.0609387296573433E-4</v>
      </c>
      <c r="L173" s="518">
        <v>1.5985522700735302E-2</v>
      </c>
      <c r="M173" s="519">
        <v>1.1089096711665639E-4</v>
      </c>
    </row>
    <row r="174" spans="2:13" ht="15.75" x14ac:dyDescent="0.25">
      <c r="B174" s="212">
        <v>2019</v>
      </c>
      <c r="C174" s="309">
        <v>2016</v>
      </c>
      <c r="D174" s="250" t="s">
        <v>3094</v>
      </c>
      <c r="E174" s="517">
        <v>0.15189481051149201</v>
      </c>
      <c r="F174" s="310">
        <v>1.5021674874082999E-2</v>
      </c>
      <c r="G174" s="311">
        <v>2.6056290384361837E-2</v>
      </c>
      <c r="H174" s="311">
        <v>1.47143417254164</v>
      </c>
      <c r="I174" s="311">
        <v>0.30790553796655706</v>
      </c>
      <c r="J174" s="311">
        <v>1.38027751440196E-2</v>
      </c>
      <c r="K174" s="311">
        <v>1.0609389407067542E-4</v>
      </c>
      <c r="L174" s="518">
        <v>1.44268753871246E-2</v>
      </c>
      <c r="M174" s="519">
        <v>1.1089098917586924E-4</v>
      </c>
    </row>
    <row r="175" spans="2:13" ht="15.75" x14ac:dyDescent="0.25">
      <c r="B175" s="212">
        <v>2019</v>
      </c>
      <c r="C175" s="309">
        <v>2017</v>
      </c>
      <c r="D175" s="250" t="s">
        <v>3095</v>
      </c>
      <c r="E175" s="517">
        <v>0.14614863963966959</v>
      </c>
      <c r="F175" s="310">
        <v>1.44147480751456E-2</v>
      </c>
      <c r="G175" s="311">
        <v>2.6056296306395554E-2</v>
      </c>
      <c r="H175" s="311">
        <v>1.37422132230608</v>
      </c>
      <c r="I175" s="311">
        <v>0.30790560794685617</v>
      </c>
      <c r="J175" s="311">
        <v>1.23068826777602E-2</v>
      </c>
      <c r="K175" s="311">
        <v>1.0609391818353294E-4</v>
      </c>
      <c r="L175" s="518">
        <v>1.28633453014654E-2</v>
      </c>
      <c r="M175" s="519">
        <v>1.108910143790032E-4</v>
      </c>
    </row>
    <row r="176" spans="2:13" ht="15.75" x14ac:dyDescent="0.25">
      <c r="B176" s="212">
        <v>2019</v>
      </c>
      <c r="C176" s="309">
        <v>2018</v>
      </c>
      <c r="D176" s="250" t="s">
        <v>3096</v>
      </c>
      <c r="E176" s="517">
        <v>0.14614863963966918</v>
      </c>
      <c r="F176" s="310">
        <v>1.3810245809130201E-2</v>
      </c>
      <c r="G176" s="311">
        <v>2.6056296306395433E-2</v>
      </c>
      <c r="H176" s="311">
        <v>1.27684068447753</v>
      </c>
      <c r="I176" s="311">
        <v>0.30790560794685479</v>
      </c>
      <c r="J176" s="311">
        <v>1.0818064148673E-2</v>
      </c>
      <c r="K176" s="311">
        <v>1.0609391818353269E-4</v>
      </c>
      <c r="L176" s="518">
        <v>1.13072090050273E-2</v>
      </c>
      <c r="M176" s="519">
        <v>1.1089101437900295E-4</v>
      </c>
    </row>
    <row r="177" spans="2:13" ht="15.75" x14ac:dyDescent="0.25">
      <c r="B177" s="212">
        <v>2019</v>
      </c>
      <c r="C177" s="309">
        <v>2019</v>
      </c>
      <c r="D177" s="250" t="s">
        <v>3097</v>
      </c>
      <c r="E177" s="517">
        <v>0.14614863963966904</v>
      </c>
      <c r="F177" s="310">
        <v>1.32057435431147E-2</v>
      </c>
      <c r="G177" s="311">
        <v>2.6056296306395482E-2</v>
      </c>
      <c r="H177" s="311">
        <v>1.17946004664897</v>
      </c>
      <c r="I177" s="311">
        <v>0.30790560794685462</v>
      </c>
      <c r="J177" s="311">
        <v>9.3292456195858409E-3</v>
      </c>
      <c r="K177" s="311">
        <v>1.0609391818353264E-4</v>
      </c>
      <c r="L177" s="518">
        <v>9.7510727085891903E-3</v>
      </c>
      <c r="M177" s="519">
        <v>1.1089101437900289E-4</v>
      </c>
    </row>
    <row r="178" spans="2:13" ht="15.75" x14ac:dyDescent="0.25">
      <c r="B178" s="212">
        <v>2019</v>
      </c>
      <c r="C178" s="309">
        <v>2020</v>
      </c>
      <c r="D178" s="250" t="s">
        <v>4495</v>
      </c>
      <c r="E178" s="517">
        <v>0.15535947137380954</v>
      </c>
      <c r="F178" s="310">
        <v>1.2601241277099299E-2</v>
      </c>
      <c r="G178" s="311">
        <v>6.2535111135349403E-2</v>
      </c>
      <c r="H178" s="311">
        <v>1.08207940882042</v>
      </c>
      <c r="I178" s="311">
        <v>0.73897345907245415</v>
      </c>
      <c r="J178" s="311">
        <v>7.8404270904986403E-3</v>
      </c>
      <c r="K178" s="311">
        <v>2.5462540364047935E-4</v>
      </c>
      <c r="L178" s="518">
        <v>8.1949364121510493E-3</v>
      </c>
      <c r="M178" s="519">
        <v>2.6613843450960795E-4</v>
      </c>
    </row>
    <row r="179" spans="2:13" ht="15.75" x14ac:dyDescent="0.25">
      <c r="B179" s="212">
        <v>2020</v>
      </c>
      <c r="C179" s="309">
        <v>2000</v>
      </c>
      <c r="D179" s="250" t="s">
        <v>3122</v>
      </c>
      <c r="E179" s="517">
        <v>0.18568133876869555</v>
      </c>
      <c r="F179" s="310">
        <v>1.6690919791368699</v>
      </c>
      <c r="G179" s="311">
        <v>0.18405497168919024</v>
      </c>
      <c r="H179" s="311">
        <v>24.506869857385698</v>
      </c>
      <c r="I179" s="311">
        <v>2.7217862989998585</v>
      </c>
      <c r="J179" s="311">
        <v>0.50490605604654504</v>
      </c>
      <c r="K179" s="311">
        <v>2.4501881516496595E-2</v>
      </c>
      <c r="L179" s="518">
        <v>0.52773566741352795</v>
      </c>
      <c r="M179" s="519">
        <v>2.5609747873183663E-2</v>
      </c>
    </row>
    <row r="180" spans="2:13" ht="15.75" x14ac:dyDescent="0.25">
      <c r="B180" s="212">
        <v>2020</v>
      </c>
      <c r="C180" s="309">
        <v>2001</v>
      </c>
      <c r="D180" s="250" t="s">
        <v>3123</v>
      </c>
      <c r="E180" s="517">
        <v>0.18568242079473082</v>
      </c>
      <c r="F180" s="310">
        <v>1.66909889821181</v>
      </c>
      <c r="G180" s="311">
        <v>0.18405498945724771</v>
      </c>
      <c r="H180" s="311">
        <v>24.5067707396415</v>
      </c>
      <c r="I180" s="311">
        <v>2.7217865617520949</v>
      </c>
      <c r="J180" s="311">
        <v>0.50490833845868799</v>
      </c>
      <c r="K180" s="311">
        <v>2.45018838818271E-2</v>
      </c>
      <c r="L180" s="518">
        <v>0.52773805302622001</v>
      </c>
      <c r="M180" s="519">
        <v>2.5609750345463915E-2</v>
      </c>
    </row>
    <row r="181" spans="2:13" ht="15.75" x14ac:dyDescent="0.25">
      <c r="B181" s="212">
        <v>2020</v>
      </c>
      <c r="C181" s="309">
        <v>2002</v>
      </c>
      <c r="D181" s="250" t="s">
        <v>3124</v>
      </c>
      <c r="E181" s="517">
        <v>0.18568902514628194</v>
      </c>
      <c r="F181" s="310">
        <v>1.66872399353273</v>
      </c>
      <c r="G181" s="311">
        <v>0.18405548500823188</v>
      </c>
      <c r="H181" s="311">
        <v>24.504673770516199</v>
      </c>
      <c r="I181" s="311">
        <v>2.7217938899099092</v>
      </c>
      <c r="J181" s="311">
        <v>0.50484001916688503</v>
      </c>
      <c r="K181" s="311">
        <v>2.4501949850876389E-2</v>
      </c>
      <c r="L181" s="518">
        <v>0.52766664463920399</v>
      </c>
      <c r="M181" s="519">
        <v>2.560981929734088E-2</v>
      </c>
    </row>
    <row r="182" spans="2:13" ht="15.75" x14ac:dyDescent="0.25">
      <c r="B182" s="212">
        <v>2020</v>
      </c>
      <c r="C182" s="309">
        <v>2003</v>
      </c>
      <c r="D182" s="250" t="s">
        <v>3125</v>
      </c>
      <c r="E182" s="517">
        <v>0.18433713936243024</v>
      </c>
      <c r="F182" s="310">
        <v>1.08483217230225</v>
      </c>
      <c r="G182" s="311">
        <v>0.15093149690766525</v>
      </c>
      <c r="H182" s="311">
        <v>13.955908342065801</v>
      </c>
      <c r="I182" s="311">
        <v>2.8221169329313849</v>
      </c>
      <c r="J182" s="311">
        <v>0.61441685626701603</v>
      </c>
      <c r="K182" s="311">
        <v>1.8957963381029924E-2</v>
      </c>
      <c r="L182" s="518">
        <v>0.64219806007299096</v>
      </c>
      <c r="M182" s="519">
        <v>1.9815158360403529E-2</v>
      </c>
    </row>
    <row r="183" spans="2:13" ht="15.75" x14ac:dyDescent="0.25">
      <c r="B183" s="212">
        <v>2020</v>
      </c>
      <c r="C183" s="309">
        <v>2004</v>
      </c>
      <c r="D183" s="250" t="s">
        <v>3126</v>
      </c>
      <c r="E183" s="517">
        <v>0.18433592766279122</v>
      </c>
      <c r="F183" s="310">
        <v>1.0808844556485799</v>
      </c>
      <c r="G183" s="311">
        <v>0.15093146946346581</v>
      </c>
      <c r="H183" s="311">
        <v>12.0756617451339</v>
      </c>
      <c r="I183" s="311">
        <v>2.8221164197797797</v>
      </c>
      <c r="J183" s="311">
        <v>0.746074590282092</v>
      </c>
      <c r="K183" s="311">
        <v>1.8957959933862577E-2</v>
      </c>
      <c r="L183" s="518">
        <v>0.779808772597686</v>
      </c>
      <c r="M183" s="519">
        <v>1.9815154757370571E-2</v>
      </c>
    </row>
    <row r="184" spans="2:13" ht="15.75" x14ac:dyDescent="0.25">
      <c r="B184" s="212">
        <v>2020</v>
      </c>
      <c r="C184" s="309">
        <v>2005</v>
      </c>
      <c r="D184" s="250" t="s">
        <v>3127</v>
      </c>
      <c r="E184" s="517">
        <v>0.18433472695877551</v>
      </c>
      <c r="F184" s="310">
        <v>1.05682349579367</v>
      </c>
      <c r="G184" s="311">
        <v>0.15093139909781347</v>
      </c>
      <c r="H184" s="311">
        <v>11.988734994444901</v>
      </c>
      <c r="I184" s="311">
        <v>2.8221151040829042</v>
      </c>
      <c r="J184" s="311">
        <v>0.73380511251278402</v>
      </c>
      <c r="K184" s="311">
        <v>1.8957951095485648E-2</v>
      </c>
      <c r="L184" s="518">
        <v>0.76698452348865098</v>
      </c>
      <c r="M184" s="519">
        <v>1.9815145519361459E-2</v>
      </c>
    </row>
    <row r="185" spans="2:13" ht="15.75" x14ac:dyDescent="0.25">
      <c r="B185" s="212">
        <v>2020</v>
      </c>
      <c r="C185" s="309">
        <v>2006</v>
      </c>
      <c r="D185" s="250" t="s">
        <v>3128</v>
      </c>
      <c r="E185" s="517">
        <v>0.18267082438093987</v>
      </c>
      <c r="F185" s="310">
        <v>1.0279691924693499</v>
      </c>
      <c r="G185" s="311">
        <v>0.13583825249490686</v>
      </c>
      <c r="H185" s="311">
        <v>11.8993756220933</v>
      </c>
      <c r="I185" s="311">
        <v>2.5399034685265662</v>
      </c>
      <c r="J185" s="311">
        <v>0.718713425528552</v>
      </c>
      <c r="K185" s="311">
        <v>1.7062155145237651E-2</v>
      </c>
      <c r="L185" s="518">
        <v>0.75121045738736203</v>
      </c>
      <c r="M185" s="519">
        <v>1.7833630088713182E-2</v>
      </c>
    </row>
    <row r="186" spans="2:13" ht="15.75" x14ac:dyDescent="0.25">
      <c r="B186" s="212">
        <v>2020</v>
      </c>
      <c r="C186" s="309">
        <v>2007</v>
      </c>
      <c r="D186" s="250" t="s">
        <v>3129</v>
      </c>
      <c r="E186" s="517">
        <v>0.18282467751853351</v>
      </c>
      <c r="F186" s="310">
        <v>0.73642776197209603</v>
      </c>
      <c r="G186" s="311">
        <v>0.10192176214786146</v>
      </c>
      <c r="H186" s="311">
        <v>10.8366167087938</v>
      </c>
      <c r="I186" s="311">
        <v>2.285911406933391</v>
      </c>
      <c r="J186" s="311">
        <v>0.51177993601801097</v>
      </c>
      <c r="K186" s="311">
        <v>1.2982489771632988E-2</v>
      </c>
      <c r="L186" s="518">
        <v>0.53492035373491398</v>
      </c>
      <c r="M186" s="519">
        <v>1.3569500350161155E-2</v>
      </c>
    </row>
    <row r="187" spans="2:13" ht="15.75" x14ac:dyDescent="0.25">
      <c r="B187" s="212">
        <v>2020</v>
      </c>
      <c r="C187" s="309">
        <v>2008</v>
      </c>
      <c r="D187" s="250" t="s">
        <v>3130</v>
      </c>
      <c r="E187" s="517">
        <v>0.18511811068252795</v>
      </c>
      <c r="F187" s="310">
        <v>0.27020085411907802</v>
      </c>
      <c r="G187" s="311">
        <v>4.1609729149926854E-2</v>
      </c>
      <c r="H187" s="311">
        <v>8.4956834051660302</v>
      </c>
      <c r="I187" s="311">
        <v>1.5815977040414333</v>
      </c>
      <c r="J187" s="311">
        <v>5.4028628191892102E-2</v>
      </c>
      <c r="K187" s="311">
        <v>6.4573949243830551E-4</v>
      </c>
      <c r="L187" s="518">
        <v>5.6471563010242601E-2</v>
      </c>
      <c r="M187" s="519">
        <v>6.7493696685980555E-4</v>
      </c>
    </row>
    <row r="188" spans="2:13" ht="15.75" x14ac:dyDescent="0.25">
      <c r="B188" s="212">
        <v>2020</v>
      </c>
      <c r="C188" s="309">
        <v>2009</v>
      </c>
      <c r="D188" s="250" t="s">
        <v>3131</v>
      </c>
      <c r="E188" s="517">
        <v>0.18398238760912364</v>
      </c>
      <c r="F188" s="310">
        <v>0.24763628716760699</v>
      </c>
      <c r="G188" s="311">
        <v>3.5281355261753793E-2</v>
      </c>
      <c r="H188" s="311">
        <v>8.2996639925713396</v>
      </c>
      <c r="I188" s="311">
        <v>0.70794336721311857</v>
      </c>
      <c r="J188" s="311">
        <v>4.1088194138906901E-2</v>
      </c>
      <c r="K188" s="311">
        <v>1.4628415252724634E-4</v>
      </c>
      <c r="L188" s="518">
        <v>4.2946019951707097E-2</v>
      </c>
      <c r="M188" s="519">
        <v>1.5289847277821583E-4</v>
      </c>
    </row>
    <row r="189" spans="2:13" ht="15.75" x14ac:dyDescent="0.25">
      <c r="B189" s="212">
        <v>2020</v>
      </c>
      <c r="C189" s="309">
        <v>2010</v>
      </c>
      <c r="D189" s="250" t="s">
        <v>3132</v>
      </c>
      <c r="E189" s="517">
        <v>0.18157396691834518</v>
      </c>
      <c r="F189" s="310">
        <v>0.24872008197539899</v>
      </c>
      <c r="G189" s="311">
        <v>3.183811197390702E-2</v>
      </c>
      <c r="H189" s="311">
        <v>7.4551361449932596</v>
      </c>
      <c r="I189" s="311">
        <v>0.57165023424035166</v>
      </c>
      <c r="J189" s="311">
        <v>5.6915821295041399E-2</v>
      </c>
      <c r="K189" s="311">
        <v>1.3165571751363461E-4</v>
      </c>
      <c r="L189" s="518">
        <v>5.9489302173786701E-2</v>
      </c>
      <c r="M189" s="519">
        <v>1.3760860484600756E-4</v>
      </c>
    </row>
    <row r="190" spans="2:13" ht="15.75" x14ac:dyDescent="0.25">
      <c r="B190" s="212">
        <v>2020</v>
      </c>
      <c r="C190" s="309">
        <v>2011</v>
      </c>
      <c r="D190" s="250" t="s">
        <v>3133</v>
      </c>
      <c r="E190" s="517">
        <v>0.17487342903524056</v>
      </c>
      <c r="F190" s="310">
        <v>0.10867259792313499</v>
      </c>
      <c r="G190" s="311">
        <v>2.9003583533289773E-2</v>
      </c>
      <c r="H190" s="311">
        <v>4.3654821608499397</v>
      </c>
      <c r="I190" s="311">
        <v>0.38950976720364439</v>
      </c>
      <c r="J190" s="311">
        <v>5.3566654283434198E-2</v>
      </c>
      <c r="K190" s="311">
        <v>1.1849022368456145E-4</v>
      </c>
      <c r="L190" s="518">
        <v>5.5988700691623199E-2</v>
      </c>
      <c r="M190" s="519">
        <v>1.2384782580699728E-4</v>
      </c>
    </row>
    <row r="191" spans="2:13" ht="15.75" x14ac:dyDescent="0.25">
      <c r="B191" s="212">
        <v>2020</v>
      </c>
      <c r="C191" s="309">
        <v>2012</v>
      </c>
      <c r="D191" s="250" t="s">
        <v>3134</v>
      </c>
      <c r="E191" s="517">
        <v>0.17246748065726716</v>
      </c>
      <c r="F191" s="310">
        <v>2.1298282305506001E-2</v>
      </c>
      <c r="G191" s="311">
        <v>2.6190722515151987E-2</v>
      </c>
      <c r="H191" s="311">
        <v>3.48531039818528</v>
      </c>
      <c r="I191" s="311">
        <v>0.3094941139664536</v>
      </c>
      <c r="J191" s="311">
        <v>2.8853756972391401E-2</v>
      </c>
      <c r="K191" s="311">
        <v>1.0664126393926978E-4</v>
      </c>
      <c r="L191" s="518">
        <v>3.0158395826032702E-2</v>
      </c>
      <c r="M191" s="519">
        <v>1.1146310868100364E-4</v>
      </c>
    </row>
    <row r="192" spans="2:13" ht="15.75" x14ac:dyDescent="0.25">
      <c r="B192" s="212">
        <v>2020</v>
      </c>
      <c r="C192" s="309">
        <v>2013</v>
      </c>
      <c r="D192" s="250" t="s">
        <v>3135</v>
      </c>
      <c r="E192" s="517">
        <v>0.17124903986592713</v>
      </c>
      <c r="F192" s="310">
        <v>2.0052628205442801E-2</v>
      </c>
      <c r="G192" s="311">
        <v>2.6190692153608558E-2</v>
      </c>
      <c r="H192" s="311">
        <v>3.1233769883955298</v>
      </c>
      <c r="I192" s="311">
        <v>0.30949375518601291</v>
      </c>
      <c r="J192" s="311">
        <v>2.58814104541592E-2</v>
      </c>
      <c r="K192" s="311">
        <v>1.0664114031559486E-4</v>
      </c>
      <c r="L192" s="518">
        <v>2.70516529878383E-2</v>
      </c>
      <c r="M192" s="519">
        <v>1.1146297946761472E-4</v>
      </c>
    </row>
    <row r="193" spans="2:13" ht="15.75" x14ac:dyDescent="0.25">
      <c r="B193" s="212">
        <v>2020</v>
      </c>
      <c r="C193" s="309">
        <v>2014</v>
      </c>
      <c r="D193" s="250" t="s">
        <v>3136</v>
      </c>
      <c r="E193" s="517">
        <v>0.1539526766312079</v>
      </c>
      <c r="F193" s="310">
        <v>1.72915031873648E-2</v>
      </c>
      <c r="G193" s="311">
        <v>2.619068339688729E-2</v>
      </c>
      <c r="H193" s="311">
        <v>1.9774641177183501</v>
      </c>
      <c r="I193" s="311">
        <v>0.30949365170839011</v>
      </c>
      <c r="J193" s="311">
        <v>1.9341656249143999E-2</v>
      </c>
      <c r="K193" s="311">
        <v>1.0664110466068601E-4</v>
      </c>
      <c r="L193" s="518">
        <v>2.0216200117401901E-2</v>
      </c>
      <c r="M193" s="519">
        <v>1.1146294220054912E-4</v>
      </c>
    </row>
    <row r="194" spans="2:13" ht="15.75" x14ac:dyDescent="0.25">
      <c r="B194" s="212">
        <v>2020</v>
      </c>
      <c r="C194" s="309">
        <v>2015</v>
      </c>
      <c r="D194" s="250" t="s">
        <v>3137</v>
      </c>
      <c r="E194" s="517">
        <v>0.15193056830528517</v>
      </c>
      <c r="F194" s="310">
        <v>1.6231464883144399E-2</v>
      </c>
      <c r="G194" s="311">
        <v>2.619068541959986E-2</v>
      </c>
      <c r="H194" s="311">
        <v>1.66612160567572</v>
      </c>
      <c r="I194" s="311">
        <v>0.30949367561065677</v>
      </c>
      <c r="J194" s="311">
        <v>1.6783800665278299E-2</v>
      </c>
      <c r="K194" s="311">
        <v>1.0664111289660333E-4</v>
      </c>
      <c r="L194" s="518">
        <v>1.75426896543498E-2</v>
      </c>
      <c r="M194" s="519">
        <v>1.1146295080885805E-4</v>
      </c>
    </row>
    <row r="195" spans="2:13" ht="15.75" x14ac:dyDescent="0.25">
      <c r="B195" s="212">
        <v>2020</v>
      </c>
      <c r="C195" s="309">
        <v>2016</v>
      </c>
      <c r="D195" s="250" t="s">
        <v>3138</v>
      </c>
      <c r="E195" s="517">
        <v>0.15193011321765934</v>
      </c>
      <c r="F195" s="310">
        <v>1.5626294563308999E-2</v>
      </c>
      <c r="G195" s="311">
        <v>2.6190691331738E-2</v>
      </c>
      <c r="H195" s="311">
        <v>1.5688026674287601</v>
      </c>
      <c r="I195" s="311">
        <v>0.30949374547402042</v>
      </c>
      <c r="J195" s="311">
        <v>1.5292414388911201E-2</v>
      </c>
      <c r="K195" s="311">
        <v>1.0664113696916885E-4</v>
      </c>
      <c r="L195" s="518">
        <v>1.5983869508493901E-2</v>
      </c>
      <c r="M195" s="519">
        <v>1.1146297596987815E-4</v>
      </c>
    </row>
    <row r="196" spans="2:13" ht="15.75" x14ac:dyDescent="0.25">
      <c r="B196" s="212">
        <v>2020</v>
      </c>
      <c r="C196" s="309">
        <v>2017</v>
      </c>
      <c r="D196" s="250" t="s">
        <v>3139</v>
      </c>
      <c r="E196" s="517">
        <v>0.14618260754982998</v>
      </c>
      <c r="F196" s="310">
        <v>1.5019269751434E-2</v>
      </c>
      <c r="G196" s="311">
        <v>2.6190692940571376E-2</v>
      </c>
      <c r="H196" s="311">
        <v>1.4716009854066501</v>
      </c>
      <c r="I196" s="311">
        <v>0.30949376448550286</v>
      </c>
      <c r="J196" s="311">
        <v>1.37957537949182E-2</v>
      </c>
      <c r="K196" s="311">
        <v>1.0664114351988638E-4</v>
      </c>
      <c r="L196" s="518">
        <v>1.4419536563773599E-2</v>
      </c>
      <c r="M196" s="519">
        <v>1.1146298281679005E-4</v>
      </c>
    </row>
    <row r="197" spans="2:13" ht="15.75" x14ac:dyDescent="0.25">
      <c r="B197" s="212">
        <v>2020</v>
      </c>
      <c r="C197" s="309">
        <v>2018</v>
      </c>
      <c r="D197" s="250" t="s">
        <v>3140</v>
      </c>
      <c r="E197" s="517">
        <v>0.14618260754983037</v>
      </c>
      <c r="F197" s="310">
        <v>1.44147667041842E-2</v>
      </c>
      <c r="G197" s="311">
        <v>2.6190692940571327E-2</v>
      </c>
      <c r="H197" s="311">
        <v>1.37422041207898</v>
      </c>
      <c r="I197" s="311">
        <v>0.30949376448550237</v>
      </c>
      <c r="J197" s="311">
        <v>1.23069295905781E-2</v>
      </c>
      <c r="K197" s="311">
        <v>1.0664114351988643E-4</v>
      </c>
      <c r="L197" s="518">
        <v>1.2863394335472801E-2</v>
      </c>
      <c r="M197" s="519">
        <v>1.1146298281679013E-4</v>
      </c>
    </row>
    <row r="198" spans="2:13" ht="15.75" x14ac:dyDescent="0.25">
      <c r="B198" s="212">
        <v>2020</v>
      </c>
      <c r="C198" s="309">
        <v>2019</v>
      </c>
      <c r="D198" s="250" t="s">
        <v>3141</v>
      </c>
      <c r="E198" s="517">
        <v>0.14618260754983003</v>
      </c>
      <c r="F198" s="310">
        <v>1.38102636569345E-2</v>
      </c>
      <c r="G198" s="311">
        <v>2.6190692940571348E-2</v>
      </c>
      <c r="H198" s="311">
        <v>1.27683983875132</v>
      </c>
      <c r="I198" s="311">
        <v>0.30949376448550187</v>
      </c>
      <c r="J198" s="311">
        <v>1.0818105386237901E-2</v>
      </c>
      <c r="K198" s="311">
        <v>1.0664114351988625E-4</v>
      </c>
      <c r="L198" s="518">
        <v>1.13072521071719E-2</v>
      </c>
      <c r="M198" s="519">
        <v>1.1146298281678993E-4</v>
      </c>
    </row>
    <row r="199" spans="2:13" ht="15.75" x14ac:dyDescent="0.25">
      <c r="B199" s="212">
        <v>2020</v>
      </c>
      <c r="C199" s="309">
        <v>2020</v>
      </c>
      <c r="D199" s="250" t="s">
        <v>3142</v>
      </c>
      <c r="E199" s="517">
        <v>0.14618260754983003</v>
      </c>
      <c r="F199" s="310">
        <v>1.3205760609684701E-2</v>
      </c>
      <c r="G199" s="311">
        <v>2.619069294057139E-2</v>
      </c>
      <c r="H199" s="311">
        <v>1.17945926542365</v>
      </c>
      <c r="I199" s="311">
        <v>0.30949376448550314</v>
      </c>
      <c r="J199" s="311">
        <v>9.3292811818977608E-3</v>
      </c>
      <c r="K199" s="311">
        <v>1.0664114351988669E-4</v>
      </c>
      <c r="L199" s="518">
        <v>9.7511098788710497E-3</v>
      </c>
      <c r="M199" s="519">
        <v>1.1146298281679039E-4</v>
      </c>
    </row>
    <row r="200" spans="2:13" ht="15.75" x14ac:dyDescent="0.25">
      <c r="B200" s="212">
        <v>2020</v>
      </c>
      <c r="C200" s="309">
        <v>2021</v>
      </c>
      <c r="D200" s="250" t="s">
        <v>4496</v>
      </c>
      <c r="E200" s="517">
        <v>0.14057981508545031</v>
      </c>
      <c r="F200" s="310">
        <v>1.26012575624349E-2</v>
      </c>
      <c r="G200" s="311">
        <v>6.2857663057371393E-2</v>
      </c>
      <c r="H200" s="311">
        <v>1.08207869209598</v>
      </c>
      <c r="I200" s="311">
        <v>0.74278503476520641</v>
      </c>
      <c r="J200" s="311">
        <v>7.8404569775575896E-3</v>
      </c>
      <c r="K200" s="311">
        <v>2.5593874444772763E-4</v>
      </c>
      <c r="L200" s="518">
        <v>8.1949676505701802E-3</v>
      </c>
      <c r="M200" s="519">
        <v>2.6751115876029653E-4</v>
      </c>
    </row>
    <row r="201" spans="2:13" ht="15.75" x14ac:dyDescent="0.25">
      <c r="B201" s="212">
        <v>2021</v>
      </c>
      <c r="C201" s="309">
        <v>2005</v>
      </c>
      <c r="D201" s="250" t="s">
        <v>3171</v>
      </c>
      <c r="E201" s="517">
        <v>0.18452192507201945</v>
      </c>
      <c r="F201" s="310">
        <v>1.0824100291099601</v>
      </c>
      <c r="G201" s="311">
        <v>0.15213071539498688</v>
      </c>
      <c r="H201" s="311">
        <v>12.082546817989</v>
      </c>
      <c r="I201" s="311">
        <v>2.8445399186480449</v>
      </c>
      <c r="J201" s="311">
        <v>0.74561429422073999</v>
      </c>
      <c r="K201" s="311">
        <v>1.9108592909221955E-2</v>
      </c>
      <c r="L201" s="518">
        <v>0.77932766399097397</v>
      </c>
      <c r="M201" s="519">
        <v>1.9972598687451763E-2</v>
      </c>
    </row>
    <row r="202" spans="2:13" ht="15.75" x14ac:dyDescent="0.25">
      <c r="B202" s="212">
        <v>2021</v>
      </c>
      <c r="C202" s="309">
        <v>2006</v>
      </c>
      <c r="D202" s="250" t="s">
        <v>3172</v>
      </c>
      <c r="E202" s="517">
        <v>0.18447259076278361</v>
      </c>
      <c r="F202" s="310">
        <v>1.0561305171045099</v>
      </c>
      <c r="G202" s="311">
        <v>0.15213074465823026</v>
      </c>
      <c r="H202" s="311">
        <v>12.0028252226045</v>
      </c>
      <c r="I202" s="311">
        <v>2.8445404658121318</v>
      </c>
      <c r="J202" s="311">
        <v>0.73186698201162803</v>
      </c>
      <c r="K202" s="311">
        <v>1.9108596584872739E-2</v>
      </c>
      <c r="L202" s="518">
        <v>0.76495875932655999</v>
      </c>
      <c r="M202" s="519">
        <v>1.9972602529299176E-2</v>
      </c>
    </row>
    <row r="203" spans="2:13" ht="15.75" x14ac:dyDescent="0.25">
      <c r="B203" s="212">
        <v>2021</v>
      </c>
      <c r="C203" s="309">
        <v>2007</v>
      </c>
      <c r="D203" s="250" t="s">
        <v>3173</v>
      </c>
      <c r="E203" s="517">
        <v>0.18448693682688591</v>
      </c>
      <c r="F203" s="310">
        <v>0.75866894304380506</v>
      </c>
      <c r="G203" s="311">
        <v>0.11414624808276902</v>
      </c>
      <c r="H203" s="311">
        <v>10.9440357308196</v>
      </c>
      <c r="I203" s="311">
        <v>2.5600833919306929</v>
      </c>
      <c r="J203" s="311">
        <v>0.52254429048118001</v>
      </c>
      <c r="K203" s="311">
        <v>1.4539608293418068E-2</v>
      </c>
      <c r="L203" s="518">
        <v>0.54617142454079204</v>
      </c>
      <c r="M203" s="519">
        <v>1.5197024861890134E-2</v>
      </c>
    </row>
    <row r="204" spans="2:13" ht="15.75" x14ac:dyDescent="0.25">
      <c r="B204" s="212">
        <v>2021</v>
      </c>
      <c r="C204" s="309">
        <v>2008</v>
      </c>
      <c r="D204" s="250" t="s">
        <v>3174</v>
      </c>
      <c r="E204" s="517">
        <v>0.18671349965573564</v>
      </c>
      <c r="F204" s="310">
        <v>0.27836025076549897</v>
      </c>
      <c r="G204" s="311">
        <v>4.660039679668572E-2</v>
      </c>
      <c r="H204" s="311">
        <v>8.5894877556149805</v>
      </c>
      <c r="I204" s="311">
        <v>1.7712944084661861</v>
      </c>
      <c r="J204" s="311">
        <v>5.5638750463625E-2</v>
      </c>
      <c r="K204" s="311">
        <v>7.2318943645343042E-4</v>
      </c>
      <c r="L204" s="518">
        <v>5.8154487866291502E-2</v>
      </c>
      <c r="M204" s="519">
        <v>7.558888536642578E-4</v>
      </c>
    </row>
    <row r="205" spans="2:13" ht="15.75" x14ac:dyDescent="0.25">
      <c r="B205" s="212">
        <v>2021</v>
      </c>
      <c r="C205" s="309">
        <v>2009</v>
      </c>
      <c r="D205" s="250" t="s">
        <v>3175</v>
      </c>
      <c r="E205" s="517">
        <v>0.18542949739500691</v>
      </c>
      <c r="F205" s="310">
        <v>0.25601660130119802</v>
      </c>
      <c r="G205" s="311">
        <v>3.9513001201096361E-2</v>
      </c>
      <c r="H205" s="311">
        <v>8.4023095558953909</v>
      </c>
      <c r="I205" s="311">
        <v>0.79285409847404098</v>
      </c>
      <c r="J205" s="311">
        <v>4.2559750432516398E-2</v>
      </c>
      <c r="K205" s="311">
        <v>1.638294745660268E-4</v>
      </c>
      <c r="L205" s="518">
        <v>4.4484113490979298E-2</v>
      </c>
      <c r="M205" s="519">
        <v>1.7123711642337656E-4</v>
      </c>
    </row>
    <row r="206" spans="2:13" ht="15.75" x14ac:dyDescent="0.25">
      <c r="B206" s="212">
        <v>2021</v>
      </c>
      <c r="C206" s="309">
        <v>2010</v>
      </c>
      <c r="D206" s="250" t="s">
        <v>3176</v>
      </c>
      <c r="E206" s="517">
        <v>0.18285566997848926</v>
      </c>
      <c r="F206" s="310">
        <v>0.25807716840191097</v>
      </c>
      <c r="G206" s="311">
        <v>3.5656762623915074E-2</v>
      </c>
      <c r="H206" s="311">
        <v>7.5770199290600297</v>
      </c>
      <c r="I206" s="311">
        <v>0.64021373889628741</v>
      </c>
      <c r="J206" s="311">
        <v>5.9223322773239197E-2</v>
      </c>
      <c r="K206" s="311">
        <v>1.4744645258211938E-4</v>
      </c>
      <c r="L206" s="518">
        <v>6.19011386294425E-2</v>
      </c>
      <c r="M206" s="519">
        <v>1.5411332688394013E-4</v>
      </c>
    </row>
    <row r="207" spans="2:13" ht="15.75" x14ac:dyDescent="0.25">
      <c r="B207" s="212">
        <v>2021</v>
      </c>
      <c r="C207" s="309">
        <v>2011</v>
      </c>
      <c r="D207" s="250" t="s">
        <v>3177</v>
      </c>
      <c r="E207" s="517">
        <v>0.17591455593728714</v>
      </c>
      <c r="F207" s="310">
        <v>0.11308259170918</v>
      </c>
      <c r="G207" s="311">
        <v>3.2482286232393277E-2</v>
      </c>
      <c r="H207" s="311">
        <v>4.5281960834145796</v>
      </c>
      <c r="I207" s="311">
        <v>0.43622774179265555</v>
      </c>
      <c r="J207" s="311">
        <v>5.6298730407755002E-2</v>
      </c>
      <c r="K207" s="311">
        <v>1.3270199377413518E-4</v>
      </c>
      <c r="L207" s="518">
        <v>5.8844309174877499E-2</v>
      </c>
      <c r="M207" s="519">
        <v>1.3870218907622583E-4</v>
      </c>
    </row>
    <row r="208" spans="2:13" ht="15.75" x14ac:dyDescent="0.25">
      <c r="B208" s="212">
        <v>2021</v>
      </c>
      <c r="C208" s="309">
        <v>2012</v>
      </c>
      <c r="D208" s="250" t="s">
        <v>3178</v>
      </c>
      <c r="E208" s="517">
        <v>0.1733788706869078</v>
      </c>
      <c r="F208" s="310">
        <v>2.2165390513487801E-2</v>
      </c>
      <c r="G208" s="311">
        <v>2.9332031255860511E-2</v>
      </c>
      <c r="H208" s="311">
        <v>3.6696674465921602</v>
      </c>
      <c r="I208" s="311">
        <v>0.3466147609756467</v>
      </c>
      <c r="J208" s="311">
        <v>3.0875393335956201E-2</v>
      </c>
      <c r="K208" s="311">
        <v>1.1943179059766337E-4</v>
      </c>
      <c r="L208" s="518">
        <v>3.2271441615079402E-2</v>
      </c>
      <c r="M208" s="519">
        <v>1.2483196619776838E-4</v>
      </c>
    </row>
    <row r="209" spans="2:13" ht="15.75" x14ac:dyDescent="0.25">
      <c r="B209" s="212">
        <v>2021</v>
      </c>
      <c r="C209" s="309">
        <v>2013</v>
      </c>
      <c r="D209" s="250" t="s">
        <v>3179</v>
      </c>
      <c r="E209" s="517">
        <v>0.17134700037586012</v>
      </c>
      <c r="F209" s="310">
        <v>2.09788569176785E-2</v>
      </c>
      <c r="G209" s="311">
        <v>2.6398807039162038E-2</v>
      </c>
      <c r="H209" s="311">
        <v>3.3157307622032302</v>
      </c>
      <c r="I209" s="311">
        <v>0.31195303564573845</v>
      </c>
      <c r="J209" s="311">
        <v>2.8055564857329001E-2</v>
      </c>
      <c r="K209" s="311">
        <v>1.0748852566081269E-4</v>
      </c>
      <c r="L209" s="518">
        <v>2.93241130054522E-2</v>
      </c>
      <c r="M209" s="519">
        <v>1.1234867981792651E-4</v>
      </c>
    </row>
    <row r="210" spans="2:13" ht="15.75" x14ac:dyDescent="0.25">
      <c r="B210" s="212">
        <v>2021</v>
      </c>
      <c r="C210" s="309">
        <v>2014</v>
      </c>
      <c r="D210" s="250" t="s">
        <v>3180</v>
      </c>
      <c r="E210" s="517">
        <v>0.15404168516414657</v>
      </c>
      <c r="F210" s="310">
        <v>1.79615270577114E-2</v>
      </c>
      <c r="G210" s="311">
        <v>2.6398802697288101E-2</v>
      </c>
      <c r="H210" s="311">
        <v>2.0934289433462201</v>
      </c>
      <c r="I210" s="311">
        <v>0.31195298433808832</v>
      </c>
      <c r="J210" s="311">
        <v>2.0940813833410201E-2</v>
      </c>
      <c r="K210" s="311">
        <v>1.0748850798192185E-4</v>
      </c>
      <c r="L210" s="518">
        <v>2.18876645114718E-2</v>
      </c>
      <c r="M210" s="519">
        <v>1.1234866133967468E-4</v>
      </c>
    </row>
    <row r="211" spans="2:13" ht="15.75" x14ac:dyDescent="0.25">
      <c r="B211" s="212">
        <v>2021</v>
      </c>
      <c r="C211" s="309">
        <v>2015</v>
      </c>
      <c r="D211" s="250" t="s">
        <v>3181</v>
      </c>
      <c r="E211" s="517">
        <v>0.15202092217895044</v>
      </c>
      <c r="F211" s="310">
        <v>1.6839459726032201E-2</v>
      </c>
      <c r="G211" s="311">
        <v>2.6398792777163504E-2</v>
      </c>
      <c r="H211" s="311">
        <v>1.7661030205019499</v>
      </c>
      <c r="I211" s="311">
        <v>0.31195286711260234</v>
      </c>
      <c r="J211" s="311">
        <v>1.82463188631584E-2</v>
      </c>
      <c r="K211" s="311">
        <v>1.0748846758996124E-4</v>
      </c>
      <c r="L211" s="518">
        <v>1.9071336435309599E-2</v>
      </c>
      <c r="M211" s="519">
        <v>1.1234861912136884E-4</v>
      </c>
    </row>
    <row r="212" spans="2:13" ht="15.75" x14ac:dyDescent="0.25">
      <c r="B212" s="212">
        <v>2021</v>
      </c>
      <c r="C212" s="309">
        <v>2016</v>
      </c>
      <c r="D212" s="250" t="s">
        <v>3182</v>
      </c>
      <c r="E212" s="517">
        <v>0.15202047259923382</v>
      </c>
      <c r="F212" s="310">
        <v>1.62341628133395E-2</v>
      </c>
      <c r="G212" s="311">
        <v>2.6398798086878162E-2</v>
      </c>
      <c r="H212" s="311">
        <v>1.6686418259437901</v>
      </c>
      <c r="I212" s="311">
        <v>0.3119529298571645</v>
      </c>
      <c r="J212" s="311">
        <v>1.67570176034991E-2</v>
      </c>
      <c r="K212" s="311">
        <v>1.0748848920962759E-4</v>
      </c>
      <c r="L212" s="518">
        <v>1.7514695581365002E-2</v>
      </c>
      <c r="M212" s="519">
        <v>1.1234864171858057E-4</v>
      </c>
    </row>
    <row r="213" spans="2:13" ht="15.75" x14ac:dyDescent="0.25">
      <c r="B213" s="212">
        <v>2021</v>
      </c>
      <c r="C213" s="309">
        <v>2017</v>
      </c>
      <c r="D213" s="250" t="s">
        <v>3183</v>
      </c>
      <c r="E213" s="517">
        <v>0.14626959483890661</v>
      </c>
      <c r="F213" s="310">
        <v>1.5626942621685E-2</v>
      </c>
      <c r="G213" s="311">
        <v>2.6398782145584738E-2</v>
      </c>
      <c r="H213" s="311">
        <v>1.57130942825217</v>
      </c>
      <c r="I213" s="311">
        <v>0.31195274147990759</v>
      </c>
      <c r="J213" s="311">
        <v>1.5261796977152299E-2</v>
      </c>
      <c r="K213" s="311">
        <v>1.0748842430115965E-4</v>
      </c>
      <c r="L213" s="518">
        <v>1.5951867713238001E-2</v>
      </c>
      <c r="M213" s="519">
        <v>1.1234857387523972E-4</v>
      </c>
    </row>
    <row r="214" spans="2:13" ht="15.75" x14ac:dyDescent="0.25">
      <c r="B214" s="212">
        <v>2021</v>
      </c>
      <c r="C214" s="309">
        <v>2018</v>
      </c>
      <c r="D214" s="250" t="s">
        <v>3184</v>
      </c>
      <c r="E214" s="517">
        <v>0.14626959483890656</v>
      </c>
      <c r="F214" s="310">
        <v>1.5022316930072201E-2</v>
      </c>
      <c r="G214" s="311">
        <v>2.6398782145584769E-2</v>
      </c>
      <c r="H214" s="311">
        <v>1.4737843731318301</v>
      </c>
      <c r="I214" s="311">
        <v>0.3119527414799072</v>
      </c>
      <c r="J214" s="311">
        <v>1.37751918028117E-2</v>
      </c>
      <c r="K214" s="311">
        <v>1.074884243011595E-4</v>
      </c>
      <c r="L214" s="518">
        <v>1.43980448496265E-2</v>
      </c>
      <c r="M214" s="519">
        <v>1.1234857387523959E-4</v>
      </c>
    </row>
    <row r="215" spans="2:13" ht="15.75" x14ac:dyDescent="0.25">
      <c r="B215" s="212">
        <v>2021</v>
      </c>
      <c r="C215" s="309">
        <v>2019</v>
      </c>
      <c r="D215" s="250" t="s">
        <v>3185</v>
      </c>
      <c r="E215" s="517">
        <v>0.14626959483890667</v>
      </c>
      <c r="F215" s="310">
        <v>1.44176912384594E-2</v>
      </c>
      <c r="G215" s="311">
        <v>2.6398782145584759E-2</v>
      </c>
      <c r="H215" s="311">
        <v>1.3762593180114799</v>
      </c>
      <c r="I215" s="311">
        <v>0.31195274147990709</v>
      </c>
      <c r="J215" s="311">
        <v>1.22885866284711E-2</v>
      </c>
      <c r="K215" s="311">
        <v>1.0748842430115946E-4</v>
      </c>
      <c r="L215" s="518">
        <v>1.2844221986015E-2</v>
      </c>
      <c r="M215" s="519">
        <v>1.1234857387523954E-4</v>
      </c>
    </row>
    <row r="216" spans="2:13" ht="15.75" x14ac:dyDescent="0.25">
      <c r="B216" s="212">
        <v>2021</v>
      </c>
      <c r="C216" s="309">
        <v>2020</v>
      </c>
      <c r="D216" s="250" t="s">
        <v>3186</v>
      </c>
      <c r="E216" s="517">
        <v>0.14626959483890639</v>
      </c>
      <c r="F216" s="310">
        <v>1.38130655468465E-2</v>
      </c>
      <c r="G216" s="311">
        <v>2.6398782145584637E-2</v>
      </c>
      <c r="H216" s="311">
        <v>1.27873426289114</v>
      </c>
      <c r="I216" s="311">
        <v>0.31195274147990565</v>
      </c>
      <c r="J216" s="311">
        <v>1.0801981454130499E-2</v>
      </c>
      <c r="K216" s="311">
        <v>1.0748842430115898E-4</v>
      </c>
      <c r="L216" s="518">
        <v>1.12903991224035E-2</v>
      </c>
      <c r="M216" s="519">
        <v>1.1234857387523904E-4</v>
      </c>
    </row>
    <row r="217" spans="2:13" ht="15.75" x14ac:dyDescent="0.25">
      <c r="B217" s="212">
        <v>2021</v>
      </c>
      <c r="C217" s="309">
        <v>2021</v>
      </c>
      <c r="D217" s="250" t="s">
        <v>3187</v>
      </c>
      <c r="E217" s="517">
        <v>0.13228530088992474</v>
      </c>
      <c r="F217" s="310">
        <v>1.32084398552337E-2</v>
      </c>
      <c r="G217" s="311">
        <v>2.639878214558472E-2</v>
      </c>
      <c r="H217" s="311">
        <v>1.1812092077708001</v>
      </c>
      <c r="I217" s="311">
        <v>0.31195274147990659</v>
      </c>
      <c r="J217" s="311">
        <v>9.3153762797899501E-3</v>
      </c>
      <c r="K217" s="311">
        <v>1.074884243011593E-4</v>
      </c>
      <c r="L217" s="518">
        <v>9.7365762587920193E-3</v>
      </c>
      <c r="M217" s="519">
        <v>1.1234857387523938E-4</v>
      </c>
    </row>
    <row r="218" spans="2:13" ht="15.75" x14ac:dyDescent="0.25">
      <c r="B218" s="212">
        <v>2021</v>
      </c>
      <c r="C218" s="309">
        <v>2022</v>
      </c>
      <c r="D218" s="250" t="s">
        <v>4497</v>
      </c>
      <c r="E218" s="517">
        <v>0.14072501212323194</v>
      </c>
      <c r="F218" s="310">
        <v>1.2603814163620899E-2</v>
      </c>
      <c r="G218" s="311">
        <v>6.3357077149403432E-2</v>
      </c>
      <c r="H218" s="311">
        <v>1.0836841526504499</v>
      </c>
      <c r="I218" s="311">
        <v>0.74868657955177709</v>
      </c>
      <c r="J218" s="311">
        <v>7.8287711054493506E-3</v>
      </c>
      <c r="K218" s="311">
        <v>2.5797221832278279E-4</v>
      </c>
      <c r="L218" s="518">
        <v>8.1827533951805004E-3</v>
      </c>
      <c r="M218" s="519">
        <v>2.6963657730057498E-4</v>
      </c>
    </row>
    <row r="219" spans="2:13" ht="15.75" x14ac:dyDescent="0.25">
      <c r="B219" s="212">
        <v>2022</v>
      </c>
      <c r="C219" s="309">
        <v>2008</v>
      </c>
      <c r="D219" s="250" t="s">
        <v>3218</v>
      </c>
      <c r="E219" s="517">
        <v>0.18858306582435586</v>
      </c>
      <c r="F219" s="310">
        <v>0.28498741886446599</v>
      </c>
      <c r="G219" s="311">
        <v>5.2750063458365255E-2</v>
      </c>
      <c r="H219" s="311">
        <v>8.6708710826746405</v>
      </c>
      <c r="I219" s="311">
        <v>2.0050449968847506</v>
      </c>
      <c r="J219" s="311">
        <v>5.7062338429034097E-2</v>
      </c>
      <c r="K219" s="311">
        <v>8.1862583341889088E-4</v>
      </c>
      <c r="L219" s="518">
        <v>5.9642444162418401E-2</v>
      </c>
      <c r="M219" s="519">
        <v>8.5564046100775699E-4</v>
      </c>
    </row>
    <row r="220" spans="2:13" ht="15.75" x14ac:dyDescent="0.25">
      <c r="B220" s="212">
        <v>2022</v>
      </c>
      <c r="C220" s="309">
        <v>2009</v>
      </c>
      <c r="D220" s="250" t="s">
        <v>3219</v>
      </c>
      <c r="E220" s="517">
        <v>0.18711561319375905</v>
      </c>
      <c r="F220" s="310">
        <v>0.26288190665577499</v>
      </c>
      <c r="G220" s="311">
        <v>4.4727384974949533E-2</v>
      </c>
      <c r="H220" s="311">
        <v>8.4917543261291097</v>
      </c>
      <c r="I220" s="311">
        <v>0.89748410430617975</v>
      </c>
      <c r="J220" s="311">
        <v>4.3862273733483802E-2</v>
      </c>
      <c r="K220" s="311">
        <v>1.8544944085277591E-4</v>
      </c>
      <c r="L220" s="518">
        <v>4.5845531115754901E-2</v>
      </c>
      <c r="M220" s="519">
        <v>1.93834641648433E-4</v>
      </c>
    </row>
    <row r="221" spans="2:13" ht="15.75" x14ac:dyDescent="0.25">
      <c r="B221" s="212">
        <v>2022</v>
      </c>
      <c r="C221" s="309">
        <v>2010</v>
      </c>
      <c r="D221" s="250" t="s">
        <v>3220</v>
      </c>
      <c r="E221" s="517">
        <v>0.18434497282168946</v>
      </c>
      <c r="F221" s="310">
        <v>0.26599388819235398</v>
      </c>
      <c r="G221" s="311">
        <v>4.0362220257415982E-2</v>
      </c>
      <c r="H221" s="311">
        <v>7.6841699558765697</v>
      </c>
      <c r="I221" s="311">
        <v>0.72469977753461468</v>
      </c>
      <c r="J221" s="311">
        <v>6.1320800188138402E-2</v>
      </c>
      <c r="K221" s="311">
        <v>1.6690427726331582E-4</v>
      </c>
      <c r="L221" s="518">
        <v>6.4093454665625202E-2</v>
      </c>
      <c r="M221" s="519">
        <v>1.7445094805440209E-4</v>
      </c>
    </row>
    <row r="222" spans="2:13" ht="15.75" x14ac:dyDescent="0.25">
      <c r="B222" s="212">
        <v>2022</v>
      </c>
      <c r="C222" s="309">
        <v>2011</v>
      </c>
      <c r="D222" s="250" t="s">
        <v>3221</v>
      </c>
      <c r="E222" s="517">
        <v>0.17713887057271888</v>
      </c>
      <c r="F222" s="310">
        <v>0.116992928248407</v>
      </c>
      <c r="G222" s="311">
        <v>3.6768879950206772E-2</v>
      </c>
      <c r="H222" s="311">
        <v>4.6734685105460096</v>
      </c>
      <c r="I222" s="311">
        <v>0.49379545990603013</v>
      </c>
      <c r="J222" s="311">
        <v>5.8824874775484703E-2</v>
      </c>
      <c r="K222" s="311">
        <v>1.5021429351756436E-4</v>
      </c>
      <c r="L222" s="518">
        <v>6.1484674581316297E-2</v>
      </c>
      <c r="M222" s="519">
        <v>1.570063173043737E-4</v>
      </c>
    </row>
    <row r="223" spans="2:13" ht="15.75" x14ac:dyDescent="0.25">
      <c r="B223" s="212">
        <v>2022</v>
      </c>
      <c r="C223" s="309">
        <v>2012</v>
      </c>
      <c r="D223" s="250" t="s">
        <v>3222</v>
      </c>
      <c r="E223" s="517">
        <v>0.17445166680529114</v>
      </c>
      <c r="F223" s="310">
        <v>2.29386520070817E-2</v>
      </c>
      <c r="G223" s="311">
        <v>3.3202843693771501E-2</v>
      </c>
      <c r="H223" s="311">
        <v>3.83474109151993</v>
      </c>
      <c r="I223" s="311">
        <v>0.39235590710510237</v>
      </c>
      <c r="J223" s="311">
        <v>3.2733335266172503E-2</v>
      </c>
      <c r="K223" s="311">
        <v>1.3519265136093046E-4</v>
      </c>
      <c r="L223" s="518">
        <v>3.4213391434884798E-2</v>
      </c>
      <c r="M223" s="519">
        <v>1.4130546314696662E-4</v>
      </c>
    </row>
    <row r="224" spans="2:13" ht="15.75" x14ac:dyDescent="0.25">
      <c r="B224" s="212">
        <v>2022</v>
      </c>
      <c r="C224" s="309">
        <v>2013</v>
      </c>
      <c r="D224" s="250" t="s">
        <v>3223</v>
      </c>
      <c r="E224" s="517">
        <v>0.17231246104603243</v>
      </c>
      <c r="F224" s="310">
        <v>2.1806122864036898E-2</v>
      </c>
      <c r="G224" s="311">
        <v>2.9882561732256979E-2</v>
      </c>
      <c r="H224" s="311">
        <v>3.4878615334484802</v>
      </c>
      <c r="I224" s="311">
        <v>0.35312034484815263</v>
      </c>
      <c r="J224" s="311">
        <v>3.0046941471092201E-2</v>
      </c>
      <c r="K224" s="311">
        <v>1.2167339602897727E-4</v>
      </c>
      <c r="L224" s="518">
        <v>3.1405530833087003E-2</v>
      </c>
      <c r="M224" s="519">
        <v>1.2717492707970952E-4</v>
      </c>
    </row>
    <row r="225" spans="2:13" ht="15.75" x14ac:dyDescent="0.25">
      <c r="B225" s="212">
        <v>2022</v>
      </c>
      <c r="C225" s="309">
        <v>2014</v>
      </c>
      <c r="D225" s="250" t="s">
        <v>3224</v>
      </c>
      <c r="E225" s="517">
        <v>0.15417096313234149</v>
      </c>
      <c r="F225" s="310">
        <v>1.8628077655425301E-2</v>
      </c>
      <c r="G225" s="311">
        <v>2.6894302437469344E-2</v>
      </c>
      <c r="H225" s="311">
        <v>2.2070628915510602</v>
      </c>
      <c r="I225" s="311">
        <v>0.31780827347603641</v>
      </c>
      <c r="J225" s="311">
        <v>2.2570124161698301E-2</v>
      </c>
      <c r="K225" s="311">
        <v>1.0950604371595633E-4</v>
      </c>
      <c r="L225" s="518">
        <v>2.35906450228477E-2</v>
      </c>
      <c r="M225" s="519">
        <v>1.1445742108691998E-4</v>
      </c>
    </row>
    <row r="226" spans="2:13" ht="15.75" x14ac:dyDescent="0.25">
      <c r="B226" s="212">
        <v>2022</v>
      </c>
      <c r="C226" s="309">
        <v>2015</v>
      </c>
      <c r="D226" s="250" t="s">
        <v>3225</v>
      </c>
      <c r="E226" s="517">
        <v>0.15214836127657114</v>
      </c>
      <c r="F226" s="310">
        <v>1.7442646548081701E-2</v>
      </c>
      <c r="G226" s="311">
        <v>2.6894304726493134E-2</v>
      </c>
      <c r="H226" s="311">
        <v>1.8636784476902899</v>
      </c>
      <c r="I226" s="311">
        <v>0.31780830052528669</v>
      </c>
      <c r="J226" s="311">
        <v>1.9728919030157398E-2</v>
      </c>
      <c r="K226" s="311">
        <v>1.0950605303621811E-4</v>
      </c>
      <c r="L226" s="518">
        <v>2.0620973202919501E-2</v>
      </c>
      <c r="M226" s="519">
        <v>1.1445743082860264E-4</v>
      </c>
    </row>
    <row r="227" spans="2:13" ht="15.75" x14ac:dyDescent="0.25">
      <c r="B227" s="212">
        <v>2022</v>
      </c>
      <c r="C227" s="309">
        <v>2016</v>
      </c>
      <c r="D227" s="250" t="s">
        <v>3226</v>
      </c>
      <c r="E227" s="517">
        <v>0.15215052662311668</v>
      </c>
      <c r="F227" s="310">
        <v>1.68388518482392E-2</v>
      </c>
      <c r="G227" s="311">
        <v>2.689428162577339E-2</v>
      </c>
      <c r="H227" s="311">
        <v>1.7661636805938701</v>
      </c>
      <c r="I227" s="311">
        <v>0.31780802754553972</v>
      </c>
      <c r="J227" s="311">
        <v>1.82442089457285E-2</v>
      </c>
      <c r="K227" s="311">
        <v>1.0950595897657735E-4</v>
      </c>
      <c r="L227" s="518">
        <v>1.9069131116776199E-2</v>
      </c>
      <c r="M227" s="519">
        <v>1.144573325160023E-4</v>
      </c>
    </row>
    <row r="228" spans="2:13" ht="15.75" x14ac:dyDescent="0.25">
      <c r="B228" s="212">
        <v>2022</v>
      </c>
      <c r="C228" s="309">
        <v>2017</v>
      </c>
      <c r="D228" s="250" t="s">
        <v>3227</v>
      </c>
      <c r="E228" s="517">
        <v>0.14639472689224181</v>
      </c>
      <c r="F228" s="310">
        <v>1.6231538676647998E-2</v>
      </c>
      <c r="G228" s="311">
        <v>2.6894228726405827E-2</v>
      </c>
      <c r="H228" s="311">
        <v>1.6688420250323299</v>
      </c>
      <c r="I228" s="311">
        <v>0.31780740243705458</v>
      </c>
      <c r="J228" s="311">
        <v>1.6748244814899501E-2</v>
      </c>
      <c r="K228" s="311">
        <v>1.0950574358521443E-4</v>
      </c>
      <c r="L228" s="518">
        <v>1.7505526126193601E-2</v>
      </c>
      <c r="M228" s="519">
        <v>1.1445710738559773E-4</v>
      </c>
    </row>
    <row r="229" spans="2:13" ht="15.75" x14ac:dyDescent="0.25">
      <c r="B229" s="212">
        <v>2022</v>
      </c>
      <c r="C229" s="309">
        <v>2018</v>
      </c>
      <c r="D229" s="250" t="s">
        <v>3228</v>
      </c>
      <c r="E229" s="517">
        <v>0.14639472689224187</v>
      </c>
      <c r="F229" s="310">
        <v>1.56269140889999E-2</v>
      </c>
      <c r="G229" s="311">
        <v>2.689422872640581E-2</v>
      </c>
      <c r="H229" s="311">
        <v>1.5713165291847699</v>
      </c>
      <c r="I229" s="311">
        <v>0.31780740243705363</v>
      </c>
      <c r="J229" s="311">
        <v>1.52616536059147E-2</v>
      </c>
      <c r="K229" s="311">
        <v>1.0950574358521433E-4</v>
      </c>
      <c r="L229" s="518">
        <v>1.59517178593893E-2</v>
      </c>
      <c r="M229" s="519">
        <v>1.1445710738559764E-4</v>
      </c>
    </row>
    <row r="230" spans="2:13" ht="15.75" x14ac:dyDescent="0.25">
      <c r="B230" s="212">
        <v>2022</v>
      </c>
      <c r="C230" s="309">
        <v>2019</v>
      </c>
      <c r="D230" s="250" t="s">
        <v>3229</v>
      </c>
      <c r="E230" s="517">
        <v>0.14639472689224148</v>
      </c>
      <c r="F230" s="310">
        <v>1.50222895013519E-2</v>
      </c>
      <c r="G230" s="311">
        <v>2.6894228726405615E-2</v>
      </c>
      <c r="H230" s="311">
        <v>1.4737910333372</v>
      </c>
      <c r="I230" s="311">
        <v>0.31780740243705213</v>
      </c>
      <c r="J230" s="311">
        <v>1.3775062396929799E-2</v>
      </c>
      <c r="K230" s="311">
        <v>1.0950574358521382E-4</v>
      </c>
      <c r="L230" s="518">
        <v>1.43979095925849E-2</v>
      </c>
      <c r="M230" s="519">
        <v>1.144571073855971E-4</v>
      </c>
    </row>
    <row r="231" spans="2:13" ht="15.75" x14ac:dyDescent="0.25">
      <c r="B231" s="212">
        <v>2022</v>
      </c>
      <c r="C231" s="309">
        <v>2020</v>
      </c>
      <c r="D231" s="250" t="s">
        <v>3230</v>
      </c>
      <c r="E231" s="517">
        <v>0.14639472689224142</v>
      </c>
      <c r="F231" s="310">
        <v>1.4417664913703899E-2</v>
      </c>
      <c r="G231" s="311">
        <v>2.6894228726405598E-2</v>
      </c>
      <c r="H231" s="311">
        <v>1.37626553748963</v>
      </c>
      <c r="I231" s="311">
        <v>0.31780740243705191</v>
      </c>
      <c r="J231" s="311">
        <v>1.22884711879449E-2</v>
      </c>
      <c r="K231" s="311">
        <v>1.0950574358521375E-4</v>
      </c>
      <c r="L231" s="518">
        <v>1.28441013257805E-2</v>
      </c>
      <c r="M231" s="519">
        <v>1.1445710738559704E-4</v>
      </c>
    </row>
    <row r="232" spans="2:13" ht="15.75" x14ac:dyDescent="0.25">
      <c r="B232" s="212">
        <v>2022</v>
      </c>
      <c r="C232" s="309">
        <v>2021</v>
      </c>
      <c r="D232" s="250" t="s">
        <v>3231</v>
      </c>
      <c r="E232" s="517">
        <v>0.13239846953132792</v>
      </c>
      <c r="F232" s="310">
        <v>1.3813040326055801E-2</v>
      </c>
      <c r="G232" s="311">
        <v>2.6894228726405719E-2</v>
      </c>
      <c r="H232" s="311">
        <v>1.27874004164207</v>
      </c>
      <c r="I232" s="311">
        <v>0.31780740243705335</v>
      </c>
      <c r="J232" s="311">
        <v>1.080187997896E-2</v>
      </c>
      <c r="K232" s="311">
        <v>1.0950574358521424E-4</v>
      </c>
      <c r="L232" s="518">
        <v>1.12902930589761E-2</v>
      </c>
      <c r="M232" s="519">
        <v>1.1445710738559754E-4</v>
      </c>
    </row>
    <row r="233" spans="2:13" ht="15.75" x14ac:dyDescent="0.25">
      <c r="B233" s="212">
        <v>2022</v>
      </c>
      <c r="C233" s="309">
        <v>2022</v>
      </c>
      <c r="D233" s="250" t="s">
        <v>3232</v>
      </c>
      <c r="E233" s="517">
        <v>0.13239846953132803</v>
      </c>
      <c r="F233" s="310">
        <v>1.32084157384078E-2</v>
      </c>
      <c r="G233" s="311">
        <v>2.6894228726405831E-2</v>
      </c>
      <c r="H233" s="311">
        <v>1.1812145457945</v>
      </c>
      <c r="I233" s="311">
        <v>0.31780740243705391</v>
      </c>
      <c r="J233" s="311">
        <v>9.3152887699751996E-3</v>
      </c>
      <c r="K233" s="311">
        <v>1.0950574358521443E-4</v>
      </c>
      <c r="L233" s="518">
        <v>9.7364847921717693E-3</v>
      </c>
      <c r="M233" s="519">
        <v>1.1445710738559775E-4</v>
      </c>
    </row>
    <row r="234" spans="2:13" ht="15.75" x14ac:dyDescent="0.25">
      <c r="B234" s="212">
        <v>2022</v>
      </c>
      <c r="C234" s="309">
        <v>2023</v>
      </c>
      <c r="D234" s="250" t="s">
        <v>4498</v>
      </c>
      <c r="E234" s="517">
        <v>0.14099657542278943</v>
      </c>
      <c r="F234" s="310">
        <v>1.26037911507598E-2</v>
      </c>
      <c r="G234" s="311">
        <v>6.4546148943373696E-2</v>
      </c>
      <c r="H234" s="311">
        <v>1.08368904994693</v>
      </c>
      <c r="I234" s="311">
        <v>0.76273776584892572</v>
      </c>
      <c r="J234" s="311">
        <v>7.8286975609903296E-3</v>
      </c>
      <c r="K234" s="311">
        <v>2.6281378460451339E-4</v>
      </c>
      <c r="L234" s="518">
        <v>8.1826765253673901E-3</v>
      </c>
      <c r="M234" s="519">
        <v>2.7469705772543328E-4</v>
      </c>
    </row>
    <row r="235" spans="2:13" ht="15.75" x14ac:dyDescent="0.25">
      <c r="B235" s="212">
        <v>2023</v>
      </c>
      <c r="C235" s="309">
        <v>2012</v>
      </c>
      <c r="D235" s="250" t="s">
        <v>3266</v>
      </c>
      <c r="E235" s="517">
        <v>0.1755163686385178</v>
      </c>
      <c r="F235" s="310">
        <v>2.36344567802091E-2</v>
      </c>
      <c r="G235" s="311">
        <v>3.7045093965457819E-2</v>
      </c>
      <c r="H235" s="311">
        <v>3.9832877569040401</v>
      </c>
      <c r="I235" s="311">
        <v>0.43775953592003658</v>
      </c>
      <c r="J235" s="311">
        <v>3.4404857915960499E-2</v>
      </c>
      <c r="K235" s="311">
        <v>1.5083721500771716E-4</v>
      </c>
      <c r="L235" s="518">
        <v>3.5960492921624301E-2</v>
      </c>
      <c r="M235" s="519">
        <v>1.5765740454013803E-4</v>
      </c>
    </row>
    <row r="236" spans="2:13" ht="15.75" x14ac:dyDescent="0.25">
      <c r="B236" s="212">
        <v>2023</v>
      </c>
      <c r="C236" s="309">
        <v>2013</v>
      </c>
      <c r="D236" s="250" t="s">
        <v>3267</v>
      </c>
      <c r="E236" s="517">
        <v>0.17327065645246295</v>
      </c>
      <c r="F236" s="310">
        <v>2.25505584641469E-2</v>
      </c>
      <c r="G236" s="311">
        <v>3.3340624032042541E-2</v>
      </c>
      <c r="H236" s="311">
        <v>3.6427661389896202</v>
      </c>
      <c r="I236" s="311">
        <v>0.39398404866135467</v>
      </c>
      <c r="J236" s="311">
        <v>3.1838707155995703E-2</v>
      </c>
      <c r="K236" s="311">
        <v>1.3575365418972587E-4</v>
      </c>
      <c r="L236" s="518">
        <v>3.3278312211419303E-2</v>
      </c>
      <c r="M236" s="519">
        <v>1.4189183203426698E-4</v>
      </c>
    </row>
    <row r="237" spans="2:13" ht="15.75" x14ac:dyDescent="0.25">
      <c r="B237" s="212">
        <v>2023</v>
      </c>
      <c r="C237" s="309">
        <v>2014</v>
      </c>
      <c r="D237" s="250" t="s">
        <v>3268</v>
      </c>
      <c r="E237" s="517">
        <v>0.15498714873809175</v>
      </c>
      <c r="F237" s="310">
        <v>1.9228019354560501E-2</v>
      </c>
      <c r="G237" s="311">
        <v>3.0006552370340354E-2</v>
      </c>
      <c r="H237" s="311">
        <v>2.3093361692198799</v>
      </c>
      <c r="I237" s="311">
        <v>0.35458553438813306</v>
      </c>
      <c r="J237" s="311">
        <v>2.4036509698124701E-2</v>
      </c>
      <c r="K237" s="311">
        <v>1.2217825107275083E-4</v>
      </c>
      <c r="L237" s="518">
        <v>2.5123334006241799E-2</v>
      </c>
      <c r="M237" s="519">
        <v>1.2770260942830143E-4</v>
      </c>
    </row>
    <row r="238" spans="2:13" ht="15.75" x14ac:dyDescent="0.25">
      <c r="B238" s="212">
        <v>2023</v>
      </c>
      <c r="C238" s="309">
        <v>2015</v>
      </c>
      <c r="D238" s="250" t="s">
        <v>3269</v>
      </c>
      <c r="E238" s="517">
        <v>0.15217771208037956</v>
      </c>
      <c r="F238" s="310">
        <v>1.8047202052352398E-2</v>
      </c>
      <c r="G238" s="311">
        <v>2.7005894846078349E-2</v>
      </c>
      <c r="H238" s="311">
        <v>1.96121556561008</v>
      </c>
      <c r="I238" s="311">
        <v>0.31912695392129126</v>
      </c>
      <c r="J238" s="311">
        <v>2.12155095892173E-2</v>
      </c>
      <c r="K238" s="311">
        <v>1.0996041665252602E-4</v>
      </c>
      <c r="L238" s="518">
        <v>2.2174780790412199E-2</v>
      </c>
      <c r="M238" s="519">
        <v>1.1493233875143133E-4</v>
      </c>
    </row>
    <row r="239" spans="2:13" ht="15.75" x14ac:dyDescent="0.25">
      <c r="B239" s="212">
        <v>2023</v>
      </c>
      <c r="C239" s="309">
        <v>2016</v>
      </c>
      <c r="D239" s="250" t="s">
        <v>3270</v>
      </c>
      <c r="E239" s="517">
        <v>0.15217968222139455</v>
      </c>
      <c r="F239" s="310">
        <v>1.7443443653173601E-2</v>
      </c>
      <c r="G239" s="311">
        <v>2.7005872306051702E-2</v>
      </c>
      <c r="H239" s="311">
        <v>1.8636912240538801</v>
      </c>
      <c r="I239" s="311">
        <v>0.31912668756722051</v>
      </c>
      <c r="J239" s="311">
        <v>1.9731050084244001E-2</v>
      </c>
      <c r="K239" s="311">
        <v>1.0996032487587E-4</v>
      </c>
      <c r="L239" s="518">
        <v>2.06232006138155E-2</v>
      </c>
      <c r="M239" s="519">
        <v>1.1493224282504217E-4</v>
      </c>
    </row>
    <row r="240" spans="2:13" ht="15.75" x14ac:dyDescent="0.25">
      <c r="B240" s="212">
        <v>2023</v>
      </c>
      <c r="C240" s="309">
        <v>2017</v>
      </c>
      <c r="D240" s="250" t="s">
        <v>3271</v>
      </c>
      <c r="E240" s="517">
        <v>0.14642277142383717</v>
      </c>
      <c r="F240" s="310">
        <v>1.68360422023437E-2</v>
      </c>
      <c r="G240" s="311">
        <v>2.7005755528539122E-2</v>
      </c>
      <c r="H240" s="311">
        <v>1.7663800500458999</v>
      </c>
      <c r="I240" s="311">
        <v>0.31912530761472913</v>
      </c>
      <c r="J240" s="311">
        <v>1.8234371544880199E-2</v>
      </c>
      <c r="K240" s="311">
        <v>1.0995984939064707E-4</v>
      </c>
      <c r="L240" s="518">
        <v>1.90588489123143E-2</v>
      </c>
      <c r="M240" s="519">
        <v>1.1493174584048738E-4</v>
      </c>
    </row>
    <row r="241" spans="2:13" ht="15.75" x14ac:dyDescent="0.25">
      <c r="B241" s="212">
        <v>2023</v>
      </c>
      <c r="C241" s="309">
        <v>2018</v>
      </c>
      <c r="D241" s="250" t="s">
        <v>3272</v>
      </c>
      <c r="E241" s="517">
        <v>0.14642277142383678</v>
      </c>
      <c r="F241" s="310">
        <v>1.62314219623034E-2</v>
      </c>
      <c r="G241" s="311">
        <v>2.7005755528539042E-2</v>
      </c>
      <c r="H241" s="311">
        <v>1.66885386243226</v>
      </c>
      <c r="I241" s="311">
        <v>0.31912530761472824</v>
      </c>
      <c r="J241" s="311">
        <v>1.6747818202449399E-2</v>
      </c>
      <c r="K241" s="311">
        <v>1.0995984939064676E-4</v>
      </c>
      <c r="L241" s="518">
        <v>1.7505080224221502E-2</v>
      </c>
      <c r="M241" s="519">
        <v>1.1493174584048704E-4</v>
      </c>
    </row>
    <row r="242" spans="2:13" ht="15.75" x14ac:dyDescent="0.25">
      <c r="B242" s="212">
        <v>2023</v>
      </c>
      <c r="C242" s="309">
        <v>2019</v>
      </c>
      <c r="D242" s="250" t="s">
        <v>3273</v>
      </c>
      <c r="E242" s="517">
        <v>0.14642277142383678</v>
      </c>
      <c r="F242" s="310">
        <v>1.5626801722263099E-2</v>
      </c>
      <c r="G242" s="311">
        <v>2.7005755528539087E-2</v>
      </c>
      <c r="H242" s="311">
        <v>1.57132767481861</v>
      </c>
      <c r="I242" s="311">
        <v>0.31912530761472802</v>
      </c>
      <c r="J242" s="311">
        <v>1.52612648600186E-2</v>
      </c>
      <c r="K242" s="311">
        <v>1.0995984939064668E-4</v>
      </c>
      <c r="L242" s="518">
        <v>1.59513115361288E-2</v>
      </c>
      <c r="M242" s="519">
        <v>1.1493174584048696E-4</v>
      </c>
    </row>
    <row r="243" spans="2:13" ht="15.75" x14ac:dyDescent="0.25">
      <c r="B243" s="212">
        <v>2023</v>
      </c>
      <c r="C243" s="309">
        <v>2020</v>
      </c>
      <c r="D243" s="250" t="s">
        <v>3274</v>
      </c>
      <c r="E243" s="517">
        <v>0.14642277142383717</v>
      </c>
      <c r="F243" s="310">
        <v>1.50221814822227E-2</v>
      </c>
      <c r="G243" s="311">
        <v>2.7005755528539163E-2</v>
      </c>
      <c r="H243" s="311">
        <v>1.4738014872049701</v>
      </c>
      <c r="I243" s="311">
        <v>0.3191253076147289</v>
      </c>
      <c r="J243" s="311">
        <v>1.3774711517587799E-2</v>
      </c>
      <c r="K243" s="311">
        <v>1.0995984939064698E-4</v>
      </c>
      <c r="L243" s="518">
        <v>1.4397542848036E-2</v>
      </c>
      <c r="M243" s="519">
        <v>1.1493174584048727E-4</v>
      </c>
    </row>
    <row r="244" spans="2:13" ht="15.75" x14ac:dyDescent="0.25">
      <c r="B244" s="212">
        <v>2023</v>
      </c>
      <c r="C244" s="309">
        <v>2021</v>
      </c>
      <c r="D244" s="250" t="s">
        <v>3275</v>
      </c>
      <c r="E244" s="517">
        <v>0.13242383282917819</v>
      </c>
      <c r="F244" s="310">
        <v>1.44175612421824E-2</v>
      </c>
      <c r="G244" s="311">
        <v>2.7005755528539111E-2</v>
      </c>
      <c r="H244" s="311">
        <v>1.3762752995913301</v>
      </c>
      <c r="I244" s="311">
        <v>0.31912530761472907</v>
      </c>
      <c r="J244" s="311">
        <v>1.2288158175157E-2</v>
      </c>
      <c r="K244" s="311">
        <v>1.0995984939064703E-4</v>
      </c>
      <c r="L244" s="518">
        <v>1.28437741599433E-2</v>
      </c>
      <c r="M244" s="519">
        <v>1.1493174584048734E-4</v>
      </c>
    </row>
    <row r="245" spans="2:13" ht="15.75" x14ac:dyDescent="0.25">
      <c r="B245" s="212">
        <v>2023</v>
      </c>
      <c r="C245" s="309">
        <v>2022</v>
      </c>
      <c r="D245" s="250" t="s">
        <v>3276</v>
      </c>
      <c r="E245" s="517">
        <v>0.13242383282917847</v>
      </c>
      <c r="F245" s="310">
        <v>1.3812941002142001E-2</v>
      </c>
      <c r="G245" s="311">
        <v>2.7005755528539257E-2</v>
      </c>
      <c r="H245" s="311">
        <v>1.2787491119776899</v>
      </c>
      <c r="I245" s="311">
        <v>0.31912530761473079</v>
      </c>
      <c r="J245" s="311">
        <v>1.08016048327262E-2</v>
      </c>
      <c r="K245" s="311">
        <v>1.0995984939064763E-4</v>
      </c>
      <c r="L245" s="518">
        <v>1.12900054718505E-2</v>
      </c>
      <c r="M245" s="519">
        <v>1.1493174584048798E-4</v>
      </c>
    </row>
    <row r="246" spans="2:13" ht="15.75" x14ac:dyDescent="0.25">
      <c r="B246" s="212">
        <v>2023</v>
      </c>
      <c r="C246" s="309">
        <v>2023</v>
      </c>
      <c r="D246" s="250" t="s">
        <v>3277</v>
      </c>
      <c r="E246" s="517">
        <v>0.13242383282917841</v>
      </c>
      <c r="F246" s="310">
        <v>1.32083207621017E-2</v>
      </c>
      <c r="G246" s="311">
        <v>2.7005755528539219E-2</v>
      </c>
      <c r="H246" s="311">
        <v>1.18122292436405</v>
      </c>
      <c r="I246" s="311">
        <v>0.31912530761472951</v>
      </c>
      <c r="J246" s="311">
        <v>9.3150514902954392E-3</v>
      </c>
      <c r="K246" s="311">
        <v>1.0995984939064721E-4</v>
      </c>
      <c r="L246" s="518">
        <v>9.7362367837578092E-3</v>
      </c>
      <c r="M246" s="519">
        <v>1.149317458404875E-4</v>
      </c>
    </row>
    <row r="247" spans="2:13" ht="15.75" x14ac:dyDescent="0.25">
      <c r="B247" s="212">
        <v>2023</v>
      </c>
      <c r="C247" s="309">
        <v>2024</v>
      </c>
      <c r="D247" s="250" t="s">
        <v>4499</v>
      </c>
      <c r="E247" s="517">
        <v>0.13038285528149746</v>
      </c>
      <c r="F247" s="310">
        <v>1.26037005220614E-2</v>
      </c>
      <c r="G247" s="311">
        <v>6.4813813268493933E-2</v>
      </c>
      <c r="H247" s="311">
        <v>1.0836967367504</v>
      </c>
      <c r="I247" s="311">
        <v>0.76590073827535032</v>
      </c>
      <c r="J247" s="311">
        <v>7.8284981478646508E-3</v>
      </c>
      <c r="K247" s="311">
        <v>2.6390363853755249E-4</v>
      </c>
      <c r="L247" s="518">
        <v>8.1824680956650506E-3</v>
      </c>
      <c r="M247" s="519">
        <v>2.7583619001716922E-4</v>
      </c>
    </row>
    <row r="248" spans="2:13" ht="15.75" x14ac:dyDescent="0.25">
      <c r="B248" s="212">
        <v>2024</v>
      </c>
      <c r="C248" s="309">
        <v>2012</v>
      </c>
      <c r="D248" s="250" t="s">
        <v>3310</v>
      </c>
      <c r="E248" s="517">
        <v>0.17635051458826442</v>
      </c>
      <c r="F248" s="310">
        <v>2.43006125166303E-2</v>
      </c>
      <c r="G248" s="311">
        <v>3.9647893526585369E-2</v>
      </c>
      <c r="H248" s="311">
        <v>4.12050171829127</v>
      </c>
      <c r="I248" s="311">
        <v>0.46851665396202419</v>
      </c>
      <c r="J248" s="311">
        <v>3.5835064595779099E-2</v>
      </c>
      <c r="K248" s="311">
        <v>1.6143508357811072E-4</v>
      </c>
      <c r="L248" s="518">
        <v>3.7455367201056203E-2</v>
      </c>
      <c r="M248" s="519">
        <v>1.6873446169993957E-4</v>
      </c>
    </row>
    <row r="249" spans="2:13" ht="15.75" x14ac:dyDescent="0.25">
      <c r="B249" s="212">
        <v>2024</v>
      </c>
      <c r="C249" s="309">
        <v>2013</v>
      </c>
      <c r="D249" s="250" t="s">
        <v>3311</v>
      </c>
      <c r="E249" s="517">
        <v>0.17403136570800604</v>
      </c>
      <c r="F249" s="310">
        <v>2.3258025765903498E-2</v>
      </c>
      <c r="G249" s="311">
        <v>3.5683162691459588E-2</v>
      </c>
      <c r="H249" s="311">
        <v>3.78599854440853</v>
      </c>
      <c r="I249" s="311">
        <v>0.42166568006381089</v>
      </c>
      <c r="J249" s="311">
        <v>3.3382592668776898E-2</v>
      </c>
      <c r="K249" s="311">
        <v>1.4529181348725285E-4</v>
      </c>
      <c r="L249" s="518">
        <v>3.4892005376197903E-2</v>
      </c>
      <c r="M249" s="519">
        <v>1.5186126457027312E-4</v>
      </c>
    </row>
    <row r="250" spans="2:13" ht="15.75" x14ac:dyDescent="0.25">
      <c r="B250" s="212">
        <v>2024</v>
      </c>
      <c r="C250" s="309">
        <v>2014</v>
      </c>
      <c r="D250" s="250" t="s">
        <v>3312</v>
      </c>
      <c r="E250" s="517">
        <v>0.1556404717529169</v>
      </c>
      <c r="F250" s="310">
        <v>1.9796325106195199E-2</v>
      </c>
      <c r="G250" s="311">
        <v>3.2114831339488135E-2</v>
      </c>
      <c r="H250" s="311">
        <v>2.4075391633538699</v>
      </c>
      <c r="I250" s="311">
        <v>0.37949893382463251</v>
      </c>
      <c r="J250" s="311">
        <v>2.53047041704208E-2</v>
      </c>
      <c r="K250" s="311">
        <v>1.3076257072549926E-4</v>
      </c>
      <c r="L250" s="518">
        <v>2.6448870605045499E-2</v>
      </c>
      <c r="M250" s="519">
        <v>1.3667507392339288E-4</v>
      </c>
    </row>
    <row r="251" spans="2:13" ht="15.75" x14ac:dyDescent="0.25">
      <c r="B251" s="212">
        <v>2024</v>
      </c>
      <c r="C251" s="309">
        <v>2015</v>
      </c>
      <c r="D251" s="250" t="s">
        <v>3313</v>
      </c>
      <c r="E251" s="517">
        <v>0.15277427314715927</v>
      </c>
      <c r="F251" s="310">
        <v>1.8616885895127201E-2</v>
      </c>
      <c r="G251" s="311">
        <v>2.8903347609473124E-2</v>
      </c>
      <c r="H251" s="311">
        <v>2.05539529076191</v>
      </c>
      <c r="I251" s="311">
        <v>0.34154903339849263</v>
      </c>
      <c r="J251" s="311">
        <v>2.2506980855450401E-2</v>
      </c>
      <c r="K251" s="311">
        <v>1.1768631122593524E-4</v>
      </c>
      <c r="L251" s="518">
        <v>2.3524646656485501E-2</v>
      </c>
      <c r="M251" s="519">
        <v>1.2300756399430071E-4</v>
      </c>
    </row>
    <row r="252" spans="2:13" ht="15.75" x14ac:dyDescent="0.25">
      <c r="B252" s="212">
        <v>2024</v>
      </c>
      <c r="C252" s="309">
        <v>2016</v>
      </c>
      <c r="D252" s="250" t="s">
        <v>3314</v>
      </c>
      <c r="E252" s="517">
        <v>0.15201768965860835</v>
      </c>
      <c r="F252" s="310">
        <v>1.8072870396413102E-2</v>
      </c>
      <c r="G252" s="311">
        <v>2.6012993732723855E-2</v>
      </c>
      <c r="H252" s="311">
        <v>1.9673428576902201</v>
      </c>
      <c r="I252" s="311">
        <v>0.30739390416841889</v>
      </c>
      <c r="J252" s="311">
        <v>2.1174245320744502E-2</v>
      </c>
      <c r="K252" s="311">
        <v>1.0591760226916664E-4</v>
      </c>
      <c r="L252" s="518">
        <v>2.2131650734826602E-2</v>
      </c>
      <c r="M252" s="519">
        <v>1.1070672624137954E-4</v>
      </c>
    </row>
    <row r="253" spans="2:13" ht="15.75" x14ac:dyDescent="0.25">
      <c r="B253" s="212">
        <v>2024</v>
      </c>
      <c r="C253" s="309">
        <v>2017</v>
      </c>
      <c r="D253" s="250" t="s">
        <v>3315</v>
      </c>
      <c r="E253" s="517">
        <v>0.14626723216249438</v>
      </c>
      <c r="F253" s="310">
        <v>1.74646559103975E-2</v>
      </c>
      <c r="G253" s="311">
        <v>2.6012857218598286E-2</v>
      </c>
      <c r="H253" s="311">
        <v>1.86975727167772</v>
      </c>
      <c r="I253" s="311">
        <v>0.30739229098961818</v>
      </c>
      <c r="J253" s="311">
        <v>1.9679786595468901E-2</v>
      </c>
      <c r="K253" s="311">
        <v>1.0591704642200023E-4</v>
      </c>
      <c r="L253" s="518">
        <v>2.0569619217556401E-2</v>
      </c>
      <c r="M253" s="519">
        <v>1.1070614526127078E-4</v>
      </c>
    </row>
    <row r="254" spans="2:13" ht="15.75" x14ac:dyDescent="0.25">
      <c r="B254" s="212">
        <v>2024</v>
      </c>
      <c r="C254" s="309">
        <v>2018</v>
      </c>
      <c r="D254" s="250" t="s">
        <v>3316</v>
      </c>
      <c r="E254" s="517">
        <v>0.14626723216249388</v>
      </c>
      <c r="F254" s="310">
        <v>1.6859203882204798E-2</v>
      </c>
      <c r="G254" s="311">
        <v>2.6012857218598324E-2</v>
      </c>
      <c r="H254" s="311">
        <v>1.7719249372043999</v>
      </c>
      <c r="I254" s="311">
        <v>0.30739229098961929</v>
      </c>
      <c r="J254" s="311">
        <v>1.8196334236667899E-2</v>
      </c>
      <c r="K254" s="311">
        <v>1.0591704642200039E-4</v>
      </c>
      <c r="L254" s="518">
        <v>1.90190917258127E-2</v>
      </c>
      <c r="M254" s="519">
        <v>1.1070614526127097E-4</v>
      </c>
    </row>
    <row r="255" spans="2:13" ht="15.75" x14ac:dyDescent="0.25">
      <c r="B255" s="212">
        <v>2024</v>
      </c>
      <c r="C255" s="309">
        <v>2019</v>
      </c>
      <c r="D255" s="250" t="s">
        <v>3317</v>
      </c>
      <c r="E255" s="517">
        <v>0.14626723216249438</v>
      </c>
      <c r="F255" s="310">
        <v>1.6253751854012E-2</v>
      </c>
      <c r="G255" s="311">
        <v>2.6012857218598258E-2</v>
      </c>
      <c r="H255" s="311">
        <v>1.6740926027310901</v>
      </c>
      <c r="I255" s="311">
        <v>0.30739229098961857</v>
      </c>
      <c r="J255" s="311">
        <v>1.67128818778669E-2</v>
      </c>
      <c r="K255" s="311">
        <v>1.0591704642200037E-4</v>
      </c>
      <c r="L255" s="518">
        <v>1.74685642340691E-2</v>
      </c>
      <c r="M255" s="519">
        <v>1.1070614526127094E-4</v>
      </c>
    </row>
    <row r="256" spans="2:13" ht="15.75" x14ac:dyDescent="0.25">
      <c r="B256" s="212">
        <v>2024</v>
      </c>
      <c r="C256" s="309">
        <v>2020</v>
      </c>
      <c r="D256" s="250" t="s">
        <v>3318</v>
      </c>
      <c r="E256" s="517">
        <v>0.1462672321624946</v>
      </c>
      <c r="F256" s="310">
        <v>1.5648299825819299E-2</v>
      </c>
      <c r="G256" s="311">
        <v>2.6012857218598216E-2</v>
      </c>
      <c r="H256" s="311">
        <v>1.57626026825777</v>
      </c>
      <c r="I256" s="311">
        <v>0.30739229098961812</v>
      </c>
      <c r="J256" s="311">
        <v>1.5229429519065901E-2</v>
      </c>
      <c r="K256" s="311">
        <v>1.0591704642200021E-4</v>
      </c>
      <c r="L256" s="518">
        <v>1.5918036742325399E-2</v>
      </c>
      <c r="M256" s="519">
        <v>1.1070614526127077E-4</v>
      </c>
    </row>
    <row r="257" spans="2:13" ht="15.75" x14ac:dyDescent="0.25">
      <c r="B257" s="212">
        <v>2024</v>
      </c>
      <c r="C257" s="309">
        <v>2021</v>
      </c>
      <c r="D257" s="250" t="s">
        <v>3319</v>
      </c>
      <c r="E257" s="517">
        <v>0.13228316410024982</v>
      </c>
      <c r="F257" s="310">
        <v>1.5042847797626499E-2</v>
      </c>
      <c r="G257" s="311">
        <v>2.6012857218598168E-2</v>
      </c>
      <c r="H257" s="311">
        <v>1.4784279337844499</v>
      </c>
      <c r="I257" s="311">
        <v>0.30739229098961751</v>
      </c>
      <c r="J257" s="311">
        <v>1.37459771602649E-2</v>
      </c>
      <c r="K257" s="311">
        <v>1.05917046422E-4</v>
      </c>
      <c r="L257" s="518">
        <v>1.4367509250581801E-2</v>
      </c>
      <c r="M257" s="519">
        <v>1.1070614526127056E-4</v>
      </c>
    </row>
    <row r="258" spans="2:13" ht="15.75" x14ac:dyDescent="0.25">
      <c r="B258" s="212">
        <v>2024</v>
      </c>
      <c r="C258" s="309">
        <v>2022</v>
      </c>
      <c r="D258" s="250" t="s">
        <v>3320</v>
      </c>
      <c r="E258" s="517">
        <v>0.13228316410024912</v>
      </c>
      <c r="F258" s="310">
        <v>1.44373957694338E-2</v>
      </c>
      <c r="G258" s="311">
        <v>2.6012857218598168E-2</v>
      </c>
      <c r="H258" s="311">
        <v>1.3805955993111301</v>
      </c>
      <c r="I258" s="311">
        <v>0.30739229098961673</v>
      </c>
      <c r="J258" s="311">
        <v>1.22625248014638E-2</v>
      </c>
      <c r="K258" s="311">
        <v>1.0591704642199974E-4</v>
      </c>
      <c r="L258" s="518">
        <v>1.28169817588381E-2</v>
      </c>
      <c r="M258" s="519">
        <v>1.1070614526127028E-4</v>
      </c>
    </row>
    <row r="259" spans="2:13" ht="15.75" x14ac:dyDescent="0.25">
      <c r="B259" s="212">
        <v>2024</v>
      </c>
      <c r="C259" s="309">
        <v>2023</v>
      </c>
      <c r="D259" s="250" t="s">
        <v>3321</v>
      </c>
      <c r="E259" s="517">
        <v>0.13228316410024943</v>
      </c>
      <c r="F259" s="310">
        <v>1.3831943741241E-2</v>
      </c>
      <c r="G259" s="311">
        <v>2.6012857218598286E-2</v>
      </c>
      <c r="H259" s="311">
        <v>1.28276326483781</v>
      </c>
      <c r="I259" s="311">
        <v>0.30739229098961812</v>
      </c>
      <c r="J259" s="311">
        <v>1.0779072442662799E-2</v>
      </c>
      <c r="K259" s="311">
        <v>1.0591704642200023E-4</v>
      </c>
      <c r="L259" s="518">
        <v>1.12664542670945E-2</v>
      </c>
      <c r="M259" s="519">
        <v>1.1070614526127079E-4</v>
      </c>
    </row>
    <row r="260" spans="2:13" ht="15.75" x14ac:dyDescent="0.25">
      <c r="B260" s="212">
        <v>2025</v>
      </c>
      <c r="C260" s="309">
        <v>2012</v>
      </c>
      <c r="D260" s="250" t="s">
        <v>3354</v>
      </c>
      <c r="E260" s="517">
        <v>0.17757141216875114</v>
      </c>
      <c r="F260" s="310">
        <v>2.48652746581592E-2</v>
      </c>
      <c r="G260" s="311">
        <v>4.4053226337136216E-2</v>
      </c>
      <c r="H260" s="311">
        <v>4.24094800919225</v>
      </c>
      <c r="I260" s="311">
        <v>0.5205741935789634</v>
      </c>
      <c r="J260" s="311">
        <v>3.7187019780076401E-2</v>
      </c>
      <c r="K260" s="311">
        <v>1.7937236112814753E-4</v>
      </c>
      <c r="L260" s="518">
        <v>3.8868451799575099E-2</v>
      </c>
      <c r="M260" s="519">
        <v>1.8748278334529877E-4</v>
      </c>
    </row>
    <row r="261" spans="2:13" ht="15.75" x14ac:dyDescent="0.25">
      <c r="B261" s="212">
        <v>2025</v>
      </c>
      <c r="C261" s="309">
        <v>2013</v>
      </c>
      <c r="D261" s="250" t="s">
        <v>3355</v>
      </c>
      <c r="E261" s="517">
        <v>0.1751301727369263</v>
      </c>
      <c r="F261" s="310">
        <v>2.3862149110720401E-2</v>
      </c>
      <c r="G261" s="311">
        <v>3.9647958040109496E-2</v>
      </c>
      <c r="H261" s="311">
        <v>3.91161753650323</v>
      </c>
      <c r="I261" s="311">
        <v>0.46851741631426352</v>
      </c>
      <c r="J261" s="311">
        <v>3.4831871625951999E-2</v>
      </c>
      <c r="K261" s="311">
        <v>1.6143534625905583E-4</v>
      </c>
      <c r="L261" s="518">
        <v>3.6406814296736298E-2</v>
      </c>
      <c r="M261" s="519">
        <v>1.6873473625815137E-4</v>
      </c>
    </row>
    <row r="262" spans="2:13" ht="15.75" x14ac:dyDescent="0.25">
      <c r="B262" s="212">
        <v>2025</v>
      </c>
      <c r="C262" s="309">
        <v>2014</v>
      </c>
      <c r="D262" s="250" t="s">
        <v>3356</v>
      </c>
      <c r="E262" s="517">
        <v>0.15657686494810338</v>
      </c>
      <c r="F262" s="310">
        <v>2.0283286788443201E-2</v>
      </c>
      <c r="G262" s="311">
        <v>3.568314797839886E-2</v>
      </c>
      <c r="H262" s="311">
        <v>2.49058245398852</v>
      </c>
      <c r="I262" s="311">
        <v>0.42166550620050131</v>
      </c>
      <c r="J262" s="311">
        <v>2.64912502794298E-2</v>
      </c>
      <c r="K262" s="311">
        <v>1.4529175357980311E-4</v>
      </c>
      <c r="L262" s="518">
        <v>2.7689067063883601E-2</v>
      </c>
      <c r="M262" s="519">
        <v>1.518612019540743E-4</v>
      </c>
    </row>
    <row r="263" spans="2:13" ht="15.75" x14ac:dyDescent="0.25">
      <c r="B263" s="212">
        <v>2025</v>
      </c>
      <c r="C263" s="309">
        <v>2015</v>
      </c>
      <c r="D263" s="250" t="s">
        <v>3357</v>
      </c>
      <c r="E263" s="517">
        <v>0.15361702665922899</v>
      </c>
      <c r="F263" s="310">
        <v>1.91073689743919E-2</v>
      </c>
      <c r="G263" s="311">
        <v>3.2114831880306123E-2</v>
      </c>
      <c r="H263" s="311">
        <v>2.1346264075321599</v>
      </c>
      <c r="I263" s="311">
        <v>0.3794989402154445</v>
      </c>
      <c r="J263" s="311">
        <v>2.3709140228559401E-2</v>
      </c>
      <c r="K263" s="311">
        <v>1.3076257292755818E-4</v>
      </c>
      <c r="L263" s="518">
        <v>2.4781162341943299E-2</v>
      </c>
      <c r="M263" s="519">
        <v>1.3667507622501911E-4</v>
      </c>
    </row>
    <row r="264" spans="2:13" ht="15.75" x14ac:dyDescent="0.25">
      <c r="B264" s="212">
        <v>2025</v>
      </c>
      <c r="C264" s="309">
        <v>2016</v>
      </c>
      <c r="D264" s="250" t="s">
        <v>3358</v>
      </c>
      <c r="E264" s="517">
        <v>0.15277616729837376</v>
      </c>
      <c r="F264" s="310">
        <v>1.8617877438561799E-2</v>
      </c>
      <c r="G264" s="311">
        <v>2.8903330507855009E-2</v>
      </c>
      <c r="H264" s="311">
        <v>2.05537736881119</v>
      </c>
      <c r="I264" s="311">
        <v>0.34154883130975211</v>
      </c>
      <c r="J264" s="311">
        <v>2.25101424953708E-2</v>
      </c>
      <c r="K264" s="311">
        <v>1.176862415929509E-4</v>
      </c>
      <c r="L264" s="518">
        <v>2.35279512517335E-2</v>
      </c>
      <c r="M264" s="519">
        <v>1.2300749121282178E-4</v>
      </c>
    </row>
    <row r="265" spans="2:13" ht="15.75" x14ac:dyDescent="0.25">
      <c r="B265" s="212">
        <v>2025</v>
      </c>
      <c r="C265" s="309">
        <v>2017</v>
      </c>
      <c r="D265" s="250" t="s">
        <v>3359</v>
      </c>
      <c r="E265" s="517">
        <v>0.14626723273310988</v>
      </c>
      <c r="F265" s="310">
        <v>1.80701229477007E-2</v>
      </c>
      <c r="G265" s="311">
        <v>2.6012880346804424E-2</v>
      </c>
      <c r="H265" s="311">
        <v>1.96758625272623</v>
      </c>
      <c r="I265" s="311">
        <v>0.30739256429417028</v>
      </c>
      <c r="J265" s="311">
        <v>2.1163324380577098E-2</v>
      </c>
      <c r="K265" s="311">
        <v>1.0591714059355813E-4</v>
      </c>
      <c r="L265" s="518">
        <v>2.2120235998205701E-2</v>
      </c>
      <c r="M265" s="519">
        <v>1.1070624369084868E-4</v>
      </c>
    </row>
    <row r="266" spans="2:13" ht="15.75" x14ac:dyDescent="0.25">
      <c r="B266" s="212">
        <v>2025</v>
      </c>
      <c r="C266" s="309">
        <v>2018</v>
      </c>
      <c r="D266" s="250" t="s">
        <v>3360</v>
      </c>
      <c r="E266" s="517">
        <v>0.14626723273310943</v>
      </c>
      <c r="F266" s="310">
        <v>1.7464670416616802E-2</v>
      </c>
      <c r="G266" s="311">
        <v>2.6012880346804206E-2</v>
      </c>
      <c r="H266" s="311">
        <v>1.8697540849916301</v>
      </c>
      <c r="I266" s="311">
        <v>0.30739256429416756</v>
      </c>
      <c r="J266" s="311">
        <v>1.9679866033758001E-2</v>
      </c>
      <c r="K266" s="311">
        <v>1.0591714059355699E-4</v>
      </c>
      <c r="L266" s="518">
        <v>2.05697022476924E-2</v>
      </c>
      <c r="M266" s="519">
        <v>1.1070624369084746E-4</v>
      </c>
    </row>
    <row r="267" spans="2:13" ht="15.75" x14ac:dyDescent="0.25">
      <c r="B267" s="212">
        <v>2025</v>
      </c>
      <c r="C267" s="309">
        <v>2019</v>
      </c>
      <c r="D267" s="250" t="s">
        <v>3361</v>
      </c>
      <c r="E267" s="517">
        <v>0.14626723273310965</v>
      </c>
      <c r="F267" s="310">
        <v>1.6859217885533E-2</v>
      </c>
      <c r="G267" s="311">
        <v>2.6012880346804237E-2</v>
      </c>
      <c r="H267" s="311">
        <v>1.77192191725704</v>
      </c>
      <c r="I267" s="311">
        <v>0.307392564294168</v>
      </c>
      <c r="J267" s="311">
        <v>1.8196407686939E-2</v>
      </c>
      <c r="K267" s="311">
        <v>1.0591714059355738E-4</v>
      </c>
      <c r="L267" s="518">
        <v>1.9019168497179099E-2</v>
      </c>
      <c r="M267" s="519">
        <v>1.1070624369084788E-4</v>
      </c>
    </row>
    <row r="268" spans="2:13" ht="15.75" x14ac:dyDescent="0.25">
      <c r="B268" s="212">
        <v>2025</v>
      </c>
      <c r="C268" s="309">
        <v>2020</v>
      </c>
      <c r="D268" s="250" t="s">
        <v>3362</v>
      </c>
      <c r="E268" s="517">
        <v>0.14626723273310935</v>
      </c>
      <c r="F268" s="310">
        <v>1.6253765354449199E-2</v>
      </c>
      <c r="G268" s="311">
        <v>2.601288034680433E-2</v>
      </c>
      <c r="H268" s="311">
        <v>1.6740897495224401</v>
      </c>
      <c r="I268" s="311">
        <v>0.30739256429416834</v>
      </c>
      <c r="J268" s="311">
        <v>1.6712949340119899E-2</v>
      </c>
      <c r="K268" s="311">
        <v>1.0591714059355749E-4</v>
      </c>
      <c r="L268" s="518">
        <v>1.7468634746665799E-2</v>
      </c>
      <c r="M268" s="519">
        <v>1.1070624369084798E-4</v>
      </c>
    </row>
    <row r="269" spans="2:13" ht="15.75" x14ac:dyDescent="0.25">
      <c r="B269" s="212">
        <v>2025</v>
      </c>
      <c r="C269" s="309">
        <v>2021</v>
      </c>
      <c r="D269" s="250" t="s">
        <v>3363</v>
      </c>
      <c r="E269" s="517">
        <v>0.13228316461631082</v>
      </c>
      <c r="F269" s="310">
        <v>1.5648312823365301E-2</v>
      </c>
      <c r="G269" s="311">
        <v>2.6012880346804303E-2</v>
      </c>
      <c r="H269" s="311">
        <v>1.5762575817878499</v>
      </c>
      <c r="I269" s="311">
        <v>0.30739256429416806</v>
      </c>
      <c r="J269" s="311">
        <v>1.5229490993300799E-2</v>
      </c>
      <c r="K269" s="311">
        <v>1.0591714059355738E-4</v>
      </c>
      <c r="L269" s="518">
        <v>1.5918100996152498E-2</v>
      </c>
      <c r="M269" s="519">
        <v>1.1070624369084788E-4</v>
      </c>
    </row>
    <row r="270" spans="2:13" ht="15.75" x14ac:dyDescent="0.25">
      <c r="B270" s="212">
        <v>2025</v>
      </c>
      <c r="C270" s="309">
        <v>2022</v>
      </c>
      <c r="D270" s="250" t="s">
        <v>3364</v>
      </c>
      <c r="E270" s="517">
        <v>0.1322831646163104</v>
      </c>
      <c r="F270" s="310">
        <v>1.5042860292281499E-2</v>
      </c>
      <c r="G270" s="311">
        <v>2.601288034680432E-2</v>
      </c>
      <c r="H270" s="311">
        <v>1.47842541405325</v>
      </c>
      <c r="I270" s="311">
        <v>0.30739256429416822</v>
      </c>
      <c r="J270" s="311">
        <v>1.37460326464818E-2</v>
      </c>
      <c r="K270" s="311">
        <v>1.0591714059355746E-4</v>
      </c>
      <c r="L270" s="518">
        <v>1.4367567245639199E-2</v>
      </c>
      <c r="M270" s="519">
        <v>1.1070624369084794E-4</v>
      </c>
    </row>
    <row r="271" spans="2:13" ht="15.75" x14ac:dyDescent="0.25">
      <c r="B271" s="212">
        <v>2025</v>
      </c>
      <c r="C271" s="309">
        <v>2023</v>
      </c>
      <c r="D271" s="250" t="s">
        <v>3365</v>
      </c>
      <c r="E271" s="517">
        <v>0.13228316461631034</v>
      </c>
      <c r="F271" s="310">
        <v>1.4437407761197601E-2</v>
      </c>
      <c r="G271" s="311">
        <v>2.6012880346804341E-2</v>
      </c>
      <c r="H271" s="311">
        <v>1.3805932463186601</v>
      </c>
      <c r="I271" s="311">
        <v>0.3073925642941685</v>
      </c>
      <c r="J271" s="311">
        <v>1.2262574299662699E-2</v>
      </c>
      <c r="K271" s="311">
        <v>1.0591714059355753E-4</v>
      </c>
      <c r="L271" s="518">
        <v>1.2817033495125901E-2</v>
      </c>
      <c r="M271" s="519">
        <v>1.1070624369084804E-4</v>
      </c>
    </row>
    <row r="272" spans="2:13" ht="15.75" x14ac:dyDescent="0.25">
      <c r="B272" s="212">
        <v>2026</v>
      </c>
      <c r="C272" s="309">
        <v>2012</v>
      </c>
      <c r="D272" s="250" t="s">
        <v>3398</v>
      </c>
      <c r="E272" s="517">
        <v>0.17892796059716171</v>
      </c>
      <c r="F272" s="310">
        <v>2.5373465510287099E-2</v>
      </c>
      <c r="G272" s="311">
        <v>4.894803436965587E-2</v>
      </c>
      <c r="H272" s="311">
        <v>4.3493488263513402</v>
      </c>
      <c r="I272" s="311">
        <v>0.57841583098259364</v>
      </c>
      <c r="J272" s="311">
        <v>3.8403745972149898E-2</v>
      </c>
      <c r="K272" s="311">
        <v>1.993026442666135E-4</v>
      </c>
      <c r="L272" s="518">
        <v>4.0140192950911598E-2</v>
      </c>
      <c r="M272" s="519">
        <v>2.0831422544796463E-4</v>
      </c>
    </row>
    <row r="273" spans="2:13" ht="15.75" x14ac:dyDescent="0.25">
      <c r="B273" s="212">
        <v>2026</v>
      </c>
      <c r="C273" s="309">
        <v>2013</v>
      </c>
      <c r="D273" s="250" t="s">
        <v>3399</v>
      </c>
      <c r="E273" s="517">
        <v>0.17635106562842864</v>
      </c>
      <c r="F273" s="310">
        <v>2.44058551019311E-2</v>
      </c>
      <c r="G273" s="311">
        <v>4.4053283223361946E-2</v>
      </c>
      <c r="H273" s="311">
        <v>4.0246739815273402</v>
      </c>
      <c r="I273" s="311">
        <v>0.52057486579989898</v>
      </c>
      <c r="J273" s="311">
        <v>3.61361921072655E-2</v>
      </c>
      <c r="K273" s="311">
        <v>1.7937259275287637E-4</v>
      </c>
      <c r="L273" s="518">
        <v>3.7770110362378498E-2</v>
      </c>
      <c r="M273" s="519">
        <v>1.8748302544307005E-4</v>
      </c>
    </row>
    <row r="274" spans="2:13" ht="15.75" x14ac:dyDescent="0.25">
      <c r="B274" s="212">
        <v>2026</v>
      </c>
      <c r="C274" s="309">
        <v>2014</v>
      </c>
      <c r="D274" s="250" t="s">
        <v>3400</v>
      </c>
      <c r="E274" s="517">
        <v>0.15761729842999417</v>
      </c>
      <c r="F274" s="310">
        <v>2.0721547261308499E-2</v>
      </c>
      <c r="G274" s="311">
        <v>3.9647941054202426E-2</v>
      </c>
      <c r="H274" s="311">
        <v>2.5653218237709501</v>
      </c>
      <c r="I274" s="311">
        <v>0.46851721559287229</v>
      </c>
      <c r="J274" s="311">
        <v>2.7559119121290901E-2</v>
      </c>
      <c r="K274" s="311">
        <v>1.6143527709721434E-4</v>
      </c>
      <c r="L274" s="518">
        <v>2.88052201961757E-2</v>
      </c>
      <c r="M274" s="519">
        <v>1.6873466396911829E-4</v>
      </c>
    </row>
    <row r="275" spans="2:13" ht="15.75" x14ac:dyDescent="0.25">
      <c r="B275" s="212">
        <v>2026</v>
      </c>
      <c r="C275" s="309">
        <v>2015</v>
      </c>
      <c r="D275" s="250" t="s">
        <v>3401</v>
      </c>
      <c r="E275" s="517">
        <v>0.15455341621928717</v>
      </c>
      <c r="F275" s="310">
        <v>1.9548798837359702E-2</v>
      </c>
      <c r="G275" s="311">
        <v>3.5683145186720437E-2</v>
      </c>
      <c r="H275" s="311">
        <v>2.2059349952697298</v>
      </c>
      <c r="I275" s="311">
        <v>0.42166547321141268</v>
      </c>
      <c r="J275" s="311">
        <v>2.4791064208191702E-2</v>
      </c>
      <c r="K275" s="311">
        <v>1.4529174221287249E-4</v>
      </c>
      <c r="L275" s="518">
        <v>2.5912006122968002E-2</v>
      </c>
      <c r="M275" s="519">
        <v>1.5186119007318157E-4</v>
      </c>
    </row>
    <row r="276" spans="2:13" ht="15.75" x14ac:dyDescent="0.25">
      <c r="B276" s="212">
        <v>2026</v>
      </c>
      <c r="C276" s="309">
        <v>2016</v>
      </c>
      <c r="D276" s="250" t="s">
        <v>3402</v>
      </c>
      <c r="E276" s="517">
        <v>0.15361891711924533</v>
      </c>
      <c r="F276" s="310">
        <v>1.9108379107430299E-2</v>
      </c>
      <c r="G276" s="311">
        <v>3.2114812981372066E-2</v>
      </c>
      <c r="H276" s="311">
        <v>2.1346089587250701</v>
      </c>
      <c r="I276" s="311">
        <v>0.3794987168879343</v>
      </c>
      <c r="J276" s="311">
        <v>2.3712432764036999E-2</v>
      </c>
      <c r="K276" s="311">
        <v>1.3076249597640825E-4</v>
      </c>
      <c r="L276" s="518">
        <v>2.4784603751264699E-2</v>
      </c>
      <c r="M276" s="519">
        <v>1.3667499579447966E-4</v>
      </c>
    </row>
    <row r="277" spans="2:13" ht="15.75" x14ac:dyDescent="0.25">
      <c r="B277" s="212">
        <v>2026</v>
      </c>
      <c r="C277" s="309">
        <v>2017</v>
      </c>
      <c r="D277" s="250" t="s">
        <v>3403</v>
      </c>
      <c r="E277" s="517">
        <v>0.14699703025325181</v>
      </c>
      <c r="F277" s="310">
        <v>1.8615038942377399E-2</v>
      </c>
      <c r="G277" s="311">
        <v>2.8903218394118926E-2</v>
      </c>
      <c r="H277" s="311">
        <v>2.05563280406834</v>
      </c>
      <c r="I277" s="311">
        <v>0.34154750646881227</v>
      </c>
      <c r="J277" s="311">
        <v>2.2498493664658701E-2</v>
      </c>
      <c r="K277" s="311">
        <v>1.1768578509731529E-4</v>
      </c>
      <c r="L277" s="518">
        <v>2.3515775712587599E-2</v>
      </c>
      <c r="M277" s="519">
        <v>1.2300701407647922E-4</v>
      </c>
    </row>
    <row r="278" spans="2:13" ht="15.75" x14ac:dyDescent="0.25">
      <c r="B278" s="212">
        <v>2026</v>
      </c>
      <c r="C278" s="309">
        <v>2018</v>
      </c>
      <c r="D278" s="250" t="s">
        <v>3404</v>
      </c>
      <c r="E278" s="517">
        <v>0.14626722945667517</v>
      </c>
      <c r="F278" s="310">
        <v>1.8070131409242799E-2</v>
      </c>
      <c r="G278" s="311">
        <v>2.6012896554706851E-2</v>
      </c>
      <c r="H278" s="311">
        <v>1.9675839558899999</v>
      </c>
      <c r="I278" s="311">
        <v>0.3073927558219296</v>
      </c>
      <c r="J278" s="311">
        <v>2.1163377783534901E-2</v>
      </c>
      <c r="K278" s="311">
        <v>1.0591720658758327E-4</v>
      </c>
      <c r="L278" s="518">
        <v>2.21202918158083E-2</v>
      </c>
      <c r="M278" s="519">
        <v>1.1070631266883079E-4</v>
      </c>
    </row>
    <row r="279" spans="2:13" ht="15.75" x14ac:dyDescent="0.25">
      <c r="B279" s="212">
        <v>2026</v>
      </c>
      <c r="C279" s="309">
        <v>2019</v>
      </c>
      <c r="D279" s="250" t="s">
        <v>3405</v>
      </c>
      <c r="E279" s="517">
        <v>0.14626722945667486</v>
      </c>
      <c r="F279" s="310">
        <v>1.74646785946489E-2</v>
      </c>
      <c r="G279" s="311">
        <v>2.601289655470675E-2</v>
      </c>
      <c r="H279" s="311">
        <v>1.8697519023585201</v>
      </c>
      <c r="I279" s="311">
        <v>0.30739275582192765</v>
      </c>
      <c r="J279" s="311">
        <v>1.9679915693397401E-2</v>
      </c>
      <c r="K279" s="311">
        <v>1.0591720658758261E-4</v>
      </c>
      <c r="L279" s="518">
        <v>2.0569754152720301E-2</v>
      </c>
      <c r="M279" s="519">
        <v>1.1070631266883008E-4</v>
      </c>
    </row>
    <row r="280" spans="2:13" ht="15.75" x14ac:dyDescent="0.25">
      <c r="B280" s="212">
        <v>2026</v>
      </c>
      <c r="C280" s="309">
        <v>2020</v>
      </c>
      <c r="D280" s="250" t="s">
        <v>3406</v>
      </c>
      <c r="E280" s="517">
        <v>0.14626722945667489</v>
      </c>
      <c r="F280" s="310">
        <v>1.6859225780054998E-2</v>
      </c>
      <c r="G280" s="311">
        <v>2.6012896554706875E-2</v>
      </c>
      <c r="H280" s="311">
        <v>1.77191984882703</v>
      </c>
      <c r="I280" s="311">
        <v>0.30739275582192915</v>
      </c>
      <c r="J280" s="311">
        <v>1.8196453603259801E-2</v>
      </c>
      <c r="K280" s="311">
        <v>1.0591720658758312E-4</v>
      </c>
      <c r="L280" s="518">
        <v>1.9019216489632201E-2</v>
      </c>
      <c r="M280" s="519">
        <v>1.1070631266883063E-4</v>
      </c>
    </row>
    <row r="281" spans="2:13" ht="15.75" x14ac:dyDescent="0.25">
      <c r="B281" s="212">
        <v>2026</v>
      </c>
      <c r="C281" s="309">
        <v>2021</v>
      </c>
      <c r="D281" s="250" t="s">
        <v>3407</v>
      </c>
      <c r="E281" s="517">
        <v>0.1322831616531234</v>
      </c>
      <c r="F281" s="310">
        <v>1.62537729654611E-2</v>
      </c>
      <c r="G281" s="311">
        <v>2.6012896554706809E-2</v>
      </c>
      <c r="H281" s="311">
        <v>1.67408779529554</v>
      </c>
      <c r="I281" s="311">
        <v>0.30739275582192838</v>
      </c>
      <c r="J281" s="311">
        <v>1.6712991513122302E-2</v>
      </c>
      <c r="K281" s="311">
        <v>1.0591720658758285E-4</v>
      </c>
      <c r="L281" s="518">
        <v>1.7468678826544199E-2</v>
      </c>
      <c r="M281" s="519">
        <v>1.1070631266883034E-4</v>
      </c>
    </row>
    <row r="282" spans="2:13" ht="15.75" x14ac:dyDescent="0.25">
      <c r="B282" s="212">
        <v>2026</v>
      </c>
      <c r="C282" s="309">
        <v>2022</v>
      </c>
      <c r="D282" s="250" t="s">
        <v>3408</v>
      </c>
      <c r="E282" s="517">
        <v>0.13228316165312304</v>
      </c>
      <c r="F282" s="310">
        <v>1.56483201508671E-2</v>
      </c>
      <c r="G282" s="311">
        <v>2.6012896554706691E-2</v>
      </c>
      <c r="H282" s="311">
        <v>1.5762557417640599</v>
      </c>
      <c r="I282" s="311">
        <v>0.30739275582192765</v>
      </c>
      <c r="J282" s="311">
        <v>1.52295294229847E-2</v>
      </c>
      <c r="K282" s="311">
        <v>1.0591720658758239E-4</v>
      </c>
      <c r="L282" s="518">
        <v>1.59181411634561E-2</v>
      </c>
      <c r="M282" s="519">
        <v>1.1070631266882985E-4</v>
      </c>
    </row>
    <row r="283" spans="2:13" ht="15.75" x14ac:dyDescent="0.25">
      <c r="B283" s="212">
        <v>2026</v>
      </c>
      <c r="C283" s="309">
        <v>2023</v>
      </c>
      <c r="D283" s="250" t="s">
        <v>3409</v>
      </c>
      <c r="E283" s="517">
        <v>0.13228316165312271</v>
      </c>
      <c r="F283" s="310">
        <v>1.50428673362732E-2</v>
      </c>
      <c r="G283" s="311">
        <v>2.6012896554706781E-2</v>
      </c>
      <c r="H283" s="311">
        <v>1.4784236882325701</v>
      </c>
      <c r="I283" s="311">
        <v>0.30739275582192882</v>
      </c>
      <c r="J283" s="311">
        <v>1.37460673328471E-2</v>
      </c>
      <c r="K283" s="311">
        <v>1.0591720658758301E-4</v>
      </c>
      <c r="L283" s="518">
        <v>1.4367603500368101E-2</v>
      </c>
      <c r="M283" s="519">
        <v>1.107063126688305E-4</v>
      </c>
    </row>
    <row r="284" spans="2:13" ht="15.75" x14ac:dyDescent="0.25">
      <c r="B284" s="212">
        <v>2026</v>
      </c>
      <c r="C284" s="309">
        <v>2024</v>
      </c>
      <c r="D284" s="250" t="s">
        <v>3410</v>
      </c>
      <c r="E284" s="517">
        <v>0.12227244093655704</v>
      </c>
      <c r="F284" s="310">
        <v>1.44374145216793E-2</v>
      </c>
      <c r="G284" s="311">
        <v>2.6012896554706868E-2</v>
      </c>
      <c r="H284" s="311">
        <v>1.38059163470108</v>
      </c>
      <c r="I284" s="311">
        <v>0.30739275582192976</v>
      </c>
      <c r="J284" s="311">
        <v>1.22626052427096E-2</v>
      </c>
      <c r="K284" s="311">
        <v>1.059172065875831E-4</v>
      </c>
      <c r="L284" s="518">
        <v>1.28170658372801E-2</v>
      </c>
      <c r="M284" s="519">
        <v>1.107063126688306E-4</v>
      </c>
    </row>
    <row r="285" spans="2:13" ht="15.75" x14ac:dyDescent="0.25">
      <c r="B285" s="212">
        <v>2026</v>
      </c>
      <c r="C285" s="309">
        <v>2025</v>
      </c>
      <c r="D285" s="250" t="s">
        <v>3411</v>
      </c>
      <c r="E285" s="517">
        <v>0.12227244093655706</v>
      </c>
      <c r="F285" s="310">
        <v>1.38319617070853E-2</v>
      </c>
      <c r="G285" s="311">
        <v>2.601289655470684E-2</v>
      </c>
      <c r="H285" s="311">
        <v>1.2827595811696</v>
      </c>
      <c r="I285" s="311">
        <v>0.30739275582192871</v>
      </c>
      <c r="J285" s="311">
        <v>1.0779143152572E-2</v>
      </c>
      <c r="K285" s="311">
        <v>1.0591720658758297E-4</v>
      </c>
      <c r="L285" s="518">
        <v>1.1266528174192001E-2</v>
      </c>
      <c r="M285" s="519">
        <v>1.1070631266883046E-4</v>
      </c>
    </row>
    <row r="286" spans="2:13" ht="15.75" x14ac:dyDescent="0.25">
      <c r="B286" s="212">
        <v>2026</v>
      </c>
      <c r="C286" s="309">
        <v>2026</v>
      </c>
      <c r="D286" s="250" t="s">
        <v>3412</v>
      </c>
      <c r="E286" s="517">
        <v>0.12227244093655726</v>
      </c>
      <c r="F286" s="310">
        <v>1.32265088924914E-2</v>
      </c>
      <c r="G286" s="311">
        <v>2.6012896554706802E-2</v>
      </c>
      <c r="H286" s="311">
        <v>1.1849275276381099</v>
      </c>
      <c r="I286" s="311">
        <v>0.30739275582192832</v>
      </c>
      <c r="J286" s="311">
        <v>9.2956810624345004E-3</v>
      </c>
      <c r="K286" s="311">
        <v>1.0591720658758282E-4</v>
      </c>
      <c r="L286" s="518">
        <v>9.7159905111039897E-3</v>
      </c>
      <c r="M286" s="519">
        <v>1.1070631266883031E-4</v>
      </c>
    </row>
    <row r="287" spans="2:13" ht="15.75" x14ac:dyDescent="0.25">
      <c r="B287" s="212">
        <v>2026</v>
      </c>
      <c r="C287" s="309">
        <v>2027</v>
      </c>
      <c r="D287" s="250" t="s">
        <v>4500</v>
      </c>
      <c r="E287" s="517">
        <v>0.12527889390838623</v>
      </c>
      <c r="F287" s="310">
        <v>1.26210560778975E-2</v>
      </c>
      <c r="G287" s="311">
        <v>6.2430951731296494E-2</v>
      </c>
      <c r="H287" s="311">
        <v>1.0870954741066201</v>
      </c>
      <c r="I287" s="311">
        <v>0.73774261397263163</v>
      </c>
      <c r="J287" s="311">
        <v>7.8122189722969497E-3</v>
      </c>
      <c r="K287" s="311">
        <v>2.5420129581019948E-4</v>
      </c>
      <c r="L287" s="518">
        <v>8.1654528480159493E-3</v>
      </c>
      <c r="M287" s="519">
        <v>2.6569515040519349E-4</v>
      </c>
    </row>
    <row r="288" spans="2:13" ht="15.75" x14ac:dyDescent="0.25">
      <c r="B288" s="212">
        <v>2027</v>
      </c>
      <c r="C288" s="309">
        <v>2012</v>
      </c>
      <c r="D288" s="250" t="s">
        <v>3442</v>
      </c>
      <c r="E288" s="517">
        <v>0.18043523531452346</v>
      </c>
      <c r="F288" s="310">
        <v>2.5830836658428901E-2</v>
      </c>
      <c r="G288" s="311">
        <v>5.4386705730409636E-2</v>
      </c>
      <c r="H288" s="311">
        <v>4.4469094754872502</v>
      </c>
      <c r="I288" s="311">
        <v>0.64268426698994008</v>
      </c>
      <c r="J288" s="311">
        <v>3.9498801201337197E-2</v>
      </c>
      <c r="K288" s="311">
        <v>2.2144738608217637E-4</v>
      </c>
      <c r="L288" s="518">
        <v>4.1284761718327199E-2</v>
      </c>
      <c r="M288" s="519">
        <v>2.3146025422259088E-4</v>
      </c>
    </row>
    <row r="289" spans="2:13" ht="15.75" x14ac:dyDescent="0.25">
      <c r="B289" s="212">
        <v>2027</v>
      </c>
      <c r="C289" s="309">
        <v>2013</v>
      </c>
      <c r="D289" s="250" t="s">
        <v>3443</v>
      </c>
      <c r="E289" s="517">
        <v>0.17770761197505483</v>
      </c>
      <c r="F289" s="310">
        <v>2.4895189965198499E-2</v>
      </c>
      <c r="G289" s="311">
        <v>4.8948084992150608E-2</v>
      </c>
      <c r="H289" s="311">
        <v>4.1264247053696703</v>
      </c>
      <c r="I289" s="311">
        <v>0.57841642918541825</v>
      </c>
      <c r="J289" s="311">
        <v>3.7310082958804697E-2</v>
      </c>
      <c r="K289" s="311">
        <v>1.9930285038718994E-4</v>
      </c>
      <c r="L289" s="518">
        <v>3.8997079349160801E-2</v>
      </c>
      <c r="M289" s="519">
        <v>2.0831444088839892E-4</v>
      </c>
    </row>
    <row r="290" spans="2:13" ht="15.75" x14ac:dyDescent="0.25">
      <c r="B290" s="212">
        <v>2027</v>
      </c>
      <c r="C290" s="309">
        <v>2014</v>
      </c>
      <c r="D290" s="250" t="s">
        <v>3444</v>
      </c>
      <c r="E290" s="517">
        <v>0.15877333454711201</v>
      </c>
      <c r="F290" s="310">
        <v>2.11159812308475E-2</v>
      </c>
      <c r="G290" s="311">
        <v>4.4053263077653892E-2</v>
      </c>
      <c r="H290" s="311">
        <v>2.6325871470803301</v>
      </c>
      <c r="I290" s="311">
        <v>0.52057462773933927</v>
      </c>
      <c r="J290" s="311">
        <v>2.8520203240360201E-2</v>
      </c>
      <c r="K290" s="311">
        <v>1.7937251072521303E-4</v>
      </c>
      <c r="L290" s="518">
        <v>2.9809760274361701E-2</v>
      </c>
      <c r="M290" s="519">
        <v>1.8748293970647972E-4</v>
      </c>
    </row>
    <row r="291" spans="2:13" ht="15.75" x14ac:dyDescent="0.25">
      <c r="B291" s="212">
        <v>2027</v>
      </c>
      <c r="C291" s="309">
        <v>2015</v>
      </c>
      <c r="D291" s="250" t="s">
        <v>3445</v>
      </c>
      <c r="E291" s="517">
        <v>0.15559384809490001</v>
      </c>
      <c r="F291" s="310">
        <v>1.9946085301295199E-2</v>
      </c>
      <c r="G291" s="311">
        <v>3.9647934621977174E-2</v>
      </c>
      <c r="H291" s="311">
        <v>2.2701125971602001</v>
      </c>
      <c r="I291" s="311">
        <v>0.46851713958367275</v>
      </c>
      <c r="J291" s="311">
        <v>2.5764798257671601E-2</v>
      </c>
      <c r="K291" s="311">
        <v>1.614352509070002E-4</v>
      </c>
      <c r="L291" s="518">
        <v>2.69297681052845E-2</v>
      </c>
      <c r="M291" s="519">
        <v>1.6873463659469891E-4</v>
      </c>
    </row>
    <row r="292" spans="2:13" ht="15.75" x14ac:dyDescent="0.25">
      <c r="B292" s="212">
        <v>2027</v>
      </c>
      <c r="C292" s="309">
        <v>2016</v>
      </c>
      <c r="D292" s="250" t="s">
        <v>3446</v>
      </c>
      <c r="E292" s="517">
        <v>0.1545553050674659</v>
      </c>
      <c r="F292" s="310">
        <v>1.95498302203304E-2</v>
      </c>
      <c r="G292" s="311">
        <v>3.5683124439443811E-2</v>
      </c>
      <c r="H292" s="311">
        <v>2.2059172471060902</v>
      </c>
      <c r="I292" s="311">
        <v>0.421665228042155</v>
      </c>
      <c r="J292" s="311">
        <v>2.4794496970060399E-2</v>
      </c>
      <c r="K292" s="311">
        <v>1.4529165773579094E-4</v>
      </c>
      <c r="L292" s="518">
        <v>2.5915594099095701E-2</v>
      </c>
      <c r="M292" s="519">
        <v>1.5186110177642121E-4</v>
      </c>
    </row>
    <row r="293" spans="2:13" ht="15.75" x14ac:dyDescent="0.25">
      <c r="B293" s="212">
        <v>2027</v>
      </c>
      <c r="C293" s="309">
        <v>2017</v>
      </c>
      <c r="D293" s="250" t="s">
        <v>3447</v>
      </c>
      <c r="E293" s="517">
        <v>0.14780791608216245</v>
      </c>
      <c r="F293" s="310">
        <v>1.9105462983896301E-2</v>
      </c>
      <c r="G293" s="311">
        <v>3.2114702608352974E-2</v>
      </c>
      <c r="H293" s="311">
        <v>2.1348745406090002</v>
      </c>
      <c r="I293" s="311">
        <v>0.37949741261693787</v>
      </c>
      <c r="J293" s="311">
        <v>2.3700149398923401E-2</v>
      </c>
      <c r="K293" s="311">
        <v>1.3076204656848321E-4</v>
      </c>
      <c r="L293" s="518">
        <v>2.4771764986887299E-2</v>
      </c>
      <c r="M293" s="519">
        <v>1.3667452606632246E-4</v>
      </c>
    </row>
    <row r="294" spans="2:13" ht="15.75" x14ac:dyDescent="0.25">
      <c r="B294" s="212">
        <v>2027</v>
      </c>
      <c r="C294" s="309">
        <v>2018</v>
      </c>
      <c r="D294" s="250" t="s">
        <v>3448</v>
      </c>
      <c r="E294" s="517">
        <v>0.14699702591672203</v>
      </c>
      <c r="F294" s="310">
        <v>1.8615046017675201E-2</v>
      </c>
      <c r="G294" s="311">
        <v>2.8903232347517738E-2</v>
      </c>
      <c r="H294" s="311">
        <v>2.0556306599052698</v>
      </c>
      <c r="I294" s="311">
        <v>0.34154767135524483</v>
      </c>
      <c r="J294" s="311">
        <v>2.2498542497820202E-2</v>
      </c>
      <c r="K294" s="311">
        <v>1.1768584191163514E-4</v>
      </c>
      <c r="L294" s="518">
        <v>2.3515826753767899E-2</v>
      </c>
      <c r="M294" s="519">
        <v>1.2300707345969049E-4</v>
      </c>
    </row>
    <row r="295" spans="2:13" ht="15.75" x14ac:dyDescent="0.25">
      <c r="B295" s="212">
        <v>2027</v>
      </c>
      <c r="C295" s="309">
        <v>2019</v>
      </c>
      <c r="D295" s="250" t="s">
        <v>3449</v>
      </c>
      <c r="E295" s="517">
        <v>0.14626722476782475</v>
      </c>
      <c r="F295" s="310">
        <v>1.8070138277429499E-2</v>
      </c>
      <c r="G295" s="311">
        <v>2.601290911276586E-2</v>
      </c>
      <c r="H295" s="311">
        <v>1.9675819035677999</v>
      </c>
      <c r="I295" s="311">
        <v>0.30739290421971976</v>
      </c>
      <c r="J295" s="311">
        <v>2.1163423718816601E-2</v>
      </c>
      <c r="K295" s="311">
        <v>1.0591725772047121E-4</v>
      </c>
      <c r="L295" s="518">
        <v>2.2120339828079601E-2</v>
      </c>
      <c r="M295" s="519">
        <v>1.10706366113721E-4</v>
      </c>
    </row>
    <row r="296" spans="2:13" ht="15.75" x14ac:dyDescent="0.25">
      <c r="B296" s="212">
        <v>2027</v>
      </c>
      <c r="C296" s="309">
        <v>2020</v>
      </c>
      <c r="D296" s="250" t="s">
        <v>3450</v>
      </c>
      <c r="E296" s="517">
        <v>0.14626722476782419</v>
      </c>
      <c r="F296" s="310">
        <v>1.7464685232712E-2</v>
      </c>
      <c r="G296" s="311">
        <v>2.6012909112765582E-2</v>
      </c>
      <c r="H296" s="311">
        <v>1.86974995208171</v>
      </c>
      <c r="I296" s="311">
        <v>0.30739290421971588</v>
      </c>
      <c r="J296" s="311">
        <v>1.9679958408812599E-2</v>
      </c>
      <c r="K296" s="311">
        <v>1.0591725772047006E-4</v>
      </c>
      <c r="L296" s="518">
        <v>2.05697987995371E-2</v>
      </c>
      <c r="M296" s="519">
        <v>1.1070636611371981E-4</v>
      </c>
    </row>
    <row r="297" spans="2:13" ht="15.75" x14ac:dyDescent="0.25">
      <c r="B297" s="212">
        <v>2027</v>
      </c>
      <c r="C297" s="309">
        <v>2021</v>
      </c>
      <c r="D297" s="250" t="s">
        <v>3451</v>
      </c>
      <c r="E297" s="517">
        <v>0.13228315741255656</v>
      </c>
      <c r="F297" s="310">
        <v>1.68592321879945E-2</v>
      </c>
      <c r="G297" s="311">
        <v>2.6012909112765593E-2</v>
      </c>
      <c r="H297" s="311">
        <v>1.7719180005956301</v>
      </c>
      <c r="I297" s="311">
        <v>0.30739290421971671</v>
      </c>
      <c r="J297" s="311">
        <v>1.8196493098808698E-2</v>
      </c>
      <c r="K297" s="311">
        <v>1.0591725772047037E-4</v>
      </c>
      <c r="L297" s="518">
        <v>1.9019257770994599E-2</v>
      </c>
      <c r="M297" s="519">
        <v>1.1070636611372013E-4</v>
      </c>
    </row>
    <row r="298" spans="2:13" ht="15.75" x14ac:dyDescent="0.25">
      <c r="B298" s="212">
        <v>2027</v>
      </c>
      <c r="C298" s="309">
        <v>2022</v>
      </c>
      <c r="D298" s="250" t="s">
        <v>3452</v>
      </c>
      <c r="E298" s="517">
        <v>0.13228315741255639</v>
      </c>
      <c r="F298" s="310">
        <v>1.6253779143277001E-2</v>
      </c>
      <c r="G298" s="311">
        <v>2.6012909112765773E-2</v>
      </c>
      <c r="H298" s="311">
        <v>1.67408604910954</v>
      </c>
      <c r="I298" s="311">
        <v>0.30739290421971877</v>
      </c>
      <c r="J298" s="311">
        <v>1.67130277888047E-2</v>
      </c>
      <c r="K298" s="311">
        <v>1.0591725772047084E-4</v>
      </c>
      <c r="L298" s="518">
        <v>1.7468716742452099E-2</v>
      </c>
      <c r="M298" s="519">
        <v>1.1070636611372063E-4</v>
      </c>
    </row>
    <row r="299" spans="2:13" ht="15.75" x14ac:dyDescent="0.25">
      <c r="B299" s="212">
        <v>2027</v>
      </c>
      <c r="C299" s="309">
        <v>2023</v>
      </c>
      <c r="D299" s="250" t="s">
        <v>3453</v>
      </c>
      <c r="E299" s="517">
        <v>0.13228315741255639</v>
      </c>
      <c r="F299" s="310">
        <v>1.5648326098559501E-2</v>
      </c>
      <c r="G299" s="311">
        <v>2.6012909112765749E-2</v>
      </c>
      <c r="H299" s="311">
        <v>1.57625409762346</v>
      </c>
      <c r="I299" s="311">
        <v>0.30739290421971788</v>
      </c>
      <c r="J299" s="311">
        <v>1.52295624788008E-2</v>
      </c>
      <c r="K299" s="311">
        <v>1.0591725772047075E-4</v>
      </c>
      <c r="L299" s="518">
        <v>1.5918175713909601E-2</v>
      </c>
      <c r="M299" s="519">
        <v>1.1070636611372052E-4</v>
      </c>
    </row>
    <row r="300" spans="2:13" ht="15.75" x14ac:dyDescent="0.25">
      <c r="B300" s="212">
        <v>2027</v>
      </c>
      <c r="C300" s="309">
        <v>2024</v>
      </c>
      <c r="D300" s="250" t="s">
        <v>3454</v>
      </c>
      <c r="E300" s="517">
        <v>0.1222724370169011</v>
      </c>
      <c r="F300" s="310">
        <v>1.5042873053842E-2</v>
      </c>
      <c r="G300" s="311">
        <v>2.6012909112765836E-2</v>
      </c>
      <c r="H300" s="311">
        <v>1.4784221461373701</v>
      </c>
      <c r="I300" s="311">
        <v>0.30739290421971882</v>
      </c>
      <c r="J300" s="311">
        <v>1.37460971687968E-2</v>
      </c>
      <c r="K300" s="311">
        <v>1.0591725772047109E-4</v>
      </c>
      <c r="L300" s="518">
        <v>1.4367634685367E-2</v>
      </c>
      <c r="M300" s="519">
        <v>1.1070636611372089E-4</v>
      </c>
    </row>
    <row r="301" spans="2:13" ht="15.75" x14ac:dyDescent="0.25">
      <c r="B301" s="212">
        <v>2027</v>
      </c>
      <c r="C301" s="309">
        <v>2025</v>
      </c>
      <c r="D301" s="250" t="s">
        <v>3455</v>
      </c>
      <c r="E301" s="517">
        <v>0.12227243701690119</v>
      </c>
      <c r="F301" s="310">
        <v>1.4437420009124499E-2</v>
      </c>
      <c r="G301" s="311">
        <v>2.6012909112765707E-2</v>
      </c>
      <c r="H301" s="311">
        <v>1.38059019465129</v>
      </c>
      <c r="I301" s="311">
        <v>0.30739290421971799</v>
      </c>
      <c r="J301" s="311">
        <v>1.2262631858792899E-2</v>
      </c>
      <c r="K301" s="311">
        <v>1.0591725772047058E-4</v>
      </c>
      <c r="L301" s="518">
        <v>1.2817093656824499E-2</v>
      </c>
      <c r="M301" s="519">
        <v>1.1070636611372035E-4</v>
      </c>
    </row>
    <row r="302" spans="2:13" ht="15.75" x14ac:dyDescent="0.25">
      <c r="B302" s="212">
        <v>2027</v>
      </c>
      <c r="C302" s="309">
        <v>2026</v>
      </c>
      <c r="D302" s="250" t="s">
        <v>3456</v>
      </c>
      <c r="E302" s="517">
        <v>0.12227243701690128</v>
      </c>
      <c r="F302" s="310">
        <v>1.38319669644071E-2</v>
      </c>
      <c r="G302" s="311">
        <v>2.6012909112765725E-2</v>
      </c>
      <c r="H302" s="311">
        <v>1.2827582431652</v>
      </c>
      <c r="I302" s="311">
        <v>0.30739290421971815</v>
      </c>
      <c r="J302" s="311">
        <v>1.0779166548788899E-2</v>
      </c>
      <c r="K302" s="311">
        <v>1.0591725772047065E-4</v>
      </c>
      <c r="L302" s="518">
        <v>1.1266552628282E-2</v>
      </c>
      <c r="M302" s="519">
        <v>1.1070636611372042E-4</v>
      </c>
    </row>
    <row r="303" spans="2:13" ht="15.75" x14ac:dyDescent="0.25">
      <c r="B303" s="212">
        <v>2027</v>
      </c>
      <c r="C303" s="309">
        <v>2027</v>
      </c>
      <c r="D303" s="250" t="s">
        <v>3457</v>
      </c>
      <c r="E303" s="517">
        <v>0.1178687481709987</v>
      </c>
      <c r="F303" s="310">
        <v>1.3226513919689599E-2</v>
      </c>
      <c r="G303" s="311">
        <v>2.6012909112765815E-2</v>
      </c>
      <c r="H303" s="311">
        <v>1.1849262916791199</v>
      </c>
      <c r="I303" s="311">
        <v>0.30739290421971865</v>
      </c>
      <c r="J303" s="311">
        <v>9.2957012387850004E-3</v>
      </c>
      <c r="K303" s="311">
        <v>1.0591725772047103E-4</v>
      </c>
      <c r="L303" s="518">
        <v>9.7160115997395307E-3</v>
      </c>
      <c r="M303" s="519">
        <v>1.1070636611372081E-4</v>
      </c>
    </row>
    <row r="304" spans="2:13" ht="15.75" x14ac:dyDescent="0.25">
      <c r="B304" s="212">
        <v>2027</v>
      </c>
      <c r="C304" s="309">
        <v>2028</v>
      </c>
      <c r="D304" s="250" t="s">
        <v>4501</v>
      </c>
      <c r="E304" s="517">
        <v>0.12527889370723902</v>
      </c>
      <c r="F304" s="310">
        <v>1.26210608749721E-2</v>
      </c>
      <c r="G304" s="311">
        <v>6.2430981870637899E-2</v>
      </c>
      <c r="H304" s="311">
        <v>1.08709434019303</v>
      </c>
      <c r="I304" s="311">
        <v>0.73774297012732404</v>
      </c>
      <c r="J304" s="311">
        <v>7.8122359287810398E-3</v>
      </c>
      <c r="K304" s="311">
        <v>2.542014185291302E-4</v>
      </c>
      <c r="L304" s="518">
        <v>8.1654705711970092E-3</v>
      </c>
      <c r="M304" s="519">
        <v>2.6569527867292966E-4</v>
      </c>
    </row>
    <row r="305" spans="2:13" ht="15.75" x14ac:dyDescent="0.25">
      <c r="B305" s="212">
        <v>2028</v>
      </c>
      <c r="C305" s="309">
        <v>2012</v>
      </c>
      <c r="D305" s="250" t="s">
        <v>3486</v>
      </c>
      <c r="E305" s="517">
        <v>0.1804352372613158</v>
      </c>
      <c r="F305" s="310">
        <v>2.62424751467299E-2</v>
      </c>
      <c r="G305" s="311">
        <v>5.4386706436470894E-2</v>
      </c>
      <c r="H305" s="311">
        <v>4.5347147121405804</v>
      </c>
      <c r="I305" s="311">
        <v>0.64268427533342276</v>
      </c>
      <c r="J305" s="311">
        <v>4.0484365923343903E-2</v>
      </c>
      <c r="K305" s="311">
        <v>2.2144738895705945E-4</v>
      </c>
      <c r="L305" s="518">
        <v>4.2314889303684398E-2</v>
      </c>
      <c r="M305" s="519">
        <v>2.3146025722746343E-4</v>
      </c>
    </row>
    <row r="306" spans="2:13" ht="15.75" x14ac:dyDescent="0.25">
      <c r="B306" s="212">
        <v>2028</v>
      </c>
      <c r="C306" s="309">
        <v>2013</v>
      </c>
      <c r="D306" s="250" t="s">
        <v>3487</v>
      </c>
      <c r="E306" s="517">
        <v>0.17921489515646319</v>
      </c>
      <c r="F306" s="310">
        <v>2.5335595611661599E-2</v>
      </c>
      <c r="G306" s="311">
        <v>5.4386753830704411E-2</v>
      </c>
      <c r="H306" s="311">
        <v>4.2180009334808801</v>
      </c>
      <c r="I306" s="311">
        <v>0.64268483538808718</v>
      </c>
      <c r="J306" s="311">
        <v>3.8366599487169098E-2</v>
      </c>
      <c r="K306" s="311">
        <v>2.2144758193306318E-4</v>
      </c>
      <c r="L306" s="518">
        <v>4.0101366866715199E-2</v>
      </c>
      <c r="M306" s="519">
        <v>2.314604589289857E-4</v>
      </c>
    </row>
    <row r="307" spans="2:13" ht="15.75" x14ac:dyDescent="0.25">
      <c r="B307" s="212">
        <v>2028</v>
      </c>
      <c r="C307" s="309">
        <v>2014</v>
      </c>
      <c r="D307" s="250" t="s">
        <v>3488</v>
      </c>
      <c r="E307" s="517">
        <v>0.16005782765619023</v>
      </c>
      <c r="F307" s="310">
        <v>2.1470975049198E-2</v>
      </c>
      <c r="G307" s="311">
        <v>4.8948065557626069E-2</v>
      </c>
      <c r="H307" s="311">
        <v>2.6931260748699901</v>
      </c>
      <c r="I307" s="311">
        <v>0.57841619952886791</v>
      </c>
      <c r="J307" s="311">
        <v>2.9385190478688102E-2</v>
      </c>
      <c r="K307" s="311">
        <v>1.9930277125526603E-4</v>
      </c>
      <c r="L307" s="518">
        <v>3.0713858397282801E-2</v>
      </c>
      <c r="M307" s="519">
        <v>2.0831435817848055E-4</v>
      </c>
    </row>
    <row r="308" spans="2:13" ht="15.75" x14ac:dyDescent="0.25">
      <c r="B308" s="212">
        <v>2028</v>
      </c>
      <c r="C308" s="309">
        <v>2015</v>
      </c>
      <c r="D308" s="250" t="s">
        <v>3489</v>
      </c>
      <c r="E308" s="517">
        <v>0.15674989190459956</v>
      </c>
      <c r="F308" s="310">
        <v>2.03036461314944E-2</v>
      </c>
      <c r="G308" s="311">
        <v>4.4053256283945887E-2</v>
      </c>
      <c r="H308" s="311">
        <v>2.32787247391783</v>
      </c>
      <c r="I308" s="311">
        <v>0.52057454745852205</v>
      </c>
      <c r="J308" s="311">
        <v>2.6641169795003999E-2</v>
      </c>
      <c r="K308" s="311">
        <v>1.7937248306314308E-4</v>
      </c>
      <c r="L308" s="518">
        <v>2.7845765274694002E-2</v>
      </c>
      <c r="M308" s="519">
        <v>1.8748291079365379E-4</v>
      </c>
    </row>
    <row r="309" spans="2:13" ht="15.75" x14ac:dyDescent="0.25">
      <c r="B309" s="212">
        <v>2028</v>
      </c>
      <c r="C309" s="309">
        <v>2016</v>
      </c>
      <c r="D309" s="250" t="s">
        <v>3490</v>
      </c>
      <c r="E309" s="517">
        <v>0.15559574447692559</v>
      </c>
      <c r="F309" s="310">
        <v>1.9947139260580799E-2</v>
      </c>
      <c r="G309" s="311">
        <v>3.9647914232276836E-2</v>
      </c>
      <c r="H309" s="311">
        <v>2.2700947244278402</v>
      </c>
      <c r="I309" s="311">
        <v>0.4685168986398715</v>
      </c>
      <c r="J309" s="311">
        <v>2.5768365966624299E-2</v>
      </c>
      <c r="K309" s="311">
        <v>1.6143516788586881E-4</v>
      </c>
      <c r="L309" s="518">
        <v>2.6933497130204501E-2</v>
      </c>
      <c r="M309" s="519">
        <v>1.6873454981972035E-4</v>
      </c>
    </row>
    <row r="310" spans="2:13" ht="15.75" x14ac:dyDescent="0.25">
      <c r="B310" s="212">
        <v>2028</v>
      </c>
      <c r="C310" s="309">
        <v>2017</v>
      </c>
      <c r="D310" s="250" t="s">
        <v>3491</v>
      </c>
      <c r="E310" s="517">
        <v>0.14870890819486451</v>
      </c>
      <c r="F310" s="310">
        <v>1.9546847844586102E-2</v>
      </c>
      <c r="G310" s="311">
        <v>3.5683013925167345E-2</v>
      </c>
      <c r="H310" s="311">
        <v>2.2061920974263001</v>
      </c>
      <c r="I310" s="311">
        <v>0.42166392210192927</v>
      </c>
      <c r="J310" s="311">
        <v>2.4781651551724501E-2</v>
      </c>
      <c r="K310" s="311">
        <v>1.4529120775270556E-4</v>
      </c>
      <c r="L310" s="518">
        <v>2.5902167867943401E-2</v>
      </c>
      <c r="M310" s="519">
        <v>1.5186063144709749E-4</v>
      </c>
    </row>
    <row r="311" spans="2:13" ht="15.75" x14ac:dyDescent="0.25">
      <c r="B311" s="212">
        <v>2028</v>
      </c>
      <c r="C311" s="309">
        <v>2018</v>
      </c>
      <c r="D311" s="250" t="s">
        <v>3492</v>
      </c>
      <c r="E311" s="517">
        <v>0.1478079188437221</v>
      </c>
      <c r="F311" s="310">
        <v>1.91054723584165E-2</v>
      </c>
      <c r="G311" s="311">
        <v>3.2114712532650552E-2</v>
      </c>
      <c r="H311" s="311">
        <v>2.13487266737194</v>
      </c>
      <c r="I311" s="311">
        <v>0.37949752989173569</v>
      </c>
      <c r="J311" s="311">
        <v>2.3700202899482201E-2</v>
      </c>
      <c r="K311" s="311">
        <v>1.3076208697743478E-4</v>
      </c>
      <c r="L311" s="518">
        <v>2.4771820906504E-2</v>
      </c>
      <c r="M311" s="519">
        <v>1.3667456830238753E-4</v>
      </c>
    </row>
    <row r="312" spans="2:13" ht="15.75" x14ac:dyDescent="0.25">
      <c r="B312" s="212">
        <v>2028</v>
      </c>
      <c r="C312" s="309">
        <v>2019</v>
      </c>
      <c r="D312" s="250" t="s">
        <v>3493</v>
      </c>
      <c r="E312" s="517">
        <v>0.14699702842769483</v>
      </c>
      <c r="F312" s="310">
        <v>1.86150551515613E-2</v>
      </c>
      <c r="G312" s="311">
        <v>2.8903241279385414E-2</v>
      </c>
      <c r="H312" s="311">
        <v>2.0556288562004301</v>
      </c>
      <c r="I312" s="311">
        <v>0.34154777690256111</v>
      </c>
      <c r="J312" s="311">
        <v>2.2498593285879599E-2</v>
      </c>
      <c r="K312" s="311">
        <v>1.1768587827969095E-4</v>
      </c>
      <c r="L312" s="518">
        <v>2.3515879838238E-2</v>
      </c>
      <c r="M312" s="519">
        <v>1.2300711147214839E-4</v>
      </c>
    </row>
    <row r="313" spans="2:13" ht="15.75" x14ac:dyDescent="0.25">
      <c r="B313" s="212">
        <v>2028</v>
      </c>
      <c r="C313" s="309">
        <v>2020</v>
      </c>
      <c r="D313" s="250" t="s">
        <v>3494</v>
      </c>
      <c r="E313" s="517">
        <v>0.14626722705327025</v>
      </c>
      <c r="F313" s="310">
        <v>1.80701471439445E-2</v>
      </c>
      <c r="G313" s="311">
        <v>2.6012917151447119E-2</v>
      </c>
      <c r="H313" s="311">
        <v>1.96758017712099</v>
      </c>
      <c r="I313" s="311">
        <v>0.30739299921230795</v>
      </c>
      <c r="J313" s="311">
        <v>2.11634714929878E-2</v>
      </c>
      <c r="K313" s="311">
        <v>1.0591729045172286E-4</v>
      </c>
      <c r="L313" s="518">
        <v>2.21203897623868E-2</v>
      </c>
      <c r="M313" s="519">
        <v>1.1070640032493461E-4</v>
      </c>
    </row>
    <row r="314" spans="2:13" ht="15.75" x14ac:dyDescent="0.25">
      <c r="B314" s="212">
        <v>2028</v>
      </c>
      <c r="C314" s="309">
        <v>2021</v>
      </c>
      <c r="D314" s="250" t="s">
        <v>3495</v>
      </c>
      <c r="E314" s="517">
        <v>0.13228315947949962</v>
      </c>
      <c r="F314" s="310">
        <v>1.7464693802148001E-2</v>
      </c>
      <c r="G314" s="311">
        <v>2.6012917151446869E-2</v>
      </c>
      <c r="H314" s="311">
        <v>1.86974831147715</v>
      </c>
      <c r="I314" s="311">
        <v>0.30739299921230556</v>
      </c>
      <c r="J314" s="311">
        <v>1.9680002834219199E-2</v>
      </c>
      <c r="K314" s="311">
        <v>1.0591729045172185E-4</v>
      </c>
      <c r="L314" s="518">
        <v>2.0569845233663401E-2</v>
      </c>
      <c r="M314" s="519">
        <v>1.1070640032493354E-4</v>
      </c>
    </row>
    <row r="315" spans="2:13" ht="15.75" x14ac:dyDescent="0.25">
      <c r="B315" s="212">
        <v>2028</v>
      </c>
      <c r="C315" s="309">
        <v>2022</v>
      </c>
      <c r="D315" s="250" t="s">
        <v>3496</v>
      </c>
      <c r="E315" s="517">
        <v>0.13228315947949909</v>
      </c>
      <c r="F315" s="310">
        <v>1.6859240460351501E-2</v>
      </c>
      <c r="G315" s="311">
        <v>2.6012917151447094E-2</v>
      </c>
      <c r="H315" s="311">
        <v>1.7719164458333201</v>
      </c>
      <c r="I315" s="311">
        <v>0.30739299921230762</v>
      </c>
      <c r="J315" s="311">
        <v>1.8196534175450599E-2</v>
      </c>
      <c r="K315" s="311">
        <v>1.0591729045172275E-4</v>
      </c>
      <c r="L315" s="518">
        <v>1.9019300704939901E-2</v>
      </c>
      <c r="M315" s="519">
        <v>1.107064003249345E-4</v>
      </c>
    </row>
    <row r="316" spans="2:13" ht="15.75" x14ac:dyDescent="0.25">
      <c r="B316" s="212">
        <v>2028</v>
      </c>
      <c r="C316" s="309">
        <v>2023</v>
      </c>
      <c r="D316" s="250" t="s">
        <v>3497</v>
      </c>
      <c r="E316" s="517">
        <v>0.13228315947949928</v>
      </c>
      <c r="F316" s="310">
        <v>1.6253787118555098E-2</v>
      </c>
      <c r="G316" s="311">
        <v>2.6012917151447011E-2</v>
      </c>
      <c r="H316" s="311">
        <v>1.6740845801894899</v>
      </c>
      <c r="I316" s="311">
        <v>0.30739299921230662</v>
      </c>
      <c r="J316" s="311">
        <v>1.6713065516681901E-2</v>
      </c>
      <c r="K316" s="311">
        <v>1.0591729045172242E-4</v>
      </c>
      <c r="L316" s="518">
        <v>1.7468756176216502E-2</v>
      </c>
      <c r="M316" s="519">
        <v>1.1070640032493415E-4</v>
      </c>
    </row>
    <row r="317" spans="2:13" ht="15.75" x14ac:dyDescent="0.25">
      <c r="B317" s="212">
        <v>2028</v>
      </c>
      <c r="C317" s="309">
        <v>2024</v>
      </c>
      <c r="D317" s="250" t="s">
        <v>3498</v>
      </c>
      <c r="E317" s="517">
        <v>0.12227243892742479</v>
      </c>
      <c r="F317" s="310">
        <v>1.5648333776758599E-2</v>
      </c>
      <c r="G317" s="311">
        <v>2.6012917151447081E-2</v>
      </c>
      <c r="H317" s="311">
        <v>1.57625271454565</v>
      </c>
      <c r="I317" s="311">
        <v>0.30739299921230745</v>
      </c>
      <c r="J317" s="311">
        <v>1.5229596857913299E-2</v>
      </c>
      <c r="K317" s="311">
        <v>1.0591729045172269E-4</v>
      </c>
      <c r="L317" s="518">
        <v>1.5918211647492998E-2</v>
      </c>
      <c r="M317" s="519">
        <v>1.1070640032493444E-4</v>
      </c>
    </row>
    <row r="318" spans="2:13" ht="15.75" x14ac:dyDescent="0.25">
      <c r="B318" s="212">
        <v>2028</v>
      </c>
      <c r="C318" s="309">
        <v>2025</v>
      </c>
      <c r="D318" s="250" t="s">
        <v>3499</v>
      </c>
      <c r="E318" s="517">
        <v>0.12227243892742508</v>
      </c>
      <c r="F318" s="310">
        <v>1.5042880434962101E-2</v>
      </c>
      <c r="G318" s="311">
        <v>2.6012917151446897E-2</v>
      </c>
      <c r="H318" s="311">
        <v>1.47842084890182</v>
      </c>
      <c r="I318" s="311">
        <v>0.30739299921230601</v>
      </c>
      <c r="J318" s="311">
        <v>1.3746128199144701E-2</v>
      </c>
      <c r="K318" s="311">
        <v>1.059172904517222E-4</v>
      </c>
      <c r="L318" s="518">
        <v>1.43676671187695E-2</v>
      </c>
      <c r="M318" s="519">
        <v>1.1070640032493328E-4</v>
      </c>
    </row>
    <row r="319" spans="2:13" ht="15.75" x14ac:dyDescent="0.25">
      <c r="B319" s="212">
        <v>2028</v>
      </c>
      <c r="C319" s="309">
        <v>2026</v>
      </c>
      <c r="D319" s="250" t="s">
        <v>3500</v>
      </c>
      <c r="E319" s="517">
        <v>0.12227243892742501</v>
      </c>
      <c r="F319" s="310">
        <v>1.4437427093165599E-2</v>
      </c>
      <c r="G319" s="311">
        <v>2.6012917151446945E-2</v>
      </c>
      <c r="H319" s="311">
        <v>1.3805889832579901</v>
      </c>
      <c r="I319" s="311">
        <v>0.30739299921230584</v>
      </c>
      <c r="J319" s="311">
        <v>1.2262659540376E-2</v>
      </c>
      <c r="K319" s="311">
        <v>1.0591729045172216E-4</v>
      </c>
      <c r="L319" s="518">
        <v>1.2817122590046E-2</v>
      </c>
      <c r="M319" s="519">
        <v>1.1070640032493387E-4</v>
      </c>
    </row>
    <row r="320" spans="2:13" ht="15.75" x14ac:dyDescent="0.25">
      <c r="B320" s="212">
        <v>2028</v>
      </c>
      <c r="C320" s="309">
        <v>2027</v>
      </c>
      <c r="D320" s="250" t="s">
        <v>3501</v>
      </c>
      <c r="E320" s="517">
        <v>0.11786875001271419</v>
      </c>
      <c r="F320" s="310">
        <v>1.38319737513691E-2</v>
      </c>
      <c r="G320" s="311">
        <v>2.6012917151446976E-2</v>
      </c>
      <c r="H320" s="311">
        <v>1.2827571176141499</v>
      </c>
      <c r="I320" s="311">
        <v>0.30739299921230689</v>
      </c>
      <c r="J320" s="311">
        <v>1.0779190881607399E-2</v>
      </c>
      <c r="K320" s="311">
        <v>1.0591729045172228E-4</v>
      </c>
      <c r="L320" s="518">
        <v>1.1266578061322601E-2</v>
      </c>
      <c r="M320" s="519">
        <v>1.10706400324934E-4</v>
      </c>
    </row>
    <row r="321" spans="2:13" ht="15.75" x14ac:dyDescent="0.25">
      <c r="B321" s="212">
        <v>2028</v>
      </c>
      <c r="C321" s="309">
        <v>2028</v>
      </c>
      <c r="D321" s="250" t="s">
        <v>3502</v>
      </c>
      <c r="E321" s="517">
        <v>0.11786875001271412</v>
      </c>
      <c r="F321" s="310">
        <v>1.3226520409572701E-2</v>
      </c>
      <c r="G321" s="311">
        <v>2.6012917151446931E-2</v>
      </c>
      <c r="H321" s="311">
        <v>1.1849252519703199</v>
      </c>
      <c r="I321" s="311">
        <v>0.30739299921230567</v>
      </c>
      <c r="J321" s="311">
        <v>9.29572222283883E-3</v>
      </c>
      <c r="K321" s="311">
        <v>1.0591729045172209E-4</v>
      </c>
      <c r="L321" s="518">
        <v>9.7160335325991495E-3</v>
      </c>
      <c r="M321" s="519">
        <v>1.1070640032493381E-4</v>
      </c>
    </row>
    <row r="322" spans="2:13" ht="15.75" x14ac:dyDescent="0.25">
      <c r="B322" s="212">
        <v>2028</v>
      </c>
      <c r="C322" s="309">
        <v>2029</v>
      </c>
      <c r="D322" s="250" t="s">
        <v>4502</v>
      </c>
      <c r="E322" s="517">
        <v>0.12527889783888668</v>
      </c>
      <c r="F322" s="310">
        <v>1.2621067067776199E-2</v>
      </c>
      <c r="G322" s="311">
        <v>6.2431001163472881E-2</v>
      </c>
      <c r="H322" s="311">
        <v>1.08709338632649</v>
      </c>
      <c r="I322" s="311">
        <v>0.73774319810953803</v>
      </c>
      <c r="J322" s="311">
        <v>7.8122535640702002E-3</v>
      </c>
      <c r="K322" s="311">
        <v>2.5420149708413401E-4</v>
      </c>
      <c r="L322" s="518">
        <v>8.1654890038756894E-3</v>
      </c>
      <c r="M322" s="519">
        <v>2.6569536077984218E-4</v>
      </c>
    </row>
    <row r="323" spans="2:13" ht="15.75" x14ac:dyDescent="0.25">
      <c r="B323" s="212">
        <v>2029</v>
      </c>
      <c r="C323" s="309">
        <v>2012</v>
      </c>
      <c r="D323" s="250" t="s">
        <v>3530</v>
      </c>
      <c r="E323" s="517">
        <v>0.18043523514025719</v>
      </c>
      <c r="F323" s="310">
        <v>2.6245341964337199E-2</v>
      </c>
      <c r="G323" s="311">
        <v>5.4386706350422802E-2</v>
      </c>
      <c r="H323" s="311">
        <v>4.5353260095488004</v>
      </c>
      <c r="I323" s="311">
        <v>0.64268427431659647</v>
      </c>
      <c r="J323" s="311">
        <v>4.0491271135399798E-2</v>
      </c>
      <c r="K323" s="311">
        <v>2.2144738860669578E-4</v>
      </c>
      <c r="L323" s="518">
        <v>4.2322106738788001E-2</v>
      </c>
      <c r="M323" s="519">
        <v>2.3146025686125786E-4</v>
      </c>
    </row>
    <row r="324" spans="2:13" ht="15.75" x14ac:dyDescent="0.25">
      <c r="B324" s="212">
        <v>2029</v>
      </c>
      <c r="C324" s="309">
        <v>2013</v>
      </c>
      <c r="D324" s="250" t="s">
        <v>3531</v>
      </c>
      <c r="E324" s="517">
        <v>0.17921489194893381</v>
      </c>
      <c r="F324" s="310">
        <v>2.57319560344863E-2</v>
      </c>
      <c r="G324" s="311">
        <v>5.4386748978181063E-2</v>
      </c>
      <c r="H324" s="311">
        <v>4.3004189727966402</v>
      </c>
      <c r="I324" s="311">
        <v>0.64268477804612545</v>
      </c>
      <c r="J324" s="311">
        <v>3.9317437117001197E-2</v>
      </c>
      <c r="K324" s="311">
        <v>2.214475621749519E-4</v>
      </c>
      <c r="L324" s="518">
        <v>4.1095197154888699E-2</v>
      </c>
      <c r="M324" s="519">
        <v>2.3146043827750035E-4</v>
      </c>
    </row>
    <row r="325" spans="2:13" ht="15.75" x14ac:dyDescent="0.25">
      <c r="B325" s="212">
        <v>2029</v>
      </c>
      <c r="C325" s="309">
        <v>2014</v>
      </c>
      <c r="D325" s="250" t="s">
        <v>3532</v>
      </c>
      <c r="E325" s="517">
        <v>0.16148503866967462</v>
      </c>
      <c r="F325" s="310">
        <v>2.17904653467451E-2</v>
      </c>
      <c r="G325" s="311">
        <v>5.4386735352487066E-2</v>
      </c>
      <c r="H325" s="311">
        <v>2.74761142042711</v>
      </c>
      <c r="I325" s="311">
        <v>0.6426846170321584</v>
      </c>
      <c r="J325" s="311">
        <v>3.0163658524496401E-2</v>
      </c>
      <c r="K325" s="311">
        <v>2.2144750669495349E-4</v>
      </c>
      <c r="L325" s="518">
        <v>3.1527525313721799E-2</v>
      </c>
      <c r="M325" s="519">
        <v>2.3146038028894257E-4</v>
      </c>
    </row>
    <row r="326" spans="2:13" ht="15.75" x14ac:dyDescent="0.25">
      <c r="B326" s="212">
        <v>2029</v>
      </c>
      <c r="C326" s="309">
        <v>2015</v>
      </c>
      <c r="D326" s="250" t="s">
        <v>3533</v>
      </c>
      <c r="E326" s="517">
        <v>0.1580343815631316</v>
      </c>
      <c r="F326" s="310">
        <v>2.0625446914912599E-2</v>
      </c>
      <c r="G326" s="311">
        <v>4.8948058727854689E-2</v>
      </c>
      <c r="H326" s="311">
        <v>2.3798568320281199</v>
      </c>
      <c r="I326" s="311">
        <v>0.57841611882189203</v>
      </c>
      <c r="J326" s="311">
        <v>2.7429885897992098E-2</v>
      </c>
      <c r="K326" s="311">
        <v>1.9930274344635577E-4</v>
      </c>
      <c r="L326" s="518">
        <v>2.86701436199834E-2</v>
      </c>
      <c r="M326" s="519">
        <v>2.0831432911217474E-4</v>
      </c>
    </row>
    <row r="327" spans="2:13" ht="15.75" x14ac:dyDescent="0.25">
      <c r="B327" s="212">
        <v>2029</v>
      </c>
      <c r="C327" s="309">
        <v>2016</v>
      </c>
      <c r="D327" s="250" t="s">
        <v>3534</v>
      </c>
      <c r="E327" s="517">
        <v>0.15675178483785629</v>
      </c>
      <c r="F327" s="310">
        <v>2.0304713542398399E-2</v>
      </c>
      <c r="G327" s="311">
        <v>4.4053236676435431E-2</v>
      </c>
      <c r="H327" s="311">
        <v>2.3278549009515599</v>
      </c>
      <c r="I327" s="311">
        <v>0.52057431575780799</v>
      </c>
      <c r="J327" s="311">
        <v>2.6644830813842099E-2</v>
      </c>
      <c r="K327" s="311">
        <v>1.7937240322686871E-4</v>
      </c>
      <c r="L327" s="518">
        <v>2.7849591828558399E-2</v>
      </c>
      <c r="M327" s="519">
        <v>1.8748282734753734E-4</v>
      </c>
    </row>
    <row r="328" spans="2:13" ht="15.75" x14ac:dyDescent="0.25">
      <c r="B328" s="212">
        <v>2029</v>
      </c>
      <c r="C328" s="309">
        <v>2017</v>
      </c>
      <c r="D328" s="250" t="s">
        <v>3535</v>
      </c>
      <c r="E328" s="517">
        <v>0.14971000692625616</v>
      </c>
      <c r="F328" s="310">
        <v>1.99440906058964E-2</v>
      </c>
      <c r="G328" s="311">
        <v>3.9647801505441393E-2</v>
      </c>
      <c r="H328" s="311">
        <v>2.27037831821678</v>
      </c>
      <c r="I328" s="311">
        <v>0.46851556655397608</v>
      </c>
      <c r="J328" s="311">
        <v>2.5754987740166799E-2</v>
      </c>
      <c r="K328" s="311">
        <v>1.614347088938649E-4</v>
      </c>
      <c r="L328" s="518">
        <v>2.6919513999711701E-2</v>
      </c>
      <c r="M328" s="519">
        <v>1.6873407007413478E-4</v>
      </c>
    </row>
    <row r="329" spans="2:13" ht="15.75" x14ac:dyDescent="0.25">
      <c r="B329" s="212">
        <v>2029</v>
      </c>
      <c r="C329" s="309">
        <v>2018</v>
      </c>
      <c r="D329" s="250" t="s">
        <v>3536</v>
      </c>
      <c r="E329" s="517">
        <v>0.14870890743876575</v>
      </c>
      <c r="F329" s="310">
        <v>1.9546852572266099E-2</v>
      </c>
      <c r="G329" s="311">
        <v>3.5683021354896989E-2</v>
      </c>
      <c r="H329" s="311">
        <v>2.2061908669671402</v>
      </c>
      <c r="I329" s="311">
        <v>0.42166400989857616</v>
      </c>
      <c r="J329" s="311">
        <v>2.47816827286686E-2</v>
      </c>
      <c r="K329" s="311">
        <v>1.4529123800447732E-4</v>
      </c>
      <c r="L329" s="518">
        <v>2.59022004545706E-2</v>
      </c>
      <c r="M329" s="519">
        <v>1.5186066306672015E-4</v>
      </c>
    </row>
    <row r="330" spans="2:13" ht="15.75" x14ac:dyDescent="0.25">
      <c r="B330" s="212">
        <v>2029</v>
      </c>
      <c r="C330" s="309">
        <v>2019</v>
      </c>
      <c r="D330" s="250" t="s">
        <v>3537</v>
      </c>
      <c r="E330" s="517">
        <v>0.14780791790002551</v>
      </c>
      <c r="F330" s="310">
        <v>1.9105476979343599E-2</v>
      </c>
      <c r="G330" s="311">
        <v>3.2114719219407402E-2</v>
      </c>
      <c r="H330" s="311">
        <v>2.1348714766897601</v>
      </c>
      <c r="I330" s="311">
        <v>0.37949760890871992</v>
      </c>
      <c r="J330" s="311">
        <v>2.3700232715892899E-2</v>
      </c>
      <c r="K330" s="311">
        <v>1.3076211420403006E-4</v>
      </c>
      <c r="L330" s="518">
        <v>2.47718520710805E-2</v>
      </c>
      <c r="M330" s="519">
        <v>1.3667459676004862E-4</v>
      </c>
    </row>
    <row r="331" spans="2:13" ht="15.75" x14ac:dyDescent="0.25">
      <c r="B331" s="212">
        <v>2029</v>
      </c>
      <c r="C331" s="309">
        <v>2020</v>
      </c>
      <c r="D331" s="250" t="s">
        <v>3538</v>
      </c>
      <c r="E331" s="517">
        <v>0.14699702731515854</v>
      </c>
      <c r="F331" s="310">
        <v>1.8615059653874201E-2</v>
      </c>
      <c r="G331" s="311">
        <v>2.8903247297466728E-2</v>
      </c>
      <c r="H331" s="311">
        <v>2.0556277097148898</v>
      </c>
      <c r="I331" s="311">
        <v>0.34154784801784793</v>
      </c>
      <c r="J331" s="311">
        <v>2.24986215905866E-2</v>
      </c>
      <c r="K331" s="311">
        <v>1.1768590278362732E-4</v>
      </c>
      <c r="L331" s="518">
        <v>2.3515909422758201E-2</v>
      </c>
      <c r="M331" s="519">
        <v>1.2300713708404402E-4</v>
      </c>
    </row>
    <row r="332" spans="2:13" ht="15.75" x14ac:dyDescent="0.25">
      <c r="B332" s="212">
        <v>2029</v>
      </c>
      <c r="C332" s="309">
        <v>2021</v>
      </c>
      <c r="D332" s="250" t="s">
        <v>3539</v>
      </c>
      <c r="E332" s="517">
        <v>0.13228315833590096</v>
      </c>
      <c r="F332" s="310">
        <v>1.80701515144637E-2</v>
      </c>
      <c r="G332" s="311">
        <v>2.6012922567720247E-2</v>
      </c>
      <c r="H332" s="311">
        <v>1.9675790797428201</v>
      </c>
      <c r="I332" s="311">
        <v>0.30739306321606547</v>
      </c>
      <c r="J332" s="311">
        <v>2.1163498118024E-2</v>
      </c>
      <c r="K332" s="311">
        <v>1.0591731250526537E-4</v>
      </c>
      <c r="L332" s="518">
        <v>2.2120417591289E-2</v>
      </c>
      <c r="M332" s="519">
        <v>1.1070642337564046E-4</v>
      </c>
    </row>
    <row r="333" spans="2:13" ht="15.75" x14ac:dyDescent="0.25">
      <c r="B333" s="212">
        <v>2029</v>
      </c>
      <c r="C333" s="309">
        <v>2022</v>
      </c>
      <c r="D333" s="250" t="s">
        <v>3540</v>
      </c>
      <c r="E333" s="517">
        <v>0.13228315833590049</v>
      </c>
      <c r="F333" s="310">
        <v>1.74646980262298E-2</v>
      </c>
      <c r="G333" s="311">
        <v>2.6012922567720202E-2</v>
      </c>
      <c r="H333" s="311">
        <v>1.8697472686627301</v>
      </c>
      <c r="I333" s="311">
        <v>0.30739306321606491</v>
      </c>
      <c r="J333" s="311">
        <v>1.96800275929544E-2</v>
      </c>
      <c r="K333" s="311">
        <v>1.0591731250526519E-4</v>
      </c>
      <c r="L333" s="518">
        <v>2.0569871111878801E-2</v>
      </c>
      <c r="M333" s="519">
        <v>1.1070642337564027E-4</v>
      </c>
    </row>
    <row r="334" spans="2:13" ht="15.75" x14ac:dyDescent="0.25">
      <c r="B334" s="212">
        <v>2029</v>
      </c>
      <c r="C334" s="309">
        <v>2023</v>
      </c>
      <c r="D334" s="250" t="s">
        <v>3541</v>
      </c>
      <c r="E334" s="517">
        <v>0.13228315833590068</v>
      </c>
      <c r="F334" s="310">
        <v>1.68592445379959E-2</v>
      </c>
      <c r="G334" s="311">
        <v>2.601292256772008E-2</v>
      </c>
      <c r="H334" s="311">
        <v>1.7719154575826499</v>
      </c>
      <c r="I334" s="311">
        <v>0.30739306321606419</v>
      </c>
      <c r="J334" s="311">
        <v>1.8196557067884901E-2</v>
      </c>
      <c r="K334" s="311">
        <v>1.0591731250526495E-4</v>
      </c>
      <c r="L334" s="518">
        <v>1.9019324632468498E-2</v>
      </c>
      <c r="M334" s="519">
        <v>1.1070642337564001E-4</v>
      </c>
    </row>
    <row r="335" spans="2:13" ht="15.75" x14ac:dyDescent="0.25">
      <c r="B335" s="212">
        <v>2029</v>
      </c>
      <c r="C335" s="309">
        <v>2024</v>
      </c>
      <c r="D335" s="250" t="s">
        <v>3542</v>
      </c>
      <c r="E335" s="517">
        <v>0.1222724378703703</v>
      </c>
      <c r="F335" s="310">
        <v>1.6253791049762E-2</v>
      </c>
      <c r="G335" s="311">
        <v>2.6012922567720247E-2</v>
      </c>
      <c r="H335" s="311">
        <v>1.6740836465025699</v>
      </c>
      <c r="I335" s="311">
        <v>0.30739306321606541</v>
      </c>
      <c r="J335" s="311">
        <v>1.6713086542815302E-2</v>
      </c>
      <c r="K335" s="311">
        <v>1.0591731250526537E-4</v>
      </c>
      <c r="L335" s="518">
        <v>1.7468778153058299E-2</v>
      </c>
      <c r="M335" s="519">
        <v>1.1070642337564043E-4</v>
      </c>
    </row>
    <row r="336" spans="2:13" ht="15.75" x14ac:dyDescent="0.25">
      <c r="B336" s="212">
        <v>2029</v>
      </c>
      <c r="C336" s="309">
        <v>2025</v>
      </c>
      <c r="D336" s="250" t="s">
        <v>3543</v>
      </c>
      <c r="E336" s="517">
        <v>0.12227243787036962</v>
      </c>
      <c r="F336" s="310">
        <v>1.5648337561528201E-2</v>
      </c>
      <c r="G336" s="311">
        <v>2.6012922567720097E-2</v>
      </c>
      <c r="H336" s="311">
        <v>1.5762518354224899</v>
      </c>
      <c r="I336" s="311">
        <v>0.3073930632160643</v>
      </c>
      <c r="J336" s="311">
        <v>1.52296160177457E-2</v>
      </c>
      <c r="K336" s="311">
        <v>1.0591731250526477E-4</v>
      </c>
      <c r="L336" s="518">
        <v>1.5918231673648E-2</v>
      </c>
      <c r="M336" s="519">
        <v>1.1070642337563982E-4</v>
      </c>
    </row>
    <row r="337" spans="2:13" ht="15.75" x14ac:dyDescent="0.25">
      <c r="B337" s="212">
        <v>2029</v>
      </c>
      <c r="C337" s="309">
        <v>2026</v>
      </c>
      <c r="D337" s="250" t="s">
        <v>3544</v>
      </c>
      <c r="E337" s="517">
        <v>0.12227243787036976</v>
      </c>
      <c r="F337" s="310">
        <v>1.5042884073294301E-2</v>
      </c>
      <c r="G337" s="311">
        <v>2.6012922567720091E-2</v>
      </c>
      <c r="H337" s="311">
        <v>1.4784200243423999</v>
      </c>
      <c r="I337" s="311">
        <v>0.30739306321606358</v>
      </c>
      <c r="J337" s="311">
        <v>1.37461454926762E-2</v>
      </c>
      <c r="K337" s="311">
        <v>1.0591731250526473E-4</v>
      </c>
      <c r="L337" s="518">
        <v>1.4367685194237799E-2</v>
      </c>
      <c r="M337" s="519">
        <v>1.1070642337563978E-4</v>
      </c>
    </row>
    <row r="338" spans="2:13" ht="15.75" x14ac:dyDescent="0.25">
      <c r="B338" s="212">
        <v>2029</v>
      </c>
      <c r="C338" s="309">
        <v>2027</v>
      </c>
      <c r="D338" s="250" t="s">
        <v>3545</v>
      </c>
      <c r="E338" s="517">
        <v>0.11786874899372911</v>
      </c>
      <c r="F338" s="310">
        <v>1.4437430585060401E-2</v>
      </c>
      <c r="G338" s="311">
        <v>2.6012922567719986E-2</v>
      </c>
      <c r="H338" s="311">
        <v>1.38058821326232</v>
      </c>
      <c r="I338" s="311">
        <v>0.30739306321606308</v>
      </c>
      <c r="J338" s="311">
        <v>1.22626749676066E-2</v>
      </c>
      <c r="K338" s="311">
        <v>1.0591731250526457E-4</v>
      </c>
      <c r="L338" s="518">
        <v>1.28171387148275E-2</v>
      </c>
      <c r="M338" s="519">
        <v>1.1070642337563961E-4</v>
      </c>
    </row>
    <row r="339" spans="2:13" ht="15.75" x14ac:dyDescent="0.25">
      <c r="B339" s="212">
        <v>2029</v>
      </c>
      <c r="C339" s="309">
        <v>2028</v>
      </c>
      <c r="D339" s="250" t="s">
        <v>3546</v>
      </c>
      <c r="E339" s="517">
        <v>0.11786874899372893</v>
      </c>
      <c r="F339" s="310">
        <v>1.38319770968265E-2</v>
      </c>
      <c r="G339" s="311">
        <v>2.6012922567720073E-2</v>
      </c>
      <c r="H339" s="311">
        <v>1.28275640218224</v>
      </c>
      <c r="I339" s="311">
        <v>0.30739306321606413</v>
      </c>
      <c r="J339" s="311">
        <v>1.0779204442537001E-2</v>
      </c>
      <c r="K339" s="311">
        <v>1.0591731250526492E-4</v>
      </c>
      <c r="L339" s="518">
        <v>1.1266592235417301E-2</v>
      </c>
      <c r="M339" s="519">
        <v>1.1070642337563999E-4</v>
      </c>
    </row>
    <row r="340" spans="2:13" ht="15.75" x14ac:dyDescent="0.25">
      <c r="B340" s="212">
        <v>2029</v>
      </c>
      <c r="C340" s="309">
        <v>2029</v>
      </c>
      <c r="D340" s="250" t="s">
        <v>3547</v>
      </c>
      <c r="E340" s="517">
        <v>0.11786874899372901</v>
      </c>
      <c r="F340" s="310">
        <v>1.32265236085926E-2</v>
      </c>
      <c r="G340" s="311">
        <v>2.6012922567720084E-2</v>
      </c>
      <c r="H340" s="311">
        <v>1.18492459110216</v>
      </c>
      <c r="I340" s="311">
        <v>0.30739306321606347</v>
      </c>
      <c r="J340" s="311">
        <v>9.2957339174675E-3</v>
      </c>
      <c r="K340" s="311">
        <v>1.059173125052647E-4</v>
      </c>
      <c r="L340" s="518">
        <v>9.7160457560070395E-3</v>
      </c>
      <c r="M340" s="519">
        <v>1.1070642337563976E-4</v>
      </c>
    </row>
    <row r="341" spans="2:13" ht="15.75" x14ac:dyDescent="0.25">
      <c r="B341" s="212">
        <v>2029</v>
      </c>
      <c r="C341" s="309">
        <v>2030</v>
      </c>
      <c r="D341" s="250" t="s">
        <v>4503</v>
      </c>
      <c r="E341" s="517">
        <v>0.12527889836280404</v>
      </c>
      <c r="F341" s="310">
        <v>1.26210701203587E-2</v>
      </c>
      <c r="G341" s="311">
        <v>6.2431014162528262E-2</v>
      </c>
      <c r="H341" s="311">
        <v>1.08709278002207</v>
      </c>
      <c r="I341" s="311">
        <v>0.73774335171855487</v>
      </c>
      <c r="J341" s="311">
        <v>7.8122633923979404E-3</v>
      </c>
      <c r="K341" s="311">
        <v>2.5420155001263614E-4</v>
      </c>
      <c r="L341" s="518">
        <v>8.1654992765967903E-3</v>
      </c>
      <c r="M341" s="519">
        <v>2.6569541610153629E-4</v>
      </c>
    </row>
    <row r="342" spans="2:13" ht="15.75" x14ac:dyDescent="0.25">
      <c r="B342" s="212">
        <v>2030</v>
      </c>
      <c r="C342" s="309">
        <v>2012</v>
      </c>
      <c r="D342" s="250" t="s">
        <v>3574</v>
      </c>
      <c r="E342" s="517">
        <v>0.18043523464425376</v>
      </c>
      <c r="F342" s="310">
        <v>2.6245344253152902E-2</v>
      </c>
      <c r="G342" s="311">
        <v>5.4386707280650488E-2</v>
      </c>
      <c r="H342" s="311">
        <v>4.53532639016918</v>
      </c>
      <c r="I342" s="311">
        <v>0.64268428530903832</v>
      </c>
      <c r="J342" s="311">
        <v>4.0491294311960101E-2</v>
      </c>
      <c r="K342" s="311">
        <v>2.2144739239432157E-4</v>
      </c>
      <c r="L342" s="518">
        <v>4.2322130963289503E-2</v>
      </c>
      <c r="M342" s="519">
        <v>2.3146026082014327E-4</v>
      </c>
    </row>
    <row r="343" spans="2:13" ht="15.75" x14ac:dyDescent="0.25">
      <c r="B343" s="212">
        <v>2030</v>
      </c>
      <c r="C343" s="309">
        <v>2013</v>
      </c>
      <c r="D343" s="250" t="s">
        <v>3575</v>
      </c>
      <c r="E343" s="517">
        <v>0.17921489097473478</v>
      </c>
      <c r="F343" s="310">
        <v>2.5734714028155199E-2</v>
      </c>
      <c r="G343" s="311">
        <v>5.4386747747313433E-2</v>
      </c>
      <c r="H343" s="311">
        <v>4.3009922455909102</v>
      </c>
      <c r="I343" s="311">
        <v>0.64268476350104031</v>
      </c>
      <c r="J343" s="311">
        <v>3.9324070162704103E-2</v>
      </c>
      <c r="K343" s="311">
        <v>2.2144755716320473E-4</v>
      </c>
      <c r="L343" s="518">
        <v>4.1102130117484599E-2</v>
      </c>
      <c r="M343" s="519">
        <v>2.3146043303914421E-4</v>
      </c>
    </row>
    <row r="344" spans="2:13" ht="15.75" x14ac:dyDescent="0.25">
      <c r="B344" s="212">
        <v>2030</v>
      </c>
      <c r="C344" s="309">
        <v>2014</v>
      </c>
      <c r="D344" s="250" t="s">
        <v>3576</v>
      </c>
      <c r="E344" s="517">
        <v>0.16148503796932531</v>
      </c>
      <c r="F344" s="310">
        <v>2.2078003958770999E-2</v>
      </c>
      <c r="G344" s="311">
        <v>5.4386735180625145E-2</v>
      </c>
      <c r="H344" s="311">
        <v>2.79664870492073</v>
      </c>
      <c r="I344" s="311">
        <v>0.64268461500127694</v>
      </c>
      <c r="J344" s="311">
        <v>3.0864261939296301E-2</v>
      </c>
      <c r="K344" s="311">
        <v>2.2144750599518005E-4</v>
      </c>
      <c r="L344" s="518">
        <v>3.2259806906057398E-2</v>
      </c>
      <c r="M344" s="519">
        <v>2.3146037955752848E-4</v>
      </c>
    </row>
    <row r="345" spans="2:13" ht="15.75" x14ac:dyDescent="0.25">
      <c r="B345" s="212">
        <v>2030</v>
      </c>
      <c r="C345" s="309">
        <v>2015</v>
      </c>
      <c r="D345" s="250" t="s">
        <v>3577</v>
      </c>
      <c r="E345" s="517">
        <v>0.15946159443996344</v>
      </c>
      <c r="F345" s="310">
        <v>2.0915064961963301E-2</v>
      </c>
      <c r="G345" s="311">
        <v>5.4386731433832582E-2</v>
      </c>
      <c r="H345" s="311">
        <v>2.4266433613024501</v>
      </c>
      <c r="I345" s="311">
        <v>0.64268457072566731</v>
      </c>
      <c r="J345" s="311">
        <v>2.8139714370786599E-2</v>
      </c>
      <c r="K345" s="311">
        <v>2.214474907392939E-4</v>
      </c>
      <c r="L345" s="518">
        <v>2.9412067386500401E-2</v>
      </c>
      <c r="M345" s="519">
        <v>2.3146036361183886E-4</v>
      </c>
    </row>
    <row r="346" spans="2:13" ht="15.75" x14ac:dyDescent="0.25">
      <c r="B346" s="212">
        <v>2030</v>
      </c>
      <c r="C346" s="309">
        <v>2016</v>
      </c>
      <c r="D346" s="250" t="s">
        <v>3578</v>
      </c>
      <c r="E346" s="517">
        <v>0.15803627599811298</v>
      </c>
      <c r="F346" s="310">
        <v>2.0626527868316199E-2</v>
      </c>
      <c r="G346" s="311">
        <v>4.8948040966895971E-2</v>
      </c>
      <c r="H346" s="311">
        <v>2.3798396470739598</v>
      </c>
      <c r="I346" s="311">
        <v>0.57841590894176587</v>
      </c>
      <c r="J346" s="311">
        <v>2.7433634071330201E-2</v>
      </c>
      <c r="K346" s="311">
        <v>1.9930267112872223E-4</v>
      </c>
      <c r="L346" s="518">
        <v>2.8674061269087499E-2</v>
      </c>
      <c r="M346" s="519">
        <v>2.083142535246587E-4</v>
      </c>
    </row>
    <row r="347" spans="2:13" ht="15.75" x14ac:dyDescent="0.25">
      <c r="B347" s="212">
        <v>2030</v>
      </c>
      <c r="C347" s="309">
        <v>2017</v>
      </c>
      <c r="D347" s="250" t="s">
        <v>3579</v>
      </c>
      <c r="E347" s="517">
        <v>0.15082233997615685</v>
      </c>
      <c r="F347" s="310">
        <v>2.0301606808136401E-2</v>
      </c>
      <c r="G347" s="311">
        <v>4.4053118124725378E-2</v>
      </c>
      <c r="H347" s="311">
        <v>2.3281464775825498</v>
      </c>
      <c r="I347" s="311">
        <v>0.52057291483973711</v>
      </c>
      <c r="J347" s="311">
        <v>2.6630976541068399E-2</v>
      </c>
      <c r="K347" s="311">
        <v>1.7937192051761184E-4</v>
      </c>
      <c r="L347" s="518">
        <v>2.7835111127047299E-2</v>
      </c>
      <c r="M347" s="519">
        <v>1.8748232281230986E-4</v>
      </c>
    </row>
    <row r="348" spans="2:13" ht="15.75" x14ac:dyDescent="0.25">
      <c r="B348" s="212">
        <v>2030</v>
      </c>
      <c r="C348" s="309">
        <v>2018</v>
      </c>
      <c r="D348" s="250" t="s">
        <v>3580</v>
      </c>
      <c r="E348" s="517">
        <v>0.1497100070774213</v>
      </c>
      <c r="F348" s="310">
        <v>1.99440925431425E-2</v>
      </c>
      <c r="G348" s="311">
        <v>3.9647806312252863E-2</v>
      </c>
      <c r="H348" s="311">
        <v>2.27037778502469</v>
      </c>
      <c r="I348" s="311">
        <v>0.46851562335576363</v>
      </c>
      <c r="J348" s="311">
        <v>2.5755001560659699E-2</v>
      </c>
      <c r="K348" s="311">
        <v>1.6143472846585075E-4</v>
      </c>
      <c r="L348" s="518">
        <v>2.6919528445105902E-2</v>
      </c>
      <c r="M348" s="519">
        <v>1.6873409053107895E-4</v>
      </c>
    </row>
    <row r="349" spans="2:13" ht="15.75" x14ac:dyDescent="0.25">
      <c r="B349" s="212">
        <v>2030</v>
      </c>
      <c r="C349" s="309">
        <v>2019</v>
      </c>
      <c r="D349" s="250" t="s">
        <v>3581</v>
      </c>
      <c r="E349" s="517">
        <v>0.14870890746856161</v>
      </c>
      <c r="F349" s="310">
        <v>1.9546854470927001E-2</v>
      </c>
      <c r="G349" s="311">
        <v>3.5683025681027533E-2</v>
      </c>
      <c r="H349" s="311">
        <v>2.2061903488493</v>
      </c>
      <c r="I349" s="311">
        <v>0.42166406102018672</v>
      </c>
      <c r="J349" s="311">
        <v>2.4781696026872201E-2</v>
      </c>
      <c r="K349" s="311">
        <v>1.452912556192655E-4</v>
      </c>
      <c r="L349" s="518">
        <v>2.5902214354059899E-2</v>
      </c>
      <c r="M349" s="519">
        <v>1.518606814779709E-4</v>
      </c>
    </row>
    <row r="350" spans="2:13" ht="15.75" x14ac:dyDescent="0.25">
      <c r="B350" s="212">
        <v>2030</v>
      </c>
      <c r="C350" s="309">
        <v>2020</v>
      </c>
      <c r="D350" s="250" t="s">
        <v>3582</v>
      </c>
      <c r="E350" s="517">
        <v>0.14780791782058553</v>
      </c>
      <c r="F350" s="310">
        <v>1.9105478835132E-2</v>
      </c>
      <c r="G350" s="311">
        <v>3.2114723112924848E-2</v>
      </c>
      <c r="H350" s="311">
        <v>2.1348709753210802</v>
      </c>
      <c r="I350" s="311">
        <v>0.37949765491816884</v>
      </c>
      <c r="J350" s="311">
        <v>2.3700245433775E-2</v>
      </c>
      <c r="K350" s="311">
        <v>1.3076213005733923E-4</v>
      </c>
      <c r="L350" s="518">
        <v>2.4771865364008799E-2</v>
      </c>
      <c r="M350" s="519">
        <v>1.366746133301741E-4</v>
      </c>
    </row>
    <row r="351" spans="2:13" ht="15.75" x14ac:dyDescent="0.25">
      <c r="B351" s="212">
        <v>2030</v>
      </c>
      <c r="C351" s="309">
        <v>2021</v>
      </c>
      <c r="D351" s="250" t="s">
        <v>3583</v>
      </c>
      <c r="E351" s="517">
        <v>0.13294318608192568</v>
      </c>
      <c r="F351" s="310">
        <v>1.8615061462026398E-2</v>
      </c>
      <c r="G351" s="311">
        <v>2.8903250801632519E-2</v>
      </c>
      <c r="H351" s="311">
        <v>2.05562722695639</v>
      </c>
      <c r="I351" s="311">
        <v>0.34154788942635378</v>
      </c>
      <c r="J351" s="311">
        <v>2.2498633663667101E-2</v>
      </c>
      <c r="K351" s="311">
        <v>1.1768591705160594E-4</v>
      </c>
      <c r="L351" s="518">
        <v>2.3515922041729899E-2</v>
      </c>
      <c r="M351" s="519">
        <v>1.2300715199715736E-4</v>
      </c>
    </row>
    <row r="352" spans="2:13" ht="15.75" x14ac:dyDescent="0.25">
      <c r="B352" s="212">
        <v>2030</v>
      </c>
      <c r="C352" s="309">
        <v>2022</v>
      </c>
      <c r="D352" s="250" t="s">
        <v>3584</v>
      </c>
      <c r="E352" s="517">
        <v>0.13228315809512373</v>
      </c>
      <c r="F352" s="310">
        <v>1.80701532696869E-2</v>
      </c>
      <c r="G352" s="311">
        <v>2.6012925721469057E-2</v>
      </c>
      <c r="H352" s="311">
        <v>1.9675786176623</v>
      </c>
      <c r="I352" s="311">
        <v>0.30739310048371671</v>
      </c>
      <c r="J352" s="311">
        <v>2.1163509474658199E-2</v>
      </c>
      <c r="K352" s="311">
        <v>1.0591732534644474E-4</v>
      </c>
      <c r="L352" s="518">
        <v>2.2120429461419799E-2</v>
      </c>
      <c r="M352" s="519">
        <v>1.1070643679744097E-4</v>
      </c>
    </row>
    <row r="353" spans="2:13" ht="15.75" x14ac:dyDescent="0.25">
      <c r="B353" s="212">
        <v>2030</v>
      </c>
      <c r="C353" s="309">
        <v>2023</v>
      </c>
      <c r="D353" s="250" t="s">
        <v>3585</v>
      </c>
      <c r="E353" s="517">
        <v>0.13228315809512373</v>
      </c>
      <c r="F353" s="310">
        <v>1.7464699722643001E-2</v>
      </c>
      <c r="G353" s="311">
        <v>2.6012925721469102E-2</v>
      </c>
      <c r="H353" s="311">
        <v>1.86974682955775</v>
      </c>
      <c r="I353" s="311">
        <v>0.30739310048371649</v>
      </c>
      <c r="J353" s="311">
        <v>1.9680038153537201E-2</v>
      </c>
      <c r="K353" s="311">
        <v>1.0591732534644467E-4</v>
      </c>
      <c r="L353" s="518">
        <v>2.0569882149964299E-2</v>
      </c>
      <c r="M353" s="519">
        <v>1.107064367974409E-4</v>
      </c>
    </row>
    <row r="354" spans="2:13" ht="15.75" x14ac:dyDescent="0.25">
      <c r="B354" s="212">
        <v>2030</v>
      </c>
      <c r="C354" s="309">
        <v>2024</v>
      </c>
      <c r="D354" s="250" t="s">
        <v>3586</v>
      </c>
      <c r="E354" s="517">
        <v>0.12227243764781394</v>
      </c>
      <c r="F354" s="310">
        <v>1.6859246175599099E-2</v>
      </c>
      <c r="G354" s="311">
        <v>2.6012925721469085E-2</v>
      </c>
      <c r="H354" s="311">
        <v>1.7719150414531899</v>
      </c>
      <c r="I354" s="311">
        <v>0.30739310048371626</v>
      </c>
      <c r="J354" s="311">
        <v>1.81965668324163E-2</v>
      </c>
      <c r="K354" s="311">
        <v>1.0591732534644461E-4</v>
      </c>
      <c r="L354" s="518">
        <v>1.9019334838508699E-2</v>
      </c>
      <c r="M354" s="519">
        <v>1.1070643679744082E-4</v>
      </c>
    </row>
    <row r="355" spans="2:13" ht="15.75" x14ac:dyDescent="0.25">
      <c r="B355" s="212">
        <v>2030</v>
      </c>
      <c r="C355" s="309">
        <v>2025</v>
      </c>
      <c r="D355" s="250" t="s">
        <v>3587</v>
      </c>
      <c r="E355" s="517">
        <v>0.12227243764781433</v>
      </c>
      <c r="F355" s="310">
        <v>1.62537926285552E-2</v>
      </c>
      <c r="G355" s="311">
        <v>2.6012925721469054E-2</v>
      </c>
      <c r="H355" s="311">
        <v>1.6740832533486401</v>
      </c>
      <c r="I355" s="311">
        <v>0.30739310048371671</v>
      </c>
      <c r="J355" s="311">
        <v>1.6713095511295298E-2</v>
      </c>
      <c r="K355" s="311">
        <v>1.0591732534644474E-4</v>
      </c>
      <c r="L355" s="518">
        <v>1.7468787527053199E-2</v>
      </c>
      <c r="M355" s="519">
        <v>1.1070643679744098E-4</v>
      </c>
    </row>
    <row r="356" spans="2:13" ht="15.75" x14ac:dyDescent="0.25">
      <c r="B356" s="212">
        <v>2030</v>
      </c>
      <c r="C356" s="309">
        <v>2026</v>
      </c>
      <c r="D356" s="250" t="s">
        <v>3588</v>
      </c>
      <c r="E356" s="517">
        <v>0.12227243764781452</v>
      </c>
      <c r="F356" s="310">
        <v>1.5648339081511298E-2</v>
      </c>
      <c r="G356" s="311">
        <v>2.6012925721469061E-2</v>
      </c>
      <c r="H356" s="311">
        <v>1.57625146524409</v>
      </c>
      <c r="I356" s="311">
        <v>0.30739310048371671</v>
      </c>
      <c r="J356" s="311">
        <v>1.5229624190174399E-2</v>
      </c>
      <c r="K356" s="311">
        <v>1.0591732534644477E-4</v>
      </c>
      <c r="L356" s="518">
        <v>1.5918240215597599E-2</v>
      </c>
      <c r="M356" s="519">
        <v>1.10706436797441E-4</v>
      </c>
    </row>
    <row r="357" spans="2:13" ht="15.75" x14ac:dyDescent="0.25">
      <c r="B357" s="212">
        <v>2030</v>
      </c>
      <c r="C357" s="309">
        <v>2027</v>
      </c>
      <c r="D357" s="250" t="s">
        <v>3589</v>
      </c>
      <c r="E357" s="517">
        <v>0.11786874877918888</v>
      </c>
      <c r="F357" s="310">
        <v>1.50428855344674E-2</v>
      </c>
      <c r="G357" s="311">
        <v>2.6012925721469002E-2</v>
      </c>
      <c r="H357" s="311">
        <v>1.4784196771395399</v>
      </c>
      <c r="I357" s="311">
        <v>0.30739310048371599</v>
      </c>
      <c r="J357" s="311">
        <v>1.37461528690534E-2</v>
      </c>
      <c r="K357" s="311">
        <v>1.0591732534644427E-4</v>
      </c>
      <c r="L357" s="518">
        <v>1.4367692904142099E-2</v>
      </c>
      <c r="M357" s="519">
        <v>1.1070643679744048E-4</v>
      </c>
    </row>
    <row r="358" spans="2:13" ht="15.75" x14ac:dyDescent="0.25">
      <c r="B358" s="212">
        <v>2030</v>
      </c>
      <c r="C358" s="309">
        <v>2028</v>
      </c>
      <c r="D358" s="250" t="s">
        <v>3590</v>
      </c>
      <c r="E358" s="517">
        <v>0.11786874877918897</v>
      </c>
      <c r="F358" s="310">
        <v>1.4437431987423499E-2</v>
      </c>
      <c r="G358" s="311">
        <v>2.6012925721469012E-2</v>
      </c>
      <c r="H358" s="311">
        <v>1.3805878890349901</v>
      </c>
      <c r="I358" s="311">
        <v>0.30739310048371604</v>
      </c>
      <c r="J358" s="311">
        <v>1.2262681547932501E-2</v>
      </c>
      <c r="K358" s="311">
        <v>1.0591732534644429E-4</v>
      </c>
      <c r="L358" s="518">
        <v>1.2817145592686501E-2</v>
      </c>
      <c r="M358" s="519">
        <v>1.1070643679744052E-4</v>
      </c>
    </row>
    <row r="359" spans="2:13" ht="15.75" x14ac:dyDescent="0.25">
      <c r="B359" s="212">
        <v>2030</v>
      </c>
      <c r="C359" s="309">
        <v>2029</v>
      </c>
      <c r="D359" s="250" t="s">
        <v>3591</v>
      </c>
      <c r="E359" s="517">
        <v>0.117868748779189</v>
      </c>
      <c r="F359" s="310">
        <v>1.3831978440379601E-2</v>
      </c>
      <c r="G359" s="311">
        <v>2.6012925721468998E-2</v>
      </c>
      <c r="H359" s="311">
        <v>1.28275610093044</v>
      </c>
      <c r="I359" s="311">
        <v>0.30739310048371526</v>
      </c>
      <c r="J359" s="311">
        <v>1.0779210226811499E-2</v>
      </c>
      <c r="K359" s="311">
        <v>1.0591732534644425E-4</v>
      </c>
      <c r="L359" s="518">
        <v>1.1266598281230999E-2</v>
      </c>
      <c r="M359" s="519">
        <v>1.1070643679744047E-4</v>
      </c>
    </row>
    <row r="360" spans="2:13" ht="15.75" x14ac:dyDescent="0.25">
      <c r="B360" s="212">
        <v>2030</v>
      </c>
      <c r="C360" s="309">
        <v>2030</v>
      </c>
      <c r="D360" s="250" t="s">
        <v>3592</v>
      </c>
      <c r="E360" s="517">
        <v>0.11786874877918857</v>
      </c>
      <c r="F360" s="310">
        <v>1.32265248933356E-2</v>
      </c>
      <c r="G360" s="311">
        <v>2.6012925721468919E-2</v>
      </c>
      <c r="H360" s="311">
        <v>1.18492431282588</v>
      </c>
      <c r="I360" s="311">
        <v>0.30739310048371499</v>
      </c>
      <c r="J360" s="311">
        <v>9.2957389056905794E-3</v>
      </c>
      <c r="K360" s="311">
        <v>1.0591732534644393E-4</v>
      </c>
      <c r="L360" s="518">
        <v>9.7160509697754392E-3</v>
      </c>
      <c r="M360" s="519">
        <v>1.1070643679744012E-4</v>
      </c>
    </row>
    <row r="361" spans="2:13" ht="15.75" x14ac:dyDescent="0.25">
      <c r="B361" s="212">
        <v>2030</v>
      </c>
      <c r="C361" s="309">
        <v>2031</v>
      </c>
      <c r="D361" s="250" t="s">
        <v>4504</v>
      </c>
      <c r="E361" s="517">
        <v>0.12527889904665435</v>
      </c>
      <c r="F361" s="310">
        <v>1.26210713462917E-2</v>
      </c>
      <c r="G361" s="311">
        <v>6.2431021731525885E-2</v>
      </c>
      <c r="H361" s="311">
        <v>1.0870925247213299</v>
      </c>
      <c r="I361" s="311">
        <v>0.73774344116092183</v>
      </c>
      <c r="J361" s="311">
        <v>7.81226758456963E-3</v>
      </c>
      <c r="K361" s="311">
        <v>2.5420158083146801E-4</v>
      </c>
      <c r="L361" s="518">
        <v>8.1655036583198892E-3</v>
      </c>
      <c r="M361" s="519">
        <v>2.65695448313859E-4</v>
      </c>
    </row>
    <row r="362" spans="2:13" ht="15.75" x14ac:dyDescent="0.25">
      <c r="B362" s="212">
        <v>2031</v>
      </c>
      <c r="C362" s="309">
        <v>2012</v>
      </c>
      <c r="D362" s="250" t="s">
        <v>3618</v>
      </c>
      <c r="E362" s="517">
        <v>0.18035356754994167</v>
      </c>
      <c r="F362" s="310">
        <v>2.62171700383142E-2</v>
      </c>
      <c r="G362" s="311">
        <v>5.4386709499177725E-2</v>
      </c>
      <c r="H362" s="311">
        <v>4.5264616788552798</v>
      </c>
      <c r="I362" s="311">
        <v>0.64268431152523597</v>
      </c>
      <c r="J362" s="311">
        <v>4.0268358711971597E-2</v>
      </c>
      <c r="K362" s="311">
        <v>2.2144740142754116E-4</v>
      </c>
      <c r="L362" s="518">
        <v>4.2089115204731603E-2</v>
      </c>
      <c r="M362" s="519">
        <v>2.3146027026180497E-4</v>
      </c>
    </row>
    <row r="363" spans="2:13" ht="15.75" x14ac:dyDescent="0.25">
      <c r="B363" s="212">
        <v>2031</v>
      </c>
      <c r="C363" s="309">
        <v>2013</v>
      </c>
      <c r="D363" s="250" t="s">
        <v>3619</v>
      </c>
      <c r="E363" s="517">
        <v>0.17913419098032296</v>
      </c>
      <c r="F363" s="310">
        <v>2.5706572056363099E-2</v>
      </c>
      <c r="G363" s="311">
        <v>5.4386755407702589E-2</v>
      </c>
      <c r="H363" s="311">
        <v>4.2933614123315698</v>
      </c>
      <c r="I363" s="311">
        <v>0.64268485402337372</v>
      </c>
      <c r="J363" s="311">
        <v>3.9108043281441497E-2</v>
      </c>
      <c r="K363" s="311">
        <v>2.214475883541567E-4</v>
      </c>
      <c r="L363" s="518">
        <v>4.0876335459256397E-2</v>
      </c>
      <c r="M363" s="519">
        <v>2.314604656404126E-4</v>
      </c>
    </row>
    <row r="364" spans="2:13" ht="15.75" x14ac:dyDescent="0.25">
      <c r="B364" s="212">
        <v>2031</v>
      </c>
      <c r="C364" s="309">
        <v>2014</v>
      </c>
      <c r="D364" s="250" t="s">
        <v>3620</v>
      </c>
      <c r="E364" s="517">
        <v>0.161412653823689</v>
      </c>
      <c r="F364" s="310">
        <v>2.2052090942191301E-2</v>
      </c>
      <c r="G364" s="311">
        <v>5.4386742024776259E-2</v>
      </c>
      <c r="H364" s="311">
        <v>2.7968187432496898</v>
      </c>
      <c r="I364" s="311">
        <v>0.64268469587817834</v>
      </c>
      <c r="J364" s="311">
        <v>3.06994807755059E-2</v>
      </c>
      <c r="K364" s="311">
        <v>2.2144753386264053E-4</v>
      </c>
      <c r="L364" s="518">
        <v>3.2087575069245901E-2</v>
      </c>
      <c r="M364" s="519">
        <v>2.3146040868503184E-4</v>
      </c>
    </row>
    <row r="365" spans="2:13" ht="15.75" x14ac:dyDescent="0.25">
      <c r="B365" s="212">
        <v>2031</v>
      </c>
      <c r="C365" s="309">
        <v>2015</v>
      </c>
      <c r="D365" s="250" t="s">
        <v>3621</v>
      </c>
      <c r="E365" s="517">
        <v>0.15939022061658559</v>
      </c>
      <c r="F365" s="310">
        <v>2.1148067074839599E-2</v>
      </c>
      <c r="G365" s="311">
        <v>5.4386739417616847E-2</v>
      </c>
      <c r="H365" s="311">
        <v>2.4701284575387099</v>
      </c>
      <c r="I365" s="311">
        <v>0.64268466506954169</v>
      </c>
      <c r="J365" s="311">
        <v>2.8620440952253998E-2</v>
      </c>
      <c r="K365" s="311">
        <v>2.214475232470199E-4</v>
      </c>
      <c r="L365" s="518">
        <v>2.99145302907892E-2</v>
      </c>
      <c r="M365" s="519">
        <v>2.3146039758941997E-4</v>
      </c>
    </row>
    <row r="366" spans="2:13" ht="15.75" x14ac:dyDescent="0.25">
      <c r="B366" s="212">
        <v>2031</v>
      </c>
      <c r="C366" s="309">
        <v>2016</v>
      </c>
      <c r="D366" s="250" t="s">
        <v>3622</v>
      </c>
      <c r="E366" s="517">
        <v>0.15939219253910006</v>
      </c>
      <c r="F366" s="310">
        <v>2.08888837836586E-2</v>
      </c>
      <c r="G366" s="311">
        <v>5.4386719587579402E-2</v>
      </c>
      <c r="H366" s="311">
        <v>2.4279787747745498</v>
      </c>
      <c r="I366" s="311">
        <v>0.64268443073924009</v>
      </c>
      <c r="J366" s="311">
        <v>2.79890985690796E-2</v>
      </c>
      <c r="K366" s="311">
        <v>2.2144744250467851E-4</v>
      </c>
      <c r="L366" s="518">
        <v>2.92546414065879E-2</v>
      </c>
      <c r="M366" s="519">
        <v>2.3146031319626819E-4</v>
      </c>
    </row>
    <row r="367" spans="2:13" ht="15.75" x14ac:dyDescent="0.25">
      <c r="B367" s="212">
        <v>2031</v>
      </c>
      <c r="C367" s="309">
        <v>2017</v>
      </c>
      <c r="D367" s="250" t="s">
        <v>3623</v>
      </c>
      <c r="E367" s="517">
        <v>0.15198936909446967</v>
      </c>
      <c r="F367" s="310">
        <v>2.0596408607159299E-2</v>
      </c>
      <c r="G367" s="311">
        <v>4.8947910412637179E-2</v>
      </c>
      <c r="H367" s="311">
        <v>2.3814559163510198</v>
      </c>
      <c r="I367" s="311">
        <v>0.57841436619033193</v>
      </c>
      <c r="J367" s="311">
        <v>2.72685664450571E-2</v>
      </c>
      <c r="K367" s="311">
        <v>1.9930213954845845E-4</v>
      </c>
      <c r="L367" s="518">
        <v>2.8501530017231099E-2</v>
      </c>
      <c r="M367" s="519">
        <v>2.0831369790869428E-4</v>
      </c>
    </row>
    <row r="368" spans="2:13" ht="15.75" x14ac:dyDescent="0.25">
      <c r="B368" s="212">
        <v>2031</v>
      </c>
      <c r="C368" s="309">
        <v>2018</v>
      </c>
      <c r="D368" s="250" t="s">
        <v>3624</v>
      </c>
      <c r="E368" s="517">
        <v>0.1507534436164551</v>
      </c>
      <c r="F368" s="310">
        <v>2.02750664109137E-2</v>
      </c>
      <c r="G368" s="311">
        <v>4.4053119371373413E-2</v>
      </c>
      <c r="H368" s="311">
        <v>2.3294353110111601</v>
      </c>
      <c r="I368" s="311">
        <v>0.52057292957129819</v>
      </c>
      <c r="J368" s="311">
        <v>2.64845244963169E-2</v>
      </c>
      <c r="K368" s="311">
        <v>1.7937192559361242E-4</v>
      </c>
      <c r="L368" s="518">
        <v>2.7682037170703399E-2</v>
      </c>
      <c r="M368" s="519">
        <v>1.8748232811782462E-4</v>
      </c>
    </row>
    <row r="369" spans="2:13" ht="15.75" x14ac:dyDescent="0.25">
      <c r="B369" s="212">
        <v>2031</v>
      </c>
      <c r="C369" s="309">
        <v>2019</v>
      </c>
      <c r="D369" s="250" t="s">
        <v>3625</v>
      </c>
      <c r="E369" s="517">
        <v>0.14964111068624317</v>
      </c>
      <c r="F369" s="310">
        <v>1.99180195261963E-2</v>
      </c>
      <c r="G369" s="311">
        <v>3.9647807434236022E-2</v>
      </c>
      <c r="H369" s="311">
        <v>2.27163463841132</v>
      </c>
      <c r="I369" s="311">
        <v>0.46851563661416767</v>
      </c>
      <c r="J369" s="311">
        <v>2.5613366775494299E-2</v>
      </c>
      <c r="K369" s="311">
        <v>1.6143473303425093E-4</v>
      </c>
      <c r="L369" s="518">
        <v>2.67714895634504E-2</v>
      </c>
      <c r="M369" s="519">
        <v>1.6873409530604195E-4</v>
      </c>
    </row>
    <row r="370" spans="2:13" ht="15.75" x14ac:dyDescent="0.25">
      <c r="B370" s="212">
        <v>2031</v>
      </c>
      <c r="C370" s="309">
        <v>2020</v>
      </c>
      <c r="D370" s="250" t="s">
        <v>3626</v>
      </c>
      <c r="E370" s="517">
        <v>0.14864001104905233</v>
      </c>
      <c r="F370" s="310">
        <v>1.9521300765399301E-2</v>
      </c>
      <c r="G370" s="311">
        <v>3.5683026690812629E-2</v>
      </c>
      <c r="H370" s="311">
        <v>2.20741166885594</v>
      </c>
      <c r="I370" s="311">
        <v>0.42166407295275427</v>
      </c>
      <c r="J370" s="311">
        <v>2.4645413752358201E-2</v>
      </c>
      <c r="K370" s="311">
        <v>1.4529125973082669E-4</v>
      </c>
      <c r="L370" s="518">
        <v>2.5759769999836001E-2</v>
      </c>
      <c r="M370" s="519">
        <v>1.5186068577543863E-4</v>
      </c>
    </row>
    <row r="371" spans="2:13" ht="15.75" x14ac:dyDescent="0.25">
      <c r="B371" s="212">
        <v>2031</v>
      </c>
      <c r="C371" s="309">
        <v>2021</v>
      </c>
      <c r="D371" s="250" t="s">
        <v>3627</v>
      </c>
      <c r="E371" s="517">
        <v>0.13361424100050381</v>
      </c>
      <c r="F371" s="310">
        <v>1.90805021422914E-2</v>
      </c>
      <c r="G371" s="311">
        <v>3.2114724021731371E-2</v>
      </c>
      <c r="H371" s="311">
        <v>2.1360528137944099</v>
      </c>
      <c r="I371" s="311">
        <v>0.37949766565747817</v>
      </c>
      <c r="J371" s="311">
        <v>2.3569910393317999E-2</v>
      </c>
      <c r="K371" s="311">
        <v>1.3076213375774406E-4</v>
      </c>
      <c r="L371" s="518">
        <v>2.4635637151375501E-2</v>
      </c>
      <c r="M371" s="519">
        <v>1.366746171978948E-4</v>
      </c>
    </row>
    <row r="372" spans="2:13" ht="15.75" x14ac:dyDescent="0.25">
      <c r="B372" s="212">
        <v>2031</v>
      </c>
      <c r="C372" s="309">
        <v>2022</v>
      </c>
      <c r="D372" s="250" t="s">
        <v>3628</v>
      </c>
      <c r="E372" s="517">
        <v>0.13288087654997141</v>
      </c>
      <c r="F372" s="310">
        <v>1.8590725894393801E-2</v>
      </c>
      <c r="G372" s="311">
        <v>2.8903251619558146E-2</v>
      </c>
      <c r="H372" s="311">
        <v>2.0567651970593799</v>
      </c>
      <c r="I372" s="311">
        <v>0.34154789909172928</v>
      </c>
      <c r="J372" s="311">
        <v>2.23749066610512E-2</v>
      </c>
      <c r="K372" s="311">
        <v>1.1768592038196931E-4</v>
      </c>
      <c r="L372" s="518">
        <v>2.33866006530861E-2</v>
      </c>
      <c r="M372" s="519">
        <v>1.2300715547810496E-4</v>
      </c>
    </row>
    <row r="373" spans="2:13" ht="15.75" x14ac:dyDescent="0.25">
      <c r="B373" s="212">
        <v>2031</v>
      </c>
      <c r="C373" s="309">
        <v>2023</v>
      </c>
      <c r="D373" s="250" t="s">
        <v>3629</v>
      </c>
      <c r="E373" s="517">
        <v>0.13222084854449265</v>
      </c>
      <c r="F373" s="310">
        <v>1.8046530063396501E-2</v>
      </c>
      <c r="G373" s="311">
        <v>2.6012926457602278E-2</v>
      </c>
      <c r="H373" s="311">
        <v>1.96866784513156</v>
      </c>
      <c r="I373" s="311">
        <v>0.30739310918255636</v>
      </c>
      <c r="J373" s="311">
        <v>2.1047124736310301E-2</v>
      </c>
      <c r="K373" s="311">
        <v>1.0591732834377216E-4</v>
      </c>
      <c r="L373" s="518">
        <v>2.19987823216534E-2</v>
      </c>
      <c r="M373" s="519">
        <v>1.1070643993029423E-4</v>
      </c>
    </row>
    <row r="374" spans="2:13" ht="15.75" x14ac:dyDescent="0.25">
      <c r="B374" s="212">
        <v>2031</v>
      </c>
      <c r="C374" s="309">
        <v>2024</v>
      </c>
      <c r="D374" s="250" t="s">
        <v>3630</v>
      </c>
      <c r="E374" s="517">
        <v>0.12221484346308086</v>
      </c>
      <c r="F374" s="310">
        <v>1.7441868028955101E-2</v>
      </c>
      <c r="G374" s="311">
        <v>2.6012926457602285E-2</v>
      </c>
      <c r="H374" s="311">
        <v>1.8707818985450999</v>
      </c>
      <c r="I374" s="311">
        <v>0.3073931091825558</v>
      </c>
      <c r="J374" s="311">
        <v>1.95718114865981E-2</v>
      </c>
      <c r="K374" s="311">
        <v>1.0591732834377217E-4</v>
      </c>
      <c r="L374" s="518">
        <v>2.0456761953394902E-2</v>
      </c>
      <c r="M374" s="519">
        <v>1.1070643993029425E-4</v>
      </c>
    </row>
    <row r="375" spans="2:13" ht="15.75" x14ac:dyDescent="0.25">
      <c r="B375" s="212">
        <v>2031</v>
      </c>
      <c r="C375" s="309">
        <v>2025</v>
      </c>
      <c r="D375" s="250" t="s">
        <v>3631</v>
      </c>
      <c r="E375" s="517">
        <v>0.12221484346308105</v>
      </c>
      <c r="F375" s="310">
        <v>1.6837205994513601E-2</v>
      </c>
      <c r="G375" s="311">
        <v>2.6012926457602295E-2</v>
      </c>
      <c r="H375" s="311">
        <v>1.77289595195864</v>
      </c>
      <c r="I375" s="311">
        <v>0.30739310918255652</v>
      </c>
      <c r="J375" s="311">
        <v>1.8096498236885999E-2</v>
      </c>
      <c r="K375" s="311">
        <v>1.0591732834377221E-4</v>
      </c>
      <c r="L375" s="518">
        <v>1.8914741585136299E-2</v>
      </c>
      <c r="M375" s="519">
        <v>1.1070643993029429E-4</v>
      </c>
    </row>
    <row r="376" spans="2:13" ht="15.75" x14ac:dyDescent="0.25">
      <c r="B376" s="212">
        <v>2031</v>
      </c>
      <c r="C376" s="309">
        <v>2026</v>
      </c>
      <c r="D376" s="250" t="s">
        <v>3632</v>
      </c>
      <c r="E376" s="517">
        <v>0.12221484346308144</v>
      </c>
      <c r="F376" s="310">
        <v>1.62325439600721E-2</v>
      </c>
      <c r="G376" s="311">
        <v>2.6012926457602281E-2</v>
      </c>
      <c r="H376" s="311">
        <v>1.6750100053721799</v>
      </c>
      <c r="I376" s="311">
        <v>0.3073931091825558</v>
      </c>
      <c r="J376" s="311">
        <v>1.6621184987173802E-2</v>
      </c>
      <c r="K376" s="311">
        <v>1.0591732834377218E-4</v>
      </c>
      <c r="L376" s="518">
        <v>1.7372721216877801E-2</v>
      </c>
      <c r="M376" s="519">
        <v>1.1070643993029425E-4</v>
      </c>
    </row>
    <row r="377" spans="2:13" ht="15.75" x14ac:dyDescent="0.25">
      <c r="B377" s="212">
        <v>2031</v>
      </c>
      <c r="C377" s="309">
        <v>2027</v>
      </c>
      <c r="D377" s="250" t="s">
        <v>3633</v>
      </c>
      <c r="E377" s="517">
        <v>0.1178132288711701</v>
      </c>
      <c r="F377" s="310">
        <v>1.56278819256307E-2</v>
      </c>
      <c r="G377" s="311">
        <v>2.6012926457602267E-2</v>
      </c>
      <c r="H377" s="311">
        <v>1.57712405878572</v>
      </c>
      <c r="I377" s="311">
        <v>0.30739310918255625</v>
      </c>
      <c r="J377" s="311">
        <v>1.5145871737461699E-2</v>
      </c>
      <c r="K377" s="311">
        <v>1.0591732834377212E-4</v>
      </c>
      <c r="L377" s="518">
        <v>1.5830700848619299E-2</v>
      </c>
      <c r="M377" s="519">
        <v>1.1070643993029417E-4</v>
      </c>
    </row>
    <row r="378" spans="2:13" ht="15.75" x14ac:dyDescent="0.25">
      <c r="B378" s="212">
        <v>2031</v>
      </c>
      <c r="C378" s="309">
        <v>2028</v>
      </c>
      <c r="D378" s="250" t="s">
        <v>3634</v>
      </c>
      <c r="E378" s="517">
        <v>0.11781322887116999</v>
      </c>
      <c r="F378" s="310">
        <v>1.50232198911892E-2</v>
      </c>
      <c r="G378" s="311">
        <v>2.6012926457602267E-2</v>
      </c>
      <c r="H378" s="311">
        <v>1.4792381121992599</v>
      </c>
      <c r="I378" s="311">
        <v>0.30739310918255625</v>
      </c>
      <c r="J378" s="311">
        <v>1.36705584877495E-2</v>
      </c>
      <c r="K378" s="311">
        <v>1.059173283437721E-4</v>
      </c>
      <c r="L378" s="518">
        <v>1.4288680480360701E-2</v>
      </c>
      <c r="M378" s="519">
        <v>1.1070643993029419E-4</v>
      </c>
    </row>
    <row r="379" spans="2:13" ht="15.75" x14ac:dyDescent="0.25">
      <c r="B379" s="212">
        <v>2031</v>
      </c>
      <c r="C379" s="309">
        <v>2029</v>
      </c>
      <c r="D379" s="250" t="s">
        <v>3635</v>
      </c>
      <c r="E379" s="517">
        <v>0.11781322887117013</v>
      </c>
      <c r="F379" s="310">
        <v>1.4418557856747701E-2</v>
      </c>
      <c r="G379" s="311">
        <v>2.6012926457602299E-2</v>
      </c>
      <c r="H379" s="311">
        <v>1.3813521656127901</v>
      </c>
      <c r="I379" s="311">
        <v>0.30739310918255675</v>
      </c>
      <c r="J379" s="311">
        <v>1.2195245238037399E-2</v>
      </c>
      <c r="K379" s="311">
        <v>1.059173283437725E-4</v>
      </c>
      <c r="L379" s="518">
        <v>1.2746660112102201E-2</v>
      </c>
      <c r="M379" s="519">
        <v>1.1070643993029459E-4</v>
      </c>
    </row>
    <row r="380" spans="2:13" ht="15.75" x14ac:dyDescent="0.25">
      <c r="B380" s="212">
        <v>2031</v>
      </c>
      <c r="C380" s="309">
        <v>2030</v>
      </c>
      <c r="D380" s="250" t="s">
        <v>3636</v>
      </c>
      <c r="E380" s="517">
        <v>0.11781322887117021</v>
      </c>
      <c r="F380" s="310">
        <v>1.3813895822306301E-2</v>
      </c>
      <c r="G380" s="311">
        <v>2.601292645760224E-2</v>
      </c>
      <c r="H380" s="311">
        <v>1.28346621902633</v>
      </c>
      <c r="I380" s="311">
        <v>0.30739310918255591</v>
      </c>
      <c r="J380" s="311">
        <v>1.07199319883252E-2</v>
      </c>
      <c r="K380" s="311">
        <v>1.0591732834377201E-4</v>
      </c>
      <c r="L380" s="518">
        <v>1.12046397438436E-2</v>
      </c>
      <c r="M380" s="519">
        <v>1.1070643993029408E-4</v>
      </c>
    </row>
    <row r="381" spans="2:13" ht="15.75" x14ac:dyDescent="0.25">
      <c r="B381" s="212">
        <v>2031</v>
      </c>
      <c r="C381" s="309">
        <v>2031</v>
      </c>
      <c r="D381" s="250" t="s">
        <v>3637</v>
      </c>
      <c r="E381" s="517">
        <v>0.1178132288711702</v>
      </c>
      <c r="F381" s="310">
        <v>1.32092337878648E-2</v>
      </c>
      <c r="G381" s="311">
        <v>2.6012926457602337E-2</v>
      </c>
      <c r="H381" s="311">
        <v>1.1855802724398701</v>
      </c>
      <c r="I381" s="311">
        <v>0.30739310918255641</v>
      </c>
      <c r="J381" s="311">
        <v>9.2446187386131407E-3</v>
      </c>
      <c r="K381" s="311">
        <v>1.0591732834377239E-4</v>
      </c>
      <c r="L381" s="518">
        <v>9.6626193755851401E-3</v>
      </c>
      <c r="M381" s="519">
        <v>1.1070643993029447E-4</v>
      </c>
    </row>
    <row r="382" spans="2:13" ht="15.75" x14ac:dyDescent="0.25">
      <c r="B382" s="212">
        <v>2031</v>
      </c>
      <c r="C382" s="309">
        <v>2032</v>
      </c>
      <c r="D382" s="250" t="s">
        <v>4505</v>
      </c>
      <c r="E382" s="517">
        <v>0.12522337934833258</v>
      </c>
      <c r="F382" s="310">
        <v>1.26045717534234E-2</v>
      </c>
      <c r="G382" s="311">
        <v>6.2431023498245364E-2</v>
      </c>
      <c r="H382" s="311">
        <v>1.08769432585341</v>
      </c>
      <c r="I382" s="311">
        <v>0.73774346203813435</v>
      </c>
      <c r="J382" s="311">
        <v>7.7693054889010002E-3</v>
      </c>
      <c r="K382" s="311">
        <v>2.5420158802505336E-4</v>
      </c>
      <c r="L382" s="518">
        <v>8.1205990073266003E-3</v>
      </c>
      <c r="M382" s="519">
        <v>2.6569545583270636E-4</v>
      </c>
    </row>
    <row r="383" spans="2:13" ht="15.75" x14ac:dyDescent="0.25">
      <c r="B383" s="212">
        <v>2032</v>
      </c>
      <c r="C383" s="309">
        <v>2012</v>
      </c>
      <c r="D383" s="250" t="s">
        <v>3662</v>
      </c>
      <c r="E383" s="517">
        <v>0.18035355221106902</v>
      </c>
      <c r="F383" s="310">
        <v>2.6217156197673799E-2</v>
      </c>
      <c r="G383" s="311">
        <v>5.4386709632341136E-2</v>
      </c>
      <c r="H383" s="311">
        <v>4.5264594129353704</v>
      </c>
      <c r="I383" s="311">
        <v>0.64268431309881957</v>
      </c>
      <c r="J383" s="311">
        <v>4.02682794586798E-2</v>
      </c>
      <c r="K383" s="311">
        <v>2.2144740196974522E-4</v>
      </c>
      <c r="L383" s="518">
        <v>4.20890323679576E-2</v>
      </c>
      <c r="M383" s="519">
        <v>2.3146027082852509E-4</v>
      </c>
    </row>
    <row r="384" spans="2:13" ht="15.75" x14ac:dyDescent="0.25">
      <c r="B384" s="212">
        <v>2032</v>
      </c>
      <c r="C384" s="309">
        <v>2013</v>
      </c>
      <c r="D384" s="250" t="s">
        <v>3663</v>
      </c>
      <c r="E384" s="517">
        <v>0.17913417658407615</v>
      </c>
      <c r="F384" s="310">
        <v>2.5706558244606902E-2</v>
      </c>
      <c r="G384" s="311">
        <v>5.4386759017514677E-2</v>
      </c>
      <c r="H384" s="311">
        <v>4.2933595284578301</v>
      </c>
      <c r="I384" s="311">
        <v>0.64268489668029671</v>
      </c>
      <c r="J384" s="311">
        <v>3.9107965841270201E-2</v>
      </c>
      <c r="K384" s="311">
        <v>2.2144760305229793E-4</v>
      </c>
      <c r="L384" s="518">
        <v>4.0876254517584198E-2</v>
      </c>
      <c r="M384" s="519">
        <v>2.3146048100313853E-4</v>
      </c>
    </row>
    <row r="385" spans="2:13" ht="15.75" x14ac:dyDescent="0.25">
      <c r="B385" s="212">
        <v>2032</v>
      </c>
      <c r="C385" s="309">
        <v>2014</v>
      </c>
      <c r="D385" s="250" t="s">
        <v>3664</v>
      </c>
      <c r="E385" s="517">
        <v>0.16141264090972673</v>
      </c>
      <c r="F385" s="310">
        <v>2.20520781737433E-2</v>
      </c>
      <c r="G385" s="311">
        <v>5.4386745430262076E-2</v>
      </c>
      <c r="H385" s="311">
        <v>2.7968193253334799</v>
      </c>
      <c r="I385" s="311">
        <v>0.6426847361205893</v>
      </c>
      <c r="J385" s="311">
        <v>3.0699420000696399E-2</v>
      </c>
      <c r="K385" s="311">
        <v>2.2144754772882206E-4</v>
      </c>
      <c r="L385" s="518">
        <v>3.2087511546469299E-2</v>
      </c>
      <c r="M385" s="519">
        <v>2.3146042317818058E-4</v>
      </c>
    </row>
    <row r="386" spans="2:13" ht="15.75" x14ac:dyDescent="0.25">
      <c r="B386" s="212">
        <v>2032</v>
      </c>
      <c r="C386" s="309">
        <v>2015</v>
      </c>
      <c r="D386" s="250" t="s">
        <v>3665</v>
      </c>
      <c r="E386" s="517">
        <v>0.15939020810279289</v>
      </c>
      <c r="F386" s="310">
        <v>2.1149864355904401E-2</v>
      </c>
      <c r="G386" s="311">
        <v>5.4386743898613095E-2</v>
      </c>
      <c r="H386" s="311">
        <v>2.47042246603278</v>
      </c>
      <c r="I386" s="311">
        <v>0.64268471802119131</v>
      </c>
      <c r="J386" s="311">
        <v>2.8624801094105499E-2</v>
      </c>
      <c r="K386" s="311">
        <v>2.2144754149237773E-4</v>
      </c>
      <c r="L386" s="518">
        <v>2.9919087578907301E-2</v>
      </c>
      <c r="M386" s="519">
        <v>2.314604166597519E-4</v>
      </c>
    </row>
    <row r="387" spans="2:13" ht="15.75" x14ac:dyDescent="0.25">
      <c r="B387" s="212">
        <v>2032</v>
      </c>
      <c r="C387" s="309">
        <v>2016</v>
      </c>
      <c r="D387" s="250" t="s">
        <v>3666</v>
      </c>
      <c r="E387" s="517">
        <v>0.15939218001819597</v>
      </c>
      <c r="F387" s="310">
        <v>2.1149199174376399E-2</v>
      </c>
      <c r="G387" s="311">
        <v>5.4386723919313242E-2</v>
      </c>
      <c r="H387" s="311">
        <v>2.4701114258157202</v>
      </c>
      <c r="I387" s="311">
        <v>0.6426844819270654</v>
      </c>
      <c r="J387" s="311">
        <v>2.86244539005206E-2</v>
      </c>
      <c r="K387" s="311">
        <v>2.214474601422818E-4</v>
      </c>
      <c r="L387" s="518">
        <v>2.9918724686769201E-2</v>
      </c>
      <c r="M387" s="519">
        <v>2.3146033163136563E-4</v>
      </c>
    </row>
    <row r="388" spans="2:13" ht="15.75" x14ac:dyDescent="0.25">
      <c r="B388" s="212">
        <v>2032</v>
      </c>
      <c r="C388" s="309">
        <v>2017</v>
      </c>
      <c r="D388" s="250" t="s">
        <v>3667</v>
      </c>
      <c r="E388" s="517">
        <v>0.15336260713218344</v>
      </c>
      <c r="F388" s="310">
        <v>2.0885604261114799E-2</v>
      </c>
      <c r="G388" s="311">
        <v>5.4386569754892311E-2</v>
      </c>
      <c r="H388" s="311">
        <v>2.4282755307521802</v>
      </c>
      <c r="I388" s="311">
        <v>0.64268266017583897</v>
      </c>
      <c r="J388" s="311">
        <v>2.7974148762419299E-2</v>
      </c>
      <c r="K388" s="311">
        <v>2.2144683242807139E-4</v>
      </c>
      <c r="L388" s="518">
        <v>2.9239015636009301E-2</v>
      </c>
      <c r="M388" s="519">
        <v>2.3145967553470404E-4</v>
      </c>
    </row>
    <row r="389" spans="2:13" ht="15.75" x14ac:dyDescent="0.25">
      <c r="B389" s="212">
        <v>2032</v>
      </c>
      <c r="C389" s="309">
        <v>2018</v>
      </c>
      <c r="D389" s="250" t="s">
        <v>3668</v>
      </c>
      <c r="E389" s="517">
        <v>0.15198935653465617</v>
      </c>
      <c r="F389" s="310">
        <v>2.0596396455128601E-2</v>
      </c>
      <c r="G389" s="311">
        <v>4.8947912779402997E-2</v>
      </c>
      <c r="H389" s="311">
        <v>2.3814569653238902</v>
      </c>
      <c r="I389" s="311">
        <v>0.57841439415825413</v>
      </c>
      <c r="J389" s="311">
        <v>2.7268512406915999E-2</v>
      </c>
      <c r="K389" s="311">
        <v>1.9930214918526391E-4</v>
      </c>
      <c r="L389" s="518">
        <v>2.8501473535725099E-2</v>
      </c>
      <c r="M389" s="519">
        <v>2.0831370798123333E-4</v>
      </c>
    </row>
    <row r="390" spans="2:13" ht="15.75" x14ac:dyDescent="0.25">
      <c r="B390" s="212">
        <v>2032</v>
      </c>
      <c r="C390" s="309">
        <v>2019</v>
      </c>
      <c r="D390" s="250" t="s">
        <v>3669</v>
      </c>
      <c r="E390" s="517">
        <v>0.15075343099688263</v>
      </c>
      <c r="F390" s="310">
        <v>2.0275054448477201E-2</v>
      </c>
      <c r="G390" s="311">
        <v>4.4053121501462796E-2</v>
      </c>
      <c r="H390" s="311">
        <v>2.3294363370702298</v>
      </c>
      <c r="I390" s="311">
        <v>0.52057295474242982</v>
      </c>
      <c r="J390" s="311">
        <v>2.64844720119124E-2</v>
      </c>
      <c r="K390" s="311">
        <v>1.7937193426673792E-4</v>
      </c>
      <c r="L390" s="518">
        <v>2.7681982313187099E-2</v>
      </c>
      <c r="M390" s="519">
        <v>1.8748233718311039E-4</v>
      </c>
    </row>
    <row r="391" spans="2:13" ht="15.75" x14ac:dyDescent="0.25">
      <c r="B391" s="212">
        <v>2032</v>
      </c>
      <c r="C391" s="309">
        <v>2020</v>
      </c>
      <c r="D391" s="250" t="s">
        <v>3670</v>
      </c>
      <c r="E391" s="517">
        <v>0.14964109801288494</v>
      </c>
      <c r="F391" s="310">
        <v>1.9918007774420099E-2</v>
      </c>
      <c r="G391" s="311">
        <v>3.9647809351316399E-2</v>
      </c>
      <c r="H391" s="311">
        <v>2.2716356390106101</v>
      </c>
      <c r="I391" s="311">
        <v>0.46851565926818656</v>
      </c>
      <c r="J391" s="311">
        <v>2.5613316017463798E-2</v>
      </c>
      <c r="K391" s="311">
        <v>1.6143474084006406E-4</v>
      </c>
      <c r="L391" s="518">
        <v>2.6771436510367001E-2</v>
      </c>
      <c r="M391" s="519">
        <v>1.6873410346479926E-4</v>
      </c>
    </row>
    <row r="392" spans="2:13" ht="15.75" x14ac:dyDescent="0.25">
      <c r="B392" s="212">
        <v>2032</v>
      </c>
      <c r="C392" s="309">
        <v>2021</v>
      </c>
      <c r="D392" s="250" t="s">
        <v>3671</v>
      </c>
      <c r="E392" s="517">
        <v>0.13442907888450015</v>
      </c>
      <c r="F392" s="310">
        <v>1.9521289247690001E-2</v>
      </c>
      <c r="G392" s="311">
        <v>3.5683028416184794E-2</v>
      </c>
      <c r="H392" s="311">
        <v>2.2074126411665902</v>
      </c>
      <c r="I392" s="311">
        <v>0.42166409334136823</v>
      </c>
      <c r="J392" s="311">
        <v>2.4645364912520999E-2</v>
      </c>
      <c r="K392" s="311">
        <v>1.4529126675605743E-4</v>
      </c>
      <c r="L392" s="518">
        <v>2.5759718951678098E-2</v>
      </c>
      <c r="M392" s="519">
        <v>1.5186069311831911E-4</v>
      </c>
    </row>
    <row r="393" spans="2:13" ht="15.75" x14ac:dyDescent="0.25">
      <c r="B393" s="212">
        <v>2032</v>
      </c>
      <c r="C393" s="309">
        <v>2022</v>
      </c>
      <c r="D393" s="250" t="s">
        <v>3672</v>
      </c>
      <c r="E393" s="517">
        <v>0.13361422945561974</v>
      </c>
      <c r="F393" s="310">
        <v>1.90804908846566E-2</v>
      </c>
      <c r="G393" s="311">
        <v>3.2114725574566329E-2</v>
      </c>
      <c r="H393" s="311">
        <v>2.1360537546732399</v>
      </c>
      <c r="I393" s="311">
        <v>0.37949768400723161</v>
      </c>
      <c r="J393" s="311">
        <v>2.3569863684806801E-2</v>
      </c>
      <c r="K393" s="311">
        <v>1.3076214008045175E-4</v>
      </c>
      <c r="L393" s="518">
        <v>2.4635588330912599E-2</v>
      </c>
      <c r="M393" s="519">
        <v>1.366746238064873E-4</v>
      </c>
    </row>
    <row r="394" spans="2:13" ht="15.75" x14ac:dyDescent="0.25">
      <c r="B394" s="212">
        <v>2032</v>
      </c>
      <c r="C394" s="309">
        <v>2023</v>
      </c>
      <c r="D394" s="250" t="s">
        <v>3673</v>
      </c>
      <c r="E394" s="517">
        <v>0.1328808649696282</v>
      </c>
      <c r="F394" s="310">
        <v>1.85907149257305E-2</v>
      </c>
      <c r="G394" s="311">
        <v>2.8903253017109713E-2</v>
      </c>
      <c r="H394" s="311">
        <v>2.0567661030139601</v>
      </c>
      <c r="I394" s="311">
        <v>0.34154791560650788</v>
      </c>
      <c r="J394" s="311">
        <v>2.2374862320679801E-2</v>
      </c>
      <c r="K394" s="311">
        <v>1.1768592607240663E-4</v>
      </c>
      <c r="L394" s="518">
        <v>2.33865543078399E-2</v>
      </c>
      <c r="M394" s="519">
        <v>1.2300716142583864E-4</v>
      </c>
    </row>
    <row r="395" spans="2:13" ht="15.75" x14ac:dyDescent="0.25">
      <c r="B395" s="212">
        <v>2032</v>
      </c>
      <c r="C395" s="309">
        <v>2024</v>
      </c>
      <c r="D395" s="250" t="s">
        <v>3674</v>
      </c>
      <c r="E395" s="517">
        <v>0.12221483272959799</v>
      </c>
      <c r="F395" s="310">
        <v>1.8046519415812701E-2</v>
      </c>
      <c r="G395" s="311">
        <v>2.60129277153987E-2</v>
      </c>
      <c r="H395" s="311">
        <v>1.9686687122814199</v>
      </c>
      <c r="I395" s="311">
        <v>0.30739312404585728</v>
      </c>
      <c r="J395" s="311">
        <v>2.1047083027205499E-2</v>
      </c>
      <c r="K395" s="311">
        <v>1.0591733346516582E-4</v>
      </c>
      <c r="L395" s="518">
        <v>2.1998738726647999E-2</v>
      </c>
      <c r="M395" s="519">
        <v>1.1070644528325458E-4</v>
      </c>
    </row>
    <row r="396" spans="2:13" ht="15.75" x14ac:dyDescent="0.25">
      <c r="B396" s="212">
        <v>2032</v>
      </c>
      <c r="C396" s="309">
        <v>2025</v>
      </c>
      <c r="D396" s="250" t="s">
        <v>3675</v>
      </c>
      <c r="E396" s="517">
        <v>0.12221483272959781</v>
      </c>
      <c r="F396" s="310">
        <v>1.7441857738126201E-2</v>
      </c>
      <c r="G396" s="311">
        <v>2.6012927715398683E-2</v>
      </c>
      <c r="H396" s="311">
        <v>1.8707827225786</v>
      </c>
      <c r="I396" s="311">
        <v>0.30739312404585639</v>
      </c>
      <c r="J396" s="311">
        <v>1.95717727011228E-2</v>
      </c>
      <c r="K396" s="311">
        <v>1.0591733346516574E-4</v>
      </c>
      <c r="L396" s="518">
        <v>2.0456721414212502E-2</v>
      </c>
      <c r="M396" s="519">
        <v>1.107064452832545E-4</v>
      </c>
    </row>
    <row r="397" spans="2:13" ht="15.75" x14ac:dyDescent="0.25">
      <c r="B397" s="212">
        <v>2032</v>
      </c>
      <c r="C397" s="309">
        <v>2026</v>
      </c>
      <c r="D397" s="250" t="s">
        <v>3676</v>
      </c>
      <c r="E397" s="517">
        <v>0.12221483272959817</v>
      </c>
      <c r="F397" s="310">
        <v>1.6837196060439801E-2</v>
      </c>
      <c r="G397" s="311">
        <v>2.6012927715398735E-2</v>
      </c>
      <c r="H397" s="311">
        <v>1.7728967328757801</v>
      </c>
      <c r="I397" s="311">
        <v>0.30739312404585767</v>
      </c>
      <c r="J397" s="311">
        <v>1.8096462375040201E-2</v>
      </c>
      <c r="K397" s="311">
        <v>1.0591733346516596E-4</v>
      </c>
      <c r="L397" s="518">
        <v>1.8914704101777001E-2</v>
      </c>
      <c r="M397" s="519">
        <v>1.1070644528325473E-4</v>
      </c>
    </row>
    <row r="398" spans="2:13" ht="15.75" x14ac:dyDescent="0.25">
      <c r="B398" s="212">
        <v>2032</v>
      </c>
      <c r="C398" s="309">
        <v>2027</v>
      </c>
      <c r="D398" s="250" t="s">
        <v>3677</v>
      </c>
      <c r="E398" s="517">
        <v>0.11781321852425755</v>
      </c>
      <c r="F398" s="310">
        <v>1.6232534382753301E-2</v>
      </c>
      <c r="G398" s="311">
        <v>2.6012927715398725E-2</v>
      </c>
      <c r="H398" s="311">
        <v>1.6750107431729699</v>
      </c>
      <c r="I398" s="311">
        <v>0.30739312404585684</v>
      </c>
      <c r="J398" s="311">
        <v>1.6621152048957501E-2</v>
      </c>
      <c r="K398" s="311">
        <v>1.059173334651659E-4</v>
      </c>
      <c r="L398" s="518">
        <v>1.73726867893415E-2</v>
      </c>
      <c r="M398" s="519">
        <v>1.1070644528325467E-4</v>
      </c>
    </row>
    <row r="399" spans="2:13" ht="15.75" x14ac:dyDescent="0.25">
      <c r="B399" s="212">
        <v>2032</v>
      </c>
      <c r="C399" s="309">
        <v>2028</v>
      </c>
      <c r="D399" s="250" t="s">
        <v>3678</v>
      </c>
      <c r="E399" s="517">
        <v>0.11781321852425755</v>
      </c>
      <c r="F399" s="310">
        <v>1.5627872705066801E-2</v>
      </c>
      <c r="G399" s="311">
        <v>2.6012927715398631E-2</v>
      </c>
      <c r="H399" s="311">
        <v>1.57712475347015</v>
      </c>
      <c r="I399" s="311">
        <v>0.3073931240458565</v>
      </c>
      <c r="J399" s="311">
        <v>1.5145841722874901E-2</v>
      </c>
      <c r="K399" s="311">
        <v>1.0591733346516554E-4</v>
      </c>
      <c r="L399" s="518">
        <v>1.58306694769061E-2</v>
      </c>
      <c r="M399" s="519">
        <v>1.1070644528325429E-4</v>
      </c>
    </row>
    <row r="400" spans="2:13" ht="15.75" x14ac:dyDescent="0.25">
      <c r="B400" s="212">
        <v>2032</v>
      </c>
      <c r="C400" s="309">
        <v>2029</v>
      </c>
      <c r="D400" s="250" t="s">
        <v>3679</v>
      </c>
      <c r="E400" s="517">
        <v>0.11781321852425758</v>
      </c>
      <c r="F400" s="310">
        <v>1.50232110273804E-2</v>
      </c>
      <c r="G400" s="311">
        <v>2.6012927715398693E-2</v>
      </c>
      <c r="H400" s="311">
        <v>1.4792387637673301</v>
      </c>
      <c r="I400" s="311">
        <v>0.30739312404585717</v>
      </c>
      <c r="J400" s="311">
        <v>1.36705313967923E-2</v>
      </c>
      <c r="K400" s="311">
        <v>1.0591733346516578E-4</v>
      </c>
      <c r="L400" s="518">
        <v>1.4288652164470599E-2</v>
      </c>
      <c r="M400" s="519">
        <v>1.1070644528325456E-4</v>
      </c>
    </row>
    <row r="401" spans="2:13" ht="15.75" x14ac:dyDescent="0.25">
      <c r="B401" s="212">
        <v>2032</v>
      </c>
      <c r="C401" s="309">
        <v>2030</v>
      </c>
      <c r="D401" s="250" t="s">
        <v>3680</v>
      </c>
      <c r="E401" s="517">
        <v>0.11781321852425744</v>
      </c>
      <c r="F401" s="310">
        <v>1.44185493496939E-2</v>
      </c>
      <c r="G401" s="311">
        <v>2.6012927715398704E-2</v>
      </c>
      <c r="H401" s="311">
        <v>1.38135277406451</v>
      </c>
      <c r="I401" s="311">
        <v>0.30739312404585672</v>
      </c>
      <c r="J401" s="311">
        <v>1.2195221070709601E-2</v>
      </c>
      <c r="K401" s="311">
        <v>1.0591733346516584E-4</v>
      </c>
      <c r="L401" s="518">
        <v>1.27466348520351E-2</v>
      </c>
      <c r="M401" s="519">
        <v>1.1070644528325461E-4</v>
      </c>
    </row>
    <row r="402" spans="2:13" ht="15.75" x14ac:dyDescent="0.25">
      <c r="B402" s="212">
        <v>2032</v>
      </c>
      <c r="C402" s="309">
        <v>2031</v>
      </c>
      <c r="D402" s="250" t="s">
        <v>3681</v>
      </c>
      <c r="E402" s="517">
        <v>0.11781321852425768</v>
      </c>
      <c r="F402" s="310">
        <v>1.38138876720074E-2</v>
      </c>
      <c r="G402" s="311">
        <v>2.6012927715398638E-2</v>
      </c>
      <c r="H402" s="311">
        <v>1.28346678436169</v>
      </c>
      <c r="I402" s="311">
        <v>0.30739312404585589</v>
      </c>
      <c r="J402" s="311">
        <v>1.0719910744627E-2</v>
      </c>
      <c r="K402" s="311">
        <v>1.0591733346516555E-4</v>
      </c>
      <c r="L402" s="518">
        <v>1.1204617539599599E-2</v>
      </c>
      <c r="M402" s="519">
        <v>1.1070644528325433E-4</v>
      </c>
    </row>
    <row r="403" spans="2:13" ht="15.75" x14ac:dyDescent="0.25">
      <c r="B403" s="212">
        <v>2032</v>
      </c>
      <c r="C403" s="309">
        <v>2032</v>
      </c>
      <c r="D403" s="250" t="s">
        <v>3682</v>
      </c>
      <c r="E403" s="517">
        <v>0.11781321852425776</v>
      </c>
      <c r="F403" s="310">
        <v>1.32092259943209E-2</v>
      </c>
      <c r="G403" s="311">
        <v>2.6012927715398697E-2</v>
      </c>
      <c r="H403" s="311">
        <v>1.1855807946588699</v>
      </c>
      <c r="I403" s="311">
        <v>0.30739312404585661</v>
      </c>
      <c r="J403" s="311">
        <v>9.2446004185443992E-3</v>
      </c>
      <c r="K403" s="311">
        <v>1.059173334651658E-4</v>
      </c>
      <c r="L403" s="518">
        <v>9.6626002271641802E-3</v>
      </c>
      <c r="M403" s="519">
        <v>1.1070644528325457E-4</v>
      </c>
    </row>
    <row r="404" spans="2:13" ht="15.75" x14ac:dyDescent="0.25">
      <c r="B404" s="212">
        <v>2032</v>
      </c>
      <c r="C404" s="309">
        <v>2033</v>
      </c>
      <c r="D404" s="250" t="s">
        <v>4506</v>
      </c>
      <c r="E404" s="517">
        <v>0.1252233693597217</v>
      </c>
      <c r="F404" s="310">
        <v>1.26045643166345E-2</v>
      </c>
      <c r="G404" s="311">
        <v>6.2431026516956811E-2</v>
      </c>
      <c r="H404" s="311">
        <v>1.08769480495606</v>
      </c>
      <c r="I404" s="311">
        <v>0.73774349771005665</v>
      </c>
      <c r="J404" s="311">
        <v>7.7692900924617699E-3</v>
      </c>
      <c r="K404" s="311">
        <v>2.5420160031639768E-4</v>
      </c>
      <c r="L404" s="518">
        <v>8.1205829147287002E-3</v>
      </c>
      <c r="M404" s="519">
        <v>2.6569546867981071E-4</v>
      </c>
    </row>
    <row r="405" spans="2:13" ht="15.75" x14ac:dyDescent="0.25">
      <c r="B405" s="212">
        <v>2033</v>
      </c>
      <c r="C405" s="309">
        <v>2012</v>
      </c>
      <c r="D405" s="250" t="s">
        <v>3706</v>
      </c>
      <c r="E405" s="517">
        <v>0.18035353354987652</v>
      </c>
      <c r="F405" s="310">
        <v>2.6217142884987599E-2</v>
      </c>
      <c r="G405" s="311">
        <v>5.4386706203434644E-2</v>
      </c>
      <c r="H405" s="311">
        <v>4.5264572464110699</v>
      </c>
      <c r="I405" s="311">
        <v>0.64268427257964666</v>
      </c>
      <c r="J405" s="311">
        <v>4.0268213334735098E-2</v>
      </c>
      <c r="K405" s="311">
        <v>2.214473880082013E-4</v>
      </c>
      <c r="L405" s="518">
        <v>4.2088963254181599E-2</v>
      </c>
      <c r="M405" s="519">
        <v>2.3146025623570207E-4</v>
      </c>
    </row>
    <row r="406" spans="2:13" ht="15.75" x14ac:dyDescent="0.25">
      <c r="B406" s="212">
        <v>2033</v>
      </c>
      <c r="C406" s="309">
        <v>2013</v>
      </c>
      <c r="D406" s="250" t="s">
        <v>3707</v>
      </c>
      <c r="E406" s="517">
        <v>0.17913415850436706</v>
      </c>
      <c r="F406" s="310">
        <v>2.5706545077187299E-2</v>
      </c>
      <c r="G406" s="311">
        <v>5.4386757366855401E-2</v>
      </c>
      <c r="H406" s="311">
        <v>4.2933576883125903</v>
      </c>
      <c r="I406" s="311">
        <v>0.6426848771745588</v>
      </c>
      <c r="J406" s="311">
        <v>3.9107901432935799E-2</v>
      </c>
      <c r="K406" s="311">
        <v>2.2144759633127656E-4</v>
      </c>
      <c r="L406" s="518">
        <v>4.0876187196990703E-2</v>
      </c>
      <c r="M406" s="519">
        <v>2.314604739782224E-4</v>
      </c>
    </row>
    <row r="407" spans="2:13" ht="15.75" x14ac:dyDescent="0.25">
      <c r="B407" s="212">
        <v>2033</v>
      </c>
      <c r="C407" s="309">
        <v>2014</v>
      </c>
      <c r="D407" s="250" t="s">
        <v>3708</v>
      </c>
      <c r="E407" s="517">
        <v>0.16141262464632544</v>
      </c>
      <c r="F407" s="310">
        <v>2.2052066327904601E-2</v>
      </c>
      <c r="G407" s="311">
        <v>5.4386743733885384E-2</v>
      </c>
      <c r="H407" s="311">
        <v>2.7968195466850299</v>
      </c>
      <c r="I407" s="311">
        <v>0.6426847160746143</v>
      </c>
      <c r="J407" s="311">
        <v>3.06993694326992E-2</v>
      </c>
      <c r="K407" s="311">
        <v>2.2144754082165273E-4</v>
      </c>
      <c r="L407" s="518">
        <v>3.20874586920116E-2</v>
      </c>
      <c r="M407" s="519">
        <v>2.314604159586997E-4</v>
      </c>
    </row>
    <row r="408" spans="2:13" ht="15.75" x14ac:dyDescent="0.25">
      <c r="B408" s="212">
        <v>2033</v>
      </c>
      <c r="C408" s="309">
        <v>2015</v>
      </c>
      <c r="D408" s="250" t="s">
        <v>3709</v>
      </c>
      <c r="E408" s="517">
        <v>0.15939019232400262</v>
      </c>
      <c r="F408" s="310">
        <v>2.1149852792576598E-2</v>
      </c>
      <c r="G408" s="311">
        <v>5.4386743615160639E-2</v>
      </c>
      <c r="H408" s="311">
        <v>2.4704231162114501</v>
      </c>
      <c r="I408" s="311">
        <v>0.64268471467165156</v>
      </c>
      <c r="J408" s="311">
        <v>2.8624753685370399E-2</v>
      </c>
      <c r="K408" s="311">
        <v>2.2144754033823894E-4</v>
      </c>
      <c r="L408" s="518">
        <v>2.99190380265596E-2</v>
      </c>
      <c r="M408" s="519">
        <v>2.314604154534281E-4</v>
      </c>
    </row>
    <row r="409" spans="2:13" ht="15.75" x14ac:dyDescent="0.25">
      <c r="B409" s="212">
        <v>2033</v>
      </c>
      <c r="C409" s="309">
        <v>2016</v>
      </c>
      <c r="D409" s="250" t="s">
        <v>3710</v>
      </c>
      <c r="E409" s="517">
        <v>0.15939216441363821</v>
      </c>
      <c r="F409" s="310">
        <v>2.1150997458247899E-2</v>
      </c>
      <c r="G409" s="311">
        <v>5.438672454440395E-2</v>
      </c>
      <c r="H409" s="311">
        <v>2.4704049915241302</v>
      </c>
      <c r="I409" s="311">
        <v>0.6426844893137228</v>
      </c>
      <c r="J409" s="311">
        <v>2.8628823946154101E-2</v>
      </c>
      <c r="K409" s="311">
        <v>2.2144746268747551E-4</v>
      </c>
      <c r="L409" s="518">
        <v>2.9923292326474501E-2</v>
      </c>
      <c r="M409" s="519">
        <v>2.3146033429164174E-4</v>
      </c>
    </row>
    <row r="410" spans="2:13" ht="15.75" x14ac:dyDescent="0.25">
      <c r="B410" s="212">
        <v>2033</v>
      </c>
      <c r="C410" s="309">
        <v>2017</v>
      </c>
      <c r="D410" s="250" t="s">
        <v>3711</v>
      </c>
      <c r="E410" s="517">
        <v>0.15336259274489286</v>
      </c>
      <c r="F410" s="310">
        <v>2.1145879469346599E-2</v>
      </c>
      <c r="G410" s="311">
        <v>5.4386574383159574E-2</v>
      </c>
      <c r="H410" s="311">
        <v>2.4704128945232</v>
      </c>
      <c r="I410" s="311">
        <v>0.64268271486778095</v>
      </c>
      <c r="J410" s="311">
        <v>2.86091730944192E-2</v>
      </c>
      <c r="K410" s="311">
        <v>2.2144685127307542E-4</v>
      </c>
      <c r="L410" s="518">
        <v>2.9902752950423401E-2</v>
      </c>
      <c r="M410" s="519">
        <v>2.3145969523179558E-4</v>
      </c>
    </row>
    <row r="411" spans="2:13" ht="15.75" x14ac:dyDescent="0.25">
      <c r="B411" s="212">
        <v>2033</v>
      </c>
      <c r="C411" s="309">
        <v>2018</v>
      </c>
      <c r="D411" s="250" t="s">
        <v>3712</v>
      </c>
      <c r="E411" s="517">
        <v>0.15336259274489178</v>
      </c>
      <c r="F411" s="310">
        <v>2.08855925894177E-2</v>
      </c>
      <c r="G411" s="311">
        <v>5.4386574383159601E-2</v>
      </c>
      <c r="H411" s="311">
        <v>2.42827617446765</v>
      </c>
      <c r="I411" s="311">
        <v>0.6426827148677825</v>
      </c>
      <c r="J411" s="311">
        <v>2.7974101448590801E-2</v>
      </c>
      <c r="K411" s="311">
        <v>2.214468512730755E-4</v>
      </c>
      <c r="L411" s="518">
        <v>2.9238966182859299E-2</v>
      </c>
      <c r="M411" s="519">
        <v>2.3145969523179563E-4</v>
      </c>
    </row>
    <row r="412" spans="2:13" ht="15.75" x14ac:dyDescent="0.25">
      <c r="B412" s="212">
        <v>2033</v>
      </c>
      <c r="C412" s="309">
        <v>2019</v>
      </c>
      <c r="D412" s="250" t="s">
        <v>3713</v>
      </c>
      <c r="E412" s="517">
        <v>0.15198934203050257</v>
      </c>
      <c r="F412" s="310">
        <v>2.0596384945052101E-2</v>
      </c>
      <c r="G412" s="311">
        <v>4.8947916944843635E-2</v>
      </c>
      <c r="H412" s="311">
        <v>2.3814575966281599</v>
      </c>
      <c r="I412" s="311">
        <v>0.57841444338100312</v>
      </c>
      <c r="J412" s="311">
        <v>2.7268466286559299E-2</v>
      </c>
      <c r="K412" s="311">
        <v>1.9930216614576796E-4</v>
      </c>
      <c r="L412" s="518">
        <v>2.8501425330010401E-2</v>
      </c>
      <c r="M412" s="519">
        <v>2.0831372570861609E-4</v>
      </c>
    </row>
    <row r="413" spans="2:13" ht="15.75" x14ac:dyDescent="0.25">
      <c r="B413" s="212">
        <v>2033</v>
      </c>
      <c r="C413" s="309">
        <v>2020</v>
      </c>
      <c r="D413" s="250" t="s">
        <v>3714</v>
      </c>
      <c r="E413" s="517">
        <v>0.15075341638755119</v>
      </c>
      <c r="F413" s="310">
        <v>2.0275043117979299E-2</v>
      </c>
      <c r="G413" s="311">
        <v>4.4053125250359232E-2</v>
      </c>
      <c r="H413" s="311">
        <v>2.3294369545842701</v>
      </c>
      <c r="I413" s="311">
        <v>0.52057299904290333</v>
      </c>
      <c r="J413" s="311">
        <v>2.6484427217635401E-2</v>
      </c>
      <c r="K413" s="311">
        <v>1.7937194953119101E-4</v>
      </c>
      <c r="L413" s="518">
        <v>2.7681935493511601E-2</v>
      </c>
      <c r="M413" s="519">
        <v>1.874823531377543E-4</v>
      </c>
    </row>
    <row r="414" spans="2:13" ht="15.75" x14ac:dyDescent="0.25">
      <c r="B414" s="212">
        <v>2033</v>
      </c>
      <c r="C414" s="309">
        <v>2021</v>
      </c>
      <c r="D414" s="250" t="s">
        <v>3715</v>
      </c>
      <c r="E414" s="517">
        <v>0.13533445384061632</v>
      </c>
      <c r="F414" s="310">
        <v>1.9917996643453902E-2</v>
      </c>
      <c r="G414" s="311">
        <v>3.9647812725323354E-2</v>
      </c>
      <c r="H414" s="311">
        <v>2.2716362412021698</v>
      </c>
      <c r="I414" s="311">
        <v>0.46851569913861257</v>
      </c>
      <c r="J414" s="311">
        <v>2.5613272696608801E-2</v>
      </c>
      <c r="K414" s="311">
        <v>1.6143475457807208E-4</v>
      </c>
      <c r="L414" s="518">
        <v>2.67713912307352E-2</v>
      </c>
      <c r="M414" s="519">
        <v>1.6873411782397906E-4</v>
      </c>
    </row>
    <row r="415" spans="2:13" ht="14.25" customHeight="1" x14ac:dyDescent="0.25">
      <c r="B415" s="212">
        <v>2033</v>
      </c>
      <c r="C415" s="309">
        <v>2022</v>
      </c>
      <c r="D415" s="250" t="s">
        <v>3716</v>
      </c>
      <c r="E415" s="517">
        <v>0.13442906550925654</v>
      </c>
      <c r="F415" s="310">
        <v>1.9521278338425801E-2</v>
      </c>
      <c r="G415" s="311">
        <v>3.568303145279101E-2</v>
      </c>
      <c r="H415" s="311">
        <v>2.2074132263331698</v>
      </c>
      <c r="I415" s="311">
        <v>0.42166412922475122</v>
      </c>
      <c r="J415" s="311">
        <v>2.4645323228801499E-2</v>
      </c>
      <c r="K415" s="311">
        <v>1.4529127912026483E-4</v>
      </c>
      <c r="L415" s="518">
        <v>2.57596753832058E-2</v>
      </c>
      <c r="M415" s="519">
        <v>1.518607060415811E-4</v>
      </c>
    </row>
    <row r="416" spans="2:13" ht="15.75" x14ac:dyDescent="0.25">
      <c r="B416" s="212">
        <v>2033</v>
      </c>
      <c r="C416" s="309">
        <v>2023</v>
      </c>
      <c r="D416" s="250" t="s">
        <v>3717</v>
      </c>
      <c r="E416" s="517">
        <v>0.13361421601103382</v>
      </c>
      <c r="F416" s="310">
        <v>1.90804802217278E-2</v>
      </c>
      <c r="G416" s="311">
        <v>3.2114728307511872E-2</v>
      </c>
      <c r="H416" s="311">
        <v>2.1360543209231801</v>
      </c>
      <c r="I416" s="311">
        <v>0.37949771630227658</v>
      </c>
      <c r="J416" s="311">
        <v>2.3569823820126699E-2</v>
      </c>
      <c r="K416" s="311">
        <v>1.3076215120823851E-4</v>
      </c>
      <c r="L416" s="518">
        <v>2.4635546663728702E-2</v>
      </c>
      <c r="M416" s="519">
        <v>1.3667463543742321E-4</v>
      </c>
    </row>
    <row r="417" spans="2:13" ht="15.75" x14ac:dyDescent="0.25">
      <c r="B417" s="212">
        <v>2033</v>
      </c>
      <c r="C417" s="309">
        <v>2024</v>
      </c>
      <c r="D417" s="250" t="s">
        <v>3718</v>
      </c>
      <c r="E417" s="517">
        <v>0.12282489970015416</v>
      </c>
      <c r="F417" s="310">
        <v>1.85907045365078E-2</v>
      </c>
      <c r="G417" s="311">
        <v>2.89032554767607E-2</v>
      </c>
      <c r="H417" s="311">
        <v>2.0567666482454001</v>
      </c>
      <c r="I417" s="311">
        <v>0.34154794467204896</v>
      </c>
      <c r="J417" s="311">
        <v>2.23748244771548E-2</v>
      </c>
      <c r="K417" s="311">
        <v>1.1768593608741443E-4</v>
      </c>
      <c r="L417" s="518">
        <v>2.3386514753198601E-2</v>
      </c>
      <c r="M417" s="519">
        <v>1.2300717189368061E-4</v>
      </c>
    </row>
    <row r="418" spans="2:13" ht="15.75" x14ac:dyDescent="0.25">
      <c r="B418" s="212">
        <v>2033</v>
      </c>
      <c r="C418" s="309">
        <v>2025</v>
      </c>
      <c r="D418" s="250" t="s">
        <v>3719</v>
      </c>
      <c r="E418" s="517">
        <v>0.12221482019284681</v>
      </c>
      <c r="F418" s="310">
        <v>1.80465093307078E-2</v>
      </c>
      <c r="G418" s="311">
        <v>2.6012929929084661E-2</v>
      </c>
      <c r="H418" s="311">
        <v>1.96866923415899</v>
      </c>
      <c r="I418" s="311">
        <v>0.30739315020484381</v>
      </c>
      <c r="J418" s="311">
        <v>2.1047047429408099E-2</v>
      </c>
      <c r="K418" s="311">
        <v>1.0591734247867313E-4</v>
      </c>
      <c r="L418" s="518">
        <v>2.1998701519276201E-2</v>
      </c>
      <c r="M418" s="519">
        <v>1.107064547043127E-4</v>
      </c>
    </row>
    <row r="419" spans="2:13" ht="15.75" x14ac:dyDescent="0.25">
      <c r="B419" s="212">
        <v>2033</v>
      </c>
      <c r="C419" s="309">
        <v>2026</v>
      </c>
      <c r="D419" s="250" t="s">
        <v>3720</v>
      </c>
      <c r="E419" s="517">
        <v>0.12221482019284659</v>
      </c>
      <c r="F419" s="310">
        <v>1.7441847990930098E-2</v>
      </c>
      <c r="G419" s="311">
        <v>2.6012929929084546E-2</v>
      </c>
      <c r="H419" s="311">
        <v>1.87078321850741</v>
      </c>
      <c r="I419" s="311">
        <v>0.30739315020484242</v>
      </c>
      <c r="J419" s="311">
        <v>1.95717395985785E-2</v>
      </c>
      <c r="K419" s="311">
        <v>1.0591734247867264E-4</v>
      </c>
      <c r="L419" s="518">
        <v>2.04566868149181E-2</v>
      </c>
      <c r="M419" s="519">
        <v>1.107064547043122E-4</v>
      </c>
    </row>
    <row r="420" spans="2:13" ht="15.75" x14ac:dyDescent="0.25">
      <c r="B420" s="212">
        <v>2033</v>
      </c>
      <c r="C420" s="309">
        <v>2027</v>
      </c>
      <c r="D420" s="250" t="s">
        <v>3721</v>
      </c>
      <c r="E420" s="517">
        <v>0.11781320643902174</v>
      </c>
      <c r="F420" s="310">
        <v>1.68371866511524E-2</v>
      </c>
      <c r="G420" s="311">
        <v>2.6012929929084511E-2</v>
      </c>
      <c r="H420" s="311">
        <v>1.7728972028558401</v>
      </c>
      <c r="I420" s="311">
        <v>0.3073931502048427</v>
      </c>
      <c r="J420" s="311">
        <v>1.8096431767748899E-2</v>
      </c>
      <c r="K420" s="311">
        <v>1.0591734247867251E-4</v>
      </c>
      <c r="L420" s="518">
        <v>1.8914672110559898E-2</v>
      </c>
      <c r="M420" s="519">
        <v>1.1070645470431207E-4</v>
      </c>
    </row>
    <row r="421" spans="2:13" ht="15.75" x14ac:dyDescent="0.25">
      <c r="B421" s="212">
        <v>2033</v>
      </c>
      <c r="C421" s="309">
        <v>2028</v>
      </c>
      <c r="D421" s="250" t="s">
        <v>3722</v>
      </c>
      <c r="E421" s="517">
        <v>0.11781320643902225</v>
      </c>
      <c r="F421" s="310">
        <v>1.6232525311374601E-2</v>
      </c>
      <c r="G421" s="311">
        <v>2.6012929929084619E-2</v>
      </c>
      <c r="H421" s="311">
        <v>1.6750111872042699</v>
      </c>
      <c r="I421" s="311">
        <v>0.30739315020484331</v>
      </c>
      <c r="J421" s="311">
        <v>1.6621123936919301E-2</v>
      </c>
      <c r="K421" s="311">
        <v>1.0591734247867294E-4</v>
      </c>
      <c r="L421" s="518">
        <v>1.73726574062017E-2</v>
      </c>
      <c r="M421" s="519">
        <v>1.1070645470431251E-4</v>
      </c>
    </row>
    <row r="422" spans="2:13" ht="15.75" x14ac:dyDescent="0.25">
      <c r="B422" s="212">
        <v>2033</v>
      </c>
      <c r="C422" s="309">
        <v>2029</v>
      </c>
      <c r="D422" s="250" t="s">
        <v>3723</v>
      </c>
      <c r="E422" s="517">
        <v>0.11781320643902238</v>
      </c>
      <c r="F422" s="310">
        <v>1.5627863971596899E-2</v>
      </c>
      <c r="G422" s="311">
        <v>2.6012929929084619E-2</v>
      </c>
      <c r="H422" s="311">
        <v>1.5771251715526899</v>
      </c>
      <c r="I422" s="311">
        <v>0.30739315020484331</v>
      </c>
      <c r="J422" s="311">
        <v>1.51458161060898E-2</v>
      </c>
      <c r="K422" s="311">
        <v>1.0591734247867295E-4</v>
      </c>
      <c r="L422" s="518">
        <v>1.58306427018436E-2</v>
      </c>
      <c r="M422" s="519">
        <v>1.1070645470431253E-4</v>
      </c>
    </row>
    <row r="423" spans="2:13" ht="15.75" x14ac:dyDescent="0.25">
      <c r="B423" s="212">
        <v>2033</v>
      </c>
      <c r="C423" s="309">
        <v>2030</v>
      </c>
      <c r="D423" s="250" t="s">
        <v>3724</v>
      </c>
      <c r="E423" s="517">
        <v>0.117813206439022</v>
      </c>
      <c r="F423" s="310">
        <v>1.50232026318191E-2</v>
      </c>
      <c r="G423" s="311">
        <v>2.6012929929084608E-2</v>
      </c>
      <c r="H423" s="311">
        <v>1.47923915590112</v>
      </c>
      <c r="I423" s="311">
        <v>0.30739315020484381</v>
      </c>
      <c r="J423" s="311">
        <v>1.36705082752602E-2</v>
      </c>
      <c r="K423" s="311">
        <v>1.059173424786729E-4</v>
      </c>
      <c r="L423" s="518">
        <v>1.42886279974854E-2</v>
      </c>
      <c r="M423" s="519">
        <v>1.1070645470431247E-4</v>
      </c>
    </row>
    <row r="424" spans="2:13" ht="15.75" x14ac:dyDescent="0.25">
      <c r="B424" s="212">
        <v>2033</v>
      </c>
      <c r="C424" s="309">
        <v>2031</v>
      </c>
      <c r="D424" s="250" t="s">
        <v>3725</v>
      </c>
      <c r="E424" s="517">
        <v>0.11781320643902216</v>
      </c>
      <c r="F424" s="310">
        <v>1.44185412920414E-2</v>
      </c>
      <c r="G424" s="311">
        <v>2.6012929929084577E-2</v>
      </c>
      <c r="H424" s="311">
        <v>1.38135314024955</v>
      </c>
      <c r="I424" s="311">
        <v>0.30739315020484281</v>
      </c>
      <c r="J424" s="311">
        <v>1.21952004444306E-2</v>
      </c>
      <c r="K424" s="311">
        <v>1.0591734247867278E-4</v>
      </c>
      <c r="L424" s="518">
        <v>1.27466132931272E-2</v>
      </c>
      <c r="M424" s="519">
        <v>1.1070645470431235E-4</v>
      </c>
    </row>
    <row r="425" spans="2:13" ht="15.75" x14ac:dyDescent="0.25">
      <c r="B425" s="212">
        <v>2033</v>
      </c>
      <c r="C425" s="309">
        <v>2032</v>
      </c>
      <c r="D425" s="250" t="s">
        <v>3726</v>
      </c>
      <c r="E425" s="517">
        <v>0.11781320643902214</v>
      </c>
      <c r="F425" s="310">
        <v>1.3813879952263601E-2</v>
      </c>
      <c r="G425" s="311">
        <v>2.6012929929084626E-2</v>
      </c>
      <c r="H425" s="311">
        <v>1.2834671245979701</v>
      </c>
      <c r="I425" s="311">
        <v>0.30739315020484409</v>
      </c>
      <c r="J425" s="311">
        <v>1.0719892613601E-2</v>
      </c>
      <c r="K425" s="311">
        <v>1.0591734247867298E-4</v>
      </c>
      <c r="L425" s="518">
        <v>1.1204598588769101E-2</v>
      </c>
      <c r="M425" s="519">
        <v>1.1070645470431255E-4</v>
      </c>
    </row>
    <row r="426" spans="2:13" ht="15.75" x14ac:dyDescent="0.25">
      <c r="B426" s="212">
        <v>2033</v>
      </c>
      <c r="C426" s="309">
        <v>2033</v>
      </c>
      <c r="D426" s="250" t="s">
        <v>3727</v>
      </c>
      <c r="E426" s="517">
        <v>0.11781320643902163</v>
      </c>
      <c r="F426" s="310">
        <v>1.3209218612485901E-2</v>
      </c>
      <c r="G426" s="311">
        <v>2.6012929929084522E-2</v>
      </c>
      <c r="H426" s="311">
        <v>1.1855811089463999</v>
      </c>
      <c r="I426" s="311">
        <v>0.30739315020484281</v>
      </c>
      <c r="J426" s="311">
        <v>9.2445847827714207E-3</v>
      </c>
      <c r="K426" s="311">
        <v>1.0591734247867255E-4</v>
      </c>
      <c r="L426" s="518">
        <v>9.6625838844109305E-3</v>
      </c>
      <c r="M426" s="519">
        <v>1.1070645470431209E-4</v>
      </c>
    </row>
    <row r="427" spans="2:13" ht="15.75" x14ac:dyDescent="0.25">
      <c r="B427" s="212">
        <v>2033</v>
      </c>
      <c r="C427" s="309">
        <v>2034</v>
      </c>
      <c r="D427" s="250" t="s">
        <v>4507</v>
      </c>
      <c r="E427" s="517">
        <v>0.12522335790508571</v>
      </c>
      <c r="F427" s="310">
        <v>1.26045572727082E-2</v>
      </c>
      <c r="G427" s="311">
        <v>6.2431031829803009E-2</v>
      </c>
      <c r="H427" s="311">
        <v>1.0876950932948299</v>
      </c>
      <c r="I427" s="311">
        <v>0.73774356049162471</v>
      </c>
      <c r="J427" s="311">
        <v>7.7692769519418304E-3</v>
      </c>
      <c r="K427" s="311">
        <v>2.5420162194881478E-4</v>
      </c>
      <c r="L427" s="518">
        <v>8.1205691800527707E-3</v>
      </c>
      <c r="M427" s="519">
        <v>2.6569549129034975E-4</v>
      </c>
    </row>
    <row r="428" spans="2:13" ht="15.75" x14ac:dyDescent="0.25">
      <c r="B428" s="212">
        <v>2034</v>
      </c>
      <c r="C428" s="309">
        <v>2012</v>
      </c>
      <c r="D428" s="250" t="s">
        <v>3750</v>
      </c>
      <c r="E428" s="517">
        <v>0.18035352481589509</v>
      </c>
      <c r="F428" s="310">
        <v>2.6217143297641299E-2</v>
      </c>
      <c r="G428" s="311">
        <v>5.4386699473689799E-2</v>
      </c>
      <c r="H428" s="311">
        <v>4.5264573626800102</v>
      </c>
      <c r="I428" s="311">
        <v>0.64268419305467828</v>
      </c>
      <c r="J428" s="311">
        <v>4.0268240767121398E-2</v>
      </c>
      <c r="K428" s="311">
        <v>2.2144736060657099E-4</v>
      </c>
      <c r="L428" s="518">
        <v>4.2088991926938601E-2</v>
      </c>
      <c r="M428" s="519">
        <v>2.3146022759509165E-4</v>
      </c>
    </row>
    <row r="429" spans="2:13" ht="15.75" x14ac:dyDescent="0.25">
      <c r="B429" s="212">
        <v>2034</v>
      </c>
      <c r="C429" s="309">
        <v>2013</v>
      </c>
      <c r="D429" s="250" t="s">
        <v>3751</v>
      </c>
      <c r="E429" s="517">
        <v>0.1791341489024241</v>
      </c>
      <c r="F429" s="310">
        <v>2.5706545792370101E-2</v>
      </c>
      <c r="G429" s="311">
        <v>5.43867464735295E-2</v>
      </c>
      <c r="H429" s="311">
        <v>4.2933576921103498</v>
      </c>
      <c r="I429" s="311">
        <v>0.64268474844881585</v>
      </c>
      <c r="J429" s="311">
        <v>3.91079288106536E-2</v>
      </c>
      <c r="K429" s="311">
        <v>2.214475519767139E-4</v>
      </c>
      <c r="L429" s="518">
        <v>4.0876215812607399E-2</v>
      </c>
      <c r="M429" s="519">
        <v>2.3146042761814324E-4</v>
      </c>
    </row>
    <row r="430" spans="2:13" ht="15.75" x14ac:dyDescent="0.25">
      <c r="B430" s="212">
        <v>2034</v>
      </c>
      <c r="C430" s="309">
        <v>2014</v>
      </c>
      <c r="D430" s="250" t="s">
        <v>3752</v>
      </c>
      <c r="E430" s="517">
        <v>0.16141261612300681</v>
      </c>
      <c r="F430" s="310">
        <v>2.2052067760345399E-2</v>
      </c>
      <c r="G430" s="311">
        <v>5.4386734192172749E-2</v>
      </c>
      <c r="H430" s="311">
        <v>2.7968186974220499</v>
      </c>
      <c r="I430" s="311">
        <v>0.64268460332079747</v>
      </c>
      <c r="J430" s="311">
        <v>3.06993906731085E-2</v>
      </c>
      <c r="K430" s="311">
        <v>2.2144750197047961E-4</v>
      </c>
      <c r="L430" s="518">
        <v>3.2087480892817898E-2</v>
      </c>
      <c r="M430" s="519">
        <v>2.3146037535084894E-4</v>
      </c>
    </row>
    <row r="431" spans="2:13" ht="15.75" x14ac:dyDescent="0.25">
      <c r="B431" s="212">
        <v>2034</v>
      </c>
      <c r="C431" s="309">
        <v>2015</v>
      </c>
      <c r="D431" s="250" t="s">
        <v>3753</v>
      </c>
      <c r="E431" s="517">
        <v>0.15939018396717033</v>
      </c>
      <c r="F431" s="310">
        <v>2.1149854344618999E-2</v>
      </c>
      <c r="G431" s="311">
        <v>5.4386734596764873E-2</v>
      </c>
      <c r="H431" s="311">
        <v>2.4704220978424201</v>
      </c>
      <c r="I431" s="311">
        <v>0.64268460810183825</v>
      </c>
      <c r="J431" s="311">
        <v>2.86247733715576E-2</v>
      </c>
      <c r="K431" s="311">
        <v>2.2144750361786502E-4</v>
      </c>
      <c r="L431" s="518">
        <v>2.9919058602868798E-2</v>
      </c>
      <c r="M431" s="519">
        <v>2.3146037707272183E-4</v>
      </c>
    </row>
    <row r="432" spans="2:13" ht="15.75" x14ac:dyDescent="0.25">
      <c r="B432" s="212">
        <v>2034</v>
      </c>
      <c r="C432" s="309">
        <v>2016</v>
      </c>
      <c r="D432" s="250" t="s">
        <v>3754</v>
      </c>
      <c r="E432" s="517">
        <v>0.15939215640706816</v>
      </c>
      <c r="F432" s="310">
        <v>2.11509988973827E-2</v>
      </c>
      <c r="G432" s="311">
        <v>5.4386717562578395E-2</v>
      </c>
      <c r="H432" s="311">
        <v>2.4704039756073399</v>
      </c>
      <c r="I432" s="311">
        <v>0.64268440680993111</v>
      </c>
      <c r="J432" s="311">
        <v>2.8628843206885E-2</v>
      </c>
      <c r="K432" s="311">
        <v>2.2144743425944337E-4</v>
      </c>
      <c r="L432" s="518">
        <v>2.9923312458090101E-2</v>
      </c>
      <c r="M432" s="519">
        <v>2.3146030457822013E-4</v>
      </c>
    </row>
    <row r="433" spans="2:13" ht="15.75" x14ac:dyDescent="0.25">
      <c r="B433" s="212">
        <v>2034</v>
      </c>
      <c r="C433" s="309">
        <v>2017</v>
      </c>
      <c r="D433" s="250" t="s">
        <v>3755</v>
      </c>
      <c r="E433" s="517">
        <v>0.15336258765886135</v>
      </c>
      <c r="F433" s="310">
        <v>2.11476899166625E-2</v>
      </c>
      <c r="G433" s="311">
        <v>5.4386581494218988E-2</v>
      </c>
      <c r="H433" s="311">
        <v>2.4707048465469601</v>
      </c>
      <c r="I433" s="311">
        <v>0.64268279889872226</v>
      </c>
      <c r="J433" s="311">
        <v>2.8613605296692601E-2</v>
      </c>
      <c r="K433" s="311">
        <v>2.2144688022731154E-4</v>
      </c>
      <c r="L433" s="518">
        <v>2.9907385557216101E-2</v>
      </c>
      <c r="M433" s="519">
        <v>2.3145972549521376E-4</v>
      </c>
    </row>
    <row r="434" spans="2:13" ht="15.75" x14ac:dyDescent="0.25">
      <c r="B434" s="212">
        <v>2034</v>
      </c>
      <c r="C434" s="309">
        <v>2018</v>
      </c>
      <c r="D434" s="250" t="s">
        <v>3756</v>
      </c>
      <c r="E434" s="517">
        <v>0.15336258765886124</v>
      </c>
      <c r="F434" s="310">
        <v>2.1145880305006099E-2</v>
      </c>
      <c r="G434" s="311">
        <v>5.4386581494218926E-2</v>
      </c>
      <c r="H434" s="311">
        <v>2.4704118964528998</v>
      </c>
      <c r="I434" s="311">
        <v>0.64268279889872171</v>
      </c>
      <c r="J434" s="311">
        <v>2.8609190038849E-2</v>
      </c>
      <c r="K434" s="311">
        <v>2.2144688022731132E-4</v>
      </c>
      <c r="L434" s="518">
        <v>2.9902770661005201E-2</v>
      </c>
      <c r="M434" s="519">
        <v>2.3145972549521351E-4</v>
      </c>
    </row>
    <row r="435" spans="2:13" ht="15.75" x14ac:dyDescent="0.25">
      <c r="B435" s="212">
        <v>2034</v>
      </c>
      <c r="C435" s="309">
        <v>2019</v>
      </c>
      <c r="D435" s="250" t="s">
        <v>3757</v>
      </c>
      <c r="E435" s="517">
        <v>0.15336258765886054</v>
      </c>
      <c r="F435" s="310">
        <v>2.08855934147909E-2</v>
      </c>
      <c r="G435" s="311">
        <v>5.4386581494218982E-2</v>
      </c>
      <c r="H435" s="311">
        <v>2.4282751934209901</v>
      </c>
      <c r="I435" s="311">
        <v>0.64268279889872082</v>
      </c>
      <c r="J435" s="311">
        <v>2.79741180168851E-2</v>
      </c>
      <c r="K435" s="311">
        <v>2.2144688022731151E-4</v>
      </c>
      <c r="L435" s="518">
        <v>2.92389835002984E-2</v>
      </c>
      <c r="M435" s="519">
        <v>2.314597254952137E-4</v>
      </c>
    </row>
    <row r="436" spans="2:13" ht="15.75" x14ac:dyDescent="0.25">
      <c r="B436" s="212">
        <v>2034</v>
      </c>
      <c r="C436" s="309">
        <v>2020</v>
      </c>
      <c r="D436" s="250" t="s">
        <v>3758</v>
      </c>
      <c r="E436" s="517">
        <v>0.15198933676491844</v>
      </c>
      <c r="F436" s="310">
        <v>2.0596385758996201E-2</v>
      </c>
      <c r="G436" s="311">
        <v>4.8947923344797035E-2</v>
      </c>
      <c r="H436" s="311">
        <v>2.3814566344966401</v>
      </c>
      <c r="I436" s="311">
        <v>0.57841451900884955</v>
      </c>
      <c r="J436" s="311">
        <v>2.7268482436925201E-2</v>
      </c>
      <c r="K436" s="311">
        <v>1.9930219220458064E-4</v>
      </c>
      <c r="L436" s="518">
        <v>2.85014422106242E-2</v>
      </c>
      <c r="M436" s="519">
        <v>2.0831375294569267E-4</v>
      </c>
    </row>
    <row r="437" spans="2:13" ht="15.75" x14ac:dyDescent="0.25">
      <c r="B437" s="212">
        <v>2034</v>
      </c>
      <c r="C437" s="309">
        <v>2021</v>
      </c>
      <c r="D437" s="250" t="s">
        <v>3759</v>
      </c>
      <c r="E437" s="517">
        <v>0.13634043596715073</v>
      </c>
      <c r="F437" s="310">
        <v>2.02750439192243E-2</v>
      </c>
      <c r="G437" s="311">
        <v>4.405313101031727E-2</v>
      </c>
      <c r="H437" s="311">
        <v>2.3294360134695902</v>
      </c>
      <c r="I437" s="311">
        <v>0.52057306710796392</v>
      </c>
      <c r="J437" s="311">
        <v>2.6484442903636399E-2</v>
      </c>
      <c r="K437" s="311">
        <v>1.7937197298412231E-4</v>
      </c>
      <c r="L437" s="518">
        <v>2.7681951888764E-2</v>
      </c>
      <c r="M437" s="519">
        <v>1.8748237765112312E-4</v>
      </c>
    </row>
    <row r="438" spans="2:13" ht="15.75" x14ac:dyDescent="0.25">
      <c r="B438" s="212">
        <v>2034</v>
      </c>
      <c r="C438" s="309">
        <v>2022</v>
      </c>
      <c r="D438" s="250" t="s">
        <v>3760</v>
      </c>
      <c r="E438" s="517">
        <v>0.13533444880077419</v>
      </c>
      <c r="F438" s="310">
        <v>1.9917997430588901E-2</v>
      </c>
      <c r="G438" s="311">
        <v>3.9647817909285572E-2</v>
      </c>
      <c r="H438" s="311">
        <v>2.2716353234395301</v>
      </c>
      <c r="I438" s="311">
        <v>0.46851576039716675</v>
      </c>
      <c r="J438" s="311">
        <v>2.56132878666489E-2</v>
      </c>
      <c r="K438" s="311">
        <v>1.6143477568570982E-4</v>
      </c>
      <c r="L438" s="518">
        <v>2.6771407086697101E-2</v>
      </c>
      <c r="M438" s="519">
        <v>1.6873413988601052E-4</v>
      </c>
    </row>
    <row r="439" spans="2:13" ht="15.75" x14ac:dyDescent="0.25">
      <c r="B439" s="212">
        <v>2034</v>
      </c>
      <c r="C439" s="309">
        <v>2023</v>
      </c>
      <c r="D439" s="250" t="s">
        <v>3761</v>
      </c>
      <c r="E439" s="517">
        <v>0.13442906035103525</v>
      </c>
      <c r="F439" s="310">
        <v>1.95212791098829E-2</v>
      </c>
      <c r="G439" s="311">
        <v>3.568303611835711E-2</v>
      </c>
      <c r="H439" s="311">
        <v>2.2074123345172398</v>
      </c>
      <c r="I439" s="311">
        <v>0.42166418435745212</v>
      </c>
      <c r="J439" s="311">
        <v>2.4645337825551599E-2</v>
      </c>
      <c r="K439" s="311">
        <v>1.4529129811713924E-4</v>
      </c>
      <c r="L439" s="518">
        <v>2.5759690639956201E-2</v>
      </c>
      <c r="M439" s="519">
        <v>1.5186072589740989E-4</v>
      </c>
    </row>
    <row r="440" spans="2:13" ht="15.75" x14ac:dyDescent="0.25">
      <c r="B440" s="212">
        <v>2034</v>
      </c>
      <c r="C440" s="309">
        <v>2024</v>
      </c>
      <c r="D440" s="250" t="s">
        <v>3762</v>
      </c>
      <c r="E440" s="517">
        <v>0.12350276095303929</v>
      </c>
      <c r="F440" s="310">
        <v>1.9080480975765202E-2</v>
      </c>
      <c r="G440" s="311">
        <v>3.2114732506521339E-2</v>
      </c>
      <c r="H440" s="311">
        <v>2.1360534579369199</v>
      </c>
      <c r="I440" s="311">
        <v>0.3794977659217062</v>
      </c>
      <c r="J440" s="311">
        <v>2.3569837779888001E-2</v>
      </c>
      <c r="K440" s="311">
        <v>1.3076216830542505E-4</v>
      </c>
      <c r="L440" s="518">
        <v>2.4635561254688399E-2</v>
      </c>
      <c r="M440" s="519">
        <v>1.3667465330766864E-4</v>
      </c>
    </row>
    <row r="441" spans="2:13" ht="15.75" x14ac:dyDescent="0.25">
      <c r="B441" s="212">
        <v>2034</v>
      </c>
      <c r="C441" s="309">
        <v>2025</v>
      </c>
      <c r="D441" s="250" t="s">
        <v>3763</v>
      </c>
      <c r="E441" s="517">
        <v>0.12282489474517819</v>
      </c>
      <c r="F441" s="310">
        <v>1.8590705271189899E-2</v>
      </c>
      <c r="G441" s="311">
        <v>2.8903259255869198E-2</v>
      </c>
      <c r="H441" s="311">
        <v>2.0567658172921202</v>
      </c>
      <c r="I441" s="311">
        <v>0.34154798932953562</v>
      </c>
      <c r="J441" s="311">
        <v>2.2374837729150599E-2</v>
      </c>
      <c r="K441" s="311">
        <v>1.1768595147488282E-4</v>
      </c>
      <c r="L441" s="518">
        <v>2.3386528604390899E-2</v>
      </c>
      <c r="M441" s="519">
        <v>1.2300718797690204E-4</v>
      </c>
    </row>
    <row r="442" spans="2:13" ht="15.75" x14ac:dyDescent="0.25">
      <c r="B442" s="212">
        <v>2034</v>
      </c>
      <c r="C442" s="309">
        <v>2026</v>
      </c>
      <c r="D442" s="250" t="s">
        <v>3764</v>
      </c>
      <c r="E442" s="517">
        <v>0.12221481515810237</v>
      </c>
      <c r="F442" s="310">
        <v>1.8046510043883999E-2</v>
      </c>
      <c r="G442" s="311">
        <v>2.6012933330282321E-2</v>
      </c>
      <c r="H442" s="311">
        <v>1.9686684387979001</v>
      </c>
      <c r="I442" s="311">
        <v>0.30739319039658175</v>
      </c>
      <c r="J442" s="311">
        <v>2.1047059894997999E-2</v>
      </c>
      <c r="K442" s="311">
        <v>1.0591735632739444E-4</v>
      </c>
      <c r="L442" s="518">
        <v>2.19987145485048E-2</v>
      </c>
      <c r="M442" s="519">
        <v>1.1070646917921175E-4</v>
      </c>
    </row>
    <row r="443" spans="2:13" ht="15.75" x14ac:dyDescent="0.25">
      <c r="B443" s="212">
        <v>2034</v>
      </c>
      <c r="C443" s="309">
        <v>2027</v>
      </c>
      <c r="D443" s="250" t="s">
        <v>3765</v>
      </c>
      <c r="E443" s="517">
        <v>0.11781320158560583</v>
      </c>
      <c r="F443" s="310">
        <v>1.74418486802107E-2</v>
      </c>
      <c r="G443" s="311">
        <v>2.6012933330282303E-2</v>
      </c>
      <c r="H443" s="311">
        <v>1.8707824626931999</v>
      </c>
      <c r="I443" s="311">
        <v>0.30739319039658219</v>
      </c>
      <c r="J443" s="311">
        <v>1.9571751190383999E-2</v>
      </c>
      <c r="K443" s="311">
        <v>1.0591735632739438E-4</v>
      </c>
      <c r="L443" s="518">
        <v>2.0456698930853501E-2</v>
      </c>
      <c r="M443" s="519">
        <v>1.1070646917921167E-4</v>
      </c>
    </row>
    <row r="444" spans="2:13" ht="15.75" x14ac:dyDescent="0.25">
      <c r="B444" s="212">
        <v>2034</v>
      </c>
      <c r="C444" s="309">
        <v>2028</v>
      </c>
      <c r="D444" s="250" t="s">
        <v>3766</v>
      </c>
      <c r="E444" s="517">
        <v>0.11781320158560604</v>
      </c>
      <c r="F444" s="310">
        <v>1.6837187316537501E-2</v>
      </c>
      <c r="G444" s="311">
        <v>2.6012933330282303E-2</v>
      </c>
      <c r="H444" s="311">
        <v>1.77289648658851</v>
      </c>
      <c r="I444" s="311">
        <v>0.30739319039658153</v>
      </c>
      <c r="J444" s="311">
        <v>1.8096442485770001E-2</v>
      </c>
      <c r="K444" s="311">
        <v>1.0591735632739437E-4</v>
      </c>
      <c r="L444" s="518">
        <v>1.8914683313202299E-2</v>
      </c>
      <c r="M444" s="519">
        <v>1.1070646917921167E-4</v>
      </c>
    </row>
    <row r="445" spans="2:13" ht="15.75" x14ac:dyDescent="0.25">
      <c r="B445" s="212">
        <v>2034</v>
      </c>
      <c r="C445" s="309">
        <v>2029</v>
      </c>
      <c r="D445" s="250" t="s">
        <v>3767</v>
      </c>
      <c r="E445" s="517">
        <v>0.11781320158560606</v>
      </c>
      <c r="F445" s="310">
        <v>1.6232525952864299E-2</v>
      </c>
      <c r="G445" s="311">
        <v>2.6012933330282352E-2</v>
      </c>
      <c r="H445" s="311">
        <v>1.67501051048382</v>
      </c>
      <c r="I445" s="311">
        <v>0.30739319039658275</v>
      </c>
      <c r="J445" s="311">
        <v>1.66211337811559E-2</v>
      </c>
      <c r="K445" s="311">
        <v>1.0591735632739457E-4</v>
      </c>
      <c r="L445" s="518">
        <v>1.7372667695551E-2</v>
      </c>
      <c r="M445" s="519">
        <v>1.1070646917921187E-4</v>
      </c>
    </row>
    <row r="446" spans="2:13" ht="15.75" x14ac:dyDescent="0.25">
      <c r="B446" s="212">
        <v>2034</v>
      </c>
      <c r="C446" s="309">
        <v>2030</v>
      </c>
      <c r="D446" s="250" t="s">
        <v>3768</v>
      </c>
      <c r="E446" s="517">
        <v>0.11781320158560542</v>
      </c>
      <c r="F446" s="310">
        <v>1.56278645891911E-2</v>
      </c>
      <c r="G446" s="311">
        <v>2.6012933330282231E-2</v>
      </c>
      <c r="H446" s="311">
        <v>1.57712453437913</v>
      </c>
      <c r="I446" s="311">
        <v>0.30739319039658136</v>
      </c>
      <c r="J446" s="311">
        <v>1.5145825076541899E-2</v>
      </c>
      <c r="K446" s="311">
        <v>1.0591735632739407E-4</v>
      </c>
      <c r="L446" s="518">
        <v>1.5830652077899701E-2</v>
      </c>
      <c r="M446" s="519">
        <v>1.1070646917921134E-4</v>
      </c>
    </row>
    <row r="447" spans="2:13" ht="15.75" x14ac:dyDescent="0.25">
      <c r="B447" s="212">
        <v>2034</v>
      </c>
      <c r="C447" s="309">
        <v>2031</v>
      </c>
      <c r="D447" s="250" t="s">
        <v>3769</v>
      </c>
      <c r="E447" s="517">
        <v>0.11781320158560586</v>
      </c>
      <c r="F447" s="310">
        <v>1.5023203225517799E-2</v>
      </c>
      <c r="G447" s="311">
        <v>2.6012933330282286E-2</v>
      </c>
      <c r="H447" s="311">
        <v>1.4792385582744401</v>
      </c>
      <c r="I447" s="311">
        <v>0.30739319039658142</v>
      </c>
      <c r="J447" s="311">
        <v>1.3670516371927901E-2</v>
      </c>
      <c r="K447" s="311">
        <v>1.059173563273943E-4</v>
      </c>
      <c r="L447" s="518">
        <v>1.4288636460248499E-2</v>
      </c>
      <c r="M447" s="519">
        <v>1.107064691792116E-4</v>
      </c>
    </row>
    <row r="448" spans="2:13" ht="15.75" x14ac:dyDescent="0.25">
      <c r="B448" s="212">
        <v>2034</v>
      </c>
      <c r="C448" s="309">
        <v>2032</v>
      </c>
      <c r="D448" s="250" t="s">
        <v>3770</v>
      </c>
      <c r="E448" s="517">
        <v>0.11781320158560597</v>
      </c>
      <c r="F448" s="310">
        <v>1.4418541861844599E-2</v>
      </c>
      <c r="G448" s="311">
        <v>2.6012933330282224E-2</v>
      </c>
      <c r="H448" s="311">
        <v>1.3813525821697401</v>
      </c>
      <c r="I448" s="311">
        <v>0.30739319039658058</v>
      </c>
      <c r="J448" s="311">
        <v>1.21952076673139E-2</v>
      </c>
      <c r="K448" s="311">
        <v>1.0591735632739405E-4</v>
      </c>
      <c r="L448" s="518">
        <v>1.2746620842597299E-2</v>
      </c>
      <c r="M448" s="519">
        <v>1.1070646917921132E-4</v>
      </c>
    </row>
    <row r="449" spans="2:13" ht="15.75" x14ac:dyDescent="0.25">
      <c r="B449" s="212">
        <v>2034</v>
      </c>
      <c r="C449" s="309">
        <v>2033</v>
      </c>
      <c r="D449" s="250" t="s">
        <v>3771</v>
      </c>
      <c r="E449" s="517">
        <v>0.11781320158560589</v>
      </c>
      <c r="F449" s="310">
        <v>1.3813880498171401E-2</v>
      </c>
      <c r="G449" s="311">
        <v>2.601293333028229E-2</v>
      </c>
      <c r="H449" s="311">
        <v>1.2834666060650499</v>
      </c>
      <c r="I449" s="311">
        <v>0.30739319039658142</v>
      </c>
      <c r="J449" s="311">
        <v>1.07198989626998E-2</v>
      </c>
      <c r="K449" s="311">
        <v>1.0591735632739432E-4</v>
      </c>
      <c r="L449" s="518">
        <v>1.1204605224946E-2</v>
      </c>
      <c r="M449" s="519">
        <v>1.1070646917921162E-4</v>
      </c>
    </row>
    <row r="450" spans="2:13" ht="15.75" x14ac:dyDescent="0.25">
      <c r="B450" s="212">
        <v>2034</v>
      </c>
      <c r="C450" s="309">
        <v>2034</v>
      </c>
      <c r="D450" s="250" t="s">
        <v>3772</v>
      </c>
      <c r="E450" s="517">
        <v>0.11781320158560596</v>
      </c>
      <c r="F450" s="310">
        <v>1.32092191344982E-2</v>
      </c>
      <c r="G450" s="311">
        <v>2.6012933330282241E-2</v>
      </c>
      <c r="H450" s="311">
        <v>1.18558062996036</v>
      </c>
      <c r="I450" s="311">
        <v>0.30739319039658147</v>
      </c>
      <c r="J450" s="311">
        <v>9.24459025808585E-3</v>
      </c>
      <c r="K450" s="311">
        <v>1.0591735632739411E-4</v>
      </c>
      <c r="L450" s="518">
        <v>9.6625896072947901E-3</v>
      </c>
      <c r="M450" s="519">
        <v>1.1070646917921141E-4</v>
      </c>
    </row>
    <row r="451" spans="2:13" ht="15.75" x14ac:dyDescent="0.25">
      <c r="B451" s="212">
        <v>2034</v>
      </c>
      <c r="C451" s="309">
        <v>2035</v>
      </c>
      <c r="D451" s="250" t="s">
        <v>4508</v>
      </c>
      <c r="E451" s="517">
        <v>0.12522335402054893</v>
      </c>
      <c r="F451" s="310">
        <v>1.2604557770824899E-2</v>
      </c>
      <c r="G451" s="311">
        <v>6.2431039992677496E-2</v>
      </c>
      <c r="H451" s="311">
        <v>1.08769465385567</v>
      </c>
      <c r="I451" s="311">
        <v>0.73774365695179689</v>
      </c>
      <c r="J451" s="311">
        <v>7.7692815534718303E-3</v>
      </c>
      <c r="K451" s="311">
        <v>2.5420165518574638E-4</v>
      </c>
      <c r="L451" s="518">
        <v>8.1205739896435397E-3</v>
      </c>
      <c r="M451" s="519">
        <v>2.6569552603010791E-4</v>
      </c>
    </row>
    <row r="452" spans="2:13" ht="15.75" x14ac:dyDescent="0.25">
      <c r="B452" s="212">
        <v>2035</v>
      </c>
      <c r="C452" s="309">
        <v>2012</v>
      </c>
      <c r="D452" s="250" t="s">
        <v>3794</v>
      </c>
      <c r="E452" s="517">
        <v>0.18035351414948697</v>
      </c>
      <c r="F452" s="310">
        <v>2.6217143364655401E-2</v>
      </c>
      <c r="G452" s="311">
        <v>5.438669127423492E-2</v>
      </c>
      <c r="H452" s="311">
        <v>4.5264574392818799</v>
      </c>
      <c r="I452" s="311">
        <v>0.64268409616223765</v>
      </c>
      <c r="J452" s="311">
        <v>4.0268270322891403E-2</v>
      </c>
      <c r="K452" s="311">
        <v>2.2144732722069428E-4</v>
      </c>
      <c r="L452" s="518">
        <v>4.2089022819089397E-2</v>
      </c>
      <c r="M452" s="519">
        <v>2.3146019269965377E-4</v>
      </c>
    </row>
    <row r="453" spans="2:13" ht="15.75" x14ac:dyDescent="0.25">
      <c r="B453" s="212">
        <v>2035</v>
      </c>
      <c r="C453" s="309">
        <v>2013</v>
      </c>
      <c r="D453" s="250" t="s">
        <v>3795</v>
      </c>
      <c r="E453" s="517">
        <v>0.17913413735605729</v>
      </c>
      <c r="F453" s="310">
        <v>2.5706546180131601E-2</v>
      </c>
      <c r="G453" s="311">
        <v>5.4386734106697199E-2</v>
      </c>
      <c r="H453" s="311">
        <v>4.2933576438669396</v>
      </c>
      <c r="I453" s="311">
        <v>0.64268460231073954</v>
      </c>
      <c r="J453" s="311">
        <v>3.9107958222720403E-2</v>
      </c>
      <c r="K453" s="311">
        <v>2.2144750162244713E-4</v>
      </c>
      <c r="L453" s="518">
        <v>4.0876246554557398E-2</v>
      </c>
      <c r="M453" s="519">
        <v>2.3146037498708E-4</v>
      </c>
    </row>
    <row r="454" spans="2:13" ht="15.75" x14ac:dyDescent="0.25">
      <c r="B454" s="212">
        <v>2035</v>
      </c>
      <c r="C454" s="309">
        <v>2014</v>
      </c>
      <c r="D454" s="250" t="s">
        <v>3796</v>
      </c>
      <c r="E454" s="517">
        <v>0.16141260578207309</v>
      </c>
      <c r="F454" s="310">
        <v>2.2052069068112301E-2</v>
      </c>
      <c r="G454" s="311">
        <v>5.4386722874981516E-2</v>
      </c>
      <c r="H454" s="311">
        <v>2.7968177323077898</v>
      </c>
      <c r="I454" s="311">
        <v>0.64268446958626324</v>
      </c>
      <c r="J454" s="311">
        <v>3.0699413570467599E-2</v>
      </c>
      <c r="K454" s="311">
        <v>2.2144745589005633E-4</v>
      </c>
      <c r="L454" s="518">
        <v>3.2087504825494002E-2</v>
      </c>
      <c r="M454" s="519">
        <v>2.3146032718687344E-4</v>
      </c>
    </row>
    <row r="455" spans="2:13" ht="15.75" x14ac:dyDescent="0.25">
      <c r="B455" s="212">
        <v>2035</v>
      </c>
      <c r="C455" s="309">
        <v>2015</v>
      </c>
      <c r="D455" s="250" t="s">
        <v>3797</v>
      </c>
      <c r="E455" s="517">
        <v>0.15939017380866244</v>
      </c>
      <c r="F455" s="310">
        <v>2.1149855810490399E-2</v>
      </c>
      <c r="G455" s="311">
        <v>5.4386723796449668E-2</v>
      </c>
      <c r="H455" s="311">
        <v>2.4704209504077799</v>
      </c>
      <c r="I455" s="311">
        <v>0.64268448047519422</v>
      </c>
      <c r="J455" s="311">
        <v>2.8624794603084001E-2</v>
      </c>
      <c r="K455" s="311">
        <v>2.2144745964201582E-4</v>
      </c>
      <c r="L455" s="518">
        <v>2.9919080794390599E-2</v>
      </c>
      <c r="M455" s="519">
        <v>2.3146033110847986E-4</v>
      </c>
    </row>
    <row r="456" spans="2:13" ht="15.75" x14ac:dyDescent="0.25">
      <c r="B456" s="212">
        <v>2035</v>
      </c>
      <c r="C456" s="309">
        <v>2016</v>
      </c>
      <c r="D456" s="250" t="s">
        <v>3798</v>
      </c>
      <c r="E456" s="517">
        <v>0.15939214662759638</v>
      </c>
      <c r="F456" s="310">
        <v>2.11510002406263E-2</v>
      </c>
      <c r="G456" s="311">
        <v>5.4386708972049273E-2</v>
      </c>
      <c r="H456" s="311">
        <v>2.4704028308736201</v>
      </c>
      <c r="I456" s="311">
        <v>0.64268430529619103</v>
      </c>
      <c r="J456" s="311">
        <v>2.86288639750358E-2</v>
      </c>
      <c r="K456" s="311">
        <v>2.2144739928122226E-4</v>
      </c>
      <c r="L456" s="518">
        <v>2.9923334165284601E-2</v>
      </c>
      <c r="M456" s="519">
        <v>2.3146026801843908E-4</v>
      </c>
    </row>
    <row r="457" spans="2:13" ht="15.75" x14ac:dyDescent="0.25">
      <c r="B457" s="212">
        <v>2035</v>
      </c>
      <c r="C457" s="309">
        <v>2017</v>
      </c>
      <c r="D457" s="250" t="s">
        <v>3799</v>
      </c>
      <c r="E457" s="517">
        <v>0.15336258106392658</v>
      </c>
      <c r="F457" s="310">
        <v>2.1147690619162999E-2</v>
      </c>
      <c r="G457" s="311">
        <v>5.4386587976610452E-2</v>
      </c>
      <c r="H457" s="311">
        <v>2.4707037212420002</v>
      </c>
      <c r="I457" s="311">
        <v>0.64268287550073144</v>
      </c>
      <c r="J457" s="311">
        <v>2.8613623602764302E-2</v>
      </c>
      <c r="K457" s="311">
        <v>2.2144690662178837E-4</v>
      </c>
      <c r="L457" s="518">
        <v>2.9907404691007E-2</v>
      </c>
      <c r="M457" s="519">
        <v>2.3145975308313171E-4</v>
      </c>
    </row>
    <row r="458" spans="2:13" ht="15.75" x14ac:dyDescent="0.25">
      <c r="B458" s="212">
        <v>2035</v>
      </c>
      <c r="C458" s="309">
        <v>2018</v>
      </c>
      <c r="D458" s="250" t="s">
        <v>3800</v>
      </c>
      <c r="E458" s="517">
        <v>0.15336258106392642</v>
      </c>
      <c r="F458" s="310">
        <v>2.1147690619162999E-2</v>
      </c>
      <c r="G458" s="311">
        <v>5.4386587976610355E-2</v>
      </c>
      <c r="H458" s="311">
        <v>2.4707037212420002</v>
      </c>
      <c r="I458" s="311">
        <v>0.64268287550073167</v>
      </c>
      <c r="J458" s="311">
        <v>2.8613623602764201E-2</v>
      </c>
      <c r="K458" s="311">
        <v>2.2144690662178799E-4</v>
      </c>
      <c r="L458" s="518">
        <v>2.9907404691007E-2</v>
      </c>
      <c r="M458" s="519">
        <v>2.3145975308313128E-4</v>
      </c>
    </row>
    <row r="459" spans="2:13" ht="15.75" x14ac:dyDescent="0.25">
      <c r="B459" s="212">
        <v>2035</v>
      </c>
      <c r="C459" s="309">
        <v>2019</v>
      </c>
      <c r="D459" s="250" t="s">
        <v>3801</v>
      </c>
      <c r="E459" s="517">
        <v>0.15336258106392639</v>
      </c>
      <c r="F459" s="310">
        <v>2.1145881007446399E-2</v>
      </c>
      <c r="G459" s="311">
        <v>5.4386587976610397E-2</v>
      </c>
      <c r="H459" s="311">
        <v>2.4704107712813701</v>
      </c>
      <c r="I459" s="311">
        <v>0.64268287550073222</v>
      </c>
      <c r="J459" s="311">
        <v>2.8609208342095901E-2</v>
      </c>
      <c r="K459" s="311">
        <v>2.2144690662178815E-4</v>
      </c>
      <c r="L459" s="518">
        <v>2.99027897918436E-2</v>
      </c>
      <c r="M459" s="519">
        <v>2.3145975308313147E-4</v>
      </c>
    </row>
    <row r="460" spans="2:13" ht="15.75" x14ac:dyDescent="0.25">
      <c r="B460" s="212">
        <v>2035</v>
      </c>
      <c r="C460" s="309">
        <v>2020</v>
      </c>
      <c r="D460" s="250" t="s">
        <v>3802</v>
      </c>
      <c r="E460" s="517">
        <v>0.15336258106392617</v>
      </c>
      <c r="F460" s="310">
        <v>2.0885594108584801E-2</v>
      </c>
      <c r="G460" s="311">
        <v>5.4386587976610341E-2</v>
      </c>
      <c r="H460" s="311">
        <v>2.4282740874409998</v>
      </c>
      <c r="I460" s="311">
        <v>0.64268287550073011</v>
      </c>
      <c r="J460" s="311">
        <v>2.79741359138331E-2</v>
      </c>
      <c r="K460" s="311">
        <v>2.2144690662178791E-4</v>
      </c>
      <c r="L460" s="518">
        <v>2.9239002206467E-2</v>
      </c>
      <c r="M460" s="519">
        <v>2.3145975308313125E-4</v>
      </c>
    </row>
    <row r="461" spans="2:13" ht="15.75" x14ac:dyDescent="0.25">
      <c r="B461" s="212">
        <v>2035</v>
      </c>
      <c r="C461" s="309">
        <v>2021</v>
      </c>
      <c r="D461" s="250" t="s">
        <v>3803</v>
      </c>
      <c r="E461" s="517">
        <v>0.13745819337289966</v>
      </c>
      <c r="F461" s="310">
        <v>2.0596386443182998E-2</v>
      </c>
      <c r="G461" s="311">
        <v>4.8947929178949273E-2</v>
      </c>
      <c r="H461" s="311">
        <v>2.3814555498405898</v>
      </c>
      <c r="I461" s="311">
        <v>0.57841458795065681</v>
      </c>
      <c r="J461" s="311">
        <v>2.7268499882430099E-2</v>
      </c>
      <c r="K461" s="311">
        <v>1.9930221595960903E-4</v>
      </c>
      <c r="L461" s="518">
        <v>2.8501460444937499E-2</v>
      </c>
      <c r="M461" s="519">
        <v>2.0831377777481798E-4</v>
      </c>
    </row>
    <row r="462" spans="2:13" ht="15.75" x14ac:dyDescent="0.25">
      <c r="B462" s="212">
        <v>2035</v>
      </c>
      <c r="C462" s="309">
        <v>2022</v>
      </c>
      <c r="D462" s="250" t="s">
        <v>3804</v>
      </c>
      <c r="E462" s="517">
        <v>0.13634042972147592</v>
      </c>
      <c r="F462" s="310">
        <v>2.0275044592736598E-2</v>
      </c>
      <c r="G462" s="311">
        <v>4.4053136261054386E-2</v>
      </c>
      <c r="H462" s="311">
        <v>2.3294349525068001</v>
      </c>
      <c r="I462" s="311">
        <v>0.52057312915559273</v>
      </c>
      <c r="J462" s="311">
        <v>2.6484459847537899E-2</v>
      </c>
      <c r="K462" s="311">
        <v>1.7937199436364825E-4</v>
      </c>
      <c r="L462" s="518">
        <v>2.7681969598793502E-2</v>
      </c>
      <c r="M462" s="519">
        <v>1.8748239999733635E-4</v>
      </c>
    </row>
    <row r="463" spans="2:13" ht="15.75" x14ac:dyDescent="0.25">
      <c r="B463" s="212">
        <v>2035</v>
      </c>
      <c r="C463" s="309">
        <v>2023</v>
      </c>
      <c r="D463" s="250" t="s">
        <v>3805</v>
      </c>
      <c r="E463" s="517">
        <v>0.13533444243519449</v>
      </c>
      <c r="F463" s="310">
        <v>1.9917998092240499E-2</v>
      </c>
      <c r="G463" s="311">
        <v>3.9647822634948988E-2</v>
      </c>
      <c r="H463" s="311">
        <v>2.27163428880259</v>
      </c>
      <c r="I463" s="311">
        <v>0.46851581624003291</v>
      </c>
      <c r="J463" s="311">
        <v>2.56133042532131E-2</v>
      </c>
      <c r="K463" s="311">
        <v>1.614347949272836E-4</v>
      </c>
      <c r="L463" s="518">
        <v>2.6771424214189099E-2</v>
      </c>
      <c r="M463" s="519">
        <v>1.687341599976029E-4</v>
      </c>
    </row>
    <row r="464" spans="2:13" ht="15.75" x14ac:dyDescent="0.25">
      <c r="B464" s="212">
        <v>2035</v>
      </c>
      <c r="C464" s="309">
        <v>2024</v>
      </c>
      <c r="D464" s="250" t="s">
        <v>3806</v>
      </c>
      <c r="E464" s="517">
        <v>0.12425593964483804</v>
      </c>
      <c r="F464" s="310">
        <v>1.9521279758355999E-2</v>
      </c>
      <c r="G464" s="311">
        <v>3.5683040371453999E-2</v>
      </c>
      <c r="H464" s="311">
        <v>2.2074113291312498</v>
      </c>
      <c r="I464" s="311">
        <v>0.42166423461602853</v>
      </c>
      <c r="J464" s="311">
        <v>2.46453535928523E-2</v>
      </c>
      <c r="K464" s="311">
        <v>1.4529131543455486E-4</v>
      </c>
      <c r="L464" s="518">
        <v>2.5759707120184199E-2</v>
      </c>
      <c r="M464" s="519">
        <v>1.518607439978422E-4</v>
      </c>
    </row>
    <row r="465" spans="2:13" ht="15.75" x14ac:dyDescent="0.25">
      <c r="B465" s="212">
        <v>2035</v>
      </c>
      <c r="C465" s="309">
        <v>2025</v>
      </c>
      <c r="D465" s="250" t="s">
        <v>3807</v>
      </c>
      <c r="E465" s="517">
        <v>0.12350275487966328</v>
      </c>
      <c r="F465" s="310">
        <v>1.9080481609595398E-2</v>
      </c>
      <c r="G465" s="311">
        <v>3.21147363343086E-2</v>
      </c>
      <c r="H465" s="311">
        <v>2.13605248505197</v>
      </c>
      <c r="I465" s="311">
        <v>0.3794978111544266</v>
      </c>
      <c r="J465" s="311">
        <v>2.3569852859118098E-2</v>
      </c>
      <c r="K465" s="311">
        <v>1.307621838910997E-4</v>
      </c>
      <c r="L465" s="518">
        <v>2.4635577015734399E-2</v>
      </c>
      <c r="M465" s="519">
        <v>1.3667466959805833E-4</v>
      </c>
    </row>
    <row r="466" spans="2:13" ht="15.75" x14ac:dyDescent="0.25">
      <c r="B466" s="212">
        <v>2035</v>
      </c>
      <c r="C466" s="309">
        <v>2026</v>
      </c>
      <c r="D466" s="250" t="s">
        <v>3808</v>
      </c>
      <c r="E466" s="517">
        <v>0.12282488859100656</v>
      </c>
      <c r="F466" s="310">
        <v>1.8590705888750399E-2</v>
      </c>
      <c r="G466" s="311">
        <v>2.890326270087781E-2</v>
      </c>
      <c r="H466" s="311">
        <v>2.0567648805194501</v>
      </c>
      <c r="I466" s="311">
        <v>0.34154803003898399</v>
      </c>
      <c r="J466" s="311">
        <v>2.23748520438578E-2</v>
      </c>
      <c r="K466" s="311">
        <v>1.1768596550198974E-4</v>
      </c>
      <c r="L466" s="518">
        <v>2.3386543566345602E-2</v>
      </c>
      <c r="M466" s="519">
        <v>1.2300720263825249E-4</v>
      </c>
    </row>
    <row r="467" spans="2:13" ht="15.75" x14ac:dyDescent="0.25">
      <c r="B467" s="212">
        <v>2035</v>
      </c>
      <c r="C467" s="309">
        <v>2027</v>
      </c>
      <c r="D467" s="250" t="s">
        <v>3809</v>
      </c>
      <c r="E467" s="517">
        <v>0.11781319558298224</v>
      </c>
      <c r="F467" s="310">
        <v>1.8046510643367E-2</v>
      </c>
      <c r="G467" s="311">
        <v>2.6012936430789977E-2</v>
      </c>
      <c r="H467" s="311">
        <v>1.96866754214998</v>
      </c>
      <c r="I467" s="311">
        <v>0.3073932270350857</v>
      </c>
      <c r="J467" s="311">
        <v>2.1047073360235299E-2</v>
      </c>
      <c r="K467" s="311">
        <v>1.059173689517908E-4</v>
      </c>
      <c r="L467" s="518">
        <v>2.1998728622580298E-2</v>
      </c>
      <c r="M467" s="519">
        <v>1.107064823744273E-4</v>
      </c>
    </row>
    <row r="468" spans="2:13" ht="15.75" x14ac:dyDescent="0.25">
      <c r="B468" s="212">
        <v>2035</v>
      </c>
      <c r="C468" s="309">
        <v>2028</v>
      </c>
      <c r="D468" s="250" t="s">
        <v>3810</v>
      </c>
      <c r="E468" s="517">
        <v>0.1178131955829817</v>
      </c>
      <c r="F468" s="310">
        <v>1.7441849259607699E-2</v>
      </c>
      <c r="G468" s="311">
        <v>2.6012936430789866E-2</v>
      </c>
      <c r="H468" s="311">
        <v>1.8707816106283399</v>
      </c>
      <c r="I468" s="311">
        <v>0.30739322703508437</v>
      </c>
      <c r="J468" s="311">
        <v>1.9571763711765899E-2</v>
      </c>
      <c r="K468" s="311">
        <v>1.0591736895179035E-4</v>
      </c>
      <c r="L468" s="518">
        <v>2.0456712018396699E-2</v>
      </c>
      <c r="M468" s="519">
        <v>1.1070648237442683E-4</v>
      </c>
    </row>
    <row r="469" spans="2:13" ht="15.75" x14ac:dyDescent="0.25">
      <c r="B469" s="212">
        <v>2035</v>
      </c>
      <c r="C469" s="309">
        <v>2029</v>
      </c>
      <c r="D469" s="250" t="s">
        <v>3811</v>
      </c>
      <c r="E469" s="517">
        <v>0.11781319558298207</v>
      </c>
      <c r="F469" s="310">
        <v>1.68371878758483E-2</v>
      </c>
      <c r="G469" s="311">
        <v>2.6012936430789963E-2</v>
      </c>
      <c r="H469" s="311">
        <v>1.7728956791067101</v>
      </c>
      <c r="I469" s="311">
        <v>0.30739322703508476</v>
      </c>
      <c r="J469" s="311">
        <v>1.8096454063296401E-2</v>
      </c>
      <c r="K469" s="311">
        <v>1.0591736895179049E-4</v>
      </c>
      <c r="L469" s="518">
        <v>1.89146954142131E-2</v>
      </c>
      <c r="M469" s="519">
        <v>1.1070648237442696E-4</v>
      </c>
    </row>
    <row r="470" spans="2:13" ht="15.75" x14ac:dyDescent="0.25">
      <c r="B470" s="212">
        <v>2035</v>
      </c>
      <c r="C470" s="309">
        <v>2030</v>
      </c>
      <c r="D470" s="250" t="s">
        <v>3812</v>
      </c>
      <c r="E470" s="517">
        <v>0.1178131955829818</v>
      </c>
      <c r="F470" s="310">
        <v>1.6232526492088999E-2</v>
      </c>
      <c r="G470" s="311">
        <v>2.6012936430789963E-2</v>
      </c>
      <c r="H470" s="311">
        <v>1.67500974758507</v>
      </c>
      <c r="I470" s="311">
        <v>0.30739322703508543</v>
      </c>
      <c r="J470" s="311">
        <v>1.6621144414826899E-2</v>
      </c>
      <c r="K470" s="311">
        <v>1.059173689517905E-4</v>
      </c>
      <c r="L470" s="518">
        <v>1.73726788100294E-2</v>
      </c>
      <c r="M470" s="519">
        <v>1.1070648237442696E-4</v>
      </c>
    </row>
    <row r="471" spans="2:13" ht="15.75" x14ac:dyDescent="0.25">
      <c r="B471" s="212">
        <v>2035</v>
      </c>
      <c r="C471" s="309">
        <v>2031</v>
      </c>
      <c r="D471" s="250" t="s">
        <v>3813</v>
      </c>
      <c r="E471" s="517">
        <v>0.11781319558298191</v>
      </c>
      <c r="F471" s="310">
        <v>1.56278651083296E-2</v>
      </c>
      <c r="G471" s="311">
        <v>2.6012936430790015E-2</v>
      </c>
      <c r="H471" s="311">
        <v>1.57712381606343</v>
      </c>
      <c r="I471" s="311">
        <v>0.30739322703508537</v>
      </c>
      <c r="J471" s="311">
        <v>1.51458347663575E-2</v>
      </c>
      <c r="K471" s="311">
        <v>1.0591736895179069E-4</v>
      </c>
      <c r="L471" s="518">
        <v>1.5830662205845801E-2</v>
      </c>
      <c r="M471" s="519">
        <v>1.1070648237442718E-4</v>
      </c>
    </row>
    <row r="472" spans="2:13" ht="15.75" x14ac:dyDescent="0.25">
      <c r="B472" s="212">
        <v>2035</v>
      </c>
      <c r="C472" s="309">
        <v>2032</v>
      </c>
      <c r="D472" s="250" t="s">
        <v>3814</v>
      </c>
      <c r="E472" s="517">
        <v>0.1178131955829821</v>
      </c>
      <c r="F472" s="310">
        <v>1.50232037245703E-2</v>
      </c>
      <c r="G472" s="311">
        <v>2.6012936430790064E-2</v>
      </c>
      <c r="H472" s="311">
        <v>1.4792378845417999</v>
      </c>
      <c r="I472" s="311">
        <v>0.30739322703508659</v>
      </c>
      <c r="J472" s="311">
        <v>1.3670525117888001E-2</v>
      </c>
      <c r="K472" s="311">
        <v>1.0591736895179089E-4</v>
      </c>
      <c r="L472" s="518">
        <v>1.42886456016622E-2</v>
      </c>
      <c r="M472" s="519">
        <v>1.1070648237442738E-4</v>
      </c>
    </row>
    <row r="473" spans="2:13" ht="15.75" x14ac:dyDescent="0.25">
      <c r="B473" s="212">
        <v>2035</v>
      </c>
      <c r="C473" s="309">
        <v>2033</v>
      </c>
      <c r="D473" s="250" t="s">
        <v>3815</v>
      </c>
      <c r="E473" s="517">
        <v>0.11781319558298174</v>
      </c>
      <c r="F473" s="310">
        <v>1.4418542340811E-2</v>
      </c>
      <c r="G473" s="311">
        <v>2.6012936430789883E-2</v>
      </c>
      <c r="H473" s="311">
        <v>1.3813519530201599</v>
      </c>
      <c r="I473" s="311">
        <v>0.30739322703508387</v>
      </c>
      <c r="J473" s="311">
        <v>1.21952154694186E-2</v>
      </c>
      <c r="K473" s="311">
        <v>1.0591736895179019E-4</v>
      </c>
      <c r="L473" s="518">
        <v>1.27466289974785E-2</v>
      </c>
      <c r="M473" s="519">
        <v>1.1070648237442664E-4</v>
      </c>
    </row>
    <row r="474" spans="2:13" ht="15.75" x14ac:dyDescent="0.25">
      <c r="B474" s="212">
        <v>2035</v>
      </c>
      <c r="C474" s="309">
        <v>2034</v>
      </c>
      <c r="D474" s="250" t="s">
        <v>3816</v>
      </c>
      <c r="E474" s="517">
        <v>0.11781319558298238</v>
      </c>
      <c r="F474" s="310">
        <v>1.38138809570516E-2</v>
      </c>
      <c r="G474" s="311">
        <v>2.6012936430789984E-2</v>
      </c>
      <c r="H474" s="311">
        <v>1.2834660214985301</v>
      </c>
      <c r="I474" s="311">
        <v>0.30739322703508498</v>
      </c>
      <c r="J474" s="311">
        <v>1.07199058209491E-2</v>
      </c>
      <c r="K474" s="311">
        <v>1.0591736895179057E-4</v>
      </c>
      <c r="L474" s="518">
        <v>1.1204612393294899E-2</v>
      </c>
      <c r="M474" s="519">
        <v>1.1070648237442704E-4</v>
      </c>
    </row>
    <row r="475" spans="2:13" ht="15.75" x14ac:dyDescent="0.25">
      <c r="B475" s="212">
        <v>2035</v>
      </c>
      <c r="C475" s="309">
        <v>2035</v>
      </c>
      <c r="D475" s="250" t="s">
        <v>3817</v>
      </c>
      <c r="E475" s="517">
        <v>0.1178131955829821</v>
      </c>
      <c r="F475" s="310">
        <v>1.32092195732923E-2</v>
      </c>
      <c r="G475" s="311">
        <v>2.6012936430790053E-2</v>
      </c>
      <c r="H475" s="311">
        <v>1.18558008997689</v>
      </c>
      <c r="I475" s="311">
        <v>0.30739322703508648</v>
      </c>
      <c r="J475" s="311">
        <v>9.2445961724796997E-3</v>
      </c>
      <c r="K475" s="311">
        <v>1.0591736895179085E-4</v>
      </c>
      <c r="L475" s="518">
        <v>9.6625957891112706E-3</v>
      </c>
      <c r="M475" s="519">
        <v>1.1070648237442734E-4</v>
      </c>
    </row>
    <row r="476" spans="2:13" ht="15.75" x14ac:dyDescent="0.25">
      <c r="B476" s="212">
        <v>2035</v>
      </c>
      <c r="C476" s="309">
        <v>2036</v>
      </c>
      <c r="D476" s="250" t="s">
        <v>4509</v>
      </c>
      <c r="E476" s="517">
        <v>0.12522334890114908</v>
      </c>
      <c r="F476" s="310">
        <v>1.2604558189533E-2</v>
      </c>
      <c r="G476" s="311">
        <v>6.2431047433896006E-2</v>
      </c>
      <c r="H476" s="311">
        <v>1.08769415845526</v>
      </c>
      <c r="I476" s="311">
        <v>0.73774374488420613</v>
      </c>
      <c r="J476" s="311">
        <v>7.7692865240102599E-3</v>
      </c>
      <c r="K476" s="311">
        <v>2.5420168548429754E-4</v>
      </c>
      <c r="L476" s="518">
        <v>8.1205791849276506E-3</v>
      </c>
      <c r="M476" s="519">
        <v>2.6569555769862511E-4</v>
      </c>
    </row>
    <row r="477" spans="2:13" ht="15.75" x14ac:dyDescent="0.25">
      <c r="B477" s="212">
        <v>2036</v>
      </c>
      <c r="C477" s="309">
        <v>2012</v>
      </c>
      <c r="D477" s="250" t="s">
        <v>3838</v>
      </c>
      <c r="E477" s="517">
        <v>0.18035350626509777</v>
      </c>
      <c r="F477" s="310">
        <v>2.6217146975124901E-2</v>
      </c>
      <c r="G477" s="311">
        <v>5.4386680724551238E-2</v>
      </c>
      <c r="H477" s="311">
        <v>4.5264581061878699</v>
      </c>
      <c r="I477" s="311">
        <v>0.64268397149729184</v>
      </c>
      <c r="J477" s="311">
        <v>4.0268321861528303E-2</v>
      </c>
      <c r="K477" s="311">
        <v>2.2144728426534623E-4</v>
      </c>
      <c r="L477" s="518">
        <v>4.2089076688074802E-2</v>
      </c>
      <c r="M477" s="519">
        <v>2.3146014780205549E-4</v>
      </c>
    </row>
    <row r="478" spans="2:13" ht="15.75" x14ac:dyDescent="0.25">
      <c r="B478" s="212">
        <v>2036</v>
      </c>
      <c r="C478" s="309">
        <v>2013</v>
      </c>
      <c r="D478" s="250" t="s">
        <v>3839</v>
      </c>
      <c r="E478" s="517">
        <v>0.17913412823822739</v>
      </c>
      <c r="F478" s="310">
        <v>2.5706550145338802E-2</v>
      </c>
      <c r="G478" s="311">
        <v>5.4386717902664299E-2</v>
      </c>
      <c r="H478" s="311">
        <v>4.2933580838570604</v>
      </c>
      <c r="I478" s="311">
        <v>0.64268441082870598</v>
      </c>
      <c r="J478" s="311">
        <v>3.9108009232683302E-2</v>
      </c>
      <c r="K478" s="311">
        <v>2.2144743564417763E-4</v>
      </c>
      <c r="L478" s="518">
        <v>4.08762998709645E-2</v>
      </c>
      <c r="M478" s="519">
        <v>2.3146030602556587E-4</v>
      </c>
    </row>
    <row r="479" spans="2:13" ht="15.75" x14ac:dyDescent="0.25">
      <c r="B479" s="212">
        <v>2036</v>
      </c>
      <c r="C479" s="309">
        <v>2014</v>
      </c>
      <c r="D479" s="250" t="s">
        <v>3840</v>
      </c>
      <c r="E479" s="517">
        <v>0.16141259768127383</v>
      </c>
      <c r="F479" s="310">
        <v>2.2052073706378902E-2</v>
      </c>
      <c r="G479" s="311">
        <v>5.4386708349345496E-2</v>
      </c>
      <c r="H479" s="311">
        <v>2.79681656598766</v>
      </c>
      <c r="I479" s="311">
        <v>0.64268429793774129</v>
      </c>
      <c r="J479" s="311">
        <v>3.0699453306405201E-2</v>
      </c>
      <c r="K479" s="311">
        <v>2.2144739674574796E-4</v>
      </c>
      <c r="L479" s="518">
        <v>3.2087546358114401E-2</v>
      </c>
      <c r="M479" s="519">
        <v>2.3146026536832186E-4</v>
      </c>
    </row>
    <row r="480" spans="2:13" ht="15.75" x14ac:dyDescent="0.25">
      <c r="B480" s="212">
        <v>2036</v>
      </c>
      <c r="C480" s="309">
        <v>2015</v>
      </c>
      <c r="D480" s="250" t="s">
        <v>3841</v>
      </c>
      <c r="E480" s="517">
        <v>0.15939016576741066</v>
      </c>
      <c r="F480" s="310">
        <v>2.1149860559737998E-2</v>
      </c>
      <c r="G480" s="311">
        <v>5.4386709365197329E-2</v>
      </c>
      <c r="H480" s="311">
        <v>2.4704194604137601</v>
      </c>
      <c r="I480" s="311">
        <v>0.64268430994199666</v>
      </c>
      <c r="J480" s="311">
        <v>2.8624831606467199E-2</v>
      </c>
      <c r="K480" s="311">
        <v>2.2144740088201066E-4</v>
      </c>
      <c r="L480" s="518">
        <v>2.9919119470902599E-2</v>
      </c>
      <c r="M480" s="519">
        <v>2.3146026969160803E-4</v>
      </c>
    </row>
    <row r="481" spans="2:13" ht="15.75" x14ac:dyDescent="0.25">
      <c r="B481" s="212">
        <v>2036</v>
      </c>
      <c r="C481" s="309">
        <v>2016</v>
      </c>
      <c r="D481" s="250" t="s">
        <v>3842</v>
      </c>
      <c r="E481" s="517">
        <v>0.15939213898421731</v>
      </c>
      <c r="F481" s="310">
        <v>2.1151004857397699E-2</v>
      </c>
      <c r="G481" s="311">
        <v>5.4386696893183102E-2</v>
      </c>
      <c r="H481" s="311">
        <v>2.4704013437816399</v>
      </c>
      <c r="I481" s="311">
        <v>0.64268416256099359</v>
      </c>
      <c r="J481" s="311">
        <v>2.8628900473711499E-2</v>
      </c>
      <c r="K481" s="311">
        <v>2.2144735009947268E-4</v>
      </c>
      <c r="L481" s="518">
        <v>2.99233723142684E-2</v>
      </c>
      <c r="M481" s="519">
        <v>2.3146021661290899E-4</v>
      </c>
    </row>
    <row r="482" spans="2:13" ht="15.75" x14ac:dyDescent="0.25">
      <c r="B482" s="212">
        <v>2036</v>
      </c>
      <c r="C482" s="309">
        <v>2017</v>
      </c>
      <c r="D482" s="250" t="s">
        <v>3843</v>
      </c>
      <c r="E482" s="517">
        <v>0.15336257708504775</v>
      </c>
      <c r="F482" s="310">
        <v>2.1147694471266701E-2</v>
      </c>
      <c r="G482" s="311">
        <v>5.4386593925400302E-2</v>
      </c>
      <c r="H482" s="311">
        <v>2.4707022572266899</v>
      </c>
      <c r="I482" s="311">
        <v>0.64268294579720553</v>
      </c>
      <c r="J482" s="311">
        <v>2.8613657177700199E-2</v>
      </c>
      <c r="K482" s="311">
        <v>2.2144693084358939E-4</v>
      </c>
      <c r="L482" s="518">
        <v>2.9907439784052501E-2</v>
      </c>
      <c r="M482" s="519">
        <v>2.3145977840013506E-4</v>
      </c>
    </row>
    <row r="483" spans="2:13" ht="15.75" x14ac:dyDescent="0.25">
      <c r="B483" s="212">
        <v>2036</v>
      </c>
      <c r="C483" s="309">
        <v>2018</v>
      </c>
      <c r="D483" s="250" t="s">
        <v>3844</v>
      </c>
      <c r="E483" s="517">
        <v>0.153362577085048</v>
      </c>
      <c r="F483" s="310">
        <v>2.1147694471266701E-2</v>
      </c>
      <c r="G483" s="311">
        <v>5.4386593925400323E-2</v>
      </c>
      <c r="H483" s="311">
        <v>2.4707022572266899</v>
      </c>
      <c r="I483" s="311">
        <v>0.64268294579720575</v>
      </c>
      <c r="J483" s="311">
        <v>2.8613657177700199E-2</v>
      </c>
      <c r="K483" s="311">
        <v>2.2144693084358947E-4</v>
      </c>
      <c r="L483" s="518">
        <v>2.9907439784052501E-2</v>
      </c>
      <c r="M483" s="519">
        <v>2.3145977840013517E-4</v>
      </c>
    </row>
    <row r="484" spans="2:13" ht="15.75" x14ac:dyDescent="0.25">
      <c r="B484" s="212">
        <v>2036</v>
      </c>
      <c r="C484" s="309">
        <v>2019</v>
      </c>
      <c r="D484" s="250" t="s">
        <v>3845</v>
      </c>
      <c r="E484" s="517">
        <v>0.15336257708504777</v>
      </c>
      <c r="F484" s="310">
        <v>2.1147694471266701E-2</v>
      </c>
      <c r="G484" s="311">
        <v>5.4386593925400295E-2</v>
      </c>
      <c r="H484" s="311">
        <v>2.4707022572266899</v>
      </c>
      <c r="I484" s="311">
        <v>0.64268294579720542</v>
      </c>
      <c r="J484" s="311">
        <v>2.8613657177700199E-2</v>
      </c>
      <c r="K484" s="311">
        <v>2.2144693084358931E-4</v>
      </c>
      <c r="L484" s="518">
        <v>2.9907439784052501E-2</v>
      </c>
      <c r="M484" s="519">
        <v>2.3145977840013503E-4</v>
      </c>
    </row>
    <row r="485" spans="2:13" ht="15.75" x14ac:dyDescent="0.25">
      <c r="B485" s="212">
        <v>2036</v>
      </c>
      <c r="C485" s="309">
        <v>2020</v>
      </c>
      <c r="D485" s="250" t="s">
        <v>3846</v>
      </c>
      <c r="E485" s="517">
        <v>0.153362577085048</v>
      </c>
      <c r="F485" s="310">
        <v>2.1145884859220501E-2</v>
      </c>
      <c r="G485" s="311">
        <v>5.4386593925400191E-2</v>
      </c>
      <c r="H485" s="311">
        <v>2.47040930743964</v>
      </c>
      <c r="I485" s="311">
        <v>0.64268294579720564</v>
      </c>
      <c r="J485" s="311">
        <v>2.8609241911850901E-2</v>
      </c>
      <c r="K485" s="311">
        <v>2.2144693084358944E-4</v>
      </c>
      <c r="L485" s="518">
        <v>2.9902824879474099E-2</v>
      </c>
      <c r="M485" s="519">
        <v>2.3145977840013514E-4</v>
      </c>
    </row>
    <row r="486" spans="2:13" ht="15.75" x14ac:dyDescent="0.25">
      <c r="B486" s="212">
        <v>2036</v>
      </c>
      <c r="C486" s="309">
        <v>2021</v>
      </c>
      <c r="D486" s="250" t="s">
        <v>3847</v>
      </c>
      <c r="E486" s="517">
        <v>0.13870014938712036</v>
      </c>
      <c r="F486" s="310">
        <v>2.0885597912947002E-2</v>
      </c>
      <c r="G486" s="311">
        <v>5.4386593925400156E-2</v>
      </c>
      <c r="H486" s="311">
        <v>2.42827264856736</v>
      </c>
      <c r="I486" s="311">
        <v>0.64268294579720664</v>
      </c>
      <c r="J486" s="311">
        <v>2.7974168738400699E-2</v>
      </c>
      <c r="K486" s="311">
        <v>2.2144693084358931E-4</v>
      </c>
      <c r="L486" s="518">
        <v>2.92390365152158E-2</v>
      </c>
      <c r="M486" s="519">
        <v>2.3145977840013501E-4</v>
      </c>
    </row>
    <row r="487" spans="2:13" ht="15.75" x14ac:dyDescent="0.25">
      <c r="B487" s="212">
        <v>2036</v>
      </c>
      <c r="C487" s="309">
        <v>2022</v>
      </c>
      <c r="D487" s="250" t="s">
        <v>3848</v>
      </c>
      <c r="E487" s="517">
        <v>0.137458189638582</v>
      </c>
      <c r="F487" s="310">
        <v>2.05963901948653E-2</v>
      </c>
      <c r="G487" s="311">
        <v>4.894793453286031E-2</v>
      </c>
      <c r="H487" s="311">
        <v>2.38145413870927</v>
      </c>
      <c r="I487" s="311">
        <v>0.57841465121748659</v>
      </c>
      <c r="J487" s="311">
        <v>2.7268531879011501E-2</v>
      </c>
      <c r="K487" s="311">
        <v>1.9930223775923057E-4</v>
      </c>
      <c r="L487" s="518">
        <v>2.85014938882623E-2</v>
      </c>
      <c r="M487" s="519">
        <v>2.0831380056012173E-4</v>
      </c>
    </row>
    <row r="488" spans="2:13" ht="15.75" x14ac:dyDescent="0.25">
      <c r="B488" s="212">
        <v>2036</v>
      </c>
      <c r="C488" s="309">
        <v>2023</v>
      </c>
      <c r="D488" s="250" t="s">
        <v>3849</v>
      </c>
      <c r="E488" s="517">
        <v>0.13634042586489711</v>
      </c>
      <c r="F488" s="310">
        <v>2.0275048285885701E-2</v>
      </c>
      <c r="G488" s="311">
        <v>4.4053141079574115E-2</v>
      </c>
      <c r="H488" s="311">
        <v>2.3294335722002901</v>
      </c>
      <c r="I488" s="311">
        <v>0.52057318609573489</v>
      </c>
      <c r="J488" s="311">
        <v>2.6484490924134602E-2</v>
      </c>
      <c r="K488" s="311">
        <v>1.7937201398330688E-4</v>
      </c>
      <c r="L488" s="518">
        <v>2.7682002080535999E-2</v>
      </c>
      <c r="M488" s="519">
        <v>1.8748242050410887E-4</v>
      </c>
    </row>
    <row r="489" spans="2:13" ht="15.75" x14ac:dyDescent="0.25">
      <c r="B489" s="212">
        <v>2036</v>
      </c>
      <c r="C489" s="309">
        <v>2024</v>
      </c>
      <c r="D489" s="250" t="s">
        <v>3850</v>
      </c>
      <c r="E489" s="517">
        <v>0.12509280793970962</v>
      </c>
      <c r="F489" s="310">
        <v>1.9918001720352699E-2</v>
      </c>
      <c r="G489" s="311">
        <v>3.9647826971616784E-2</v>
      </c>
      <c r="H489" s="311">
        <v>2.2716329427458501</v>
      </c>
      <c r="I489" s="311">
        <v>0.46851586748616247</v>
      </c>
      <c r="J489" s="311">
        <v>2.56133343076047E-2</v>
      </c>
      <c r="K489" s="311">
        <v>1.6143481258497651E-4</v>
      </c>
      <c r="L489" s="518">
        <v>2.67714556275069E-2</v>
      </c>
      <c r="M489" s="519">
        <v>1.6873417845369833E-4</v>
      </c>
    </row>
    <row r="490" spans="2:13" ht="15.75" x14ac:dyDescent="0.25">
      <c r="B490" s="212">
        <v>2036</v>
      </c>
      <c r="C490" s="309">
        <v>2025</v>
      </c>
      <c r="D490" s="250" t="s">
        <v>3851</v>
      </c>
      <c r="E490" s="517">
        <v>0.12425593588686783</v>
      </c>
      <c r="F490" s="310">
        <v>1.9521283314204999E-2</v>
      </c>
      <c r="G490" s="311">
        <v>3.5683044274455213E-2</v>
      </c>
      <c r="H490" s="311">
        <v>2.20741002112982</v>
      </c>
      <c r="I490" s="311">
        <v>0.42166428073754841</v>
      </c>
      <c r="J490" s="311">
        <v>2.4645382511460399E-2</v>
      </c>
      <c r="K490" s="311">
        <v>1.4529133132647963E-4</v>
      </c>
      <c r="L490" s="518">
        <v>2.5759737346363502E-2</v>
      </c>
      <c r="M490" s="519">
        <v>1.5186076060832928E-4</v>
      </c>
    </row>
    <row r="491" spans="2:13" ht="15.75" x14ac:dyDescent="0.25">
      <c r="B491" s="212">
        <v>2036</v>
      </c>
      <c r="C491" s="309">
        <v>2026</v>
      </c>
      <c r="D491" s="250" t="s">
        <v>3852</v>
      </c>
      <c r="E491" s="517">
        <v>0.12350275103930959</v>
      </c>
      <c r="F491" s="310">
        <v>1.9080485085152001E-2</v>
      </c>
      <c r="G491" s="311">
        <v>3.2114739847009389E-2</v>
      </c>
      <c r="H491" s="311">
        <v>2.1360512193342198</v>
      </c>
      <c r="I491" s="311">
        <v>0.3794978526637891</v>
      </c>
      <c r="J491" s="311">
        <v>2.3569880515744501E-2</v>
      </c>
      <c r="K491" s="311">
        <v>1.3076219819383014E-4</v>
      </c>
      <c r="L491" s="518">
        <v>2.4635605922870701E-2</v>
      </c>
      <c r="M491" s="519">
        <v>1.3667468454749477E-4</v>
      </c>
    </row>
    <row r="492" spans="2:13" ht="15.75" x14ac:dyDescent="0.25">
      <c r="B492" s="212">
        <v>2036</v>
      </c>
      <c r="C492" s="309">
        <v>2027</v>
      </c>
      <c r="D492" s="250" t="s">
        <v>3853</v>
      </c>
      <c r="E492" s="517">
        <v>0.11840129921566947</v>
      </c>
      <c r="F492" s="310">
        <v>1.8590709275093101E-2</v>
      </c>
      <c r="G492" s="311">
        <v>2.8903265862308531E-2</v>
      </c>
      <c r="H492" s="311">
        <v>2.0567636617835698</v>
      </c>
      <c r="I492" s="311">
        <v>0.34154806739741184</v>
      </c>
      <c r="J492" s="311">
        <v>2.23748782982824E-2</v>
      </c>
      <c r="K492" s="311">
        <v>1.1768597837444745E-4</v>
      </c>
      <c r="L492" s="518">
        <v>2.33865710078788E-2</v>
      </c>
      <c r="M492" s="519">
        <v>1.2300721609274562E-4</v>
      </c>
    </row>
    <row r="493" spans="2:13" ht="15.75" x14ac:dyDescent="0.25">
      <c r="B493" s="212">
        <v>2036</v>
      </c>
      <c r="C493" s="309">
        <v>2028</v>
      </c>
      <c r="D493" s="250" t="s">
        <v>3854</v>
      </c>
      <c r="E493" s="517">
        <v>0.11781319174513863</v>
      </c>
      <c r="F493" s="310">
        <v>1.8046513930583201E-2</v>
      </c>
      <c r="G493" s="311">
        <v>2.6012939276077861E-2</v>
      </c>
      <c r="H493" s="311">
        <v>1.96866637561616</v>
      </c>
      <c r="I493" s="311">
        <v>0.3073932606576722</v>
      </c>
      <c r="J493" s="311">
        <v>2.10470980566578E-2</v>
      </c>
      <c r="K493" s="311">
        <v>1.0591738053700343E-4</v>
      </c>
      <c r="L493" s="518">
        <v>2.1998754435665499E-2</v>
      </c>
      <c r="M493" s="519">
        <v>1.1070649448347184E-4</v>
      </c>
    </row>
    <row r="494" spans="2:13" ht="15.75" x14ac:dyDescent="0.25">
      <c r="B494" s="212">
        <v>2036</v>
      </c>
      <c r="C494" s="309">
        <v>2029</v>
      </c>
      <c r="D494" s="250" t="s">
        <v>3855</v>
      </c>
      <c r="E494" s="517">
        <v>0.11781319174513848</v>
      </c>
      <c r="F494" s="310">
        <v>1.7441852436683301E-2</v>
      </c>
      <c r="G494" s="311">
        <v>2.6012939276077826E-2</v>
      </c>
      <c r="H494" s="311">
        <v>1.87078050209683</v>
      </c>
      <c r="I494" s="311">
        <v>0.30739326065767242</v>
      </c>
      <c r="J494" s="311">
        <v>1.9571786677075001E-2</v>
      </c>
      <c r="K494" s="311">
        <v>1.0591738053700331E-4</v>
      </c>
      <c r="L494" s="518">
        <v>2.04567360220952E-2</v>
      </c>
      <c r="M494" s="519">
        <v>1.1070649448347169E-4</v>
      </c>
    </row>
    <row r="495" spans="2:13" ht="15.75" x14ac:dyDescent="0.25">
      <c r="B495" s="212">
        <v>2036</v>
      </c>
      <c r="C495" s="309">
        <v>2030</v>
      </c>
      <c r="D495" s="250" t="s">
        <v>3856</v>
      </c>
      <c r="E495" s="517">
        <v>0.11781319174513853</v>
      </c>
      <c r="F495" s="310">
        <v>1.6837190942783398E-2</v>
      </c>
      <c r="G495" s="311">
        <v>2.6012939276077774E-2</v>
      </c>
      <c r="H495" s="311">
        <v>1.7728946285775</v>
      </c>
      <c r="I495" s="311">
        <v>0.30739326065767114</v>
      </c>
      <c r="J495" s="311">
        <v>1.8096475297492198E-2</v>
      </c>
      <c r="K495" s="311">
        <v>1.0591738053700308E-4</v>
      </c>
      <c r="L495" s="518">
        <v>1.8914717608524902E-2</v>
      </c>
      <c r="M495" s="519">
        <v>1.1070649448347146E-4</v>
      </c>
    </row>
    <row r="496" spans="2:13" ht="15.75" x14ac:dyDescent="0.25">
      <c r="B496" s="212">
        <v>2036</v>
      </c>
      <c r="C496" s="309">
        <v>2031</v>
      </c>
      <c r="D496" s="250" t="s">
        <v>3857</v>
      </c>
      <c r="E496" s="517">
        <v>0.11781319174513874</v>
      </c>
      <c r="F496" s="310">
        <v>1.6232529448883499E-2</v>
      </c>
      <c r="G496" s="311">
        <v>2.6012939276077861E-2</v>
      </c>
      <c r="H496" s="311">
        <v>1.67500875505816</v>
      </c>
      <c r="I496" s="311">
        <v>0.30739326065767286</v>
      </c>
      <c r="J496" s="311">
        <v>1.6621163917909298E-2</v>
      </c>
      <c r="K496" s="311">
        <v>1.0591738053700345E-4</v>
      </c>
      <c r="L496" s="518">
        <v>1.73726991949547E-2</v>
      </c>
      <c r="M496" s="519">
        <v>1.1070649448347184E-4</v>
      </c>
    </row>
    <row r="497" spans="2:13" ht="15.75" x14ac:dyDescent="0.25">
      <c r="B497" s="212">
        <v>2036</v>
      </c>
      <c r="C497" s="309">
        <v>2032</v>
      </c>
      <c r="D497" s="250" t="s">
        <v>3858</v>
      </c>
      <c r="E497" s="517">
        <v>0.1178131917451387</v>
      </c>
      <c r="F497" s="310">
        <v>1.5627867954983599E-2</v>
      </c>
      <c r="G497" s="311">
        <v>2.6012939276077722E-2</v>
      </c>
      <c r="H497" s="311">
        <v>1.5771228815388301</v>
      </c>
      <c r="I497" s="311">
        <v>0.30739326065767059</v>
      </c>
      <c r="J497" s="311">
        <v>1.5145852538326499E-2</v>
      </c>
      <c r="K497" s="311">
        <v>1.0591738053700288E-4</v>
      </c>
      <c r="L497" s="518">
        <v>1.5830680781384401E-2</v>
      </c>
      <c r="M497" s="519">
        <v>1.1070649448347125E-4</v>
      </c>
    </row>
    <row r="498" spans="2:13" ht="15.75" x14ac:dyDescent="0.25">
      <c r="B498" s="212">
        <v>2036</v>
      </c>
      <c r="C498" s="309">
        <v>2033</v>
      </c>
      <c r="D498" s="250" t="s">
        <v>3859</v>
      </c>
      <c r="E498" s="517">
        <v>0.11781319174513841</v>
      </c>
      <c r="F498" s="310">
        <v>1.50232064610837E-2</v>
      </c>
      <c r="G498" s="311">
        <v>2.6012939276077795E-2</v>
      </c>
      <c r="H498" s="311">
        <v>1.4792370080195001</v>
      </c>
      <c r="I498" s="311">
        <v>0.30739326065767203</v>
      </c>
      <c r="J498" s="311">
        <v>1.3670541158743599E-2</v>
      </c>
      <c r="K498" s="311">
        <v>1.0591738053700318E-4</v>
      </c>
      <c r="L498" s="518">
        <v>1.4288662367814099E-2</v>
      </c>
      <c r="M498" s="519">
        <v>1.1070649448347155E-4</v>
      </c>
    </row>
    <row r="499" spans="2:13" ht="15.75" x14ac:dyDescent="0.25">
      <c r="B499" s="212">
        <v>2036</v>
      </c>
      <c r="C499" s="309">
        <v>2034</v>
      </c>
      <c r="D499" s="250" t="s">
        <v>3860</v>
      </c>
      <c r="E499" s="517">
        <v>0.11781319174513855</v>
      </c>
      <c r="F499" s="310">
        <v>1.44185449671838E-2</v>
      </c>
      <c r="G499" s="311">
        <v>2.6012939276077784E-2</v>
      </c>
      <c r="H499" s="311">
        <v>1.3813511345001599</v>
      </c>
      <c r="I499" s="311">
        <v>0.30739326065767131</v>
      </c>
      <c r="J499" s="311">
        <v>1.21952297791608E-2</v>
      </c>
      <c r="K499" s="311">
        <v>1.0591738053700314E-4</v>
      </c>
      <c r="L499" s="518">
        <v>1.2746643954243801E-2</v>
      </c>
      <c r="M499" s="519">
        <v>1.1070649448347152E-4</v>
      </c>
    </row>
    <row r="500" spans="2:13" ht="15.75" x14ac:dyDescent="0.25">
      <c r="B500" s="212">
        <v>2036</v>
      </c>
      <c r="C500" s="309">
        <v>2035</v>
      </c>
      <c r="D500" s="250" t="s">
        <v>3861</v>
      </c>
      <c r="E500" s="517">
        <v>0.1178131917451385</v>
      </c>
      <c r="F500" s="310">
        <v>1.3813883473284E-2</v>
      </c>
      <c r="G500" s="311">
        <v>2.6012939276077732E-2</v>
      </c>
      <c r="H500" s="311">
        <v>1.2834652609808299</v>
      </c>
      <c r="I500" s="311">
        <v>0.30739326065767136</v>
      </c>
      <c r="J500" s="311">
        <v>1.0719918399577999E-2</v>
      </c>
      <c r="K500" s="311">
        <v>1.0591738053700318E-4</v>
      </c>
      <c r="L500" s="518">
        <v>1.12046255406735E-2</v>
      </c>
      <c r="M500" s="519">
        <v>1.1070649448347155E-4</v>
      </c>
    </row>
    <row r="501" spans="2:13" ht="15.75" x14ac:dyDescent="0.25">
      <c r="B501" s="212">
        <v>2036</v>
      </c>
      <c r="C501" s="309">
        <v>2036</v>
      </c>
      <c r="D501" s="250" t="s">
        <v>3862</v>
      </c>
      <c r="E501" s="517">
        <v>0.11781319174513853</v>
      </c>
      <c r="F501" s="310">
        <v>1.32092219793841E-2</v>
      </c>
      <c r="G501" s="311">
        <v>2.6012939276077698E-2</v>
      </c>
      <c r="H501" s="311">
        <v>1.1855793874614999</v>
      </c>
      <c r="I501" s="311">
        <v>0.3073932606576702</v>
      </c>
      <c r="J501" s="311">
        <v>9.2446070199951498E-3</v>
      </c>
      <c r="K501" s="311">
        <v>1.0591738053700277E-4</v>
      </c>
      <c r="L501" s="518">
        <v>9.6626071271032395E-3</v>
      </c>
      <c r="M501" s="519">
        <v>1.1070649448347114E-4</v>
      </c>
    </row>
    <row r="502" spans="2:13" ht="15.75" x14ac:dyDescent="0.25">
      <c r="B502" s="212">
        <v>2036</v>
      </c>
      <c r="C502" s="309">
        <v>2037</v>
      </c>
      <c r="D502" s="250" t="s">
        <v>4510</v>
      </c>
      <c r="E502" s="517">
        <v>0.12522334587382569</v>
      </c>
      <c r="F502" s="310">
        <v>1.26045604854842E-2</v>
      </c>
      <c r="G502" s="311">
        <v>6.2431054262586647E-2</v>
      </c>
      <c r="H502" s="311">
        <v>1.08769351394216</v>
      </c>
      <c r="I502" s="311">
        <v>0.73774382557841212</v>
      </c>
      <c r="J502" s="311">
        <v>7.7692956404123098E-3</v>
      </c>
      <c r="K502" s="311">
        <v>2.5420171328880737E-4</v>
      </c>
      <c r="L502" s="518">
        <v>8.1205887135329495E-3</v>
      </c>
      <c r="M502" s="519">
        <v>2.6569558676033149E-4</v>
      </c>
    </row>
    <row r="503" spans="2:13" ht="15.75" x14ac:dyDescent="0.25">
      <c r="B503" s="212">
        <v>2037</v>
      </c>
      <c r="C503" s="309">
        <v>2012</v>
      </c>
      <c r="D503" s="250" t="s">
        <v>3882</v>
      </c>
      <c r="E503" s="517">
        <v>0.18035349949597193</v>
      </c>
      <c r="F503" s="310">
        <v>2.6217149794908402E-2</v>
      </c>
      <c r="G503" s="311">
        <v>5.4386671346750785E-2</v>
      </c>
      <c r="H503" s="311">
        <v>4.5264586208880999</v>
      </c>
      <c r="I503" s="311">
        <v>0.64268386068041616</v>
      </c>
      <c r="J503" s="311">
        <v>4.0268362894348E-2</v>
      </c>
      <c r="K503" s="311">
        <v>2.2144724608157742E-4</v>
      </c>
      <c r="L503" s="518">
        <v>4.2089119576216499E-2</v>
      </c>
      <c r="M503" s="519">
        <v>2.3146010789178609E-4</v>
      </c>
    </row>
    <row r="504" spans="2:13" ht="15.75" x14ac:dyDescent="0.25">
      <c r="B504" s="212">
        <v>2037</v>
      </c>
      <c r="C504" s="309">
        <v>2013</v>
      </c>
      <c r="D504" s="250" t="s">
        <v>3883</v>
      </c>
      <c r="E504" s="517">
        <v>0.17913412049099323</v>
      </c>
      <c r="F504" s="310">
        <v>2.5706553242905401E-2</v>
      </c>
      <c r="G504" s="311">
        <v>5.438670404770863E-2</v>
      </c>
      <c r="H504" s="311">
        <v>4.2933584176836304</v>
      </c>
      <c r="I504" s="311">
        <v>0.64268424710556848</v>
      </c>
      <c r="J504" s="311">
        <v>3.9108049826548197E-2</v>
      </c>
      <c r="K504" s="311">
        <v>2.214473792306906E-4</v>
      </c>
      <c r="L504" s="518">
        <v>4.0876342300303799E-2</v>
      </c>
      <c r="M504" s="519">
        <v>2.3146024706131131E-4</v>
      </c>
    </row>
    <row r="505" spans="2:13" ht="15.75" x14ac:dyDescent="0.25">
      <c r="B505" s="212">
        <v>2037</v>
      </c>
      <c r="C505" s="309">
        <v>2014</v>
      </c>
      <c r="D505" s="250" t="s">
        <v>3884</v>
      </c>
      <c r="E505" s="517">
        <v>0.16141259079504791</v>
      </c>
      <c r="F505" s="310">
        <v>2.20520773260575E-2</v>
      </c>
      <c r="G505" s="311">
        <v>5.438669591375421E-2</v>
      </c>
      <c r="H505" s="311">
        <v>2.7968156237735098</v>
      </c>
      <c r="I505" s="311">
        <v>0.64268415098714426</v>
      </c>
      <c r="J505" s="311">
        <v>3.0699484912676399E-2</v>
      </c>
      <c r="K505" s="311">
        <v>2.2144734611151339E-4</v>
      </c>
      <c r="L505" s="518">
        <v>3.2087579393480899E-2</v>
      </c>
      <c r="M505" s="519">
        <v>2.3146021244463191E-4</v>
      </c>
    </row>
    <row r="506" spans="2:13" ht="15.75" x14ac:dyDescent="0.25">
      <c r="B506" s="212">
        <v>2037</v>
      </c>
      <c r="C506" s="309">
        <v>2015</v>
      </c>
      <c r="D506" s="250" t="s">
        <v>3885</v>
      </c>
      <c r="E506" s="517">
        <v>0.1593901589592987</v>
      </c>
      <c r="F506" s="310">
        <v>2.1149864258362901E-2</v>
      </c>
      <c r="G506" s="311">
        <v>5.4386697159705615E-2</v>
      </c>
      <c r="H506" s="311">
        <v>2.4704182615535402</v>
      </c>
      <c r="I506" s="311">
        <v>0.64268416571047349</v>
      </c>
      <c r="J506" s="311">
        <v>2.8624861009185001E-2</v>
      </c>
      <c r="K506" s="311">
        <v>2.2144735118467804E-4</v>
      </c>
      <c r="L506" s="518">
        <v>2.9919150203080801E-2</v>
      </c>
      <c r="M506" s="519">
        <v>2.3146021774718255E-4</v>
      </c>
    </row>
    <row r="507" spans="2:13" ht="15.75" x14ac:dyDescent="0.25">
      <c r="B507" s="212">
        <v>2037</v>
      </c>
      <c r="C507" s="309">
        <v>2016</v>
      </c>
      <c r="D507" s="250" t="s">
        <v>3886</v>
      </c>
      <c r="E507" s="517">
        <v>0.15939213246820294</v>
      </c>
      <c r="F507" s="310">
        <v>2.1151008456615401E-2</v>
      </c>
      <c r="G507" s="311">
        <v>5.4386686422943593E-2</v>
      </c>
      <c r="H507" s="311">
        <v>2.47040014713681</v>
      </c>
      <c r="I507" s="311">
        <v>0.64268403883483471</v>
      </c>
      <c r="J507" s="311">
        <v>2.8628929497745099E-2</v>
      </c>
      <c r="K507" s="311">
        <v>2.2144730746759947E-4</v>
      </c>
      <c r="L507" s="518">
        <v>2.9923402650639998E-2</v>
      </c>
      <c r="M507" s="519">
        <v>2.3146017205341168E-4</v>
      </c>
    </row>
    <row r="508" spans="2:13" ht="15.75" x14ac:dyDescent="0.25">
      <c r="B508" s="212">
        <v>2037</v>
      </c>
      <c r="C508" s="309">
        <v>2017</v>
      </c>
      <c r="D508" s="250" t="s">
        <v>3887</v>
      </c>
      <c r="E508" s="517">
        <v>0.1533625735509126</v>
      </c>
      <c r="F508" s="310">
        <v>2.1147697452082701E-2</v>
      </c>
      <c r="G508" s="311">
        <v>5.4386598070383645E-2</v>
      </c>
      <c r="H508" s="311">
        <v>2.47070107909023</v>
      </c>
      <c r="I508" s="311">
        <v>0.64268299477821322</v>
      </c>
      <c r="J508" s="311">
        <v>2.8613683835637699E-2</v>
      </c>
      <c r="K508" s="311">
        <v>2.21446947720797E-4</v>
      </c>
      <c r="L508" s="518">
        <v>2.99074676473438E-2</v>
      </c>
      <c r="M508" s="519">
        <v>2.3145979604045512E-4</v>
      </c>
    </row>
    <row r="509" spans="2:13" ht="15.75" x14ac:dyDescent="0.25">
      <c r="B509" s="212">
        <v>2037</v>
      </c>
      <c r="C509" s="309">
        <v>2018</v>
      </c>
      <c r="D509" s="250" t="s">
        <v>3888</v>
      </c>
      <c r="E509" s="517">
        <v>0.15336257355091257</v>
      </c>
      <c r="F509" s="310">
        <v>2.1147697452082701E-2</v>
      </c>
      <c r="G509" s="311">
        <v>5.4386598070383693E-2</v>
      </c>
      <c r="H509" s="311">
        <v>2.47070107909023</v>
      </c>
      <c r="I509" s="311">
        <v>0.64268299477821245</v>
      </c>
      <c r="J509" s="311">
        <v>2.8613683835637699E-2</v>
      </c>
      <c r="K509" s="311">
        <v>2.2144694772079725E-4</v>
      </c>
      <c r="L509" s="518">
        <v>2.99074676473438E-2</v>
      </c>
      <c r="M509" s="519">
        <v>2.3145979604045539E-4</v>
      </c>
    </row>
    <row r="510" spans="2:13" ht="15.75" x14ac:dyDescent="0.25">
      <c r="B510" s="212">
        <v>2037</v>
      </c>
      <c r="C510" s="309">
        <v>2019</v>
      </c>
      <c r="D510" s="250" t="s">
        <v>3889</v>
      </c>
      <c r="E510" s="517">
        <v>0.15336257355091257</v>
      </c>
      <c r="F510" s="310">
        <v>2.1147697452082701E-2</v>
      </c>
      <c r="G510" s="311">
        <v>5.4386598070383686E-2</v>
      </c>
      <c r="H510" s="311">
        <v>2.47070107909023</v>
      </c>
      <c r="I510" s="311">
        <v>0.64268299477821234</v>
      </c>
      <c r="J510" s="311">
        <v>2.8613683835637699E-2</v>
      </c>
      <c r="K510" s="311">
        <v>2.2144694772079716E-4</v>
      </c>
      <c r="L510" s="518">
        <v>2.99074676473437E-2</v>
      </c>
      <c r="M510" s="519">
        <v>2.3145979604045534E-4</v>
      </c>
    </row>
    <row r="511" spans="2:13" ht="15.75" x14ac:dyDescent="0.25">
      <c r="B511" s="212">
        <v>2037</v>
      </c>
      <c r="C511" s="309">
        <v>2020</v>
      </c>
      <c r="D511" s="250" t="s">
        <v>3890</v>
      </c>
      <c r="E511" s="517">
        <v>0.15336257355091254</v>
      </c>
      <c r="F511" s="310">
        <v>2.1147697452082701E-2</v>
      </c>
      <c r="G511" s="311">
        <v>5.4386598070383659E-2</v>
      </c>
      <c r="H511" s="311">
        <v>2.47070107909023</v>
      </c>
      <c r="I511" s="311">
        <v>0.64268299477821211</v>
      </c>
      <c r="J511" s="311">
        <v>2.8613683835637699E-2</v>
      </c>
      <c r="K511" s="311">
        <v>2.2144694772079711E-4</v>
      </c>
      <c r="L511" s="518">
        <v>2.99074676473438E-2</v>
      </c>
      <c r="M511" s="519">
        <v>2.3145979604045523E-4</v>
      </c>
    </row>
    <row r="512" spans="2:13" ht="15.75" x14ac:dyDescent="0.25">
      <c r="B512" s="212">
        <v>2037</v>
      </c>
      <c r="C512" s="309">
        <v>2021</v>
      </c>
      <c r="D512" s="250" t="s">
        <v>3891</v>
      </c>
      <c r="E512" s="517">
        <v>0.13870014619087068</v>
      </c>
      <c r="F512" s="310">
        <v>2.11458878397815E-2</v>
      </c>
      <c r="G512" s="311">
        <v>5.4386598070383631E-2</v>
      </c>
      <c r="H512" s="311">
        <v>2.4704081294428799</v>
      </c>
      <c r="I512" s="311">
        <v>0.64268299477821311</v>
      </c>
      <c r="J512" s="311">
        <v>2.8609268565675101E-2</v>
      </c>
      <c r="K512" s="311">
        <v>2.2144694772079698E-4</v>
      </c>
      <c r="L512" s="518">
        <v>2.99028527384658E-2</v>
      </c>
      <c r="M512" s="519">
        <v>2.3145979604045509E-4</v>
      </c>
    </row>
    <row r="513" spans="2:13" ht="15.75" x14ac:dyDescent="0.25">
      <c r="B513" s="212">
        <v>2037</v>
      </c>
      <c r="C513" s="309">
        <v>2022</v>
      </c>
      <c r="D513" s="250" t="s">
        <v>3892</v>
      </c>
      <c r="E513" s="517">
        <v>0.13870014619087062</v>
      </c>
      <c r="F513" s="310">
        <v>2.08856008568199E-2</v>
      </c>
      <c r="G513" s="311">
        <v>5.4386598070383659E-2</v>
      </c>
      <c r="H513" s="311">
        <v>2.4282714906631599</v>
      </c>
      <c r="I513" s="311">
        <v>0.64268299477821345</v>
      </c>
      <c r="J513" s="311">
        <v>2.7974194800558301E-2</v>
      </c>
      <c r="K513" s="311">
        <v>2.2144694772079708E-4</v>
      </c>
      <c r="L513" s="518">
        <v>2.9239063755788601E-2</v>
      </c>
      <c r="M513" s="519">
        <v>2.3145979604045525E-4</v>
      </c>
    </row>
    <row r="514" spans="2:13" ht="15.75" x14ac:dyDescent="0.25">
      <c r="B514" s="212">
        <v>2037</v>
      </c>
      <c r="C514" s="309">
        <v>2023</v>
      </c>
      <c r="D514" s="250" t="s">
        <v>3893</v>
      </c>
      <c r="E514" s="517">
        <v>0.13745818634767809</v>
      </c>
      <c r="F514" s="310">
        <v>2.05963930979737E-2</v>
      </c>
      <c r="G514" s="311">
        <v>4.8947938263345196E-2</v>
      </c>
      <c r="H514" s="311">
        <v>2.3814530031301402</v>
      </c>
      <c r="I514" s="311">
        <v>0.5784146953003898</v>
      </c>
      <c r="J514" s="311">
        <v>2.7268557283761999E-2</v>
      </c>
      <c r="K514" s="311">
        <v>1.9930225294871698E-4</v>
      </c>
      <c r="L514" s="518">
        <v>2.8501520441702798E-2</v>
      </c>
      <c r="M514" s="519">
        <v>2.0831381643640929E-4</v>
      </c>
    </row>
    <row r="515" spans="2:13" ht="15.75" x14ac:dyDescent="0.25">
      <c r="B515" s="212">
        <v>2037</v>
      </c>
      <c r="C515" s="309">
        <v>2024</v>
      </c>
      <c r="D515" s="250" t="s">
        <v>3894</v>
      </c>
      <c r="E515" s="517">
        <v>0.12602266265559903</v>
      </c>
      <c r="F515" s="310">
        <v>2.02750511437002E-2</v>
      </c>
      <c r="G515" s="311">
        <v>4.405314443701068E-2</v>
      </c>
      <c r="H515" s="311">
        <v>2.3294324614267801</v>
      </c>
      <c r="I515" s="311">
        <v>0.5205732257703507</v>
      </c>
      <c r="J515" s="311">
        <v>2.6484515598432699E-2</v>
      </c>
      <c r="K515" s="311">
        <v>1.7937202765384529E-4</v>
      </c>
      <c r="L515" s="518">
        <v>2.7682027870496399E-2</v>
      </c>
      <c r="M515" s="519">
        <v>1.8748243479276835E-4</v>
      </c>
    </row>
    <row r="516" spans="2:13" ht="15.75" x14ac:dyDescent="0.25">
      <c r="B516" s="212">
        <v>2037</v>
      </c>
      <c r="C516" s="309">
        <v>2025</v>
      </c>
      <c r="D516" s="250" t="s">
        <v>3895</v>
      </c>
      <c r="E516" s="517">
        <v>0.12509280474824078</v>
      </c>
      <c r="F516" s="310">
        <v>1.9918004527840701E-2</v>
      </c>
      <c r="G516" s="311">
        <v>3.964782999330977E-2</v>
      </c>
      <c r="H516" s="311">
        <v>2.27163185953416</v>
      </c>
      <c r="I516" s="311">
        <v>0.4685159031933176</v>
      </c>
      <c r="J516" s="311">
        <v>2.5613358170289001E-2</v>
      </c>
      <c r="K516" s="311">
        <v>1.614348248884614E-4</v>
      </c>
      <c r="L516" s="518">
        <v>2.67714805691559E-2</v>
      </c>
      <c r="M516" s="519">
        <v>1.687341913134922E-4</v>
      </c>
    </row>
    <row r="517" spans="2:13" ht="15.75" x14ac:dyDescent="0.25">
      <c r="B517" s="212">
        <v>2037</v>
      </c>
      <c r="C517" s="309">
        <v>2026</v>
      </c>
      <c r="D517" s="250" t="s">
        <v>3896</v>
      </c>
      <c r="E517" s="517">
        <v>0.12425593263161765</v>
      </c>
      <c r="F517" s="310">
        <v>1.95212860657747E-2</v>
      </c>
      <c r="G517" s="311">
        <v>3.5683046993978784E-2</v>
      </c>
      <c r="H517" s="311">
        <v>2.2074089685423601</v>
      </c>
      <c r="I517" s="311">
        <v>0.42166431287398654</v>
      </c>
      <c r="J517" s="311">
        <v>2.4645405472351601E-2</v>
      </c>
      <c r="K517" s="311">
        <v>1.4529134239961523E-4</v>
      </c>
      <c r="L517" s="518">
        <v>2.5759761345444301E-2</v>
      </c>
      <c r="M517" s="519">
        <v>1.5186077218214296E-4</v>
      </c>
    </row>
    <row r="518" spans="2:13" ht="15.75" x14ac:dyDescent="0.25">
      <c r="B518" s="212">
        <v>2037</v>
      </c>
      <c r="C518" s="309">
        <v>2027</v>
      </c>
      <c r="D518" s="250" t="s">
        <v>3897</v>
      </c>
      <c r="E518" s="517">
        <v>0.11905474876735687</v>
      </c>
      <c r="F518" s="310">
        <v>1.9080487774590101E-2</v>
      </c>
      <c r="G518" s="311">
        <v>3.2114742294580584E-2</v>
      </c>
      <c r="H518" s="311">
        <v>2.1360502007736901</v>
      </c>
      <c r="I518" s="311">
        <v>0.37949788158658426</v>
      </c>
      <c r="J518" s="311">
        <v>2.3569902474643401E-2</v>
      </c>
      <c r="K518" s="311">
        <v>1.3076220815965269E-4</v>
      </c>
      <c r="L518" s="518">
        <v>2.4635628874653499E-2</v>
      </c>
      <c r="M518" s="519">
        <v>1.3667469496392762E-4</v>
      </c>
    </row>
    <row r="519" spans="2:13" ht="15.75" x14ac:dyDescent="0.25">
      <c r="B519" s="212">
        <v>2037</v>
      </c>
      <c r="C519" s="309">
        <v>2028</v>
      </c>
      <c r="D519" s="250" t="s">
        <v>3898</v>
      </c>
      <c r="E519" s="517">
        <v>0.11840129597252123</v>
      </c>
      <c r="F519" s="310">
        <v>1.8590711895496201E-2</v>
      </c>
      <c r="G519" s="311">
        <v>2.8903268065122726E-2</v>
      </c>
      <c r="H519" s="311">
        <v>2.05676268103073</v>
      </c>
      <c r="I519" s="311">
        <v>0.34154809342792736</v>
      </c>
      <c r="J519" s="311">
        <v>2.2374899143856399E-2</v>
      </c>
      <c r="K519" s="311">
        <v>1.1768598734368796E-4</v>
      </c>
      <c r="L519" s="518">
        <v>2.33865927959972E-2</v>
      </c>
      <c r="M519" s="519">
        <v>1.2300722546753541E-4</v>
      </c>
    </row>
    <row r="520" spans="2:13" ht="15.75" x14ac:dyDescent="0.25">
      <c r="B520" s="212">
        <v>2037</v>
      </c>
      <c r="C520" s="309">
        <v>2029</v>
      </c>
      <c r="D520" s="250" t="s">
        <v>3899</v>
      </c>
      <c r="E520" s="517">
        <v>0.11781318845716898</v>
      </c>
      <c r="F520" s="310">
        <v>1.80465164742807E-2</v>
      </c>
      <c r="G520" s="311">
        <v>2.6012941258610426E-2</v>
      </c>
      <c r="H520" s="311">
        <v>1.9686654368718799</v>
      </c>
      <c r="I520" s="311">
        <v>0.30739328408513505</v>
      </c>
      <c r="J520" s="311">
        <v>2.1047117665204298E-2</v>
      </c>
      <c r="K520" s="311">
        <v>1.0591738860931933E-4</v>
      </c>
      <c r="L520" s="518">
        <v>2.19987749308234E-2</v>
      </c>
      <c r="M520" s="519">
        <v>1.1070650292078203E-4</v>
      </c>
    </row>
    <row r="521" spans="2:13" ht="15.75" x14ac:dyDescent="0.25">
      <c r="B521" s="212">
        <v>2037</v>
      </c>
      <c r="C521" s="309">
        <v>2030</v>
      </c>
      <c r="D521" s="250" t="s">
        <v>3900</v>
      </c>
      <c r="E521" s="517">
        <v>0.11781318845716873</v>
      </c>
      <c r="F521" s="310">
        <v>1.74418548951524E-2</v>
      </c>
      <c r="G521" s="311">
        <v>2.601294125861037E-2</v>
      </c>
      <c r="H521" s="311">
        <v>1.87077961002872</v>
      </c>
      <c r="I521" s="311">
        <v>0.30739328408513367</v>
      </c>
      <c r="J521" s="311">
        <v>1.95718049111464E-2</v>
      </c>
      <c r="K521" s="311">
        <v>1.0591738860931885E-4</v>
      </c>
      <c r="L521" s="518">
        <v>2.0456755080630398E-2</v>
      </c>
      <c r="M521" s="519">
        <v>1.1070650292078152E-4</v>
      </c>
    </row>
    <row r="522" spans="2:13" ht="15.75" x14ac:dyDescent="0.25">
      <c r="B522" s="212">
        <v>2037</v>
      </c>
      <c r="C522" s="309">
        <v>2031</v>
      </c>
      <c r="D522" s="250" t="s">
        <v>3901</v>
      </c>
      <c r="E522" s="517">
        <v>0.11781318845716897</v>
      </c>
      <c r="F522" s="310">
        <v>1.68371933160241E-2</v>
      </c>
      <c r="G522" s="311">
        <v>2.6012941258610364E-2</v>
      </c>
      <c r="H522" s="311">
        <v>1.77289378318555</v>
      </c>
      <c r="I522" s="311">
        <v>0.30739328408513361</v>
      </c>
      <c r="J522" s="311">
        <v>1.8096492157088501E-2</v>
      </c>
      <c r="K522" s="311">
        <v>1.0591738860931882E-4</v>
      </c>
      <c r="L522" s="518">
        <v>1.89147352304374E-2</v>
      </c>
      <c r="M522" s="519">
        <v>1.1070650292078148E-4</v>
      </c>
    </row>
    <row r="523" spans="2:13" ht="15.75" x14ac:dyDescent="0.25">
      <c r="B523" s="212">
        <v>2037</v>
      </c>
      <c r="C523" s="309">
        <v>2032</v>
      </c>
      <c r="D523" s="250" t="s">
        <v>3902</v>
      </c>
      <c r="E523" s="517">
        <v>0.11781318845716852</v>
      </c>
      <c r="F523" s="310">
        <v>1.6232531736895699E-2</v>
      </c>
      <c r="G523" s="311">
        <v>2.6012941258610346E-2</v>
      </c>
      <c r="H523" s="311">
        <v>1.6750079563423901</v>
      </c>
      <c r="I523" s="311">
        <v>0.30739328408513406</v>
      </c>
      <c r="J523" s="311">
        <v>1.6621179403030598E-2</v>
      </c>
      <c r="K523" s="311">
        <v>1.0591738860931875E-4</v>
      </c>
      <c r="L523" s="518">
        <v>1.7372715380244399E-2</v>
      </c>
      <c r="M523" s="519">
        <v>1.1070650292078143E-4</v>
      </c>
    </row>
    <row r="524" spans="2:13" ht="15.75" x14ac:dyDescent="0.25">
      <c r="B524" s="212">
        <v>2037</v>
      </c>
      <c r="C524" s="309">
        <v>2033</v>
      </c>
      <c r="D524" s="250" t="s">
        <v>3903</v>
      </c>
      <c r="E524" s="517">
        <v>0.11781318845716914</v>
      </c>
      <c r="F524" s="310">
        <v>1.5627870157767398E-2</v>
      </c>
      <c r="G524" s="311">
        <v>2.6012941258610502E-2</v>
      </c>
      <c r="H524" s="311">
        <v>1.5771221294992199</v>
      </c>
      <c r="I524" s="311">
        <v>0.30739328408513583</v>
      </c>
      <c r="J524" s="311">
        <v>1.5145866648972601E-2</v>
      </c>
      <c r="K524" s="311">
        <v>1.0591738860931938E-4</v>
      </c>
      <c r="L524" s="518">
        <v>1.58306955300513E-2</v>
      </c>
      <c r="M524" s="519">
        <v>1.1070650292078207E-4</v>
      </c>
    </row>
    <row r="525" spans="2:13" ht="15.75" x14ac:dyDescent="0.25">
      <c r="B525" s="212">
        <v>2037</v>
      </c>
      <c r="C525" s="309">
        <v>2034</v>
      </c>
      <c r="D525" s="250" t="s">
        <v>3904</v>
      </c>
      <c r="E525" s="517">
        <v>0.11781318845716897</v>
      </c>
      <c r="F525" s="310">
        <v>1.50232085786391E-2</v>
      </c>
      <c r="G525" s="311">
        <v>2.6012941258610377E-2</v>
      </c>
      <c r="H525" s="311">
        <v>1.47923630265606</v>
      </c>
      <c r="I525" s="311">
        <v>0.30739328408513444</v>
      </c>
      <c r="J525" s="311">
        <v>1.36705538949147E-2</v>
      </c>
      <c r="K525" s="311">
        <v>1.0591738860931912E-4</v>
      </c>
      <c r="L525" s="518">
        <v>1.4288675679858301E-2</v>
      </c>
      <c r="M525" s="519">
        <v>1.1070650292078182E-4</v>
      </c>
    </row>
    <row r="526" spans="2:13" ht="15.75" x14ac:dyDescent="0.25">
      <c r="B526" s="212">
        <v>2037</v>
      </c>
      <c r="C526" s="309">
        <v>2035</v>
      </c>
      <c r="D526" s="250" t="s">
        <v>3905</v>
      </c>
      <c r="E526" s="517">
        <v>0.11781318845716884</v>
      </c>
      <c r="F526" s="310">
        <v>1.44185469995108E-2</v>
      </c>
      <c r="G526" s="311">
        <v>2.6012941258610377E-2</v>
      </c>
      <c r="H526" s="311">
        <v>1.3813504758128901</v>
      </c>
      <c r="I526" s="311">
        <v>0.30739328408513444</v>
      </c>
      <c r="J526" s="311">
        <v>1.2195241140856799E-2</v>
      </c>
      <c r="K526" s="311">
        <v>1.0591738860931887E-4</v>
      </c>
      <c r="L526" s="518">
        <v>1.2746655829665301E-2</v>
      </c>
      <c r="M526" s="519">
        <v>1.1070650292078155E-4</v>
      </c>
    </row>
    <row r="527" spans="2:13" ht="15.75" x14ac:dyDescent="0.25">
      <c r="B527" s="212">
        <v>2037</v>
      </c>
      <c r="C527" s="309">
        <v>2036</v>
      </c>
      <c r="D527" s="250" t="s">
        <v>3906</v>
      </c>
      <c r="E527" s="517">
        <v>0.11781318845716894</v>
      </c>
      <c r="F527" s="310">
        <v>1.3813885420382499E-2</v>
      </c>
      <c r="G527" s="311">
        <v>2.601294125861037E-2</v>
      </c>
      <c r="H527" s="311">
        <v>1.2834646489697299</v>
      </c>
      <c r="I527" s="311">
        <v>0.30739328408513367</v>
      </c>
      <c r="J527" s="311">
        <v>1.07199283867989E-2</v>
      </c>
      <c r="K527" s="311">
        <v>1.0591738860931885E-4</v>
      </c>
      <c r="L527" s="518">
        <v>1.1204635979472201E-2</v>
      </c>
      <c r="M527" s="519">
        <v>1.1070650292078152E-4</v>
      </c>
    </row>
    <row r="528" spans="2:13" ht="15.75" x14ac:dyDescent="0.25">
      <c r="B528" s="212">
        <v>2037</v>
      </c>
      <c r="C528" s="309">
        <v>2037</v>
      </c>
      <c r="D528" s="250" t="s">
        <v>3907</v>
      </c>
      <c r="E528" s="517">
        <v>0.11781318845716904</v>
      </c>
      <c r="F528" s="310">
        <v>1.3209223841254201E-2</v>
      </c>
      <c r="G528" s="311">
        <v>2.6012941258610426E-2</v>
      </c>
      <c r="H528" s="311">
        <v>1.18557882212656</v>
      </c>
      <c r="I528" s="311">
        <v>0.30739328408513489</v>
      </c>
      <c r="J528" s="311">
        <v>9.2446156327409997E-3</v>
      </c>
      <c r="K528" s="311">
        <v>1.0591738860931905E-4</v>
      </c>
      <c r="L528" s="518">
        <v>9.6626161292792407E-3</v>
      </c>
      <c r="M528" s="519">
        <v>1.1070650292078174E-4</v>
      </c>
    </row>
    <row r="529" spans="2:13" ht="15.75" x14ac:dyDescent="0.25">
      <c r="B529" s="212">
        <v>2037</v>
      </c>
      <c r="C529" s="309">
        <v>2038</v>
      </c>
      <c r="D529" s="250" t="s">
        <v>4511</v>
      </c>
      <c r="E529" s="517">
        <v>0.12522334315060829</v>
      </c>
      <c r="F529" s="310">
        <v>1.2604562262125901E-2</v>
      </c>
      <c r="G529" s="311">
        <v>6.2431059020665071E-2</v>
      </c>
      <c r="H529" s="311">
        <v>1.0876929952834</v>
      </c>
      <c r="I529" s="311">
        <v>0.73774388180432449</v>
      </c>
      <c r="J529" s="311">
        <v>7.7693028786830704E-3</v>
      </c>
      <c r="K529" s="311">
        <v>2.5420173266236596E-4</v>
      </c>
      <c r="L529" s="518">
        <v>8.1205962790861994E-3</v>
      </c>
      <c r="M529" s="519">
        <v>2.6569560700987643E-4</v>
      </c>
    </row>
    <row r="530" spans="2:13" ht="15.75" x14ac:dyDescent="0.25">
      <c r="B530" s="212">
        <v>2038</v>
      </c>
      <c r="C530" s="309">
        <v>2012</v>
      </c>
      <c r="D530" s="250" t="s">
        <v>3926</v>
      </c>
      <c r="E530" s="517">
        <v>0.18035349299751052</v>
      </c>
      <c r="F530" s="310">
        <v>2.6217154269891001E-2</v>
      </c>
      <c r="G530" s="311">
        <v>5.4386660094488851E-2</v>
      </c>
      <c r="H530" s="311">
        <v>4.5264594160768903</v>
      </c>
      <c r="I530" s="311">
        <v>0.64268372771314619</v>
      </c>
      <c r="J530" s="311">
        <v>4.0268417011133602E-2</v>
      </c>
      <c r="K530" s="311">
        <v>2.2144720026552811E-4</v>
      </c>
      <c r="L530" s="518">
        <v>4.2089176139923003E-2</v>
      </c>
      <c r="M530" s="519">
        <v>2.3146006000413831E-4</v>
      </c>
    </row>
    <row r="531" spans="2:13" ht="15.75" x14ac:dyDescent="0.25">
      <c r="B531" s="212">
        <v>2038</v>
      </c>
      <c r="C531" s="309">
        <v>2013</v>
      </c>
      <c r="D531" s="250" t="s">
        <v>3927</v>
      </c>
      <c r="E531" s="517">
        <v>0.17913411282616321</v>
      </c>
      <c r="F531" s="310">
        <v>2.57065580194323E-2</v>
      </c>
      <c r="G531" s="311">
        <v>5.4386687572198535E-2</v>
      </c>
      <c r="H531" s="311">
        <v>4.2933589692801197</v>
      </c>
      <c r="I531" s="311">
        <v>0.64268405241550619</v>
      </c>
      <c r="J531" s="311">
        <v>3.91081032198538E-2</v>
      </c>
      <c r="K531" s="311">
        <v>2.2144731214704221E-4</v>
      </c>
      <c r="L531" s="518">
        <v>4.0876398107817701E-2</v>
      </c>
      <c r="M531" s="519">
        <v>2.3146017694443801E-4</v>
      </c>
    </row>
    <row r="532" spans="2:13" ht="15.75" x14ac:dyDescent="0.25">
      <c r="B532" s="212">
        <v>2038</v>
      </c>
      <c r="C532" s="309">
        <v>2014</v>
      </c>
      <c r="D532" s="250" t="s">
        <v>3928</v>
      </c>
      <c r="E532" s="517">
        <v>0.16141258393874119</v>
      </c>
      <c r="F532" s="310">
        <v>2.2052082620807E-2</v>
      </c>
      <c r="G532" s="311">
        <v>5.438668080401577E-2</v>
      </c>
      <c r="H532" s="311">
        <v>2.79681449386716</v>
      </c>
      <c r="I532" s="311">
        <v>0.64268397243631792</v>
      </c>
      <c r="J532" s="311">
        <v>3.0699526582775701E-2</v>
      </c>
      <c r="K532" s="311">
        <v>2.2144728458890346E-4</v>
      </c>
      <c r="L532" s="518">
        <v>3.20876229477172E-2</v>
      </c>
      <c r="M532" s="519">
        <v>2.3146014814024257E-4</v>
      </c>
    </row>
    <row r="533" spans="2:13" ht="15.75" x14ac:dyDescent="0.25">
      <c r="B533" s="212">
        <v>2038</v>
      </c>
      <c r="C533" s="309">
        <v>2015</v>
      </c>
      <c r="D533" s="250" t="s">
        <v>3929</v>
      </c>
      <c r="E533" s="517">
        <v>0.15939015214971031</v>
      </c>
      <c r="F533" s="310">
        <v>2.1149869622040501E-2</v>
      </c>
      <c r="G533" s="311">
        <v>5.4386682179531742E-2</v>
      </c>
      <c r="H533" s="311">
        <v>2.4704167916681499</v>
      </c>
      <c r="I533" s="311">
        <v>0.64268398869070331</v>
      </c>
      <c r="J533" s="311">
        <v>2.8624899808714101E-2</v>
      </c>
      <c r="K533" s="311">
        <v>2.2144729018961807E-4</v>
      </c>
      <c r="L533" s="518">
        <v>2.9919190756952499E-2</v>
      </c>
      <c r="M533" s="519">
        <v>2.3146015399419664E-4</v>
      </c>
    </row>
    <row r="534" spans="2:13" ht="15.75" x14ac:dyDescent="0.25">
      <c r="B534" s="212">
        <v>2038</v>
      </c>
      <c r="C534" s="309">
        <v>2016</v>
      </c>
      <c r="D534" s="250" t="s">
        <v>3930</v>
      </c>
      <c r="E534" s="517">
        <v>0.15939212600776434</v>
      </c>
      <c r="F534" s="310">
        <v>2.1151013701482001E-2</v>
      </c>
      <c r="G534" s="311">
        <v>5.438667352052301E-2</v>
      </c>
      <c r="H534" s="311">
        <v>2.47039867995634</v>
      </c>
      <c r="I534" s="311">
        <v>0.64268388636774521</v>
      </c>
      <c r="J534" s="311">
        <v>2.8628967843076301E-2</v>
      </c>
      <c r="K534" s="311">
        <v>2.2144725493256719E-4</v>
      </c>
      <c r="L534" s="518">
        <v>2.99234427297769E-2</v>
      </c>
      <c r="M534" s="519">
        <v>2.3146011714297838E-4</v>
      </c>
    </row>
    <row r="535" spans="2:13" ht="15.75" x14ac:dyDescent="0.25">
      <c r="B535" s="212">
        <v>2038</v>
      </c>
      <c r="C535" s="309">
        <v>2017</v>
      </c>
      <c r="D535" s="250" t="s">
        <v>3931</v>
      </c>
      <c r="E535" s="517">
        <v>0.15336257042939946</v>
      </c>
      <c r="F535" s="310">
        <v>2.1147702009704599E-2</v>
      </c>
      <c r="G535" s="311">
        <v>5.4386601599175827E-2</v>
      </c>
      <c r="H535" s="311">
        <v>2.47069963286076</v>
      </c>
      <c r="I535" s="311">
        <v>0.64268303647772784</v>
      </c>
      <c r="J535" s="311">
        <v>2.86137195508042E-2</v>
      </c>
      <c r="K535" s="311">
        <v>2.2144696208904792E-4</v>
      </c>
      <c r="L535" s="518">
        <v>2.99075049773916E-2</v>
      </c>
      <c r="M535" s="519">
        <v>2.3145981105837462E-4</v>
      </c>
    </row>
    <row r="536" spans="2:13" ht="15.75" x14ac:dyDescent="0.25">
      <c r="B536" s="212">
        <v>2038</v>
      </c>
      <c r="C536" s="309">
        <v>2018</v>
      </c>
      <c r="D536" s="250" t="s">
        <v>3932</v>
      </c>
      <c r="E536" s="517">
        <v>0.15336257042939985</v>
      </c>
      <c r="F536" s="310">
        <v>2.1147702009704599E-2</v>
      </c>
      <c r="G536" s="311">
        <v>5.4386601599175903E-2</v>
      </c>
      <c r="H536" s="311">
        <v>2.47069963286076</v>
      </c>
      <c r="I536" s="311">
        <v>0.64268303647772873</v>
      </c>
      <c r="J536" s="311">
        <v>2.8613719550804301E-2</v>
      </c>
      <c r="K536" s="311">
        <v>2.2144696208904825E-4</v>
      </c>
      <c r="L536" s="518">
        <v>2.99075049773916E-2</v>
      </c>
      <c r="M536" s="519">
        <v>2.3145981105837494E-4</v>
      </c>
    </row>
    <row r="537" spans="2:13" ht="15.75" x14ac:dyDescent="0.25">
      <c r="B537" s="212">
        <v>2038</v>
      </c>
      <c r="C537" s="309">
        <v>2019</v>
      </c>
      <c r="D537" s="250" t="s">
        <v>3933</v>
      </c>
      <c r="E537" s="517">
        <v>0.1533625704293996</v>
      </c>
      <c r="F537" s="310">
        <v>2.1147702009704599E-2</v>
      </c>
      <c r="G537" s="311">
        <v>5.4386601599175979E-2</v>
      </c>
      <c r="H537" s="311">
        <v>2.47069963286076</v>
      </c>
      <c r="I537" s="311">
        <v>0.64268303647772795</v>
      </c>
      <c r="J537" s="311">
        <v>2.86137195508042E-2</v>
      </c>
      <c r="K537" s="311">
        <v>2.2144696208904803E-4</v>
      </c>
      <c r="L537" s="518">
        <v>2.99075049773916E-2</v>
      </c>
      <c r="M537" s="519">
        <v>2.3145981105837473E-4</v>
      </c>
    </row>
    <row r="538" spans="2:13" ht="15.75" x14ac:dyDescent="0.25">
      <c r="B538" s="212">
        <v>2038</v>
      </c>
      <c r="C538" s="309">
        <v>2020</v>
      </c>
      <c r="D538" s="250" t="s">
        <v>3934</v>
      </c>
      <c r="E538" s="517">
        <v>0.15336257042939982</v>
      </c>
      <c r="F538" s="310">
        <v>2.1147702009704599E-2</v>
      </c>
      <c r="G538" s="311">
        <v>5.4386601599176021E-2</v>
      </c>
      <c r="H538" s="311">
        <v>2.47069963286076</v>
      </c>
      <c r="I538" s="311">
        <v>0.64268303647772862</v>
      </c>
      <c r="J538" s="311">
        <v>2.8613719550804301E-2</v>
      </c>
      <c r="K538" s="311">
        <v>2.2144696208904822E-4</v>
      </c>
      <c r="L538" s="518">
        <v>2.99075049773916E-2</v>
      </c>
      <c r="M538" s="519">
        <v>2.3145981105837491E-4</v>
      </c>
    </row>
    <row r="539" spans="2:13" ht="15.75" x14ac:dyDescent="0.25">
      <c r="B539" s="212">
        <v>2038</v>
      </c>
      <c r="C539" s="309">
        <v>2021</v>
      </c>
      <c r="D539" s="250" t="s">
        <v>3935</v>
      </c>
      <c r="E539" s="517">
        <v>0.13870014336779399</v>
      </c>
      <c r="F539" s="310">
        <v>2.1147702009704599E-2</v>
      </c>
      <c r="G539" s="311">
        <v>5.4386601599176028E-2</v>
      </c>
      <c r="H539" s="311">
        <v>2.47069963286076</v>
      </c>
      <c r="I539" s="311">
        <v>0.64268303647772995</v>
      </c>
      <c r="J539" s="311">
        <v>2.8613719550804301E-2</v>
      </c>
      <c r="K539" s="311">
        <v>2.2144696208904825E-4</v>
      </c>
      <c r="L539" s="518">
        <v>2.99075049773916E-2</v>
      </c>
      <c r="M539" s="519">
        <v>2.3145981105837491E-4</v>
      </c>
    </row>
    <row r="540" spans="2:13" ht="15.75" x14ac:dyDescent="0.25">
      <c r="B540" s="212">
        <v>2038</v>
      </c>
      <c r="C540" s="309">
        <v>2022</v>
      </c>
      <c r="D540" s="250" t="s">
        <v>3936</v>
      </c>
      <c r="E540" s="517">
        <v>0.1387001433677939</v>
      </c>
      <c r="F540" s="310">
        <v>2.1145892397013401E-2</v>
      </c>
      <c r="G540" s="311">
        <v>5.4386601599175952E-2</v>
      </c>
      <c r="H540" s="311">
        <v>2.4704066833848901</v>
      </c>
      <c r="I540" s="311">
        <v>0.64268303647772773</v>
      </c>
      <c r="J540" s="311">
        <v>2.86093042753305E-2</v>
      </c>
      <c r="K540" s="311">
        <v>2.2144696208904789E-4</v>
      </c>
      <c r="L540" s="518">
        <v>2.9902890062753401E-2</v>
      </c>
      <c r="M540" s="519">
        <v>2.3145981105837459E-4</v>
      </c>
    </row>
    <row r="541" spans="2:13" ht="15.75" x14ac:dyDescent="0.25">
      <c r="B541" s="212">
        <v>2038</v>
      </c>
      <c r="C541" s="309">
        <v>2023</v>
      </c>
      <c r="D541" s="250" t="s">
        <v>3937</v>
      </c>
      <c r="E541" s="517">
        <v>0.13870014336779393</v>
      </c>
      <c r="F541" s="310">
        <v>2.0885605357956399E-2</v>
      </c>
      <c r="G541" s="311">
        <v>5.4386601599175986E-2</v>
      </c>
      <c r="H541" s="311">
        <v>2.4282700692699302</v>
      </c>
      <c r="I541" s="311">
        <v>0.64268303647772806</v>
      </c>
      <c r="J541" s="311">
        <v>2.79742297175243E-2</v>
      </c>
      <c r="K541" s="311">
        <v>2.2144696208904803E-4</v>
      </c>
      <c r="L541" s="518">
        <v>2.92391002515449E-2</v>
      </c>
      <c r="M541" s="519">
        <v>2.3145981105837473E-4</v>
      </c>
    </row>
    <row r="542" spans="2:13" ht="15.75" x14ac:dyDescent="0.25">
      <c r="B542" s="212">
        <v>2038</v>
      </c>
      <c r="C542" s="309">
        <v>2024</v>
      </c>
      <c r="D542" s="250" t="s">
        <v>3938</v>
      </c>
      <c r="E542" s="517">
        <v>0.12705583542429955</v>
      </c>
      <c r="F542" s="310">
        <v>2.0596397536781899E-2</v>
      </c>
      <c r="G542" s="311">
        <v>4.8947941439258486E-2</v>
      </c>
      <c r="H542" s="311">
        <v>2.3814516091421898</v>
      </c>
      <c r="I542" s="311">
        <v>0.57841473282995648</v>
      </c>
      <c r="J542" s="311">
        <v>2.7268591319961899E-2</v>
      </c>
      <c r="K542" s="311">
        <v>1.9930226588014366E-4</v>
      </c>
      <c r="L542" s="518">
        <v>2.8501556016868702E-2</v>
      </c>
      <c r="M542" s="519">
        <v>2.0831382995253769E-4</v>
      </c>
    </row>
    <row r="543" spans="2:13" ht="15.75" x14ac:dyDescent="0.25">
      <c r="B543" s="212">
        <v>2038</v>
      </c>
      <c r="C543" s="309">
        <v>2025</v>
      </c>
      <c r="D543" s="250" t="s">
        <v>3939</v>
      </c>
      <c r="E543" s="517">
        <v>0.12602265990464265</v>
      </c>
      <c r="F543" s="310">
        <v>2.0275055513254699E-2</v>
      </c>
      <c r="G543" s="311">
        <v>4.4053147295332627E-2</v>
      </c>
      <c r="H543" s="311">
        <v>2.3294310978891501</v>
      </c>
      <c r="I543" s="311">
        <v>0.52057325954696065</v>
      </c>
      <c r="J543" s="311">
        <v>2.6484548656003599E-2</v>
      </c>
      <c r="K543" s="311">
        <v>1.7937203929212925E-4</v>
      </c>
      <c r="L543" s="518">
        <v>2.7682062422783999E-2</v>
      </c>
      <c r="M543" s="519">
        <v>1.8748244695728384E-4</v>
      </c>
    </row>
    <row r="544" spans="2:13" ht="15.75" x14ac:dyDescent="0.25">
      <c r="B544" s="212">
        <v>2038</v>
      </c>
      <c r="C544" s="309">
        <v>2026</v>
      </c>
      <c r="D544" s="250" t="s">
        <v>3940</v>
      </c>
      <c r="E544" s="517">
        <v>0.12509280193695207</v>
      </c>
      <c r="F544" s="310">
        <v>1.9918008820446802E-2</v>
      </c>
      <c r="G544" s="311">
        <v>3.9647832565799387E-2</v>
      </c>
      <c r="H544" s="311">
        <v>2.2716305298302202</v>
      </c>
      <c r="I544" s="311">
        <v>0.4685159335922649</v>
      </c>
      <c r="J544" s="311">
        <v>2.5613390140494501E-2</v>
      </c>
      <c r="K544" s="311">
        <v>1.6143483536291641E-4</v>
      </c>
      <c r="L544" s="518">
        <v>2.6771513984912201E-2</v>
      </c>
      <c r="M544" s="519">
        <v>1.687342022615556E-4</v>
      </c>
    </row>
    <row r="545" spans="2:13" ht="15.75" x14ac:dyDescent="0.25">
      <c r="B545" s="212">
        <v>2038</v>
      </c>
      <c r="C545" s="309">
        <v>2027</v>
      </c>
      <c r="D545" s="250" t="s">
        <v>3941</v>
      </c>
      <c r="E545" s="517">
        <v>0.11978080466590384</v>
      </c>
      <c r="F545" s="310">
        <v>1.9521290272882401E-2</v>
      </c>
      <c r="G545" s="311">
        <v>3.5683049309219617E-2</v>
      </c>
      <c r="H545" s="311">
        <v>2.2074076764314099</v>
      </c>
      <c r="I545" s="311">
        <v>0.42166434023304039</v>
      </c>
      <c r="J545" s="311">
        <v>2.4645436234373201E-2</v>
      </c>
      <c r="K545" s="311">
        <v>1.4529135182662543E-4</v>
      </c>
      <c r="L545" s="518">
        <v>2.5759793498388001E-2</v>
      </c>
      <c r="M545" s="519">
        <v>1.5186078203540074E-4</v>
      </c>
    </row>
    <row r="546" spans="2:13" ht="15.75" x14ac:dyDescent="0.25">
      <c r="B546" s="212">
        <v>2038</v>
      </c>
      <c r="C546" s="309">
        <v>2028</v>
      </c>
      <c r="D546" s="250" t="s">
        <v>3942</v>
      </c>
      <c r="E546" s="517">
        <v>0.11905474595786529</v>
      </c>
      <c r="F546" s="310">
        <v>1.9080491886699701E-2</v>
      </c>
      <c r="G546" s="311">
        <v>3.2114744378297623E-2</v>
      </c>
      <c r="H546" s="311">
        <v>2.13604895043273</v>
      </c>
      <c r="I546" s="311">
        <v>0.379497906209736</v>
      </c>
      <c r="J546" s="311">
        <v>2.3569931894238401E-2</v>
      </c>
      <c r="K546" s="311">
        <v>1.3076221664396279E-4</v>
      </c>
      <c r="L546" s="518">
        <v>2.46356596244721E-2</v>
      </c>
      <c r="M546" s="519">
        <v>1.3667470383186054E-4</v>
      </c>
    </row>
    <row r="547" spans="2:13" ht="15.75" x14ac:dyDescent="0.25">
      <c r="B547" s="212">
        <v>2038</v>
      </c>
      <c r="C547" s="309">
        <v>2029</v>
      </c>
      <c r="D547" s="250" t="s">
        <v>3943</v>
      </c>
      <c r="E547" s="517">
        <v>0.11840129312063064</v>
      </c>
      <c r="F547" s="310">
        <v>1.8590715902052201E-2</v>
      </c>
      <c r="G547" s="311">
        <v>2.8903269940467713E-2</v>
      </c>
      <c r="H547" s="311">
        <v>2.05676147710086</v>
      </c>
      <c r="I547" s="311">
        <v>0.34154811558876136</v>
      </c>
      <c r="J547" s="311">
        <v>2.2374927071866502E-2</v>
      </c>
      <c r="K547" s="311">
        <v>1.176859949795659E-4</v>
      </c>
      <c r="L547" s="518">
        <v>2.3386621986787901E-2</v>
      </c>
      <c r="M547" s="519">
        <v>1.2300723344867384E-4</v>
      </c>
    </row>
    <row r="548" spans="2:13" ht="15.75" x14ac:dyDescent="0.25">
      <c r="B548" s="212">
        <v>2038</v>
      </c>
      <c r="C548" s="309">
        <v>2030</v>
      </c>
      <c r="D548" s="250" t="s">
        <v>3944</v>
      </c>
      <c r="E548" s="517">
        <v>0.11781318556711967</v>
      </c>
      <c r="F548" s="310">
        <v>1.8046520363555099E-2</v>
      </c>
      <c r="G548" s="311">
        <v>2.6012942946420956E-2</v>
      </c>
      <c r="H548" s="311">
        <v>1.9686642845099001</v>
      </c>
      <c r="I548" s="311">
        <v>0.30739330402988535</v>
      </c>
      <c r="J548" s="311">
        <v>2.10471439358976E-2</v>
      </c>
      <c r="K548" s="311">
        <v>1.0591739548160936E-4</v>
      </c>
      <c r="L548" s="518">
        <v>2.1998802389360899E-2</v>
      </c>
      <c r="M548" s="519">
        <v>1.1070651010380652E-4</v>
      </c>
    </row>
    <row r="549" spans="2:13" ht="15.75" x14ac:dyDescent="0.25">
      <c r="B549" s="212">
        <v>2038</v>
      </c>
      <c r="C549" s="309">
        <v>2031</v>
      </c>
      <c r="D549" s="250" t="s">
        <v>3945</v>
      </c>
      <c r="E549" s="517">
        <v>0.1178131855671203</v>
      </c>
      <c r="F549" s="310">
        <v>1.7441858654113799E-2</v>
      </c>
      <c r="G549" s="311">
        <v>2.6012942946420942E-2</v>
      </c>
      <c r="H549" s="311">
        <v>1.8707785149643901</v>
      </c>
      <c r="I549" s="311">
        <v>0.30739330402988524</v>
      </c>
      <c r="J549" s="311">
        <v>1.9571829340376701E-2</v>
      </c>
      <c r="K549" s="311">
        <v>1.0591739548160932E-4</v>
      </c>
      <c r="L549" s="518">
        <v>2.0456780614442099E-2</v>
      </c>
      <c r="M549" s="519">
        <v>1.1070651010380648E-4</v>
      </c>
    </row>
    <row r="550" spans="2:13" ht="15.75" x14ac:dyDescent="0.25">
      <c r="B550" s="212">
        <v>2038</v>
      </c>
      <c r="C550" s="309">
        <v>2032</v>
      </c>
      <c r="D550" s="250" t="s">
        <v>3946</v>
      </c>
      <c r="E550" s="517">
        <v>0.11781318556712014</v>
      </c>
      <c r="F550" s="310">
        <v>1.6837196944672599E-2</v>
      </c>
      <c r="G550" s="311">
        <v>2.6012942946420942E-2</v>
      </c>
      <c r="H550" s="311">
        <v>1.7728927454188801</v>
      </c>
      <c r="I550" s="311">
        <v>0.30739330402988535</v>
      </c>
      <c r="J550" s="311">
        <v>1.8096514744855699E-2</v>
      </c>
      <c r="K550" s="311">
        <v>1.0591739548160956E-4</v>
      </c>
      <c r="L550" s="518">
        <v>1.8914758839523298E-2</v>
      </c>
      <c r="M550" s="519">
        <v>1.1070651010380672E-4</v>
      </c>
    </row>
    <row r="551" spans="2:13" ht="15.75" x14ac:dyDescent="0.25">
      <c r="B551" s="212">
        <v>2038</v>
      </c>
      <c r="C551" s="309">
        <v>2033</v>
      </c>
      <c r="D551" s="250" t="s">
        <v>3947</v>
      </c>
      <c r="E551" s="517">
        <v>0.11781318556711996</v>
      </c>
      <c r="F551" s="310">
        <v>1.6232535235231299E-2</v>
      </c>
      <c r="G551" s="311">
        <v>2.6012942946420845E-2</v>
      </c>
      <c r="H551" s="311">
        <v>1.6750069758733599</v>
      </c>
      <c r="I551" s="311">
        <v>0.30739330402988346</v>
      </c>
      <c r="J551" s="311">
        <v>1.6621200149334801E-2</v>
      </c>
      <c r="K551" s="311">
        <v>1.0591739548160892E-4</v>
      </c>
      <c r="L551" s="518">
        <v>1.7372737064604401E-2</v>
      </c>
      <c r="M551" s="519">
        <v>1.1070651010380606E-4</v>
      </c>
    </row>
    <row r="552" spans="2:13" ht="15.75" x14ac:dyDescent="0.25">
      <c r="B552" s="212">
        <v>2038</v>
      </c>
      <c r="C552" s="309">
        <v>2034</v>
      </c>
      <c r="D552" s="250" t="s">
        <v>3948</v>
      </c>
      <c r="E552" s="517">
        <v>0.11781318556712002</v>
      </c>
      <c r="F552" s="310">
        <v>1.5627873525790099E-2</v>
      </c>
      <c r="G552" s="311">
        <v>2.6012942946420915E-2</v>
      </c>
      <c r="H552" s="311">
        <v>1.5771212063278499</v>
      </c>
      <c r="I552" s="311">
        <v>0.30739330402988485</v>
      </c>
      <c r="J552" s="311">
        <v>1.5145885553813901E-2</v>
      </c>
      <c r="K552" s="311">
        <v>1.0591739548160918E-4</v>
      </c>
      <c r="L552" s="518">
        <v>1.5830715289685601E-2</v>
      </c>
      <c r="M552" s="519">
        <v>1.1070651010380633E-4</v>
      </c>
    </row>
    <row r="553" spans="2:13" ht="15.75" x14ac:dyDescent="0.25">
      <c r="B553" s="212">
        <v>2038</v>
      </c>
      <c r="C553" s="309">
        <v>2035</v>
      </c>
      <c r="D553" s="250" t="s">
        <v>3949</v>
      </c>
      <c r="E553" s="517">
        <v>0.11781318556711978</v>
      </c>
      <c r="F553" s="310">
        <v>1.5023211816348799E-2</v>
      </c>
      <c r="G553" s="311">
        <v>2.6012942946420831E-2</v>
      </c>
      <c r="H553" s="311">
        <v>1.4792354367823399</v>
      </c>
      <c r="I553" s="311">
        <v>0.30739330402988391</v>
      </c>
      <c r="J553" s="311">
        <v>1.36705709582929E-2</v>
      </c>
      <c r="K553" s="311">
        <v>1.0591739548160884E-4</v>
      </c>
      <c r="L553" s="518">
        <v>1.42886935147667E-2</v>
      </c>
      <c r="M553" s="519">
        <v>1.1070651010380598E-4</v>
      </c>
    </row>
    <row r="554" spans="2:13" ht="15.75" x14ac:dyDescent="0.25">
      <c r="B554" s="212">
        <v>2038</v>
      </c>
      <c r="C554" s="309">
        <v>2036</v>
      </c>
      <c r="D554" s="250" t="s">
        <v>3950</v>
      </c>
      <c r="E554" s="517">
        <v>0.1178131855671202</v>
      </c>
      <c r="F554" s="310">
        <v>1.4418550106907501E-2</v>
      </c>
      <c r="G554" s="311">
        <v>2.6012942946420883E-2</v>
      </c>
      <c r="H554" s="311">
        <v>1.38134966723682</v>
      </c>
      <c r="I554" s="311">
        <v>0.30739330402988457</v>
      </c>
      <c r="J554" s="311">
        <v>1.2195256362772E-2</v>
      </c>
      <c r="K554" s="311">
        <v>1.0591739548160907E-4</v>
      </c>
      <c r="L554" s="518">
        <v>1.2746671739847899E-2</v>
      </c>
      <c r="M554" s="519">
        <v>1.1070651010380622E-4</v>
      </c>
    </row>
    <row r="555" spans="2:13" ht="15.75" x14ac:dyDescent="0.25">
      <c r="B555" s="212">
        <v>2038</v>
      </c>
      <c r="C555" s="309">
        <v>2037</v>
      </c>
      <c r="D555" s="250" t="s">
        <v>3951</v>
      </c>
      <c r="E555" s="517">
        <v>0.11781318556712013</v>
      </c>
      <c r="F555" s="310">
        <v>1.3813888397466299E-2</v>
      </c>
      <c r="G555" s="311">
        <v>2.6012942946420949E-2</v>
      </c>
      <c r="H555" s="311">
        <v>1.28346389769131</v>
      </c>
      <c r="I555" s="311">
        <v>0.30739330402988468</v>
      </c>
      <c r="J555" s="311">
        <v>1.0719941767251001E-2</v>
      </c>
      <c r="K555" s="311">
        <v>1.0591739548160933E-4</v>
      </c>
      <c r="L555" s="518">
        <v>1.1204649964929101E-2</v>
      </c>
      <c r="M555" s="519">
        <v>1.1070651010380649E-4</v>
      </c>
    </row>
    <row r="556" spans="2:13" ht="15.75" x14ac:dyDescent="0.25">
      <c r="B556" s="212">
        <v>2038</v>
      </c>
      <c r="C556" s="309">
        <v>2038</v>
      </c>
      <c r="D556" s="250" t="s">
        <v>3952</v>
      </c>
      <c r="E556" s="517">
        <v>0.11781318556711987</v>
      </c>
      <c r="F556" s="310">
        <v>1.3209226688025001E-2</v>
      </c>
      <c r="G556" s="311">
        <v>2.601294294642088E-2</v>
      </c>
      <c r="H556" s="311">
        <v>1.18557812814579</v>
      </c>
      <c r="I556" s="311">
        <v>0.30739330402988385</v>
      </c>
      <c r="J556" s="311">
        <v>9.2446271717301198E-3</v>
      </c>
      <c r="K556" s="311">
        <v>1.0591739548160905E-4</v>
      </c>
      <c r="L556" s="518">
        <v>9.6626281900102397E-3</v>
      </c>
      <c r="M556" s="519">
        <v>1.1070651010380621E-4</v>
      </c>
    </row>
    <row r="557" spans="2:13" ht="15.75" x14ac:dyDescent="0.25">
      <c r="B557" s="212">
        <v>2038</v>
      </c>
      <c r="C557" s="309">
        <v>2039</v>
      </c>
      <c r="D557" s="250" t="s">
        <v>4512</v>
      </c>
      <c r="E557" s="517">
        <v>0.12522334074135663</v>
      </c>
      <c r="F557" s="310">
        <v>1.2604564978583701E-2</v>
      </c>
      <c r="G557" s="311">
        <v>6.2431063071410296E-2</v>
      </c>
      <c r="H557" s="311">
        <v>1.08769235860028</v>
      </c>
      <c r="I557" s="311">
        <v>0.73774392967172342</v>
      </c>
      <c r="J557" s="311">
        <v>7.7693125762091798E-3</v>
      </c>
      <c r="K557" s="311">
        <v>2.5420174915586247E-4</v>
      </c>
      <c r="L557" s="518">
        <v>8.1206064150914099E-3</v>
      </c>
      <c r="M557" s="519">
        <v>2.6569562424913566E-4</v>
      </c>
    </row>
    <row r="558" spans="2:13" ht="15.75" x14ac:dyDescent="0.25">
      <c r="B558" s="212">
        <v>2039</v>
      </c>
      <c r="C558" s="309">
        <v>2012</v>
      </c>
      <c r="D558" s="250" t="s">
        <v>3970</v>
      </c>
      <c r="E558" s="517">
        <v>0.18035349086462554</v>
      </c>
      <c r="F558" s="310">
        <v>2.6217162939912001E-2</v>
      </c>
      <c r="G558" s="311">
        <v>5.4386648196106495E-2</v>
      </c>
      <c r="H558" s="311">
        <v>4.5264608937784203</v>
      </c>
      <c r="I558" s="311">
        <v>0.6426835871107146</v>
      </c>
      <c r="J558" s="311">
        <v>4.0268495232479697E-2</v>
      </c>
      <c r="K558" s="311">
        <v>2.214471518186579E-4</v>
      </c>
      <c r="L558" s="518">
        <v>4.2089257898091301E-2</v>
      </c>
      <c r="M558" s="519">
        <v>2.3146000936671566E-4</v>
      </c>
    </row>
    <row r="559" spans="2:13" ht="15.75" x14ac:dyDescent="0.25">
      <c r="B559" s="212">
        <v>2039</v>
      </c>
      <c r="C559" s="309">
        <v>2013</v>
      </c>
      <c r="D559" s="250" t="s">
        <v>3971</v>
      </c>
      <c r="E559" s="517">
        <v>0.17913410920950348</v>
      </c>
      <c r="F559" s="310">
        <v>2.5706566987795901E-2</v>
      </c>
      <c r="G559" s="311">
        <v>5.4386669211444416E-2</v>
      </c>
      <c r="H559" s="311">
        <v>4.2933600887517001</v>
      </c>
      <c r="I559" s="311">
        <v>0.64268383544763585</v>
      </c>
      <c r="J559" s="311">
        <v>3.9108180201949699E-2</v>
      </c>
      <c r="K559" s="311">
        <v>2.2144723738721034E-4</v>
      </c>
      <c r="L559" s="518">
        <v>4.0876478570702403E-2</v>
      </c>
      <c r="M559" s="519">
        <v>2.314600988042983E-4</v>
      </c>
    </row>
    <row r="560" spans="2:13" ht="15.75" x14ac:dyDescent="0.25">
      <c r="B560" s="212">
        <v>2039</v>
      </c>
      <c r="C560" s="309">
        <v>2014</v>
      </c>
      <c r="D560" s="250" t="s">
        <v>3972</v>
      </c>
      <c r="E560" s="517">
        <v>0.16141258075448273</v>
      </c>
      <c r="F560" s="310">
        <v>2.2052091737103499E-2</v>
      </c>
      <c r="G560" s="311">
        <v>5.4386664164233392E-2</v>
      </c>
      <c r="H560" s="311">
        <v>2.7968131810641301</v>
      </c>
      <c r="I560" s="311">
        <v>0.64268377580506042</v>
      </c>
      <c r="J560" s="311">
        <v>3.0699586709149001E-2</v>
      </c>
      <c r="K560" s="311">
        <v>2.2144721683638448E-4</v>
      </c>
      <c r="L560" s="518">
        <v>3.2087685792738199E-2</v>
      </c>
      <c r="M560" s="519">
        <v>2.314600773242553E-4</v>
      </c>
    </row>
    <row r="561" spans="2:13" ht="15.75" x14ac:dyDescent="0.25">
      <c r="B561" s="212">
        <v>2039</v>
      </c>
      <c r="C561" s="309">
        <v>2015</v>
      </c>
      <c r="D561" s="250" t="s">
        <v>3973</v>
      </c>
      <c r="E561" s="517">
        <v>0.15939014888491079</v>
      </c>
      <c r="F561" s="310">
        <v>2.11498787255688E-2</v>
      </c>
      <c r="G561" s="311">
        <v>5.4386665299345931E-2</v>
      </c>
      <c r="H561" s="311">
        <v>2.4704149842507301</v>
      </c>
      <c r="I561" s="311">
        <v>0.64268378921861502</v>
      </c>
      <c r="J561" s="311">
        <v>2.8624955878869301E-2</v>
      </c>
      <c r="K561" s="311">
        <v>2.2144722145824388E-4</v>
      </c>
      <c r="L561" s="518">
        <v>2.99192493623513E-2</v>
      </c>
      <c r="M561" s="519">
        <v>2.3146008215509467E-4</v>
      </c>
    </row>
    <row r="562" spans="2:13" ht="15.75" x14ac:dyDescent="0.25">
      <c r="B562" s="212">
        <v>2039</v>
      </c>
      <c r="C562" s="309">
        <v>2016</v>
      </c>
      <c r="D562" s="250" t="s">
        <v>3974</v>
      </c>
      <c r="E562" s="517">
        <v>0.15939212308999506</v>
      </c>
      <c r="F562" s="310">
        <v>2.11510226832031E-2</v>
      </c>
      <c r="G562" s="311">
        <v>5.4386658738254344E-2</v>
      </c>
      <c r="H562" s="311">
        <v>2.4703968753584302</v>
      </c>
      <c r="I562" s="311">
        <v>0.64268371168660865</v>
      </c>
      <c r="J562" s="311">
        <v>2.8629023442342302E-2</v>
      </c>
      <c r="K562" s="311">
        <v>2.2144719474332219E-4</v>
      </c>
      <c r="L562" s="518">
        <v>2.9923500842994999E-2</v>
      </c>
      <c r="M562" s="519">
        <v>2.3146005423224278E-4</v>
      </c>
    </row>
    <row r="563" spans="2:13" ht="15.75" x14ac:dyDescent="0.25">
      <c r="B563" s="212">
        <v>2039</v>
      </c>
      <c r="C563" s="309">
        <v>2017</v>
      </c>
      <c r="D563" s="250" t="s">
        <v>3975</v>
      </c>
      <c r="E563" s="517">
        <v>0.1533625709595052</v>
      </c>
      <c r="F563" s="310">
        <v>2.11477102667199E-2</v>
      </c>
      <c r="G563" s="311">
        <v>5.4386604395738579E-2</v>
      </c>
      <c r="H563" s="311">
        <v>2.4706978506518702</v>
      </c>
      <c r="I563" s="311">
        <v>0.64268306952453169</v>
      </c>
      <c r="J563" s="311">
        <v>2.8613772385581399E-2</v>
      </c>
      <c r="K563" s="311">
        <v>2.2144697347586527E-4</v>
      </c>
      <c r="L563" s="518">
        <v>2.9907560201123E-2</v>
      </c>
      <c r="M563" s="519">
        <v>2.3145982296005329E-4</v>
      </c>
    </row>
    <row r="564" spans="2:13" ht="15.75" x14ac:dyDescent="0.25">
      <c r="B564" s="212">
        <v>2039</v>
      </c>
      <c r="C564" s="309">
        <v>2018</v>
      </c>
      <c r="D564" s="250" t="s">
        <v>3976</v>
      </c>
      <c r="E564" s="517">
        <v>0.1533625709595052</v>
      </c>
      <c r="F564" s="310">
        <v>2.11477102667199E-2</v>
      </c>
      <c r="G564" s="311">
        <v>5.4386604395738655E-2</v>
      </c>
      <c r="H564" s="311">
        <v>2.4706978506518702</v>
      </c>
      <c r="I564" s="311">
        <v>0.64268306952453258</v>
      </c>
      <c r="J564" s="311">
        <v>2.8613772385581399E-2</v>
      </c>
      <c r="K564" s="311">
        <v>2.2144697347586552E-4</v>
      </c>
      <c r="L564" s="518">
        <v>2.9907560201123E-2</v>
      </c>
      <c r="M564" s="519">
        <v>2.3145982296005359E-4</v>
      </c>
    </row>
    <row r="565" spans="2:13" ht="15.75" x14ac:dyDescent="0.25">
      <c r="B565" s="212">
        <v>2039</v>
      </c>
      <c r="C565" s="309">
        <v>2019</v>
      </c>
      <c r="D565" s="250" t="s">
        <v>3977</v>
      </c>
      <c r="E565" s="517">
        <v>0.15336257095950506</v>
      </c>
      <c r="F565" s="310">
        <v>2.11477102667199E-2</v>
      </c>
      <c r="G565" s="311">
        <v>5.4386604395738461E-2</v>
      </c>
      <c r="H565" s="311">
        <v>2.4706978506518702</v>
      </c>
      <c r="I565" s="311">
        <v>0.6426830695245318</v>
      </c>
      <c r="J565" s="311">
        <v>2.8613772385581399E-2</v>
      </c>
      <c r="K565" s="311">
        <v>2.214469734758653E-4</v>
      </c>
      <c r="L565" s="518">
        <v>2.9907560201123E-2</v>
      </c>
      <c r="M565" s="519">
        <v>2.3145982296005329E-4</v>
      </c>
    </row>
    <row r="566" spans="2:13" ht="15.75" x14ac:dyDescent="0.25">
      <c r="B566" s="212">
        <v>2039</v>
      </c>
      <c r="C566" s="309">
        <v>2020</v>
      </c>
      <c r="D566" s="250" t="s">
        <v>3978</v>
      </c>
      <c r="E566" s="517">
        <v>0.1533625709595052</v>
      </c>
      <c r="F566" s="310">
        <v>2.11477102667199E-2</v>
      </c>
      <c r="G566" s="311">
        <v>5.4386604395738648E-2</v>
      </c>
      <c r="H566" s="311">
        <v>2.4706978506518702</v>
      </c>
      <c r="I566" s="311">
        <v>0.6426830695245338</v>
      </c>
      <c r="J566" s="311">
        <v>2.8613772385581399E-2</v>
      </c>
      <c r="K566" s="311">
        <v>2.2144697347586554E-4</v>
      </c>
      <c r="L566" s="518">
        <v>2.9907560201123E-2</v>
      </c>
      <c r="M566" s="519">
        <v>2.3145982296005356E-4</v>
      </c>
    </row>
    <row r="567" spans="2:13" ht="15.75" x14ac:dyDescent="0.25">
      <c r="B567" s="212">
        <v>2039</v>
      </c>
      <c r="C567" s="309">
        <v>2021</v>
      </c>
      <c r="D567" s="250" t="s">
        <v>3979</v>
      </c>
      <c r="E567" s="517">
        <v>0.13870014384721802</v>
      </c>
      <c r="F567" s="310">
        <v>2.11477102667199E-2</v>
      </c>
      <c r="G567" s="311">
        <v>5.4386604395738614E-2</v>
      </c>
      <c r="H567" s="311">
        <v>2.4706978506518702</v>
      </c>
      <c r="I567" s="311">
        <v>0.64268306952453336</v>
      </c>
      <c r="J567" s="311">
        <v>2.8613772385581399E-2</v>
      </c>
      <c r="K567" s="311">
        <v>2.2144697347586538E-4</v>
      </c>
      <c r="L567" s="518">
        <v>2.9907560201123E-2</v>
      </c>
      <c r="M567" s="519">
        <v>2.3145982296005342E-4</v>
      </c>
    </row>
    <row r="568" spans="2:13" ht="15.75" x14ac:dyDescent="0.25">
      <c r="B568" s="212">
        <v>2039</v>
      </c>
      <c r="C568" s="309">
        <v>2022</v>
      </c>
      <c r="D568" s="250" t="s">
        <v>3980</v>
      </c>
      <c r="E568" s="517">
        <v>0.13870014384721793</v>
      </c>
      <c r="F568" s="310">
        <v>2.11477102667199E-2</v>
      </c>
      <c r="G568" s="311">
        <v>5.438660439573853E-2</v>
      </c>
      <c r="H568" s="311">
        <v>2.4706978506518702</v>
      </c>
      <c r="I568" s="311">
        <v>0.64268306952453247</v>
      </c>
      <c r="J568" s="311">
        <v>2.8613772385581399E-2</v>
      </c>
      <c r="K568" s="311">
        <v>2.2144697347586503E-4</v>
      </c>
      <c r="L568" s="518">
        <v>2.9907560201123E-2</v>
      </c>
      <c r="M568" s="519">
        <v>2.3145982296005304E-4</v>
      </c>
    </row>
    <row r="569" spans="2:13" ht="15.75" x14ac:dyDescent="0.25">
      <c r="B569" s="212">
        <v>2039</v>
      </c>
      <c r="C569" s="309">
        <v>2023</v>
      </c>
      <c r="D569" s="250" t="s">
        <v>3981</v>
      </c>
      <c r="E569" s="517">
        <v>0.13870014384721843</v>
      </c>
      <c r="F569" s="310">
        <v>2.11459006533221E-2</v>
      </c>
      <c r="G569" s="311">
        <v>5.4386604395738676E-2</v>
      </c>
      <c r="H569" s="311">
        <v>2.4704049013873099</v>
      </c>
      <c r="I569" s="311">
        <v>0.6426830695245328</v>
      </c>
      <c r="J569" s="311">
        <v>2.8609357101954901E-2</v>
      </c>
      <c r="K569" s="311">
        <v>2.2144697347586565E-4</v>
      </c>
      <c r="L569" s="518">
        <v>2.9902945277963399E-2</v>
      </c>
      <c r="M569" s="519">
        <v>2.3145982296005369E-4</v>
      </c>
    </row>
    <row r="570" spans="2:13" ht="15.75" x14ac:dyDescent="0.25">
      <c r="B570" s="212">
        <v>2039</v>
      </c>
      <c r="C570" s="309">
        <v>2024</v>
      </c>
      <c r="D570" s="250" t="s">
        <v>3982</v>
      </c>
      <c r="E570" s="517">
        <v>0.12820380866706074</v>
      </c>
      <c r="F570" s="310">
        <v>2.0885613512637301E-2</v>
      </c>
      <c r="G570" s="311">
        <v>5.4386604395738537E-2</v>
      </c>
      <c r="H570" s="311">
        <v>2.4282683176670798</v>
      </c>
      <c r="I570" s="311">
        <v>0.64268306952453258</v>
      </c>
      <c r="J570" s="311">
        <v>2.7974281371493701E-2</v>
      </c>
      <c r="K570" s="311">
        <v>2.2144697347586508E-4</v>
      </c>
      <c r="L570" s="518">
        <v>2.9239154241077502E-2</v>
      </c>
      <c r="M570" s="519">
        <v>2.3145982296005313E-4</v>
      </c>
    </row>
    <row r="571" spans="2:13" ht="15.75" x14ac:dyDescent="0.25">
      <c r="B571" s="212">
        <v>2039</v>
      </c>
      <c r="C571" s="309">
        <v>2025</v>
      </c>
      <c r="D571" s="250" t="s">
        <v>3983</v>
      </c>
      <c r="E571" s="517">
        <v>0.1270558358084132</v>
      </c>
      <c r="F571" s="310">
        <v>2.0596405578543101E-2</v>
      </c>
      <c r="G571" s="311">
        <v>4.8947943956164551E-2</v>
      </c>
      <c r="H571" s="311">
        <v>2.3814498913112701</v>
      </c>
      <c r="I571" s="311">
        <v>0.57841476257207647</v>
      </c>
      <c r="J571" s="311">
        <v>2.7268641670981201E-2</v>
      </c>
      <c r="K571" s="311">
        <v>1.9930227612827801E-4</v>
      </c>
      <c r="L571" s="518">
        <v>2.8501608644537699E-2</v>
      </c>
      <c r="M571" s="519">
        <v>2.083138406640472E-4</v>
      </c>
    </row>
    <row r="572" spans="2:13" ht="15.75" x14ac:dyDescent="0.25">
      <c r="B572" s="212">
        <v>2039</v>
      </c>
      <c r="C572" s="309">
        <v>2026</v>
      </c>
      <c r="D572" s="250" t="s">
        <v>3984</v>
      </c>
      <c r="E572" s="517">
        <v>0.1260226602356305</v>
      </c>
      <c r="F572" s="310">
        <v>2.02750634295495E-2</v>
      </c>
      <c r="G572" s="311">
        <v>4.4053149560548434E-2</v>
      </c>
      <c r="H572" s="311">
        <v>2.32942941758259</v>
      </c>
      <c r="I572" s="311">
        <v>0.52057328631487276</v>
      </c>
      <c r="J572" s="311">
        <v>2.6484597559300702E-2</v>
      </c>
      <c r="K572" s="311">
        <v>1.7937204851545157E-4</v>
      </c>
      <c r="L572" s="518">
        <v>2.7682113537271201E-2</v>
      </c>
      <c r="M572" s="519">
        <v>1.8748245659764391E-4</v>
      </c>
    </row>
    <row r="573" spans="2:13" ht="15.75" x14ac:dyDescent="0.25">
      <c r="B573" s="212">
        <v>2039</v>
      </c>
      <c r="C573" s="309">
        <v>2027</v>
      </c>
      <c r="D573" s="250" t="s">
        <v>3985</v>
      </c>
      <c r="E573" s="517">
        <v>0.12058753683669861</v>
      </c>
      <c r="F573" s="310">
        <v>1.9918016597334401E-2</v>
      </c>
      <c r="G573" s="311">
        <v>3.9647834604493365E-2</v>
      </c>
      <c r="H573" s="311">
        <v>2.2716288912173899</v>
      </c>
      <c r="I573" s="311">
        <v>0.46851595768338289</v>
      </c>
      <c r="J573" s="311">
        <v>2.56134374352112E-2</v>
      </c>
      <c r="K573" s="311">
        <v>1.6143484366390554E-4</v>
      </c>
      <c r="L573" s="518">
        <v>2.6771563418086199E-2</v>
      </c>
      <c r="M573" s="519">
        <v>1.687342109378786E-4</v>
      </c>
    </row>
    <row r="574" spans="2:13" ht="15.75" x14ac:dyDescent="0.25">
      <c r="B574" s="212">
        <v>2039</v>
      </c>
      <c r="C574" s="309">
        <v>2028</v>
      </c>
      <c r="D574" s="250" t="s">
        <v>3986</v>
      </c>
      <c r="E574" s="517">
        <v>0.11978080489739733</v>
      </c>
      <c r="F574" s="310">
        <v>1.95212978948732E-2</v>
      </c>
      <c r="G574" s="311">
        <v>3.5683051144044159E-2</v>
      </c>
      <c r="H574" s="311">
        <v>2.2074060841449499</v>
      </c>
      <c r="I574" s="311">
        <v>0.42166436191504619</v>
      </c>
      <c r="J574" s="311">
        <v>2.46454817417785E-2</v>
      </c>
      <c r="K574" s="311">
        <v>1.4529135929751549E-4</v>
      </c>
      <c r="L574" s="518">
        <v>2.5759841063436199E-2</v>
      </c>
      <c r="M574" s="519">
        <v>1.5186078984409128E-4</v>
      </c>
    </row>
    <row r="575" spans="2:13" ht="15.75" x14ac:dyDescent="0.25">
      <c r="B575" s="212">
        <v>2039</v>
      </c>
      <c r="C575" s="309">
        <v>2029</v>
      </c>
      <c r="D575" s="250" t="s">
        <v>3987</v>
      </c>
      <c r="E575" s="517">
        <v>0.1190547461520249</v>
      </c>
      <c r="F575" s="310">
        <v>1.9080499336582998E-2</v>
      </c>
      <c r="G575" s="311">
        <v>3.2114746029639651E-2</v>
      </c>
      <c r="H575" s="311">
        <v>2.1360474096200099</v>
      </c>
      <c r="I575" s="311">
        <v>0.37949792572354119</v>
      </c>
      <c r="J575" s="311">
        <v>2.35699754157421E-2</v>
      </c>
      <c r="K575" s="311">
        <v>1.3076222336776355E-4</v>
      </c>
      <c r="L575" s="518">
        <v>2.4635705113825099E-2</v>
      </c>
      <c r="M575" s="519">
        <v>1.3667471085968176E-4</v>
      </c>
    </row>
    <row r="576" spans="2:13" ht="15.75" x14ac:dyDescent="0.25">
      <c r="B576" s="212">
        <v>2039</v>
      </c>
      <c r="C576" s="309">
        <v>2030</v>
      </c>
      <c r="D576" s="250" t="s">
        <v>3988</v>
      </c>
      <c r="E576" s="517">
        <v>0.11840129328119019</v>
      </c>
      <c r="F576" s="310">
        <v>1.8590723160705001E-2</v>
      </c>
      <c r="G576" s="311">
        <v>2.8903271426675665E-2</v>
      </c>
      <c r="H576" s="311">
        <v>2.0567599934811902</v>
      </c>
      <c r="I576" s="311">
        <v>0.34154813315118615</v>
      </c>
      <c r="J576" s="311">
        <v>2.2374968386812698E-2</v>
      </c>
      <c r="K576" s="311">
        <v>1.1768600103098713E-4</v>
      </c>
      <c r="L576" s="518">
        <v>2.33866651698127E-2</v>
      </c>
      <c r="M576" s="519">
        <v>1.2300723977371351E-4</v>
      </c>
    </row>
    <row r="577" spans="2:13" ht="15.75" x14ac:dyDescent="0.25">
      <c r="B577" s="212">
        <v>2039</v>
      </c>
      <c r="C577" s="309">
        <v>2031</v>
      </c>
      <c r="D577" s="250" t="s">
        <v>3989</v>
      </c>
      <c r="E577" s="517">
        <v>0.11781318569743848</v>
      </c>
      <c r="F577" s="310">
        <v>1.8046527409729399E-2</v>
      </c>
      <c r="G577" s="311">
        <v>2.6012944284008129E-2</v>
      </c>
      <c r="H577" s="311">
        <v>1.9686628644380599</v>
      </c>
      <c r="I577" s="311">
        <v>0.30739331983606794</v>
      </c>
      <c r="J577" s="311">
        <v>2.1047182799113499E-2</v>
      </c>
      <c r="K577" s="311">
        <v>1.0591740092788854E-4</v>
      </c>
      <c r="L577" s="518">
        <v>2.1998843009798999E-2</v>
      </c>
      <c r="M577" s="519">
        <v>1.1070651579634229E-4</v>
      </c>
    </row>
    <row r="578" spans="2:13" ht="15.75" x14ac:dyDescent="0.25">
      <c r="B578" s="212">
        <v>2039</v>
      </c>
      <c r="C578" s="309">
        <v>2032</v>
      </c>
      <c r="D578" s="250" t="s">
        <v>3990</v>
      </c>
      <c r="E578" s="517">
        <v>0.11781318569743877</v>
      </c>
      <c r="F578" s="310">
        <v>1.7441865464201001E-2</v>
      </c>
      <c r="G578" s="311">
        <v>2.6012944284008084E-2</v>
      </c>
      <c r="H578" s="311">
        <v>1.87077716550125</v>
      </c>
      <c r="I578" s="311">
        <v>0.30739331983606738</v>
      </c>
      <c r="J578" s="311">
        <v>1.9571865479447701E-2</v>
      </c>
      <c r="K578" s="311">
        <v>1.0591740092788835E-4</v>
      </c>
      <c r="L578" s="518">
        <v>2.0456818387561498E-2</v>
      </c>
      <c r="M578" s="519">
        <v>1.1070651579634207E-4</v>
      </c>
    </row>
    <row r="579" spans="2:13" ht="15.75" x14ac:dyDescent="0.25">
      <c r="B579" s="212">
        <v>2039</v>
      </c>
      <c r="C579" s="309">
        <v>2033</v>
      </c>
      <c r="D579" s="250" t="s">
        <v>3991</v>
      </c>
      <c r="E579" s="517">
        <v>0.11781318569743886</v>
      </c>
      <c r="F579" s="310">
        <v>1.6837203518672499E-2</v>
      </c>
      <c r="G579" s="311">
        <v>2.6012944284008039E-2</v>
      </c>
      <c r="H579" s="311">
        <v>1.77289146656443</v>
      </c>
      <c r="I579" s="311">
        <v>0.30739331983606683</v>
      </c>
      <c r="J579" s="311">
        <v>1.8096548159781799E-2</v>
      </c>
      <c r="K579" s="311">
        <v>1.0591740092788819E-4</v>
      </c>
      <c r="L579" s="518">
        <v>1.8914793765324001E-2</v>
      </c>
      <c r="M579" s="519">
        <v>1.1070651579634191E-4</v>
      </c>
    </row>
    <row r="580" spans="2:13" ht="15.75" x14ac:dyDescent="0.25">
      <c r="B580" s="212">
        <v>2039</v>
      </c>
      <c r="C580" s="309">
        <v>2034</v>
      </c>
      <c r="D580" s="250" t="s">
        <v>3992</v>
      </c>
      <c r="E580" s="517">
        <v>0.11781318569743884</v>
      </c>
      <c r="F580" s="310">
        <v>1.6232541573144101E-2</v>
      </c>
      <c r="G580" s="311">
        <v>2.6012944284008119E-2</v>
      </c>
      <c r="H580" s="311">
        <v>1.67500576762762</v>
      </c>
      <c r="I580" s="311">
        <v>0.30739331983606777</v>
      </c>
      <c r="J580" s="311">
        <v>1.6621230840115998E-2</v>
      </c>
      <c r="K580" s="311">
        <v>1.059174009278885E-4</v>
      </c>
      <c r="L580" s="518">
        <v>1.7372769143086501E-2</v>
      </c>
      <c r="M580" s="519">
        <v>1.1070651579634222E-4</v>
      </c>
    </row>
    <row r="581" spans="2:13" ht="15.75" x14ac:dyDescent="0.25">
      <c r="B581" s="212">
        <v>2039</v>
      </c>
      <c r="C581" s="309">
        <v>2035</v>
      </c>
      <c r="D581" s="250" t="s">
        <v>3993</v>
      </c>
      <c r="E581" s="517">
        <v>0.11781318569743854</v>
      </c>
      <c r="F581" s="310">
        <v>1.56278796276157E-2</v>
      </c>
      <c r="G581" s="311">
        <v>2.6012944284008063E-2</v>
      </c>
      <c r="H581" s="311">
        <v>1.5771200686908</v>
      </c>
      <c r="I581" s="311">
        <v>0.30739331983606777</v>
      </c>
      <c r="J581" s="311">
        <v>1.5145913520450201E-2</v>
      </c>
      <c r="K581" s="311">
        <v>1.0591740092788827E-4</v>
      </c>
      <c r="L581" s="518">
        <v>1.5830744520849101E-2</v>
      </c>
      <c r="M581" s="519">
        <v>1.1070651579634199E-4</v>
      </c>
    </row>
    <row r="582" spans="2:13" ht="15.75" x14ac:dyDescent="0.25">
      <c r="B582" s="212">
        <v>2039</v>
      </c>
      <c r="C582" s="309">
        <v>2036</v>
      </c>
      <c r="D582" s="250" t="s">
        <v>3994</v>
      </c>
      <c r="E582" s="517">
        <v>0.1178131856974385</v>
      </c>
      <c r="F582" s="310">
        <v>1.5023217682087199E-2</v>
      </c>
      <c r="G582" s="311">
        <v>2.6012944284008115E-2</v>
      </c>
      <c r="H582" s="311">
        <v>1.47923436975399</v>
      </c>
      <c r="I582" s="311">
        <v>0.30739331983606771</v>
      </c>
      <c r="J582" s="311">
        <v>1.3670596200784301E-2</v>
      </c>
      <c r="K582" s="311">
        <v>1.0591740092788847E-4</v>
      </c>
      <c r="L582" s="518">
        <v>1.42887198986116E-2</v>
      </c>
      <c r="M582" s="519">
        <v>1.1070651579634221E-4</v>
      </c>
    </row>
    <row r="583" spans="2:13" ht="15.75" x14ac:dyDescent="0.25">
      <c r="B583" s="212">
        <v>2039</v>
      </c>
      <c r="C583" s="309">
        <v>2037</v>
      </c>
      <c r="D583" s="250" t="s">
        <v>3995</v>
      </c>
      <c r="E583" s="517">
        <v>0.11781318569743876</v>
      </c>
      <c r="F583" s="310">
        <v>1.44185557365588E-2</v>
      </c>
      <c r="G583" s="311">
        <v>2.6012944284008171E-2</v>
      </c>
      <c r="H583" s="311">
        <v>1.38134867081718</v>
      </c>
      <c r="I583" s="311">
        <v>0.30739331983606838</v>
      </c>
      <c r="J583" s="311">
        <v>1.21952788811185E-2</v>
      </c>
      <c r="K583" s="311">
        <v>1.0591740092788873E-4</v>
      </c>
      <c r="L583" s="518">
        <v>1.27466952763741E-2</v>
      </c>
      <c r="M583" s="519">
        <v>1.1070651579634247E-4</v>
      </c>
    </row>
    <row r="584" spans="2:13" ht="15.75" x14ac:dyDescent="0.25">
      <c r="B584" s="212">
        <v>2039</v>
      </c>
      <c r="C584" s="309">
        <v>2038</v>
      </c>
      <c r="D584" s="250" t="s">
        <v>3996</v>
      </c>
      <c r="E584" s="517">
        <v>0.11781318569743844</v>
      </c>
      <c r="F584" s="310">
        <v>1.38138937910304E-2</v>
      </c>
      <c r="G584" s="311">
        <v>2.6012944284008077E-2</v>
      </c>
      <c r="H584" s="311">
        <v>1.2834629718803601</v>
      </c>
      <c r="I584" s="311">
        <v>0.30739331983606732</v>
      </c>
      <c r="J584" s="311">
        <v>1.07199615614527E-2</v>
      </c>
      <c r="K584" s="311">
        <v>1.0591740092788832E-4</v>
      </c>
      <c r="L584" s="518">
        <v>1.12046706541367E-2</v>
      </c>
      <c r="M584" s="519">
        <v>1.1070651579634206E-4</v>
      </c>
    </row>
    <row r="585" spans="2:13" ht="15.75" x14ac:dyDescent="0.25">
      <c r="B585" s="212">
        <v>2039</v>
      </c>
      <c r="C585" s="309">
        <v>2039</v>
      </c>
      <c r="D585" s="250" t="s">
        <v>3997</v>
      </c>
      <c r="E585" s="517">
        <v>0.11781318569743882</v>
      </c>
      <c r="F585" s="310">
        <v>1.3209231845502E-2</v>
      </c>
      <c r="G585" s="311">
        <v>2.6012944284007997E-2</v>
      </c>
      <c r="H585" s="311">
        <v>1.1855772729435501</v>
      </c>
      <c r="I585" s="311">
        <v>0.3073933198360671</v>
      </c>
      <c r="J585" s="311">
        <v>9.2446442417868802E-3</v>
      </c>
      <c r="K585" s="311">
        <v>1.0591740092788827E-4</v>
      </c>
      <c r="L585" s="518">
        <v>9.6626460318992198E-3</v>
      </c>
      <c r="M585" s="519">
        <v>1.1070651579634198E-4</v>
      </c>
    </row>
    <row r="586" spans="2:13" ht="15.75" x14ac:dyDescent="0.25">
      <c r="B586" s="212">
        <v>2039</v>
      </c>
      <c r="C586" s="309">
        <v>2040</v>
      </c>
      <c r="D586" s="250" t="s">
        <v>4513</v>
      </c>
      <c r="E586" s="517">
        <v>0.12522334125270521</v>
      </c>
      <c r="F586" s="310">
        <v>1.26045698999735E-2</v>
      </c>
      <c r="G586" s="311">
        <v>6.2431066281619367E-2</v>
      </c>
      <c r="H586" s="311">
        <v>1.0876915740067301</v>
      </c>
      <c r="I586" s="311">
        <v>0.73774396760656291</v>
      </c>
      <c r="J586" s="311">
        <v>7.7693269221210497E-3</v>
      </c>
      <c r="K586" s="311">
        <v>2.5420176222693192E-4</v>
      </c>
      <c r="L586" s="518">
        <v>8.1206214096617504E-3</v>
      </c>
      <c r="M586" s="519">
        <v>2.656956379112209E-4</v>
      </c>
    </row>
    <row r="587" spans="2:13" ht="15.75" x14ac:dyDescent="0.25">
      <c r="B587" s="212">
        <v>2040</v>
      </c>
      <c r="C587" s="309">
        <v>2012</v>
      </c>
      <c r="D587" s="250" t="s">
        <v>4014</v>
      </c>
      <c r="E587" s="517">
        <v>0.18035348911858379</v>
      </c>
      <c r="F587" s="310">
        <v>2.6217170142752998E-2</v>
      </c>
      <c r="G587" s="311">
        <v>5.4386638131026344E-2</v>
      </c>
      <c r="H587" s="311">
        <v>4.5264621196646901</v>
      </c>
      <c r="I587" s="311">
        <v>0.64268346817229671</v>
      </c>
      <c r="J587" s="311">
        <v>4.0268559980079E-2</v>
      </c>
      <c r="K587" s="311">
        <v>2.2144711083647926E-4</v>
      </c>
      <c r="L587" s="518">
        <v>4.2089325573289697E-2</v>
      </c>
      <c r="M587" s="519">
        <v>2.3145996653150475E-4</v>
      </c>
    </row>
    <row r="588" spans="2:13" ht="15.75" x14ac:dyDescent="0.25">
      <c r="B588" s="212">
        <v>2040</v>
      </c>
      <c r="C588" s="309">
        <v>2013</v>
      </c>
      <c r="D588" s="250" t="s">
        <v>4015</v>
      </c>
      <c r="E588" s="517">
        <v>0.17913410625753468</v>
      </c>
      <c r="F588" s="310">
        <v>2.5706574428736001E-2</v>
      </c>
      <c r="G588" s="311">
        <v>5.4386653924137864E-2</v>
      </c>
      <c r="H588" s="311">
        <v>4.2933610170545702</v>
      </c>
      <c r="I588" s="311">
        <v>0.64268365479849821</v>
      </c>
      <c r="J588" s="311">
        <v>3.9108243891846799E-2</v>
      </c>
      <c r="K588" s="311">
        <v>2.2144717514159239E-4</v>
      </c>
      <c r="L588" s="518">
        <v>4.0876545140374101E-2</v>
      </c>
      <c r="M588" s="519">
        <v>2.3146003374420975E-4</v>
      </c>
    </row>
    <row r="589" spans="2:13" ht="15.75" x14ac:dyDescent="0.25">
      <c r="B589" s="212">
        <v>2040</v>
      </c>
      <c r="C589" s="309">
        <v>2014</v>
      </c>
      <c r="D589" s="250" t="s">
        <v>4016</v>
      </c>
      <c r="E589" s="517">
        <v>0.16141257812774842</v>
      </c>
      <c r="F589" s="310">
        <v>2.2052099303037798E-2</v>
      </c>
      <c r="G589" s="311">
        <v>5.4386650148446694E-2</v>
      </c>
      <c r="H589" s="311">
        <v>2.7968120976127402</v>
      </c>
      <c r="I589" s="311">
        <v>0.64268361018139541</v>
      </c>
      <c r="J589" s="311">
        <v>3.0699636483688099E-2</v>
      </c>
      <c r="K589" s="311">
        <v>2.2144715976803872E-4</v>
      </c>
      <c r="L589" s="518">
        <v>3.2087737817861103E-2</v>
      </c>
      <c r="M589" s="519">
        <v>2.3146001767553216E-4</v>
      </c>
    </row>
    <row r="590" spans="2:13" ht="15.75" x14ac:dyDescent="0.25">
      <c r="B590" s="212">
        <v>2040</v>
      </c>
      <c r="C590" s="309">
        <v>2015</v>
      </c>
      <c r="D590" s="250" t="s">
        <v>4017</v>
      </c>
      <c r="E590" s="517">
        <v>0.15939014619915684</v>
      </c>
      <c r="F590" s="310">
        <v>2.1149886277077298E-2</v>
      </c>
      <c r="G590" s="311">
        <v>5.4386651132870181E-2</v>
      </c>
      <c r="H590" s="311">
        <v>2.4704134914601301</v>
      </c>
      <c r="I590" s="311">
        <v>0.64268362181426419</v>
      </c>
      <c r="J590" s="311">
        <v>2.86250022867931E-2</v>
      </c>
      <c r="K590" s="311">
        <v>2.2144716377633459E-4</v>
      </c>
      <c r="L590" s="518">
        <v>2.9919297868635501E-2</v>
      </c>
      <c r="M590" s="519">
        <v>2.3146002186506538E-4</v>
      </c>
    </row>
    <row r="591" spans="2:13" ht="15.75" x14ac:dyDescent="0.25">
      <c r="B591" s="212">
        <v>2040</v>
      </c>
      <c r="C591" s="309">
        <v>2016</v>
      </c>
      <c r="D591" s="250" t="s">
        <v>4018</v>
      </c>
      <c r="E591" s="517">
        <v>0.15939212069055644</v>
      </c>
      <c r="F591" s="310">
        <v>2.11510301342034E-2</v>
      </c>
      <c r="G591" s="311">
        <v>5.4386646302828356E-2</v>
      </c>
      <c r="H591" s="311">
        <v>2.4703953849128699</v>
      </c>
      <c r="I591" s="311">
        <v>0.64268356473796662</v>
      </c>
      <c r="J591" s="311">
        <v>2.8629069461475701E-2</v>
      </c>
      <c r="K591" s="311">
        <v>2.214471441097618E-4</v>
      </c>
      <c r="L591" s="518">
        <v>2.9923548942909401E-2</v>
      </c>
      <c r="M591" s="519">
        <v>2.3146000130925745E-4</v>
      </c>
    </row>
    <row r="592" spans="2:13" ht="15.75" x14ac:dyDescent="0.25">
      <c r="B592" s="212">
        <v>2040</v>
      </c>
      <c r="C592" s="309">
        <v>2017</v>
      </c>
      <c r="D592" s="250" t="s">
        <v>4019</v>
      </c>
      <c r="E592" s="517">
        <v>0.15336257134259687</v>
      </c>
      <c r="F592" s="310">
        <v>2.11477171379485E-2</v>
      </c>
      <c r="G592" s="311">
        <v>5.4386606100535639E-2</v>
      </c>
      <c r="H592" s="311">
        <v>2.4706963782847899</v>
      </c>
      <c r="I592" s="311">
        <v>0.64268308967001075</v>
      </c>
      <c r="J592" s="311">
        <v>2.8613816191533002E-2</v>
      </c>
      <c r="K592" s="311">
        <v>2.214469804173199E-4</v>
      </c>
      <c r="L592" s="518">
        <v>2.9907605987785201E-2</v>
      </c>
      <c r="M592" s="519">
        <v>2.314598302153697E-4</v>
      </c>
    </row>
    <row r="593" spans="2:13" ht="15.75" x14ac:dyDescent="0.25">
      <c r="B593" s="212">
        <v>2040</v>
      </c>
      <c r="C593" s="309">
        <v>2018</v>
      </c>
      <c r="D593" s="250" t="s">
        <v>4020</v>
      </c>
      <c r="E593" s="517">
        <v>0.1533625713425969</v>
      </c>
      <c r="F593" s="310">
        <v>2.11477171379485E-2</v>
      </c>
      <c r="G593" s="311">
        <v>5.4386606100535542E-2</v>
      </c>
      <c r="H593" s="311">
        <v>2.4706963782847899</v>
      </c>
      <c r="I593" s="311">
        <v>0.64268308967001109</v>
      </c>
      <c r="J593" s="311">
        <v>2.8613816191533002E-2</v>
      </c>
      <c r="K593" s="311">
        <v>2.2144698041731952E-4</v>
      </c>
      <c r="L593" s="518">
        <v>2.9907605987785201E-2</v>
      </c>
      <c r="M593" s="519">
        <v>2.3145983021536932E-4</v>
      </c>
    </row>
    <row r="594" spans="2:13" ht="15.75" x14ac:dyDescent="0.25">
      <c r="B594" s="212">
        <v>2040</v>
      </c>
      <c r="C594" s="309">
        <v>2019</v>
      </c>
      <c r="D594" s="250" t="s">
        <v>4021</v>
      </c>
      <c r="E594" s="517">
        <v>0.15336257134259693</v>
      </c>
      <c r="F594" s="310">
        <v>2.11477171379485E-2</v>
      </c>
      <c r="G594" s="311">
        <v>5.4386606100535521E-2</v>
      </c>
      <c r="H594" s="311">
        <v>2.4706963782847899</v>
      </c>
      <c r="I594" s="311">
        <v>0.64268308967000942</v>
      </c>
      <c r="J594" s="311">
        <v>2.8613816191532901E-2</v>
      </c>
      <c r="K594" s="311">
        <v>2.2144698041731944E-4</v>
      </c>
      <c r="L594" s="518">
        <v>2.9907605987785201E-2</v>
      </c>
      <c r="M594" s="519">
        <v>2.3145983021536924E-4</v>
      </c>
    </row>
    <row r="595" spans="2:13" ht="15.75" x14ac:dyDescent="0.25">
      <c r="B595" s="212">
        <v>2040</v>
      </c>
      <c r="C595" s="309">
        <v>2020</v>
      </c>
      <c r="D595" s="250" t="s">
        <v>4022</v>
      </c>
      <c r="E595" s="517">
        <v>0.15336257134259706</v>
      </c>
      <c r="F595" s="310">
        <v>2.11477171379485E-2</v>
      </c>
      <c r="G595" s="311">
        <v>5.4386606100535549E-2</v>
      </c>
      <c r="H595" s="311">
        <v>2.4706963782847899</v>
      </c>
      <c r="I595" s="311">
        <v>0.64268308967001109</v>
      </c>
      <c r="J595" s="311">
        <v>2.8613816191533002E-2</v>
      </c>
      <c r="K595" s="311">
        <v>2.2144698041731955E-4</v>
      </c>
      <c r="L595" s="518">
        <v>2.9907605987785298E-2</v>
      </c>
      <c r="M595" s="519">
        <v>2.3145983021536935E-4</v>
      </c>
    </row>
    <row r="596" spans="2:13" ht="15.75" x14ac:dyDescent="0.25">
      <c r="B596" s="212">
        <v>2040</v>
      </c>
      <c r="C596" s="309">
        <v>2021</v>
      </c>
      <c r="D596" s="250" t="s">
        <v>4023</v>
      </c>
      <c r="E596" s="517">
        <v>0.1387001441936839</v>
      </c>
      <c r="F596" s="310">
        <v>2.11477171379485E-2</v>
      </c>
      <c r="G596" s="311">
        <v>5.4386606100535605E-2</v>
      </c>
      <c r="H596" s="311">
        <v>2.4706963782847899</v>
      </c>
      <c r="I596" s="311">
        <v>0.64268308967001053</v>
      </c>
      <c r="J596" s="311">
        <v>2.8613816191533002E-2</v>
      </c>
      <c r="K596" s="311">
        <v>2.2144698041731979E-4</v>
      </c>
      <c r="L596" s="518">
        <v>2.9907605987785201E-2</v>
      </c>
      <c r="M596" s="519">
        <v>2.3145983021536962E-4</v>
      </c>
    </row>
    <row r="597" spans="2:13" ht="15.75" x14ac:dyDescent="0.25">
      <c r="B597" s="212">
        <v>2040</v>
      </c>
      <c r="C597" s="309">
        <v>2022</v>
      </c>
      <c r="D597" s="250" t="s">
        <v>4024</v>
      </c>
      <c r="E597" s="517">
        <v>0.13870014419368423</v>
      </c>
      <c r="F597" s="310">
        <v>2.11477171379485E-2</v>
      </c>
      <c r="G597" s="311">
        <v>5.4386606100535632E-2</v>
      </c>
      <c r="H597" s="311">
        <v>2.4706963782847899</v>
      </c>
      <c r="I597" s="311">
        <v>0.64268308967001075</v>
      </c>
      <c r="J597" s="311">
        <v>2.8613816191533002E-2</v>
      </c>
      <c r="K597" s="311">
        <v>2.214469804173199E-4</v>
      </c>
      <c r="L597" s="518">
        <v>2.9907605987785201E-2</v>
      </c>
      <c r="M597" s="519">
        <v>2.314598302153697E-4</v>
      </c>
    </row>
    <row r="598" spans="2:13" ht="15.75" x14ac:dyDescent="0.25">
      <c r="B598" s="212">
        <v>2040</v>
      </c>
      <c r="C598" s="309">
        <v>2023</v>
      </c>
      <c r="D598" s="250" t="s">
        <v>4025</v>
      </c>
      <c r="E598" s="517">
        <v>0.13870014419368445</v>
      </c>
      <c r="F598" s="310">
        <v>2.11477171379485E-2</v>
      </c>
      <c r="G598" s="311">
        <v>5.4386606100535806E-2</v>
      </c>
      <c r="H598" s="311">
        <v>2.4706963782847899</v>
      </c>
      <c r="I598" s="311">
        <v>0.64268308967001408</v>
      </c>
      <c r="J598" s="311">
        <v>2.8613816191533002E-2</v>
      </c>
      <c r="K598" s="311">
        <v>2.2144698041732061E-4</v>
      </c>
      <c r="L598" s="518">
        <v>2.9907605987785201E-2</v>
      </c>
      <c r="M598" s="519">
        <v>2.3145983021537043E-4</v>
      </c>
    </row>
    <row r="599" spans="2:13" ht="15.75" x14ac:dyDescent="0.25">
      <c r="B599" s="212">
        <v>2040</v>
      </c>
      <c r="C599" s="309">
        <v>2024</v>
      </c>
      <c r="D599" s="250" t="s">
        <v>4026</v>
      </c>
      <c r="E599" s="517">
        <v>0.1282038089873076</v>
      </c>
      <c r="F599" s="310">
        <v>2.1145907523962702E-2</v>
      </c>
      <c r="G599" s="311">
        <v>5.4386606100535521E-2</v>
      </c>
      <c r="H599" s="311">
        <v>2.47040342919481</v>
      </c>
      <c r="I599" s="311">
        <v>0.64268308967001098</v>
      </c>
      <c r="J599" s="311">
        <v>2.86094009011469E-2</v>
      </c>
      <c r="K599" s="311">
        <v>2.2144698041731998E-4</v>
      </c>
      <c r="L599" s="518">
        <v>2.9902991057560498E-2</v>
      </c>
      <c r="M599" s="519">
        <v>2.3145983021536981E-4</v>
      </c>
    </row>
    <row r="600" spans="2:13" ht="15.75" x14ac:dyDescent="0.25">
      <c r="B600" s="212">
        <v>2040</v>
      </c>
      <c r="C600" s="309">
        <v>2025</v>
      </c>
      <c r="D600" s="250" t="s">
        <v>4027</v>
      </c>
      <c r="E600" s="517">
        <v>0.12820380898730777</v>
      </c>
      <c r="F600" s="310">
        <v>2.0885620298706501E-2</v>
      </c>
      <c r="G600" s="311">
        <v>5.4386606100535577E-2</v>
      </c>
      <c r="H600" s="311">
        <v>2.4282668705850998</v>
      </c>
      <c r="I600" s="311">
        <v>0.64268308967001009</v>
      </c>
      <c r="J600" s="311">
        <v>2.79743241984233E-2</v>
      </c>
      <c r="K600" s="311">
        <v>2.2144698041731966E-4</v>
      </c>
      <c r="L600" s="518">
        <v>2.9239199004450801E-2</v>
      </c>
      <c r="M600" s="519">
        <v>2.3145983021536945E-4</v>
      </c>
    </row>
    <row r="601" spans="2:13" ht="15.75" x14ac:dyDescent="0.25">
      <c r="B601" s="212">
        <v>2040</v>
      </c>
      <c r="C601" s="309">
        <v>2026</v>
      </c>
      <c r="D601" s="250" t="s">
        <v>4028</v>
      </c>
      <c r="E601" s="517">
        <v>0.12705583609267565</v>
      </c>
      <c r="F601" s="310">
        <v>2.0596412270644002E-2</v>
      </c>
      <c r="G601" s="311">
        <v>4.8947945490481697E-2</v>
      </c>
      <c r="H601" s="311">
        <v>2.3814484721298701</v>
      </c>
      <c r="I601" s="311">
        <v>0.57841478070300534</v>
      </c>
      <c r="J601" s="311">
        <v>2.7268683417619202E-2</v>
      </c>
      <c r="K601" s="311">
        <v>1.993022823755864E-4</v>
      </c>
      <c r="L601" s="518">
        <v>2.8501652278773298E-2</v>
      </c>
      <c r="M601" s="519">
        <v>2.0831384719383116E-4</v>
      </c>
    </row>
    <row r="602" spans="2:13" ht="15.75" x14ac:dyDescent="0.25">
      <c r="B602" s="212">
        <v>2040</v>
      </c>
      <c r="C602" s="309">
        <v>2027</v>
      </c>
      <c r="D602" s="250" t="s">
        <v>4029</v>
      </c>
      <c r="E602" s="517">
        <v>0.12148390590095066</v>
      </c>
      <c r="F602" s="310">
        <v>2.0275070017241201E-2</v>
      </c>
      <c r="G602" s="311">
        <v>4.4053150941433458E-2</v>
      </c>
      <c r="H602" s="311">
        <v>2.3294280294018401</v>
      </c>
      <c r="I602" s="311">
        <v>0.52057330263270529</v>
      </c>
      <c r="J602" s="311">
        <v>2.6484638105614602E-2</v>
      </c>
      <c r="K602" s="311">
        <v>1.7937205413802793E-4</v>
      </c>
      <c r="L602" s="518">
        <v>2.76821559169095E-2</v>
      </c>
      <c r="M602" s="519">
        <v>1.8748246247444824E-4</v>
      </c>
    </row>
    <row r="603" spans="2:13" ht="15.75" x14ac:dyDescent="0.25">
      <c r="B603" s="212">
        <v>2040</v>
      </c>
      <c r="C603" s="309">
        <v>2028</v>
      </c>
      <c r="D603" s="250" t="s">
        <v>4030</v>
      </c>
      <c r="E603" s="517">
        <v>0.12058753705140693</v>
      </c>
      <c r="F603" s="310">
        <v>1.9918023069016001E-2</v>
      </c>
      <c r="G603" s="311">
        <v>3.9647835847290203E-2</v>
      </c>
      <c r="H603" s="311">
        <v>2.2716275374818098</v>
      </c>
      <c r="I603" s="311">
        <v>0.46851597236943576</v>
      </c>
      <c r="J603" s="311">
        <v>2.5613476647831802E-2</v>
      </c>
      <c r="K603" s="311">
        <v>1.6143484872422546E-4</v>
      </c>
      <c r="L603" s="518">
        <v>2.67716044037274E-2</v>
      </c>
      <c r="M603" s="519">
        <v>1.6873421622700375E-4</v>
      </c>
    </row>
    <row r="604" spans="2:13" ht="15.75" x14ac:dyDescent="0.25">
      <c r="B604" s="212">
        <v>2040</v>
      </c>
      <c r="C604" s="309">
        <v>2029</v>
      </c>
      <c r="D604" s="250" t="s">
        <v>4031</v>
      </c>
      <c r="E604" s="517">
        <v>0.11978080508681677</v>
      </c>
      <c r="F604" s="310">
        <v>1.95213042376545E-2</v>
      </c>
      <c r="G604" s="311">
        <v>3.5683052262561125E-2</v>
      </c>
      <c r="H604" s="311">
        <v>2.2074047686817702</v>
      </c>
      <c r="I604" s="311">
        <v>0.4216643751324905</v>
      </c>
      <c r="J604" s="311">
        <v>2.4645519472517498E-2</v>
      </c>
      <c r="K604" s="311">
        <v>1.4529136385180234E-4</v>
      </c>
      <c r="L604" s="518">
        <v>2.57598805001918E-2</v>
      </c>
      <c r="M604" s="519">
        <v>1.5186079460430277E-4</v>
      </c>
    </row>
    <row r="605" spans="2:13" ht="15.75" x14ac:dyDescent="0.25">
      <c r="B605" s="212">
        <v>2040</v>
      </c>
      <c r="C605" s="309">
        <v>2030</v>
      </c>
      <c r="D605" s="250" t="s">
        <v>4032</v>
      </c>
      <c r="E605" s="517">
        <v>0.11905474631868544</v>
      </c>
      <c r="F605" s="310">
        <v>1.9080505536141799E-2</v>
      </c>
      <c r="G605" s="311">
        <v>3.2114747036305152E-2</v>
      </c>
      <c r="H605" s="311">
        <v>2.1360461366817201</v>
      </c>
      <c r="I605" s="311">
        <v>0.37949793761924316</v>
      </c>
      <c r="J605" s="311">
        <v>2.35700114999461E-2</v>
      </c>
      <c r="K605" s="311">
        <v>1.3076222746662269E-4</v>
      </c>
      <c r="L605" s="518">
        <v>2.4635742829596699E-2</v>
      </c>
      <c r="M605" s="519">
        <v>1.3667471514387312E-4</v>
      </c>
    </row>
    <row r="606" spans="2:13" ht="15.75" x14ac:dyDescent="0.25">
      <c r="B606" s="212">
        <v>2040</v>
      </c>
      <c r="C606" s="309">
        <v>2031</v>
      </c>
      <c r="D606" s="250" t="s">
        <v>4033</v>
      </c>
      <c r="E606" s="517">
        <v>0.11840129342736855</v>
      </c>
      <c r="F606" s="310">
        <v>1.8590729201127702E-2</v>
      </c>
      <c r="G606" s="311">
        <v>2.8903272332674642E-2</v>
      </c>
      <c r="H606" s="311">
        <v>2.0567587677927799</v>
      </c>
      <c r="I606" s="311">
        <v>0.34154814385731957</v>
      </c>
      <c r="J606" s="311">
        <v>2.2375002641533401E-2</v>
      </c>
      <c r="K606" s="311">
        <v>1.1768600471996044E-4</v>
      </c>
      <c r="L606" s="518">
        <v>2.3386700973379901E-2</v>
      </c>
      <c r="M606" s="519">
        <v>1.2300724362948582E-4</v>
      </c>
    </row>
    <row r="607" spans="2:13" ht="15.75" x14ac:dyDescent="0.25">
      <c r="B607" s="212">
        <v>2040</v>
      </c>
      <c r="C607" s="309">
        <v>2032</v>
      </c>
      <c r="D607" s="250" t="s">
        <v>4034</v>
      </c>
      <c r="E607" s="517">
        <v>0.11781318582518188</v>
      </c>
      <c r="F607" s="310">
        <v>1.8046533273334199E-2</v>
      </c>
      <c r="G607" s="311">
        <v>2.6012945099407204E-2</v>
      </c>
      <c r="H607" s="311">
        <v>1.9686616912495201</v>
      </c>
      <c r="I607" s="311">
        <v>0.30739332947158798</v>
      </c>
      <c r="J607" s="311">
        <v>2.10472150210749E-2</v>
      </c>
      <c r="K607" s="311">
        <v>1.0591740424796476E-4</v>
      </c>
      <c r="L607" s="518">
        <v>2.1998876688694501E-2</v>
      </c>
      <c r="M607" s="519">
        <v>1.107065192665376E-4</v>
      </c>
    </row>
    <row r="608" spans="2:13" ht="15.75" x14ac:dyDescent="0.25">
      <c r="B608" s="212">
        <v>2040</v>
      </c>
      <c r="C608" s="309">
        <v>2033</v>
      </c>
      <c r="D608" s="250" t="s">
        <v>4035</v>
      </c>
      <c r="E608" s="517">
        <v>0.11781318582518134</v>
      </c>
      <c r="F608" s="310">
        <v>1.7441871131341501E-2</v>
      </c>
      <c r="G608" s="311">
        <v>2.6012945099407089E-2</v>
      </c>
      <c r="H608" s="311">
        <v>1.8707760506458899</v>
      </c>
      <c r="I608" s="311">
        <v>0.30739332947158654</v>
      </c>
      <c r="J608" s="311">
        <v>1.9571895442787701E-2</v>
      </c>
      <c r="K608" s="311">
        <v>1.0591740424796402E-4</v>
      </c>
      <c r="L608" s="518">
        <v>2.0456849705710801E-2</v>
      </c>
      <c r="M608" s="519">
        <v>1.1070651926653684E-4</v>
      </c>
    </row>
    <row r="609" spans="2:13" ht="15.75" x14ac:dyDescent="0.25">
      <c r="B609" s="212">
        <v>2040</v>
      </c>
      <c r="C609" s="309">
        <v>2034</v>
      </c>
      <c r="D609" s="250" t="s">
        <v>4036</v>
      </c>
      <c r="E609" s="517">
        <v>0.11781318582518208</v>
      </c>
      <c r="F609" s="310">
        <v>1.68372089893487E-2</v>
      </c>
      <c r="G609" s="311">
        <v>2.6012945099407287E-2</v>
      </c>
      <c r="H609" s="311">
        <v>1.77289041004227</v>
      </c>
      <c r="I609" s="311">
        <v>0.30739332947158898</v>
      </c>
      <c r="J609" s="311">
        <v>1.8096575864500399E-2</v>
      </c>
      <c r="K609" s="311">
        <v>1.0591740424796511E-4</v>
      </c>
      <c r="L609" s="518">
        <v>1.8914822722727001E-2</v>
      </c>
      <c r="M609" s="519">
        <v>1.1070651926653796E-4</v>
      </c>
    </row>
    <row r="610" spans="2:13" ht="15.75" x14ac:dyDescent="0.25">
      <c r="B610" s="212">
        <v>2040</v>
      </c>
      <c r="C610" s="309">
        <v>2035</v>
      </c>
      <c r="D610" s="250" t="s">
        <v>4037</v>
      </c>
      <c r="E610" s="517">
        <v>0.11781318582518188</v>
      </c>
      <c r="F610" s="310">
        <v>1.6232546847355998E-2</v>
      </c>
      <c r="G610" s="311">
        <v>2.6012945099407239E-2</v>
      </c>
      <c r="H610" s="311">
        <v>1.6750047694386401</v>
      </c>
      <c r="I610" s="311">
        <v>0.30739332947158832</v>
      </c>
      <c r="J610" s="311">
        <v>1.66212562862132E-2</v>
      </c>
      <c r="K610" s="311">
        <v>1.0591740424796463E-4</v>
      </c>
      <c r="L610" s="518">
        <v>1.7372795739743301E-2</v>
      </c>
      <c r="M610" s="519">
        <v>1.1070651926653748E-4</v>
      </c>
    </row>
    <row r="611" spans="2:13" ht="15.75" x14ac:dyDescent="0.25">
      <c r="B611" s="212">
        <v>2040</v>
      </c>
      <c r="C611" s="309">
        <v>2036</v>
      </c>
      <c r="D611" s="250" t="s">
        <v>4038</v>
      </c>
      <c r="E611" s="517">
        <v>0.11781318582518194</v>
      </c>
      <c r="F611" s="310">
        <v>1.56278847053632E-2</v>
      </c>
      <c r="G611" s="311">
        <v>2.60129450994072E-2</v>
      </c>
      <c r="H611" s="311">
        <v>1.5771191288350099</v>
      </c>
      <c r="I611" s="311">
        <v>0.30739332947158726</v>
      </c>
      <c r="J611" s="311">
        <v>1.5145936707925901E-2</v>
      </c>
      <c r="K611" s="311">
        <v>1.0591740424796448E-4</v>
      </c>
      <c r="L611" s="518">
        <v>1.5830768756759601E-2</v>
      </c>
      <c r="M611" s="519">
        <v>1.1070651926653733E-4</v>
      </c>
    </row>
    <row r="612" spans="2:13" ht="15.75" x14ac:dyDescent="0.25">
      <c r="B612" s="212">
        <v>2040</v>
      </c>
      <c r="C612" s="309">
        <v>2037</v>
      </c>
      <c r="D612" s="250" t="s">
        <v>4039</v>
      </c>
      <c r="E612" s="517">
        <v>0.11781318582518206</v>
      </c>
      <c r="F612" s="310">
        <v>1.5023222563370501E-2</v>
      </c>
      <c r="G612" s="311">
        <v>2.6012945099407308E-2</v>
      </c>
      <c r="H612" s="311">
        <v>1.47923348823139</v>
      </c>
      <c r="I612" s="311">
        <v>0.30739332947158848</v>
      </c>
      <c r="J612" s="311">
        <v>1.36706171296387E-2</v>
      </c>
      <c r="K612" s="311">
        <v>1.0591740424796491E-4</v>
      </c>
      <c r="L612" s="518">
        <v>1.42887417737759E-2</v>
      </c>
      <c r="M612" s="519">
        <v>1.1070651926653776E-4</v>
      </c>
    </row>
    <row r="613" spans="2:13" ht="15.75" x14ac:dyDescent="0.25">
      <c r="B613" s="212">
        <v>2040</v>
      </c>
      <c r="C613" s="309">
        <v>2038</v>
      </c>
      <c r="D613" s="250" t="s">
        <v>4040</v>
      </c>
      <c r="E613" s="517">
        <v>0.1178131858251819</v>
      </c>
      <c r="F613" s="310">
        <v>1.44185604213777E-2</v>
      </c>
      <c r="G613" s="311">
        <v>2.60129450994072E-2</v>
      </c>
      <c r="H613" s="311">
        <v>1.3813478476277601</v>
      </c>
      <c r="I613" s="311">
        <v>0.30739332947158798</v>
      </c>
      <c r="J613" s="311">
        <v>1.2195297551351399E-2</v>
      </c>
      <c r="K613" s="311">
        <v>1.0591740424796473E-4</v>
      </c>
      <c r="L613" s="518">
        <v>1.2746714790792099E-2</v>
      </c>
      <c r="M613" s="519">
        <v>1.1070651926653759E-4</v>
      </c>
    </row>
    <row r="614" spans="2:13" ht="15.75" x14ac:dyDescent="0.25">
      <c r="B614" s="212">
        <v>2040</v>
      </c>
      <c r="C614" s="309">
        <v>2039</v>
      </c>
      <c r="D614" s="250" t="s">
        <v>4041</v>
      </c>
      <c r="E614" s="517">
        <v>0.11781318582518194</v>
      </c>
      <c r="F614" s="310">
        <v>1.3813898279384999E-2</v>
      </c>
      <c r="G614" s="311">
        <v>2.60129450994072E-2</v>
      </c>
      <c r="H614" s="311">
        <v>1.2834622070241399</v>
      </c>
      <c r="I614" s="311">
        <v>0.30739332947158721</v>
      </c>
      <c r="J614" s="311">
        <v>1.0719977973064201E-2</v>
      </c>
      <c r="K614" s="311">
        <v>1.0591740424796447E-4</v>
      </c>
      <c r="L614" s="518">
        <v>1.12046878078084E-2</v>
      </c>
      <c r="M614" s="519">
        <v>1.1070651926653731E-4</v>
      </c>
    </row>
    <row r="615" spans="2:13" ht="15.75" x14ac:dyDescent="0.25">
      <c r="B615" s="212">
        <v>2040</v>
      </c>
      <c r="C615" s="309">
        <v>2040</v>
      </c>
      <c r="D615" s="250" t="s">
        <v>4042</v>
      </c>
      <c r="E615" s="517">
        <v>0.11781318582518187</v>
      </c>
      <c r="F615" s="310">
        <v>1.3209236137392199E-2</v>
      </c>
      <c r="G615" s="311">
        <v>2.6012945099407221E-2</v>
      </c>
      <c r="H615" s="311">
        <v>1.18557656642051</v>
      </c>
      <c r="I615" s="311">
        <v>0.30739332947158743</v>
      </c>
      <c r="J615" s="311">
        <v>9.24465839477699E-3</v>
      </c>
      <c r="K615" s="311">
        <v>1.0591740424796457E-4</v>
      </c>
      <c r="L615" s="518">
        <v>9.6626608248247398E-3</v>
      </c>
      <c r="M615" s="519">
        <v>1.1070651926653741E-4</v>
      </c>
    </row>
    <row r="616" spans="2:13" ht="15.75" x14ac:dyDescent="0.25">
      <c r="B616" s="212">
        <v>2040</v>
      </c>
      <c r="C616" s="309">
        <v>2041</v>
      </c>
      <c r="D616" s="250" t="s">
        <v>4514</v>
      </c>
      <c r="E616" s="517">
        <v>0.12522334161272658</v>
      </c>
      <c r="F616" s="310">
        <v>1.26045739953995E-2</v>
      </c>
      <c r="G616" s="311">
        <v>6.2431068238577317E-2</v>
      </c>
      <c r="H616" s="311">
        <v>1.0876909258168801</v>
      </c>
      <c r="I616" s="311">
        <v>0.73774399073180985</v>
      </c>
      <c r="J616" s="311">
        <v>7.7693388164897402E-3</v>
      </c>
      <c r="K616" s="311">
        <v>2.5420177019511489E-4</v>
      </c>
      <c r="L616" s="518">
        <v>8.1206338418410191E-3</v>
      </c>
      <c r="M616" s="519">
        <v>2.6569564623968973E-4</v>
      </c>
    </row>
    <row r="617" spans="2:13" ht="15.75" x14ac:dyDescent="0.25">
      <c r="B617" s="212">
        <v>2041</v>
      </c>
      <c r="C617" s="309">
        <v>2012</v>
      </c>
      <c r="D617" s="250" t="s">
        <v>4058</v>
      </c>
      <c r="E617" s="517">
        <v>0.18035348903838344</v>
      </c>
      <c r="F617" s="310">
        <v>2.6217177829813702E-2</v>
      </c>
      <c r="G617" s="311">
        <v>5.4386629082469433E-2</v>
      </c>
      <c r="H617" s="311">
        <v>4.5264634204207397</v>
      </c>
      <c r="I617" s="311">
        <v>0.64268336124607273</v>
      </c>
      <c r="J617" s="311">
        <v>4.02686246143883E-2</v>
      </c>
      <c r="K617" s="311">
        <v>2.2144707399329819E-4</v>
      </c>
      <c r="L617" s="518">
        <v>4.2089393130075599E-2</v>
      </c>
      <c r="M617" s="519">
        <v>2.3145992802243854E-4</v>
      </c>
    </row>
    <row r="618" spans="2:13" ht="15.75" x14ac:dyDescent="0.25">
      <c r="B618" s="212">
        <v>2041</v>
      </c>
      <c r="C618" s="309">
        <v>2013</v>
      </c>
      <c r="D618" s="250" t="s">
        <v>4059</v>
      </c>
      <c r="E618" s="517">
        <v>0.17913410502323579</v>
      </c>
      <c r="F618" s="310">
        <v>2.5706582322618E-2</v>
      </c>
      <c r="G618" s="311">
        <v>5.4386639931242417E-2</v>
      </c>
      <c r="H618" s="311">
        <v>4.2933620191063504</v>
      </c>
      <c r="I618" s="311">
        <v>0.64268348944533638</v>
      </c>
      <c r="J618" s="311">
        <v>3.9108307424740002E-2</v>
      </c>
      <c r="K618" s="311">
        <v>2.2144711816645337E-4</v>
      </c>
      <c r="L618" s="518">
        <v>4.0876611545942798E-2</v>
      </c>
      <c r="M618" s="519">
        <v>2.3145997419290776E-4</v>
      </c>
    </row>
    <row r="619" spans="2:13" ht="15.75" x14ac:dyDescent="0.25">
      <c r="B619" s="212">
        <v>2041</v>
      </c>
      <c r="C619" s="309">
        <v>2014</v>
      </c>
      <c r="D619" s="250" t="s">
        <v>4060</v>
      </c>
      <c r="E619" s="517">
        <v>0.16141257704433368</v>
      </c>
      <c r="F619" s="310">
        <v>2.2052107196993801E-2</v>
      </c>
      <c r="G619" s="311">
        <v>5.4386637337131283E-2</v>
      </c>
      <c r="H619" s="311">
        <v>2.79681109029988</v>
      </c>
      <c r="I619" s="311">
        <v>0.64268345879088895</v>
      </c>
      <c r="J619" s="311">
        <v>3.0699686151664501E-2</v>
      </c>
      <c r="K619" s="311">
        <v>2.2144710760396163E-4</v>
      </c>
      <c r="L619" s="518">
        <v>3.2087789731603103E-2</v>
      </c>
      <c r="M619" s="519">
        <v>2.3145996315282699E-4</v>
      </c>
    </row>
    <row r="620" spans="2:13" ht="15.75" x14ac:dyDescent="0.25">
      <c r="B620" s="212">
        <v>2041</v>
      </c>
      <c r="C620" s="309">
        <v>2015</v>
      </c>
      <c r="D620" s="250" t="s">
        <v>4061</v>
      </c>
      <c r="E620" s="517">
        <v>0.15939014501447105</v>
      </c>
      <c r="F620" s="310">
        <v>2.11498941356347E-2</v>
      </c>
      <c r="G620" s="311">
        <v>5.4386638026933394E-2</v>
      </c>
      <c r="H620" s="311">
        <v>2.4704120745006102</v>
      </c>
      <c r="I620" s="311">
        <v>0.64268346694223832</v>
      </c>
      <c r="J620" s="311">
        <v>2.8625048624195602E-2</v>
      </c>
      <c r="K620" s="311">
        <v>2.2144711041264202E-4</v>
      </c>
      <c r="L620" s="518">
        <v>2.9919346301209699E-2</v>
      </c>
      <c r="M620" s="519">
        <v>2.3145996608850346E-4</v>
      </c>
    </row>
    <row r="621" spans="2:13" ht="15.75" x14ac:dyDescent="0.25">
      <c r="B621" s="212">
        <v>2041</v>
      </c>
      <c r="C621" s="309">
        <v>2016</v>
      </c>
      <c r="D621" s="250" t="s">
        <v>4062</v>
      </c>
      <c r="E621" s="517">
        <v>0.15939211975752496</v>
      </c>
      <c r="F621" s="310">
        <v>2.1151037903592199E-2</v>
      </c>
      <c r="G621" s="311">
        <v>5.438663472887275E-2</v>
      </c>
      <c r="H621" s="311">
        <v>2.4703939700367399</v>
      </c>
      <c r="I621" s="311">
        <v>0.64268342796926259</v>
      </c>
      <c r="J621" s="311">
        <v>2.8629115451898699E-2</v>
      </c>
      <c r="K621" s="311">
        <v>2.2144709698386565E-4</v>
      </c>
      <c r="L621" s="518">
        <v>2.99235970128152E-2</v>
      </c>
      <c r="M621" s="519">
        <v>2.3145995205253741E-4</v>
      </c>
    </row>
    <row r="622" spans="2:13" ht="15.75" x14ac:dyDescent="0.25">
      <c r="B622" s="212">
        <v>2041</v>
      </c>
      <c r="C622" s="309">
        <v>2017</v>
      </c>
      <c r="D622" s="250" t="s">
        <v>4063</v>
      </c>
      <c r="E622" s="517">
        <v>0.15336257285822247</v>
      </c>
      <c r="F622" s="310">
        <v>2.11477243929231E-2</v>
      </c>
      <c r="G622" s="311">
        <v>5.4386607150705701E-2</v>
      </c>
      <c r="H622" s="311">
        <v>2.4706949796428299</v>
      </c>
      <c r="I622" s="311">
        <v>0.64268310207980417</v>
      </c>
      <c r="J622" s="311">
        <v>2.8613860221681501E-2</v>
      </c>
      <c r="K622" s="311">
        <v>2.2144698469331734E-4</v>
      </c>
      <c r="L622" s="518">
        <v>2.9907652008781802E-2</v>
      </c>
      <c r="M622" s="519">
        <v>2.3145983468470882E-4</v>
      </c>
    </row>
    <row r="623" spans="2:13" ht="15.75" x14ac:dyDescent="0.25">
      <c r="B623" s="212">
        <v>2041</v>
      </c>
      <c r="C623" s="309">
        <v>2018</v>
      </c>
      <c r="D623" s="250" t="s">
        <v>4064</v>
      </c>
      <c r="E623" s="517">
        <v>0.15336257285822222</v>
      </c>
      <c r="F623" s="310">
        <v>2.11477243929231E-2</v>
      </c>
      <c r="G623" s="311">
        <v>5.4386607150705632E-2</v>
      </c>
      <c r="H623" s="311">
        <v>2.4706949796428299</v>
      </c>
      <c r="I623" s="311">
        <v>0.64268310207980339</v>
      </c>
      <c r="J623" s="311">
        <v>2.8613860221681602E-2</v>
      </c>
      <c r="K623" s="311">
        <v>2.2144698469331707E-4</v>
      </c>
      <c r="L623" s="518">
        <v>2.9907652008781802E-2</v>
      </c>
      <c r="M623" s="519">
        <v>2.3145983468470852E-4</v>
      </c>
    </row>
    <row r="624" spans="2:13" ht="15.75" x14ac:dyDescent="0.25">
      <c r="B624" s="212">
        <v>2041</v>
      </c>
      <c r="C624" s="309">
        <v>2019</v>
      </c>
      <c r="D624" s="250" t="s">
        <v>4065</v>
      </c>
      <c r="E624" s="517">
        <v>0.1533625728582223</v>
      </c>
      <c r="F624" s="310">
        <v>2.11477243929231E-2</v>
      </c>
      <c r="G624" s="311">
        <v>5.4386607150705514E-2</v>
      </c>
      <c r="H624" s="311">
        <v>2.4706949796428299</v>
      </c>
      <c r="I624" s="311">
        <v>0.64268310207980361</v>
      </c>
      <c r="J624" s="311">
        <v>2.8613860221681501E-2</v>
      </c>
      <c r="K624" s="311">
        <v>2.2144698469331718E-4</v>
      </c>
      <c r="L624" s="518">
        <v>2.9907652008781802E-2</v>
      </c>
      <c r="M624" s="519">
        <v>2.3145983468470861E-4</v>
      </c>
    </row>
    <row r="625" spans="2:13" ht="15.75" x14ac:dyDescent="0.25">
      <c r="B625" s="212">
        <v>2041</v>
      </c>
      <c r="C625" s="309">
        <v>2020</v>
      </c>
      <c r="D625" s="250" t="s">
        <v>4066</v>
      </c>
      <c r="E625" s="517">
        <v>0.15336257285822233</v>
      </c>
      <c r="F625" s="310">
        <v>2.11477243929231E-2</v>
      </c>
      <c r="G625" s="311">
        <v>5.4386607150705521E-2</v>
      </c>
      <c r="H625" s="311">
        <v>2.4706949796428299</v>
      </c>
      <c r="I625" s="311">
        <v>0.64268310207980361</v>
      </c>
      <c r="J625" s="311">
        <v>2.8613860221681501E-2</v>
      </c>
      <c r="K625" s="311">
        <v>2.2144698469331715E-4</v>
      </c>
      <c r="L625" s="518">
        <v>2.9907652008781802E-2</v>
      </c>
      <c r="M625" s="519">
        <v>2.3145983468470858E-4</v>
      </c>
    </row>
    <row r="626" spans="2:13" ht="15.75" x14ac:dyDescent="0.25">
      <c r="B626" s="212">
        <v>2041</v>
      </c>
      <c r="C626" s="309">
        <v>2021</v>
      </c>
      <c r="D626" s="250" t="s">
        <v>4067</v>
      </c>
      <c r="E626" s="517">
        <v>0.13870014556440585</v>
      </c>
      <c r="F626" s="310">
        <v>2.11477243929231E-2</v>
      </c>
      <c r="G626" s="311">
        <v>5.438660715070557E-2</v>
      </c>
      <c r="H626" s="311">
        <v>2.4706949796428299</v>
      </c>
      <c r="I626" s="311">
        <v>0.64268310207980417</v>
      </c>
      <c r="J626" s="311">
        <v>2.8613860221681602E-2</v>
      </c>
      <c r="K626" s="311">
        <v>2.2144698469331737E-4</v>
      </c>
      <c r="L626" s="518">
        <v>2.9907652008781802E-2</v>
      </c>
      <c r="M626" s="519">
        <v>2.3145983468470882E-4</v>
      </c>
    </row>
    <row r="627" spans="2:13" ht="15.75" x14ac:dyDescent="0.25">
      <c r="B627" s="212">
        <v>2041</v>
      </c>
      <c r="C627" s="309">
        <v>2022</v>
      </c>
      <c r="D627" s="250" t="s">
        <v>4068</v>
      </c>
      <c r="E627" s="517">
        <v>0.13870014556440585</v>
      </c>
      <c r="F627" s="310">
        <v>2.1147724392923201E-2</v>
      </c>
      <c r="G627" s="311">
        <v>5.4386607150705611E-2</v>
      </c>
      <c r="H627" s="311">
        <v>2.4706949796428299</v>
      </c>
      <c r="I627" s="311">
        <v>0.6426831020798045</v>
      </c>
      <c r="J627" s="311">
        <v>2.8613860221681602E-2</v>
      </c>
      <c r="K627" s="311">
        <v>2.2144698469331702E-4</v>
      </c>
      <c r="L627" s="518">
        <v>2.9907652008781802E-2</v>
      </c>
      <c r="M627" s="519">
        <v>2.3145983468470844E-4</v>
      </c>
    </row>
    <row r="628" spans="2:13" ht="15.75" x14ac:dyDescent="0.25">
      <c r="B628" s="212">
        <v>2041</v>
      </c>
      <c r="C628" s="309">
        <v>2023</v>
      </c>
      <c r="D628" s="250" t="s">
        <v>4069</v>
      </c>
      <c r="E628" s="517">
        <v>0.13870014556440641</v>
      </c>
      <c r="F628" s="310">
        <v>2.11477243929231E-2</v>
      </c>
      <c r="G628" s="311">
        <v>5.4386607150705729E-2</v>
      </c>
      <c r="H628" s="311">
        <v>2.4706949796428299</v>
      </c>
      <c r="I628" s="311">
        <v>0.64268310207980583</v>
      </c>
      <c r="J628" s="311">
        <v>2.8613860221681602E-2</v>
      </c>
      <c r="K628" s="311">
        <v>2.2144698469331748E-4</v>
      </c>
      <c r="L628" s="518">
        <v>2.9907652008781802E-2</v>
      </c>
      <c r="M628" s="519">
        <v>2.3145983468470893E-4</v>
      </c>
    </row>
    <row r="629" spans="2:13" ht="15.75" x14ac:dyDescent="0.25">
      <c r="B629" s="212">
        <v>2041</v>
      </c>
      <c r="C629" s="309">
        <v>2024</v>
      </c>
      <c r="D629" s="250" t="s">
        <v>4070</v>
      </c>
      <c r="E629" s="517">
        <v>0.12820381025429819</v>
      </c>
      <c r="F629" s="310">
        <v>2.11477243929231E-2</v>
      </c>
      <c r="G629" s="311">
        <v>5.4386607150705611E-2</v>
      </c>
      <c r="H629" s="311">
        <v>2.4706949796428299</v>
      </c>
      <c r="I629" s="311">
        <v>0.64268310207980461</v>
      </c>
      <c r="J629" s="311">
        <v>2.8613860221681501E-2</v>
      </c>
      <c r="K629" s="311">
        <v>2.2144698469331756E-4</v>
      </c>
      <c r="L629" s="518">
        <v>2.9907652008781802E-2</v>
      </c>
      <c r="M629" s="519">
        <v>2.3145983468470901E-4</v>
      </c>
    </row>
    <row r="630" spans="2:13" ht="15.75" x14ac:dyDescent="0.25">
      <c r="B630" s="212">
        <v>2041</v>
      </c>
      <c r="C630" s="309">
        <v>2025</v>
      </c>
      <c r="D630" s="250" t="s">
        <v>4071</v>
      </c>
      <c r="E630" s="517">
        <v>0.12820381025429767</v>
      </c>
      <c r="F630" s="310">
        <v>2.11459147783166E-2</v>
      </c>
      <c r="G630" s="311">
        <v>5.4386607150705535E-2</v>
      </c>
      <c r="H630" s="311">
        <v>2.4704020307186898</v>
      </c>
      <c r="I630" s="311">
        <v>0.64268310207980217</v>
      </c>
      <c r="J630" s="311">
        <v>2.86094449245014E-2</v>
      </c>
      <c r="K630" s="311">
        <v>2.2144698469331669E-4</v>
      </c>
      <c r="L630" s="518">
        <v>2.9903037071455699E-2</v>
      </c>
      <c r="M630" s="519">
        <v>2.3145983468470809E-4</v>
      </c>
    </row>
    <row r="631" spans="2:13" ht="15.75" x14ac:dyDescent="0.25">
      <c r="B631" s="212">
        <v>2041</v>
      </c>
      <c r="C631" s="309">
        <v>2026</v>
      </c>
      <c r="D631" s="250" t="s">
        <v>4072</v>
      </c>
      <c r="E631" s="517">
        <v>0.12820381025429817</v>
      </c>
      <c r="F631" s="310">
        <v>2.08856274637657E-2</v>
      </c>
      <c r="G631" s="311">
        <v>5.4386607150705521E-2</v>
      </c>
      <c r="H631" s="311">
        <v>2.4282654959621599</v>
      </c>
      <c r="I631" s="311">
        <v>0.6426831020798035</v>
      </c>
      <c r="J631" s="311">
        <v>2.7974367244539201E-2</v>
      </c>
      <c r="K631" s="311">
        <v>2.2144698469331715E-4</v>
      </c>
      <c r="L631" s="518">
        <v>2.9239243996921099E-2</v>
      </c>
      <c r="M631" s="519">
        <v>2.3145983468470861E-4</v>
      </c>
    </row>
    <row r="632" spans="2:13" ht="15.75" x14ac:dyDescent="0.25">
      <c r="B632" s="212">
        <v>2041</v>
      </c>
      <c r="C632" s="309">
        <v>2027</v>
      </c>
      <c r="D632" s="250" t="s">
        <v>4073</v>
      </c>
      <c r="E632" s="517">
        <v>0.12247987248932429</v>
      </c>
      <c r="F632" s="310">
        <v>2.0596419336486999E-2</v>
      </c>
      <c r="G632" s="311">
        <v>4.8947946435634958E-2</v>
      </c>
      <c r="H632" s="311">
        <v>2.3814471240104602</v>
      </c>
      <c r="I632" s="311">
        <v>0.57841479187182177</v>
      </c>
      <c r="J632" s="311">
        <v>2.72687253779146E-2</v>
      </c>
      <c r="K632" s="311">
        <v>1.9930228622398494E-4</v>
      </c>
      <c r="L632" s="518">
        <v>2.85016961363272E-2</v>
      </c>
      <c r="M632" s="519">
        <v>2.0831385121623721E-4</v>
      </c>
    </row>
    <row r="633" spans="2:13" ht="15.75" x14ac:dyDescent="0.25">
      <c r="B633" s="212">
        <v>2041</v>
      </c>
      <c r="C633" s="309">
        <v>2028</v>
      </c>
      <c r="D633" s="250" t="s">
        <v>4074</v>
      </c>
      <c r="E633" s="517">
        <v>0.12148390708171096</v>
      </c>
      <c r="F633" s="310">
        <v>2.0275076972843999E-2</v>
      </c>
      <c r="G633" s="311">
        <v>4.4053151792071518E-2</v>
      </c>
      <c r="H633" s="311">
        <v>2.3294267107308002</v>
      </c>
      <c r="I633" s="311">
        <v>0.52057331268464024</v>
      </c>
      <c r="J633" s="311">
        <v>2.64846788594429E-2</v>
      </c>
      <c r="K633" s="311">
        <v>1.7937205760158666E-4</v>
      </c>
      <c r="L633" s="518">
        <v>2.7682198513445E-2</v>
      </c>
      <c r="M633" s="519">
        <v>1.8748246609461372E-4</v>
      </c>
    </row>
    <row r="634" spans="2:13" ht="15.75" x14ac:dyDescent="0.25">
      <c r="B634" s="212">
        <v>2041</v>
      </c>
      <c r="C634" s="309">
        <v>2029</v>
      </c>
      <c r="D634" s="250" t="s">
        <v>4075</v>
      </c>
      <c r="E634" s="517">
        <v>0.12058753821485833</v>
      </c>
      <c r="F634" s="310">
        <v>1.99180299021295E-2</v>
      </c>
      <c r="G634" s="311">
        <v>3.9647836612864154E-2</v>
      </c>
      <c r="H634" s="311">
        <v>2.27162625153117</v>
      </c>
      <c r="I634" s="311">
        <v>0.46851598141617468</v>
      </c>
      <c r="J634" s="311">
        <v>2.5613516061140901E-2</v>
      </c>
      <c r="K634" s="311">
        <v>1.6143485184142714E-4</v>
      </c>
      <c r="L634" s="518">
        <v>2.6771645599131502E-2</v>
      </c>
      <c r="M634" s="519">
        <v>1.6873421948515144E-4</v>
      </c>
    </row>
    <row r="635" spans="2:13" ht="15.75" x14ac:dyDescent="0.25">
      <c r="B635" s="212">
        <v>2041</v>
      </c>
      <c r="C635" s="309">
        <v>2030</v>
      </c>
      <c r="D635" s="250" t="s">
        <v>4076</v>
      </c>
      <c r="E635" s="517">
        <v>0.11978080623469092</v>
      </c>
      <c r="F635" s="310">
        <v>1.9521310934668998E-2</v>
      </c>
      <c r="G635" s="311">
        <v>3.5683052951578011E-2</v>
      </c>
      <c r="H635" s="311">
        <v>2.2074035190871402</v>
      </c>
      <c r="I635" s="311">
        <v>0.42166438327455957</v>
      </c>
      <c r="J635" s="311">
        <v>2.4645557396360901E-2</v>
      </c>
      <c r="K635" s="311">
        <v>1.4529136665728554E-4</v>
      </c>
      <c r="L635" s="518">
        <v>2.5759920138783102E-2</v>
      </c>
      <c r="M635" s="519">
        <v>1.5186079753663748E-4</v>
      </c>
    </row>
    <row r="636" spans="2:13" ht="15.75" x14ac:dyDescent="0.25">
      <c r="B636" s="212">
        <v>2041</v>
      </c>
      <c r="C636" s="309">
        <v>2031</v>
      </c>
      <c r="D636" s="250" t="s">
        <v>4077</v>
      </c>
      <c r="E636" s="517">
        <v>0.11905474745254029</v>
      </c>
      <c r="F636" s="310">
        <v>1.9080512081935001E-2</v>
      </c>
      <c r="G636" s="311">
        <v>3.2114747656420223E-2</v>
      </c>
      <c r="H636" s="311">
        <v>2.1360449274826601</v>
      </c>
      <c r="I636" s="311">
        <v>0.37949794494710459</v>
      </c>
      <c r="J636" s="311">
        <v>2.3570047768827599E-2</v>
      </c>
      <c r="K636" s="311">
        <v>1.3076222999155706E-4</v>
      </c>
      <c r="L636" s="518">
        <v>2.4635780738396E-2</v>
      </c>
      <c r="M636" s="519">
        <v>1.3667471778297378E-4</v>
      </c>
    </row>
    <row r="637" spans="2:13" ht="15.75" x14ac:dyDescent="0.25">
      <c r="B637" s="212">
        <v>2041</v>
      </c>
      <c r="C637" s="309">
        <v>2032</v>
      </c>
      <c r="D637" s="250" t="s">
        <v>4078</v>
      </c>
      <c r="E637" s="517">
        <v>0.11840129454860389</v>
      </c>
      <c r="F637" s="310">
        <v>1.8590735578897299E-2</v>
      </c>
      <c r="G637" s="311">
        <v>2.8903272890778063E-2</v>
      </c>
      <c r="H637" s="311">
        <v>2.05675760347768</v>
      </c>
      <c r="I637" s="311">
        <v>0.34154815045239167</v>
      </c>
      <c r="J637" s="311">
        <v>2.2375037071568401E-2</v>
      </c>
      <c r="K637" s="311">
        <v>1.1768600699240076E-4</v>
      </c>
      <c r="L637" s="518">
        <v>2.3386736960188202E-2</v>
      </c>
      <c r="M637" s="519">
        <v>1.2300724600467579E-4</v>
      </c>
    </row>
    <row r="638" spans="2:13" ht="15.75" x14ac:dyDescent="0.25">
      <c r="B638" s="212">
        <v>2041</v>
      </c>
      <c r="C638" s="309">
        <v>2033</v>
      </c>
      <c r="D638" s="250" t="s">
        <v>4079</v>
      </c>
      <c r="E638" s="517">
        <v>0.11781318693506204</v>
      </c>
      <c r="F638" s="310">
        <v>1.8046539464411E-2</v>
      </c>
      <c r="G638" s="311">
        <v>2.6012945601700227E-2</v>
      </c>
      <c r="H638" s="311">
        <v>1.9686605768054899</v>
      </c>
      <c r="I638" s="311">
        <v>0.30739333540715286</v>
      </c>
      <c r="J638" s="311">
        <v>2.1047247407947001E-2</v>
      </c>
      <c r="K638" s="311">
        <v>1.0591740629316058E-4</v>
      </c>
      <c r="L638" s="518">
        <v>2.19989105399572E-2</v>
      </c>
      <c r="M638" s="519">
        <v>1.1070652140420811E-4</v>
      </c>
    </row>
    <row r="639" spans="2:13" ht="15.75" x14ac:dyDescent="0.25">
      <c r="B639" s="212">
        <v>2041</v>
      </c>
      <c r="C639" s="309">
        <v>2034</v>
      </c>
      <c r="D639" s="250" t="s">
        <v>4080</v>
      </c>
      <c r="E639" s="517">
        <v>0.11781318693506285</v>
      </c>
      <c r="F639" s="310">
        <v>1.74418771149818E-2</v>
      </c>
      <c r="G639" s="311">
        <v>2.6012945601700383E-2</v>
      </c>
      <c r="H639" s="311">
        <v>1.8707749916141601</v>
      </c>
      <c r="I639" s="311">
        <v>0.30739333540715474</v>
      </c>
      <c r="J639" s="311">
        <v>1.9571925559478801E-2</v>
      </c>
      <c r="K639" s="311">
        <v>1.0591740629316145E-4</v>
      </c>
      <c r="L639" s="518">
        <v>2.0456881184145001E-2</v>
      </c>
      <c r="M639" s="519">
        <v>1.1070652140420901E-4</v>
      </c>
    </row>
    <row r="640" spans="2:13" ht="15.75" x14ac:dyDescent="0.25">
      <c r="B640" s="212">
        <v>2041</v>
      </c>
      <c r="C640" s="309">
        <v>2035</v>
      </c>
      <c r="D640" s="250" t="s">
        <v>4081</v>
      </c>
      <c r="E640" s="517">
        <v>0.11781318693506228</v>
      </c>
      <c r="F640" s="310">
        <v>1.68372147655525E-2</v>
      </c>
      <c r="G640" s="311">
        <v>2.6012945601700227E-2</v>
      </c>
      <c r="H640" s="311">
        <v>1.77288940642283</v>
      </c>
      <c r="I640" s="311">
        <v>0.30739333540715219</v>
      </c>
      <c r="J640" s="311">
        <v>1.80966037110106E-2</v>
      </c>
      <c r="K640" s="311">
        <v>1.0591740629316057E-4</v>
      </c>
      <c r="L640" s="518">
        <v>1.8914851828332802E-2</v>
      </c>
      <c r="M640" s="519">
        <v>1.1070652140420809E-4</v>
      </c>
    </row>
    <row r="641" spans="2:13" ht="15.75" x14ac:dyDescent="0.25">
      <c r="B641" s="212">
        <v>2041</v>
      </c>
      <c r="C641" s="309">
        <v>2036</v>
      </c>
      <c r="D641" s="250" t="s">
        <v>4082</v>
      </c>
      <c r="E641" s="517">
        <v>0.11781318693506242</v>
      </c>
      <c r="F641" s="310">
        <v>1.62325524161233E-2</v>
      </c>
      <c r="G641" s="311">
        <v>2.6012945601700317E-2</v>
      </c>
      <c r="H641" s="311">
        <v>1.6750038212314999</v>
      </c>
      <c r="I641" s="311">
        <v>0.30739333540715386</v>
      </c>
      <c r="J641" s="311">
        <v>1.66212818625424E-2</v>
      </c>
      <c r="K641" s="311">
        <v>1.0591740629316092E-4</v>
      </c>
      <c r="L641" s="518">
        <v>1.7372822472520699E-2</v>
      </c>
      <c r="M641" s="519">
        <v>1.1070652140420847E-4</v>
      </c>
    </row>
    <row r="642" spans="2:13" ht="15.75" x14ac:dyDescent="0.25">
      <c r="B642" s="212">
        <v>2041</v>
      </c>
      <c r="C642" s="309">
        <v>2037</v>
      </c>
      <c r="D642" s="250" t="s">
        <v>4083</v>
      </c>
      <c r="E642" s="517">
        <v>0.11781318693506244</v>
      </c>
      <c r="F642" s="310">
        <v>1.5627890066693999E-2</v>
      </c>
      <c r="G642" s="311">
        <v>2.6012945601700251E-2</v>
      </c>
      <c r="H642" s="311">
        <v>1.5771182360401701</v>
      </c>
      <c r="I642" s="311">
        <v>0.30739333540715247</v>
      </c>
      <c r="J642" s="311">
        <v>1.51459600140742E-2</v>
      </c>
      <c r="K642" s="311">
        <v>1.0591740629316065E-4</v>
      </c>
      <c r="L642" s="518">
        <v>1.58307931167085E-2</v>
      </c>
      <c r="M642" s="519">
        <v>1.1070652140420819E-4</v>
      </c>
    </row>
    <row r="643" spans="2:13" ht="15.75" x14ac:dyDescent="0.25">
      <c r="B643" s="212">
        <v>2041</v>
      </c>
      <c r="C643" s="309">
        <v>2038</v>
      </c>
      <c r="D643" s="250" t="s">
        <v>4084</v>
      </c>
      <c r="E643" s="517">
        <v>0.11781318693506226</v>
      </c>
      <c r="F643" s="310">
        <v>1.50232277172648E-2</v>
      </c>
      <c r="G643" s="311">
        <v>2.6012945601700324E-2</v>
      </c>
      <c r="H643" s="311">
        <v>1.47923265084885</v>
      </c>
      <c r="I643" s="311">
        <v>0.30739333540715402</v>
      </c>
      <c r="J643" s="311">
        <v>1.3670638165606E-2</v>
      </c>
      <c r="K643" s="311">
        <v>1.0591740629316096E-4</v>
      </c>
      <c r="L643" s="518">
        <v>1.42887637608963E-2</v>
      </c>
      <c r="M643" s="519">
        <v>1.1070652140420851E-4</v>
      </c>
    </row>
    <row r="644" spans="2:13" ht="15.75" x14ac:dyDescent="0.25">
      <c r="B644" s="212">
        <v>2041</v>
      </c>
      <c r="C644" s="309">
        <v>2039</v>
      </c>
      <c r="D644" s="250" t="s">
        <v>4085</v>
      </c>
      <c r="E644" s="517">
        <v>0.11781318693506242</v>
      </c>
      <c r="F644" s="310">
        <v>1.4418565367835499E-2</v>
      </c>
      <c r="G644" s="311">
        <v>2.6012945601700262E-2</v>
      </c>
      <c r="H644" s="311">
        <v>1.38134706565752</v>
      </c>
      <c r="I644" s="311">
        <v>0.30739333540715325</v>
      </c>
      <c r="J644" s="311">
        <v>1.21953163171378E-2</v>
      </c>
      <c r="K644" s="311">
        <v>1.059174062931607E-4</v>
      </c>
      <c r="L644" s="518">
        <v>1.27467344050842E-2</v>
      </c>
      <c r="M644" s="519">
        <v>1.1070652140420825E-4</v>
      </c>
    </row>
    <row r="645" spans="2:13" ht="15.75" x14ac:dyDescent="0.25">
      <c r="B645" s="212">
        <v>2041</v>
      </c>
      <c r="C645" s="309">
        <v>2040</v>
      </c>
      <c r="D645" s="250" t="s">
        <v>4086</v>
      </c>
      <c r="E645" s="517">
        <v>0.11781318693506219</v>
      </c>
      <c r="F645" s="310">
        <v>1.38139030184063E-2</v>
      </c>
      <c r="G645" s="311">
        <v>2.6012945601700265E-2</v>
      </c>
      <c r="H645" s="311">
        <v>1.2834614804661899</v>
      </c>
      <c r="I645" s="311">
        <v>0.3073933354071533</v>
      </c>
      <c r="J645" s="311">
        <v>1.07199944686697E-2</v>
      </c>
      <c r="K645" s="311">
        <v>1.0591740629316073E-4</v>
      </c>
      <c r="L645" s="518">
        <v>1.1204705049272E-2</v>
      </c>
      <c r="M645" s="519">
        <v>1.1070652140420825E-4</v>
      </c>
    </row>
    <row r="646" spans="2:13" ht="15.75" x14ac:dyDescent="0.25">
      <c r="B646" s="212">
        <v>2041</v>
      </c>
      <c r="C646" s="309">
        <v>2041</v>
      </c>
      <c r="D646" s="250" t="s">
        <v>4087</v>
      </c>
      <c r="E646" s="517">
        <v>0.1178131869350624</v>
      </c>
      <c r="F646" s="310">
        <v>1.3209240668976999E-2</v>
      </c>
      <c r="G646" s="311">
        <v>2.6012945601700376E-2</v>
      </c>
      <c r="H646" s="311">
        <v>1.1855758952748601</v>
      </c>
      <c r="I646" s="311">
        <v>0.30739333540715463</v>
      </c>
      <c r="J646" s="311">
        <v>9.2446726202015193E-3</v>
      </c>
      <c r="K646" s="311">
        <v>1.0591740629316117E-4</v>
      </c>
      <c r="L646" s="518">
        <v>9.6626756934598407E-3</v>
      </c>
      <c r="M646" s="519">
        <v>1.1070652140420873E-4</v>
      </c>
    </row>
    <row r="647" spans="2:13" ht="15.75" x14ac:dyDescent="0.25">
      <c r="B647" s="212">
        <v>2041</v>
      </c>
      <c r="C647" s="309">
        <v>2042</v>
      </c>
      <c r="D647" s="250" t="s">
        <v>4515</v>
      </c>
      <c r="E647" s="517">
        <v>0.12522334286569256</v>
      </c>
      <c r="F647" s="310">
        <v>1.26045783195478E-2</v>
      </c>
      <c r="G647" s="311">
        <v>6.2431069444080438E-2</v>
      </c>
      <c r="H647" s="311">
        <v>1.08769031008353</v>
      </c>
      <c r="I647" s="311">
        <v>0.73774400497716741</v>
      </c>
      <c r="J647" s="311">
        <v>7.7693507717333304E-3</v>
      </c>
      <c r="K647" s="311">
        <v>2.542017751035856E-4</v>
      </c>
      <c r="L647" s="518">
        <v>8.1206463376476707E-3</v>
      </c>
      <c r="M647" s="519">
        <v>2.6569565137009966E-4</v>
      </c>
    </row>
    <row r="648" spans="2:13" ht="15.75" x14ac:dyDescent="0.25">
      <c r="B648" s="212">
        <v>2042</v>
      </c>
      <c r="C648" s="309">
        <v>2012</v>
      </c>
      <c r="D648" s="250" t="s">
        <v>4102</v>
      </c>
      <c r="E648" s="517">
        <v>0.18035348906765744</v>
      </c>
      <c r="F648" s="310">
        <v>2.6217183343992399E-2</v>
      </c>
      <c r="G648" s="311">
        <v>5.4386622536338622E-2</v>
      </c>
      <c r="H648" s="311">
        <v>4.5264643529504198</v>
      </c>
      <c r="I648" s="311">
        <v>0.64268328389085816</v>
      </c>
      <c r="J648" s="311">
        <v>4.0268670630499402E-2</v>
      </c>
      <c r="K648" s="311">
        <v>2.2144704733929212E-4</v>
      </c>
      <c r="L648" s="518">
        <v>4.2089441226831101E-2</v>
      </c>
      <c r="M648" s="519">
        <v>2.3145990016325659E-4</v>
      </c>
    </row>
    <row r="649" spans="2:13" ht="15.75" x14ac:dyDescent="0.25">
      <c r="B649" s="212">
        <v>2042</v>
      </c>
      <c r="C649" s="309">
        <v>2013</v>
      </c>
      <c r="D649" s="250" t="s">
        <v>4103</v>
      </c>
      <c r="E649" s="517">
        <v>0.17913410423540435</v>
      </c>
      <c r="F649" s="310">
        <v>2.5706587981374301E-2</v>
      </c>
      <c r="G649" s="311">
        <v>5.4386629889408011E-2</v>
      </c>
      <c r="H649" s="311">
        <v>4.2933627388196198</v>
      </c>
      <c r="I649" s="311">
        <v>0.64268337078161331</v>
      </c>
      <c r="J649" s="311">
        <v>3.9108352652445597E-2</v>
      </c>
      <c r="K649" s="311">
        <v>2.2144707727892485E-4</v>
      </c>
      <c r="L649" s="518">
        <v>4.0876658818644399E-2</v>
      </c>
      <c r="M649" s="519">
        <v>2.3145993145662661E-4</v>
      </c>
    </row>
    <row r="650" spans="2:13" ht="15.75" x14ac:dyDescent="0.25">
      <c r="B650" s="212">
        <v>2042</v>
      </c>
      <c r="C650" s="309">
        <v>2014</v>
      </c>
      <c r="D650" s="250" t="s">
        <v>4104</v>
      </c>
      <c r="E650" s="517">
        <v>0.16141257635241793</v>
      </c>
      <c r="F650" s="310">
        <v>2.2052112845395901E-2</v>
      </c>
      <c r="G650" s="311">
        <v>5.4386628130370866E-2</v>
      </c>
      <c r="H650" s="311">
        <v>2.7968103793560202</v>
      </c>
      <c r="I650" s="311">
        <v>0.6426833499951824</v>
      </c>
      <c r="J650" s="311">
        <v>3.06997215103402E-2</v>
      </c>
      <c r="K650" s="311">
        <v>2.2144707011661978E-4</v>
      </c>
      <c r="L650" s="518">
        <v>3.2087826689041199E-2</v>
      </c>
      <c r="M650" s="519">
        <v>2.3145992397047391E-4</v>
      </c>
    </row>
    <row r="651" spans="2:13" ht="15.75" x14ac:dyDescent="0.25">
      <c r="B651" s="212">
        <v>2042</v>
      </c>
      <c r="C651" s="309">
        <v>2015</v>
      </c>
      <c r="D651" s="250" t="s">
        <v>4105</v>
      </c>
      <c r="E651" s="517">
        <v>0.15939014424691139</v>
      </c>
      <c r="F651" s="310">
        <v>2.11498997570949E-2</v>
      </c>
      <c r="G651" s="311">
        <v>5.4386628598327914E-2</v>
      </c>
      <c r="H651" s="311">
        <v>2.4704110718265002</v>
      </c>
      <c r="I651" s="311">
        <v>0.64268335552500144</v>
      </c>
      <c r="J651" s="311">
        <v>2.86250816142305E-2</v>
      </c>
      <c r="K651" s="311">
        <v>2.2144707202200945E-4</v>
      </c>
      <c r="L651" s="518">
        <v>2.9919380782907599E-2</v>
      </c>
      <c r="M651" s="519">
        <v>2.3145992596201683E-4</v>
      </c>
    </row>
    <row r="652" spans="2:13" ht="15.75" x14ac:dyDescent="0.25">
      <c r="B652" s="212">
        <v>2042</v>
      </c>
      <c r="C652" s="309">
        <v>2016</v>
      </c>
      <c r="D652" s="250" t="s">
        <v>4106</v>
      </c>
      <c r="E652" s="517">
        <v>0.1593921191651608</v>
      </c>
      <c r="F652" s="310">
        <v>2.1151043462736101E-2</v>
      </c>
      <c r="G652" s="311">
        <v>5.4386626368807547E-2</v>
      </c>
      <c r="H652" s="311">
        <v>2.47039296881883</v>
      </c>
      <c r="I652" s="311">
        <v>0.64268332917890003</v>
      </c>
      <c r="J652" s="311">
        <v>2.8629148199226601E-2</v>
      </c>
      <c r="K652" s="311">
        <v>2.2144706294402886E-4</v>
      </c>
      <c r="L652" s="518">
        <v>2.9923631240831999E-2</v>
      </c>
      <c r="M652" s="519">
        <v>2.3145991647357026E-4</v>
      </c>
    </row>
    <row r="653" spans="2:13" ht="15.75" x14ac:dyDescent="0.25">
      <c r="B653" s="212">
        <v>2042</v>
      </c>
      <c r="C653" s="309">
        <v>2017</v>
      </c>
      <c r="D653" s="250" t="s">
        <v>4107</v>
      </c>
      <c r="E653" s="517">
        <v>0.15336257398610703</v>
      </c>
      <c r="F653" s="310">
        <v>2.1147729590578999E-2</v>
      </c>
      <c r="G653" s="311">
        <v>5.4386607667817256E-2</v>
      </c>
      <c r="H653" s="311">
        <v>2.47069398984554</v>
      </c>
      <c r="I653" s="311">
        <v>0.6426831081904788</v>
      </c>
      <c r="J653" s="311">
        <v>2.8613891591844302E-2</v>
      </c>
      <c r="K653" s="311">
        <v>2.2144698679885035E-4</v>
      </c>
      <c r="L653" s="518">
        <v>2.9907684797364099E-2</v>
      </c>
      <c r="M653" s="519">
        <v>2.3145983688544465E-4</v>
      </c>
    </row>
    <row r="654" spans="2:13" ht="15.75" x14ac:dyDescent="0.25">
      <c r="B654" s="212">
        <v>2042</v>
      </c>
      <c r="C654" s="309">
        <v>2018</v>
      </c>
      <c r="D654" s="250" t="s">
        <v>4108</v>
      </c>
      <c r="E654" s="517">
        <v>0.15336257398610639</v>
      </c>
      <c r="F654" s="310">
        <v>2.1147729590578999E-2</v>
      </c>
      <c r="G654" s="311">
        <v>5.4386607667817305E-2</v>
      </c>
      <c r="H654" s="311">
        <v>2.47069398984554</v>
      </c>
      <c r="I654" s="311">
        <v>0.64268310819047936</v>
      </c>
      <c r="J654" s="311">
        <v>2.8613891591844302E-2</v>
      </c>
      <c r="K654" s="311">
        <v>2.2144698679885054E-4</v>
      </c>
      <c r="L654" s="518">
        <v>2.9907684797364099E-2</v>
      </c>
      <c r="M654" s="519">
        <v>2.3145983688544484E-4</v>
      </c>
    </row>
    <row r="655" spans="2:13" ht="15.75" x14ac:dyDescent="0.25">
      <c r="B655" s="212">
        <v>2042</v>
      </c>
      <c r="C655" s="309">
        <v>2019</v>
      </c>
      <c r="D655" s="250" t="s">
        <v>4109</v>
      </c>
      <c r="E655" s="517">
        <v>0.15336257398610645</v>
      </c>
      <c r="F655" s="310">
        <v>2.1147729590578999E-2</v>
      </c>
      <c r="G655" s="311">
        <v>5.4386607667817249E-2</v>
      </c>
      <c r="H655" s="311">
        <v>2.47069398984554</v>
      </c>
      <c r="I655" s="311">
        <v>0.64268310819048002</v>
      </c>
      <c r="J655" s="311">
        <v>2.8613891591844302E-2</v>
      </c>
      <c r="K655" s="311">
        <v>2.2144698679885032E-4</v>
      </c>
      <c r="L655" s="518">
        <v>2.9907684797364099E-2</v>
      </c>
      <c r="M655" s="519">
        <v>2.3145983688544462E-4</v>
      </c>
    </row>
    <row r="656" spans="2:13" ht="15.75" x14ac:dyDescent="0.25">
      <c r="B656" s="212">
        <v>2042</v>
      </c>
      <c r="C656" s="309">
        <v>2020</v>
      </c>
      <c r="D656" s="250" t="s">
        <v>4110</v>
      </c>
      <c r="E656" s="517">
        <v>0.15336257398610631</v>
      </c>
      <c r="F656" s="310">
        <v>2.1147729590578999E-2</v>
      </c>
      <c r="G656" s="311">
        <v>5.4386607667817326E-2</v>
      </c>
      <c r="H656" s="311">
        <v>2.47069398984554</v>
      </c>
      <c r="I656" s="311">
        <v>0.64268310819048102</v>
      </c>
      <c r="J656" s="311">
        <v>2.8613891591844302E-2</v>
      </c>
      <c r="K656" s="311">
        <v>2.2144698679885062E-4</v>
      </c>
      <c r="L656" s="518">
        <v>2.9907684797364099E-2</v>
      </c>
      <c r="M656" s="519">
        <v>2.3145983688544494E-4</v>
      </c>
    </row>
    <row r="657" spans="2:13" ht="15.75" x14ac:dyDescent="0.25">
      <c r="B657" s="212">
        <v>2042</v>
      </c>
      <c r="C657" s="309">
        <v>2021</v>
      </c>
      <c r="D657" s="250" t="s">
        <v>4111</v>
      </c>
      <c r="E657" s="517">
        <v>0.13870014658445703</v>
      </c>
      <c r="F657" s="310">
        <v>2.1147729590578999E-2</v>
      </c>
      <c r="G657" s="311">
        <v>5.4386607667817277E-2</v>
      </c>
      <c r="H657" s="311">
        <v>2.47069398984554</v>
      </c>
      <c r="I657" s="311">
        <v>0.64268310819047914</v>
      </c>
      <c r="J657" s="311">
        <v>2.8613891591844302E-2</v>
      </c>
      <c r="K657" s="311">
        <v>2.2144698679885046E-4</v>
      </c>
      <c r="L657" s="518">
        <v>2.9907684797364099E-2</v>
      </c>
      <c r="M657" s="519">
        <v>2.3145983688544475E-4</v>
      </c>
    </row>
    <row r="658" spans="2:13" ht="15.75" x14ac:dyDescent="0.25">
      <c r="B658" s="212">
        <v>2042</v>
      </c>
      <c r="C658" s="309">
        <v>2022</v>
      </c>
      <c r="D658" s="250" t="s">
        <v>4112</v>
      </c>
      <c r="E658" s="517">
        <v>0.13870014658445712</v>
      </c>
      <c r="F658" s="310">
        <v>2.1147729590578999E-2</v>
      </c>
      <c r="G658" s="311">
        <v>5.4386607667817312E-2</v>
      </c>
      <c r="H658" s="311">
        <v>2.47069398984554</v>
      </c>
      <c r="I658" s="311">
        <v>0.64268310819047936</v>
      </c>
      <c r="J658" s="311">
        <v>2.8613891591844302E-2</v>
      </c>
      <c r="K658" s="311">
        <v>2.2144698679885059E-4</v>
      </c>
      <c r="L658" s="518">
        <v>2.9907684797364099E-2</v>
      </c>
      <c r="M658" s="519">
        <v>2.3145983688544486E-4</v>
      </c>
    </row>
    <row r="659" spans="2:13" ht="15.75" x14ac:dyDescent="0.25">
      <c r="B659" s="212">
        <v>2042</v>
      </c>
      <c r="C659" s="309">
        <v>2023</v>
      </c>
      <c r="D659" s="250" t="s">
        <v>4113</v>
      </c>
      <c r="E659" s="517">
        <v>0.13870014658445726</v>
      </c>
      <c r="F659" s="310">
        <v>2.1147729590578999E-2</v>
      </c>
      <c r="G659" s="311">
        <v>5.4386607667817333E-2</v>
      </c>
      <c r="H659" s="311">
        <v>2.47069398984554</v>
      </c>
      <c r="I659" s="311">
        <v>0.64268310819048102</v>
      </c>
      <c r="J659" s="311">
        <v>2.8613891591844302E-2</v>
      </c>
      <c r="K659" s="311">
        <v>2.2144698679885068E-4</v>
      </c>
      <c r="L659" s="518">
        <v>2.9907684797364099E-2</v>
      </c>
      <c r="M659" s="519">
        <v>2.3145983688544497E-4</v>
      </c>
    </row>
    <row r="660" spans="2:13" ht="15.75" x14ac:dyDescent="0.25">
      <c r="B660" s="212">
        <v>2042</v>
      </c>
      <c r="C660" s="309">
        <v>2024</v>
      </c>
      <c r="D660" s="250" t="s">
        <v>4114</v>
      </c>
      <c r="E660" s="517">
        <v>0.12820381119715532</v>
      </c>
      <c r="F660" s="310">
        <v>2.1147729590578999E-2</v>
      </c>
      <c r="G660" s="311">
        <v>5.4386607667817333E-2</v>
      </c>
      <c r="H660" s="311">
        <v>2.47069398984554</v>
      </c>
      <c r="I660" s="311">
        <v>0.64268310819047969</v>
      </c>
      <c r="J660" s="311">
        <v>2.8613891591844302E-2</v>
      </c>
      <c r="K660" s="311">
        <v>2.2144698679885065E-4</v>
      </c>
      <c r="L660" s="518">
        <v>2.9907684797364099E-2</v>
      </c>
      <c r="M660" s="519">
        <v>2.3145983688544497E-4</v>
      </c>
    </row>
    <row r="661" spans="2:13" ht="15.75" x14ac:dyDescent="0.25">
      <c r="B661" s="212">
        <v>2042</v>
      </c>
      <c r="C661" s="309">
        <v>2025</v>
      </c>
      <c r="D661" s="250" t="s">
        <v>4115</v>
      </c>
      <c r="E661" s="517">
        <v>0.12820381119715488</v>
      </c>
      <c r="F661" s="310">
        <v>2.1147729590578999E-2</v>
      </c>
      <c r="G661" s="311">
        <v>5.4386607667816923E-2</v>
      </c>
      <c r="H661" s="311">
        <v>2.47069398984554</v>
      </c>
      <c r="I661" s="311">
        <v>0.64268310819047625</v>
      </c>
      <c r="J661" s="311">
        <v>2.8613891591844302E-2</v>
      </c>
      <c r="K661" s="311">
        <v>2.2144698679884899E-4</v>
      </c>
      <c r="L661" s="518">
        <v>2.9907684797364099E-2</v>
      </c>
      <c r="M661" s="519">
        <v>2.3145983688544324E-4</v>
      </c>
    </row>
    <row r="662" spans="2:13" ht="15.75" x14ac:dyDescent="0.25">
      <c r="B662" s="212">
        <v>2042</v>
      </c>
      <c r="C662" s="309">
        <v>2026</v>
      </c>
      <c r="D662" s="250" t="s">
        <v>4116</v>
      </c>
      <c r="E662" s="517">
        <v>0.12820381119715543</v>
      </c>
      <c r="F662" s="310">
        <v>2.1145919975527699E-2</v>
      </c>
      <c r="G662" s="311">
        <v>5.4386607667817256E-2</v>
      </c>
      <c r="H662" s="311">
        <v>2.4704010410387598</v>
      </c>
      <c r="I662" s="311">
        <v>0.64268310819048013</v>
      </c>
      <c r="J662" s="311">
        <v>2.86094762898235E-2</v>
      </c>
      <c r="K662" s="311">
        <v>2.2144698679885035E-4</v>
      </c>
      <c r="L662" s="518">
        <v>2.9903069854978499E-2</v>
      </c>
      <c r="M662" s="519">
        <v>2.3145983688544465E-4</v>
      </c>
    </row>
    <row r="663" spans="2:13" ht="15.75" x14ac:dyDescent="0.25">
      <c r="B663" s="212">
        <v>2042</v>
      </c>
      <c r="C663" s="309">
        <v>2027</v>
      </c>
      <c r="D663" s="250" t="s">
        <v>4117</v>
      </c>
      <c r="E663" s="517">
        <v>0.12358650162890655</v>
      </c>
      <c r="F663" s="310">
        <v>2.0885632597003798E-2</v>
      </c>
      <c r="G663" s="311">
        <v>5.4386607667817187E-2</v>
      </c>
      <c r="H663" s="311">
        <v>2.4282645231627602</v>
      </c>
      <c r="I663" s="311">
        <v>0.64268310819047803</v>
      </c>
      <c r="J663" s="311">
        <v>2.7974397913608201E-2</v>
      </c>
      <c r="K663" s="311">
        <v>2.2144698679885005E-4</v>
      </c>
      <c r="L663" s="518">
        <v>2.92392760527093E-2</v>
      </c>
      <c r="M663" s="519">
        <v>2.3145983688544435E-4</v>
      </c>
    </row>
    <row r="664" spans="2:13" ht="15.75" x14ac:dyDescent="0.25">
      <c r="B664" s="212">
        <v>2042</v>
      </c>
      <c r="C664" s="309">
        <v>2028</v>
      </c>
      <c r="D664" s="250" t="s">
        <v>4118</v>
      </c>
      <c r="E664" s="517">
        <v>0.122479873387702</v>
      </c>
      <c r="F664" s="310">
        <v>2.0596424398643901E-2</v>
      </c>
      <c r="G664" s="311">
        <v>4.8947946901035377E-2</v>
      </c>
      <c r="H664" s="311">
        <v>2.3814461699671998</v>
      </c>
      <c r="I664" s="311">
        <v>0.57841479737143064</v>
      </c>
      <c r="J664" s="311">
        <v>2.7268755273369E-2</v>
      </c>
      <c r="K664" s="311">
        <v>1.9930228811896521E-4</v>
      </c>
      <c r="L664" s="518">
        <v>2.85017273835214E-2</v>
      </c>
      <c r="M664" s="519">
        <v>2.0831385319690008E-4</v>
      </c>
    </row>
    <row r="665" spans="2:13" ht="15.75" x14ac:dyDescent="0.25">
      <c r="B665" s="212">
        <v>2042</v>
      </c>
      <c r="C665" s="309">
        <v>2029</v>
      </c>
      <c r="D665" s="250" t="s">
        <v>4119</v>
      </c>
      <c r="E665" s="517">
        <v>0.12148390797061927</v>
      </c>
      <c r="F665" s="310">
        <v>2.0275081956021901E-2</v>
      </c>
      <c r="G665" s="311">
        <v>4.4053152210931895E-2</v>
      </c>
      <c r="H665" s="311">
        <v>2.3294257775276899</v>
      </c>
      <c r="I665" s="311">
        <v>0.52057331763428683</v>
      </c>
      <c r="J665" s="311">
        <v>2.6484707895325501E-2</v>
      </c>
      <c r="K665" s="311">
        <v>1.7937205930706844E-4</v>
      </c>
      <c r="L665" s="518">
        <v>2.76822288622014E-2</v>
      </c>
      <c r="M665" s="519">
        <v>1.8748246787720981E-4</v>
      </c>
    </row>
    <row r="666" spans="2:13" ht="15.75" x14ac:dyDescent="0.25">
      <c r="B666" s="212">
        <v>2042</v>
      </c>
      <c r="C666" s="309">
        <v>2030</v>
      </c>
      <c r="D666" s="250" t="s">
        <v>4120</v>
      </c>
      <c r="E666" s="517">
        <v>0.1205875390952441</v>
      </c>
      <c r="F666" s="310">
        <v>1.99180347975529E-2</v>
      </c>
      <c r="G666" s="311">
        <v>3.964783698983896E-2</v>
      </c>
      <c r="H666" s="311">
        <v>2.2716253414837899</v>
      </c>
      <c r="I666" s="311">
        <v>0.46851598587086207</v>
      </c>
      <c r="J666" s="311">
        <v>2.5613544141943698E-2</v>
      </c>
      <c r="K666" s="311">
        <v>1.6143485337636262E-4</v>
      </c>
      <c r="L666" s="518">
        <v>2.6771674949623601E-2</v>
      </c>
      <c r="M666" s="519">
        <v>1.6873422108948992E-4</v>
      </c>
    </row>
    <row r="667" spans="2:13" ht="15.75" x14ac:dyDescent="0.25">
      <c r="B667" s="212">
        <v>2042</v>
      </c>
      <c r="C667" s="309">
        <v>2031</v>
      </c>
      <c r="D667" s="250" t="s">
        <v>4121</v>
      </c>
      <c r="E667" s="517">
        <v>0.11978080710740559</v>
      </c>
      <c r="F667" s="310">
        <v>1.9521315732587401E-2</v>
      </c>
      <c r="G667" s="311">
        <v>3.5683053290854895E-2</v>
      </c>
      <c r="H667" s="311">
        <v>2.2074026347683402</v>
      </c>
      <c r="I667" s="311">
        <v>0.42166438728377398</v>
      </c>
      <c r="J667" s="311">
        <v>2.4645584415964001E-2</v>
      </c>
      <c r="K667" s="311">
        <v>1.4529136803872569E-4</v>
      </c>
      <c r="L667" s="518">
        <v>2.5759948380092799E-2</v>
      </c>
      <c r="M667" s="519">
        <v>1.5186079898054023E-4</v>
      </c>
    </row>
    <row r="668" spans="2:13" ht="15.75" x14ac:dyDescent="0.25">
      <c r="B668" s="212">
        <v>2042</v>
      </c>
      <c r="C668" s="309">
        <v>2032</v>
      </c>
      <c r="D668" s="250" t="s">
        <v>4122</v>
      </c>
      <c r="E668" s="517">
        <v>0.11905474831835157</v>
      </c>
      <c r="F668" s="310">
        <v>1.9080516771514601E-2</v>
      </c>
      <c r="G668" s="311">
        <v>3.2114747961769295E-2</v>
      </c>
      <c r="H668" s="311">
        <v>2.1360440717511802</v>
      </c>
      <c r="I668" s="311">
        <v>0.37949794855539531</v>
      </c>
      <c r="J668" s="311">
        <v>2.3570073609319901E-2</v>
      </c>
      <c r="K668" s="311">
        <v>1.3076223123485297E-4</v>
      </c>
      <c r="L668" s="518">
        <v>2.4635807747280698E-2</v>
      </c>
      <c r="M668" s="519">
        <v>1.3667471908248603E-4</v>
      </c>
    </row>
    <row r="669" spans="2:13" ht="15.75" x14ac:dyDescent="0.25">
      <c r="B669" s="212">
        <v>2042</v>
      </c>
      <c r="C669" s="309">
        <v>2033</v>
      </c>
      <c r="D669" s="250" t="s">
        <v>4123</v>
      </c>
      <c r="E669" s="517">
        <v>0.11840129540820307</v>
      </c>
      <c r="F669" s="310">
        <v>1.8590740148100301E-2</v>
      </c>
      <c r="G669" s="311">
        <v>2.890327316559246E-2</v>
      </c>
      <c r="H669" s="311">
        <v>2.05675677950989</v>
      </c>
      <c r="I669" s="311">
        <v>0.34154815369985614</v>
      </c>
      <c r="J669" s="311">
        <v>2.2375061601937501E-2</v>
      </c>
      <c r="K669" s="311">
        <v>1.1768600811136779E-4</v>
      </c>
      <c r="L669" s="518">
        <v>2.3386762599711799E-2</v>
      </c>
      <c r="M669" s="519">
        <v>1.2300724717423755E-4</v>
      </c>
    </row>
    <row r="670" spans="2:13" ht="15.75" x14ac:dyDescent="0.25">
      <c r="B670" s="212">
        <v>2042</v>
      </c>
      <c r="C670" s="309">
        <v>2034</v>
      </c>
      <c r="D670" s="250" t="s">
        <v>4124</v>
      </c>
      <c r="E670" s="517">
        <v>0.11781318778906895</v>
      </c>
      <c r="F670" s="310">
        <v>1.8046543899862301E-2</v>
      </c>
      <c r="G670" s="311">
        <v>2.6012945849033124E-2</v>
      </c>
      <c r="H670" s="311">
        <v>1.96865978813068</v>
      </c>
      <c r="I670" s="311">
        <v>0.30739333832987015</v>
      </c>
      <c r="J670" s="311">
        <v>2.1047270482623798E-2</v>
      </c>
      <c r="K670" s="311">
        <v>1.0591740730023088E-4</v>
      </c>
      <c r="L670" s="518">
        <v>2.19989346579685E-2</v>
      </c>
      <c r="M670" s="519">
        <v>1.1070652245681366E-4</v>
      </c>
    </row>
    <row r="671" spans="2:13" ht="15.75" x14ac:dyDescent="0.25">
      <c r="B671" s="212">
        <v>2042</v>
      </c>
      <c r="C671" s="309">
        <v>2035</v>
      </c>
      <c r="D671" s="250" t="s">
        <v>4125</v>
      </c>
      <c r="E671" s="517">
        <v>0.11781318778906902</v>
      </c>
      <c r="F671" s="310">
        <v>1.7441881401820101E-2</v>
      </c>
      <c r="G671" s="311">
        <v>2.601294584903318E-2</v>
      </c>
      <c r="H671" s="311">
        <v>1.8707742421537701</v>
      </c>
      <c r="I671" s="311">
        <v>0.3073933383298707</v>
      </c>
      <c r="J671" s="311">
        <v>1.9571947016719601E-2</v>
      </c>
      <c r="K671" s="311">
        <v>1.0591740730023088E-4</v>
      </c>
      <c r="L671" s="518">
        <v>2.0456903611587099E-2</v>
      </c>
      <c r="M671" s="519">
        <v>1.1070652245681366E-4</v>
      </c>
    </row>
    <row r="672" spans="2:13" ht="15.75" x14ac:dyDescent="0.25">
      <c r="B672" s="212">
        <v>2042</v>
      </c>
      <c r="C672" s="309">
        <v>2036</v>
      </c>
      <c r="D672" s="250" t="s">
        <v>4126</v>
      </c>
      <c r="E672" s="517">
        <v>0.11781318778906946</v>
      </c>
      <c r="F672" s="310">
        <v>1.68372189037778E-2</v>
      </c>
      <c r="G672" s="311">
        <v>2.6012945849033301E-2</v>
      </c>
      <c r="H672" s="311">
        <v>1.7728886961768699</v>
      </c>
      <c r="I672" s="311">
        <v>0.3073933383298722</v>
      </c>
      <c r="J672" s="311">
        <v>1.80966235508155E-2</v>
      </c>
      <c r="K672" s="311">
        <v>1.0591740730023137E-4</v>
      </c>
      <c r="L672" s="518">
        <v>1.8914872565205701E-2</v>
      </c>
      <c r="M672" s="519">
        <v>1.1070652245681416E-4</v>
      </c>
    </row>
    <row r="673" spans="2:13" ht="15.75" x14ac:dyDescent="0.25">
      <c r="B673" s="212">
        <v>2042</v>
      </c>
      <c r="C673" s="309">
        <v>2037</v>
      </c>
      <c r="D673" s="250" t="s">
        <v>4127</v>
      </c>
      <c r="E673" s="517">
        <v>0.11781318778906934</v>
      </c>
      <c r="F673" s="310">
        <v>1.62325564057356E-2</v>
      </c>
      <c r="G673" s="311">
        <v>2.6012945849033256E-2</v>
      </c>
      <c r="H673" s="311">
        <v>1.67500315019997</v>
      </c>
      <c r="I673" s="311">
        <v>0.30739333832987098</v>
      </c>
      <c r="J673" s="311">
        <v>1.6621300084911299E-2</v>
      </c>
      <c r="K673" s="311">
        <v>1.0591740730023118E-4</v>
      </c>
      <c r="L673" s="518">
        <v>1.7372841518824299E-2</v>
      </c>
      <c r="M673" s="519">
        <v>1.1070652245681397E-4</v>
      </c>
    </row>
    <row r="674" spans="2:13" ht="15.75" x14ac:dyDescent="0.25">
      <c r="B674" s="212">
        <v>2042</v>
      </c>
      <c r="C674" s="309">
        <v>2038</v>
      </c>
      <c r="D674" s="250" t="s">
        <v>4128</v>
      </c>
      <c r="E674" s="517">
        <v>0.11781318778906938</v>
      </c>
      <c r="F674" s="310">
        <v>1.5627893907693299E-2</v>
      </c>
      <c r="G674" s="311">
        <v>2.6012945849033277E-2</v>
      </c>
      <c r="H674" s="311">
        <v>1.5771176042230699</v>
      </c>
      <c r="I674" s="311">
        <v>0.30739333832987126</v>
      </c>
      <c r="J674" s="311">
        <v>1.51459766190072E-2</v>
      </c>
      <c r="K674" s="311">
        <v>1.0591740730023127E-4</v>
      </c>
      <c r="L674" s="518">
        <v>1.5830810472442901E-2</v>
      </c>
      <c r="M674" s="519">
        <v>1.1070652245681407E-4</v>
      </c>
    </row>
    <row r="675" spans="2:13" ht="15.75" x14ac:dyDescent="0.25">
      <c r="B675" s="212">
        <v>2042</v>
      </c>
      <c r="C675" s="309">
        <v>2039</v>
      </c>
      <c r="D675" s="250" t="s">
        <v>4129</v>
      </c>
      <c r="E675" s="517">
        <v>0.11781318778906905</v>
      </c>
      <c r="F675" s="310">
        <v>1.5023231409651099E-2</v>
      </c>
      <c r="G675" s="311">
        <v>2.6012945849033201E-2</v>
      </c>
      <c r="H675" s="311">
        <v>1.47923205824617</v>
      </c>
      <c r="I675" s="311">
        <v>0.30739333832987031</v>
      </c>
      <c r="J675" s="311">
        <v>1.3670653153103E-2</v>
      </c>
      <c r="K675" s="311">
        <v>1.0591740730023095E-4</v>
      </c>
      <c r="L675" s="518">
        <v>1.4288779426061399E-2</v>
      </c>
      <c r="M675" s="519">
        <v>1.1070652245681373E-4</v>
      </c>
    </row>
    <row r="676" spans="2:13" ht="15.75" x14ac:dyDescent="0.25">
      <c r="B676" s="212">
        <v>2042</v>
      </c>
      <c r="C676" s="309">
        <v>2040</v>
      </c>
      <c r="D676" s="250" t="s">
        <v>4130</v>
      </c>
      <c r="E676" s="517">
        <v>0.11781318778906924</v>
      </c>
      <c r="F676" s="310">
        <v>1.44185689116088E-2</v>
      </c>
      <c r="G676" s="311">
        <v>2.6012945849033246E-2</v>
      </c>
      <c r="H676" s="311">
        <v>1.3813465122692601</v>
      </c>
      <c r="I676" s="311">
        <v>0.30739333832987081</v>
      </c>
      <c r="J676" s="311">
        <v>1.21953296871989E-2</v>
      </c>
      <c r="K676" s="311">
        <v>1.0591740730023112E-4</v>
      </c>
      <c r="L676" s="518">
        <v>1.274674837968E-2</v>
      </c>
      <c r="M676" s="519">
        <v>1.1070652245681392E-4</v>
      </c>
    </row>
    <row r="677" spans="2:13" ht="15.75" x14ac:dyDescent="0.25">
      <c r="B677" s="212">
        <v>2042</v>
      </c>
      <c r="C677" s="309">
        <v>2041</v>
      </c>
      <c r="D677" s="250" t="s">
        <v>4131</v>
      </c>
      <c r="E677" s="517">
        <v>0.11781318778906917</v>
      </c>
      <c r="F677" s="310">
        <v>1.38139064135666E-2</v>
      </c>
      <c r="G677" s="311">
        <v>2.6012945849033207E-2</v>
      </c>
      <c r="H677" s="311">
        <v>1.28346096629236</v>
      </c>
      <c r="I677" s="311">
        <v>0.30739333832987109</v>
      </c>
      <c r="J677" s="311">
        <v>1.07200062212947E-2</v>
      </c>
      <c r="K677" s="311">
        <v>1.0591740730023097E-4</v>
      </c>
      <c r="L677" s="518">
        <v>1.12047173332986E-2</v>
      </c>
      <c r="M677" s="519">
        <v>1.1070652245681377E-4</v>
      </c>
    </row>
    <row r="678" spans="2:13" ht="15.75" x14ac:dyDescent="0.25">
      <c r="B678" s="212">
        <v>2042</v>
      </c>
      <c r="C678" s="309">
        <v>2042</v>
      </c>
      <c r="D678" s="250" t="s">
        <v>4132</v>
      </c>
      <c r="E678" s="517">
        <v>0.11781318778906943</v>
      </c>
      <c r="F678" s="310">
        <v>1.3209243915524299E-2</v>
      </c>
      <c r="G678" s="311">
        <v>2.6012945849033291E-2</v>
      </c>
      <c r="H678" s="311">
        <v>1.18557542031546</v>
      </c>
      <c r="I678" s="311">
        <v>0.30739333832987203</v>
      </c>
      <c r="J678" s="311">
        <v>9.2446827553906395E-3</v>
      </c>
      <c r="K678" s="311">
        <v>1.0591740730023131E-4</v>
      </c>
      <c r="L678" s="518">
        <v>9.6626862869172402E-3</v>
      </c>
      <c r="M678" s="519">
        <v>1.1070652245681411E-4</v>
      </c>
    </row>
    <row r="679" spans="2:13" ht="15.75" x14ac:dyDescent="0.25">
      <c r="B679" s="212">
        <v>2042</v>
      </c>
      <c r="C679" s="309">
        <v>2043</v>
      </c>
      <c r="D679" s="250" t="s">
        <v>4516</v>
      </c>
      <c r="E679" s="517">
        <v>0.12522334379015612</v>
      </c>
      <c r="F679" s="310">
        <v>1.2604581417482099E-2</v>
      </c>
      <c r="G679" s="311">
        <v>6.2431070037679837E-2</v>
      </c>
      <c r="H679" s="311">
        <v>1.0876898743385599</v>
      </c>
      <c r="I679" s="311">
        <v>0.73774401199169215</v>
      </c>
      <c r="J679" s="311">
        <v>7.7693592894864903E-3</v>
      </c>
      <c r="K679" s="311">
        <v>2.542017775205549E-4</v>
      </c>
      <c r="L679" s="518">
        <v>8.12065524053583E-3</v>
      </c>
      <c r="M679" s="519">
        <v>2.6569565389635361E-4</v>
      </c>
    </row>
    <row r="680" spans="2:13" ht="15.75" x14ac:dyDescent="0.25">
      <c r="B680" s="212">
        <v>2043</v>
      </c>
      <c r="C680" s="309">
        <v>2012</v>
      </c>
      <c r="D680" s="250" t="s">
        <v>4146</v>
      </c>
      <c r="E680" s="517">
        <v>0.1803534890581287</v>
      </c>
      <c r="F680" s="310">
        <v>2.6217187079661201E-2</v>
      </c>
      <c r="G680" s="311">
        <v>5.4386617989888378E-2</v>
      </c>
      <c r="H680" s="311">
        <v>4.5264649847973502</v>
      </c>
      <c r="I680" s="311">
        <v>0.64268323016574125</v>
      </c>
      <c r="J680" s="311">
        <v>4.0268701803319401E-2</v>
      </c>
      <c r="K680" s="311">
        <v>2.21447028827424E-4</v>
      </c>
      <c r="L680" s="518">
        <v>4.20894738091478E-2</v>
      </c>
      <c r="M680" s="519">
        <v>2.3145988081436393E-4</v>
      </c>
    </row>
    <row r="681" spans="2:13" ht="15.75" x14ac:dyDescent="0.25">
      <c r="B681" s="212">
        <v>2043</v>
      </c>
      <c r="C681" s="309">
        <v>2013</v>
      </c>
      <c r="D681" s="250" t="s">
        <v>4147</v>
      </c>
      <c r="E681" s="517">
        <v>0.17913410367255603</v>
      </c>
      <c r="F681" s="310">
        <v>2.57065918149956E-2</v>
      </c>
      <c r="G681" s="311">
        <v>5.4386622975944696E-2</v>
      </c>
      <c r="H681" s="311">
        <v>4.2933632264891504</v>
      </c>
      <c r="I681" s="311">
        <v>0.64268328908565409</v>
      </c>
      <c r="J681" s="311">
        <v>3.9108383291066799E-2</v>
      </c>
      <c r="K681" s="311">
        <v>2.2144704912924456E-4</v>
      </c>
      <c r="L681" s="518">
        <v>4.0876690842608199E-2</v>
      </c>
      <c r="M681" s="519">
        <v>2.3145990203414269E-4</v>
      </c>
    </row>
    <row r="682" spans="2:13" ht="15.75" x14ac:dyDescent="0.25">
      <c r="B682" s="212">
        <v>2043</v>
      </c>
      <c r="C682" s="309">
        <v>2014</v>
      </c>
      <c r="D682" s="250" t="s">
        <v>4148</v>
      </c>
      <c r="E682" s="517">
        <v>0.16141257585597446</v>
      </c>
      <c r="F682" s="310">
        <v>2.20521166723808E-2</v>
      </c>
      <c r="G682" s="311">
        <v>5.4386621782405609E-2</v>
      </c>
      <c r="H682" s="311">
        <v>2.79680989783443</v>
      </c>
      <c r="I682" s="311">
        <v>0.64268327498167932</v>
      </c>
      <c r="J682" s="311">
        <v>3.06997454633984E-2</v>
      </c>
      <c r="K682" s="311">
        <v>2.2144704426948871E-4</v>
      </c>
      <c r="L682" s="518">
        <v>3.2087851725150399E-2</v>
      </c>
      <c r="M682" s="519">
        <v>2.3145989695465025E-4</v>
      </c>
    </row>
    <row r="683" spans="2:13" ht="15.75" x14ac:dyDescent="0.25">
      <c r="B683" s="212">
        <v>2043</v>
      </c>
      <c r="C683" s="309">
        <v>2015</v>
      </c>
      <c r="D683" s="250" t="s">
        <v>4149</v>
      </c>
      <c r="E683" s="517">
        <v>0.15939014369912499</v>
      </c>
      <c r="F683" s="310">
        <v>2.1149903565926699E-2</v>
      </c>
      <c r="G683" s="311">
        <v>5.4386622099650499E-2</v>
      </c>
      <c r="H683" s="311">
        <v>2.4704103926716399</v>
      </c>
      <c r="I683" s="311">
        <v>0.64268327873054076</v>
      </c>
      <c r="J683" s="311">
        <v>2.8625103962790801E-2</v>
      </c>
      <c r="K683" s="311">
        <v>2.2144704556122078E-4</v>
      </c>
      <c r="L683" s="518">
        <v>2.9919404141970699E-2</v>
      </c>
      <c r="M683" s="519">
        <v>2.3145989830478868E-4</v>
      </c>
    </row>
    <row r="684" spans="2:13" ht="15.75" x14ac:dyDescent="0.25">
      <c r="B684" s="212">
        <v>2043</v>
      </c>
      <c r="C684" s="309">
        <v>2016</v>
      </c>
      <c r="D684" s="250" t="s">
        <v>4150</v>
      </c>
      <c r="E684" s="517">
        <v>0.15939211873560358</v>
      </c>
      <c r="F684" s="310">
        <v>2.1151047229457098E-2</v>
      </c>
      <c r="G684" s="311">
        <v>5.4386620591656901E-2</v>
      </c>
      <c r="H684" s="311">
        <v>2.47039229064782</v>
      </c>
      <c r="I684" s="311">
        <v>0.64268326091067696</v>
      </c>
      <c r="J684" s="311">
        <v>2.8629170383745E-2</v>
      </c>
      <c r="K684" s="311">
        <v>2.214470394210945E-4</v>
      </c>
      <c r="L684" s="518">
        <v>2.9923654428435899E-2</v>
      </c>
      <c r="M684" s="519">
        <v>2.3145989188703316E-4</v>
      </c>
    </row>
    <row r="685" spans="2:13" ht="15.75" x14ac:dyDescent="0.25">
      <c r="B685" s="212">
        <v>2043</v>
      </c>
      <c r="C685" s="309">
        <v>2017</v>
      </c>
      <c r="D685" s="250" t="s">
        <v>4151</v>
      </c>
      <c r="E685" s="517">
        <v>0.15336257472335552</v>
      </c>
      <c r="F685" s="310">
        <v>2.1147733112295199E-2</v>
      </c>
      <c r="G685" s="311">
        <v>5.4386607906505437E-2</v>
      </c>
      <c r="H685" s="311">
        <v>2.4706933194152501</v>
      </c>
      <c r="I685" s="311">
        <v>0.64268311101104336</v>
      </c>
      <c r="J685" s="311">
        <v>2.8613912843013199E-2</v>
      </c>
      <c r="K685" s="311">
        <v>2.2144698777072208E-4</v>
      </c>
      <c r="L685" s="518">
        <v>2.9907707009416602E-2</v>
      </c>
      <c r="M685" s="519">
        <v>2.3145983790126009E-4</v>
      </c>
    </row>
    <row r="686" spans="2:13" ht="15.75" x14ac:dyDescent="0.25">
      <c r="B686" s="212">
        <v>2043</v>
      </c>
      <c r="C686" s="309">
        <v>2018</v>
      </c>
      <c r="D686" s="250" t="s">
        <v>4152</v>
      </c>
      <c r="E686" s="517">
        <v>0.15336257472335643</v>
      </c>
      <c r="F686" s="310">
        <v>2.1147733112295199E-2</v>
      </c>
      <c r="G686" s="311">
        <v>5.4386607906505714E-2</v>
      </c>
      <c r="H686" s="311">
        <v>2.4706933194152501</v>
      </c>
      <c r="I686" s="311">
        <v>0.64268311101104514</v>
      </c>
      <c r="J686" s="311">
        <v>2.8613912843013199E-2</v>
      </c>
      <c r="K686" s="311">
        <v>2.2144698777072267E-4</v>
      </c>
      <c r="L686" s="518">
        <v>2.9907707009416602E-2</v>
      </c>
      <c r="M686" s="519">
        <v>2.3145983790126074E-4</v>
      </c>
    </row>
    <row r="687" spans="2:13" ht="15.75" x14ac:dyDescent="0.25">
      <c r="B687" s="212">
        <v>2043</v>
      </c>
      <c r="C687" s="309">
        <v>2019</v>
      </c>
      <c r="D687" s="250" t="s">
        <v>4153</v>
      </c>
      <c r="E687" s="517">
        <v>0.15336257472335679</v>
      </c>
      <c r="F687" s="310">
        <v>2.1147733112295199E-2</v>
      </c>
      <c r="G687" s="311">
        <v>5.4386607906505555E-2</v>
      </c>
      <c r="H687" s="311">
        <v>2.4706933194152501</v>
      </c>
      <c r="I687" s="311">
        <v>0.64268311101104325</v>
      </c>
      <c r="J687" s="311">
        <v>2.8613912843013199E-2</v>
      </c>
      <c r="K687" s="311">
        <v>2.2144698777072202E-4</v>
      </c>
      <c r="L687" s="518">
        <v>2.9907707009416602E-2</v>
      </c>
      <c r="M687" s="519">
        <v>2.3145983790126006E-4</v>
      </c>
    </row>
    <row r="688" spans="2:13" ht="15.75" x14ac:dyDescent="0.25">
      <c r="B688" s="212">
        <v>2043</v>
      </c>
      <c r="C688" s="309">
        <v>2020</v>
      </c>
      <c r="D688" s="250" t="s">
        <v>4154</v>
      </c>
      <c r="E688" s="517">
        <v>0.15336257472335671</v>
      </c>
      <c r="F688" s="310">
        <v>2.1147733112295199E-2</v>
      </c>
      <c r="G688" s="311">
        <v>5.4386607906505485E-2</v>
      </c>
      <c r="H688" s="311">
        <v>2.4706933194152501</v>
      </c>
      <c r="I688" s="311">
        <v>0.64268311101104247</v>
      </c>
      <c r="J688" s="311">
        <v>2.8613912843013199E-2</v>
      </c>
      <c r="K688" s="311">
        <v>2.2144698777072175E-4</v>
      </c>
      <c r="L688" s="518">
        <v>2.9907707009416501E-2</v>
      </c>
      <c r="M688" s="519">
        <v>2.3145983790125979E-4</v>
      </c>
    </row>
    <row r="689" spans="2:13" ht="15.75" x14ac:dyDescent="0.25">
      <c r="B689" s="212">
        <v>2043</v>
      </c>
      <c r="C689" s="309">
        <v>2021</v>
      </c>
      <c r="D689" s="250" t="s">
        <v>4155</v>
      </c>
      <c r="E689" s="517">
        <v>0.13870014725122159</v>
      </c>
      <c r="F689" s="310">
        <v>2.1147733112295199E-2</v>
      </c>
      <c r="G689" s="311">
        <v>5.438660790650552E-2</v>
      </c>
      <c r="H689" s="311">
        <v>2.4706933194152501</v>
      </c>
      <c r="I689" s="311">
        <v>0.64268311101104292</v>
      </c>
      <c r="J689" s="311">
        <v>2.8613912843013199E-2</v>
      </c>
      <c r="K689" s="311">
        <v>2.2144698777072189E-4</v>
      </c>
      <c r="L689" s="518">
        <v>2.9907707009416602E-2</v>
      </c>
      <c r="M689" s="519">
        <v>2.314598379012599E-4</v>
      </c>
    </row>
    <row r="690" spans="2:13" ht="15.75" x14ac:dyDescent="0.25">
      <c r="B690" s="212">
        <v>2043</v>
      </c>
      <c r="C690" s="309">
        <v>2022</v>
      </c>
      <c r="D690" s="250" t="s">
        <v>4156</v>
      </c>
      <c r="E690" s="517">
        <v>0.13870014725122179</v>
      </c>
      <c r="F690" s="310">
        <v>2.1147733112295199E-2</v>
      </c>
      <c r="G690" s="311">
        <v>5.4386607906505499E-2</v>
      </c>
      <c r="H690" s="311">
        <v>2.4706933194152501</v>
      </c>
      <c r="I690" s="311">
        <v>0.64268311101104403</v>
      </c>
      <c r="J690" s="311">
        <v>2.8613912843013199E-2</v>
      </c>
      <c r="K690" s="311">
        <v>2.2144698777072183E-4</v>
      </c>
      <c r="L690" s="518">
        <v>2.9907707009416602E-2</v>
      </c>
      <c r="M690" s="519">
        <v>2.3145983790125984E-4</v>
      </c>
    </row>
    <row r="691" spans="2:13" ht="15.75" x14ac:dyDescent="0.25">
      <c r="B691" s="212">
        <v>2043</v>
      </c>
      <c r="C691" s="309">
        <v>2023</v>
      </c>
      <c r="D691" s="250" t="s">
        <v>4157</v>
      </c>
      <c r="E691" s="517">
        <v>0.13870014725122246</v>
      </c>
      <c r="F691" s="310">
        <v>2.1147733112295199E-2</v>
      </c>
      <c r="G691" s="311">
        <v>5.4386607906505728E-2</v>
      </c>
      <c r="H691" s="311">
        <v>2.4706933194152501</v>
      </c>
      <c r="I691" s="311">
        <v>0.64268311101104536</v>
      </c>
      <c r="J691" s="311">
        <v>2.8613912843013199E-2</v>
      </c>
      <c r="K691" s="311">
        <v>2.2144698777072278E-4</v>
      </c>
      <c r="L691" s="518">
        <v>2.9907707009416602E-2</v>
      </c>
      <c r="M691" s="519">
        <v>2.3145983790126082E-4</v>
      </c>
    </row>
    <row r="692" spans="2:13" ht="15.75" x14ac:dyDescent="0.25">
      <c r="B692" s="212">
        <v>2043</v>
      </c>
      <c r="C692" s="309">
        <v>2024</v>
      </c>
      <c r="D692" s="250" t="s">
        <v>4158</v>
      </c>
      <c r="E692" s="517">
        <v>0.12820381181346166</v>
      </c>
      <c r="F692" s="310">
        <v>2.1147733112295199E-2</v>
      </c>
      <c r="G692" s="311">
        <v>5.4386607906505485E-2</v>
      </c>
      <c r="H692" s="311">
        <v>2.4706933194152501</v>
      </c>
      <c r="I692" s="311">
        <v>0.64268311101104381</v>
      </c>
      <c r="J692" s="311">
        <v>2.8613912843013199E-2</v>
      </c>
      <c r="K692" s="311">
        <v>2.2144698777072175E-4</v>
      </c>
      <c r="L692" s="518">
        <v>2.9907707009416501E-2</v>
      </c>
      <c r="M692" s="519">
        <v>2.3145983790125979E-4</v>
      </c>
    </row>
    <row r="693" spans="2:13" ht="15.75" x14ac:dyDescent="0.25">
      <c r="B693" s="212">
        <v>2043</v>
      </c>
      <c r="C693" s="309">
        <v>2025</v>
      </c>
      <c r="D693" s="250" t="s">
        <v>4159</v>
      </c>
      <c r="E693" s="517">
        <v>0.12820381181346158</v>
      </c>
      <c r="F693" s="310">
        <v>2.1147733112295199E-2</v>
      </c>
      <c r="G693" s="311">
        <v>5.4386607906505381E-2</v>
      </c>
      <c r="H693" s="311">
        <v>2.4706933194152501</v>
      </c>
      <c r="I693" s="311">
        <v>0.64268311101104258</v>
      </c>
      <c r="J693" s="311">
        <v>2.8613912843013199E-2</v>
      </c>
      <c r="K693" s="311">
        <v>2.2144698777072132E-4</v>
      </c>
      <c r="L693" s="518">
        <v>2.9907707009416602E-2</v>
      </c>
      <c r="M693" s="519">
        <v>2.3145983790125933E-4</v>
      </c>
    </row>
    <row r="694" spans="2:13" ht="15.75" x14ac:dyDescent="0.25">
      <c r="B694" s="212">
        <v>2043</v>
      </c>
      <c r="C694" s="309">
        <v>2026</v>
      </c>
      <c r="D694" s="250" t="s">
        <v>4160</v>
      </c>
      <c r="E694" s="517">
        <v>0.12820381181346166</v>
      </c>
      <c r="F694" s="310">
        <v>2.1147733112295199E-2</v>
      </c>
      <c r="G694" s="311">
        <v>5.4386607906505458E-2</v>
      </c>
      <c r="H694" s="311">
        <v>2.4706933194152501</v>
      </c>
      <c r="I694" s="311">
        <v>0.64268311101104358</v>
      </c>
      <c r="J694" s="311">
        <v>2.8613912843013199E-2</v>
      </c>
      <c r="K694" s="311">
        <v>2.2144698777072216E-4</v>
      </c>
      <c r="L694" s="518">
        <v>2.9907707009416602E-2</v>
      </c>
      <c r="M694" s="519">
        <v>2.314598379012602E-4</v>
      </c>
    </row>
    <row r="695" spans="2:13" ht="15.75" x14ac:dyDescent="0.25">
      <c r="B695" s="212">
        <v>2043</v>
      </c>
      <c r="C695" s="309">
        <v>2027</v>
      </c>
      <c r="D695" s="250" t="s">
        <v>4161</v>
      </c>
      <c r="E695" s="517">
        <v>0.12358650222301698</v>
      </c>
      <c r="F695" s="310">
        <v>2.1145923496942502E-2</v>
      </c>
      <c r="G695" s="311">
        <v>5.4386607906505131E-2</v>
      </c>
      <c r="H695" s="311">
        <v>2.47040037068796</v>
      </c>
      <c r="I695" s="311">
        <v>0.64268311101103826</v>
      </c>
      <c r="J695" s="311">
        <v>2.8609497537713299E-2</v>
      </c>
      <c r="K695" s="311">
        <v>2.2144698777072029E-4</v>
      </c>
      <c r="L695" s="518">
        <v>2.9903092063603601E-2</v>
      </c>
      <c r="M695" s="519">
        <v>2.3145983790125827E-4</v>
      </c>
    </row>
    <row r="696" spans="2:13" ht="15.75" x14ac:dyDescent="0.25">
      <c r="B696" s="212">
        <v>2043</v>
      </c>
      <c r="C696" s="309">
        <v>2028</v>
      </c>
      <c r="D696" s="250" t="s">
        <v>4162</v>
      </c>
      <c r="E696" s="517">
        <v>0.12358650222301726</v>
      </c>
      <c r="F696" s="310">
        <v>2.08856360750732E-2</v>
      </c>
      <c r="G696" s="311">
        <v>5.4386607906505499E-2</v>
      </c>
      <c r="H696" s="311">
        <v>2.4282638642458299</v>
      </c>
      <c r="I696" s="311">
        <v>0.64268311101104425</v>
      </c>
      <c r="J696" s="311">
        <v>2.79744186898335E-2</v>
      </c>
      <c r="K696" s="311">
        <v>2.2144698777072235E-4</v>
      </c>
      <c r="L696" s="518">
        <v>2.92392977683433E-2</v>
      </c>
      <c r="M696" s="519">
        <v>2.3145983790126039E-4</v>
      </c>
    </row>
    <row r="697" spans="2:13" ht="15.75" x14ac:dyDescent="0.25">
      <c r="B697" s="212">
        <v>2043</v>
      </c>
      <c r="C697" s="309">
        <v>2029</v>
      </c>
      <c r="D697" s="250" t="s">
        <v>4163</v>
      </c>
      <c r="E697" s="517">
        <v>0.1224798739769561</v>
      </c>
      <c r="F697" s="310">
        <v>2.05964278285517E-2</v>
      </c>
      <c r="G697" s="311">
        <v>4.8947947115854998E-2</v>
      </c>
      <c r="H697" s="311">
        <v>2.3814455237545702</v>
      </c>
      <c r="I697" s="311">
        <v>0.57841479990993894</v>
      </c>
      <c r="J697" s="311">
        <v>2.7268775525522499E-2</v>
      </c>
      <c r="K697" s="311">
        <v>1.9930228899364981E-4</v>
      </c>
      <c r="L697" s="518">
        <v>2.8501748551387401E-2</v>
      </c>
      <c r="M697" s="519">
        <v>2.0831385411113404E-4</v>
      </c>
    </row>
    <row r="698" spans="2:13" ht="15.75" x14ac:dyDescent="0.25">
      <c r="B698" s="212">
        <v>2043</v>
      </c>
      <c r="C698" s="309">
        <v>2030</v>
      </c>
      <c r="D698" s="250" t="s">
        <v>4164</v>
      </c>
      <c r="E698" s="517">
        <v>0.12148390855550037</v>
      </c>
      <c r="F698" s="310">
        <v>2.02750853324167E-2</v>
      </c>
      <c r="G698" s="311">
        <v>4.4053152404269505E-2</v>
      </c>
      <c r="H698" s="311">
        <v>2.32942514543095</v>
      </c>
      <c r="I698" s="311">
        <v>0.52057331991894518</v>
      </c>
      <c r="J698" s="311">
        <v>2.6484727565177099E-2</v>
      </c>
      <c r="K698" s="311">
        <v>1.7937206009428487E-4</v>
      </c>
      <c r="L698" s="518">
        <v>2.7682249421436399E-2</v>
      </c>
      <c r="M698" s="519">
        <v>1.8748246870002068E-4</v>
      </c>
    </row>
    <row r="699" spans="2:13" ht="15.75" x14ac:dyDescent="0.25">
      <c r="B699" s="212">
        <v>2043</v>
      </c>
      <c r="C699" s="309">
        <v>2031</v>
      </c>
      <c r="D699" s="250" t="s">
        <v>4165</v>
      </c>
      <c r="E699" s="517">
        <v>0.12058753967619194</v>
      </c>
      <c r="F699" s="310">
        <v>1.99180381144889E-2</v>
      </c>
      <c r="G699" s="311">
        <v>3.9647837163842688E-2</v>
      </c>
      <c r="H699" s="311">
        <v>2.2716247250713701</v>
      </c>
      <c r="I699" s="311">
        <v>0.46851598792705218</v>
      </c>
      <c r="J699" s="311">
        <v>2.5613563164793199E-2</v>
      </c>
      <c r="K699" s="311">
        <v>1.6143485408485692E-4</v>
      </c>
      <c r="L699" s="518">
        <v>2.6771694832601899E-2</v>
      </c>
      <c r="M699" s="519">
        <v>1.6873422183001917E-4</v>
      </c>
    </row>
    <row r="700" spans="2:13" ht="15.75" x14ac:dyDescent="0.25">
      <c r="B700" s="212">
        <v>2043</v>
      </c>
      <c r="C700" s="309">
        <v>2032</v>
      </c>
      <c r="D700" s="250" t="s">
        <v>4166</v>
      </c>
      <c r="E700" s="517">
        <v>0.11978080768481339</v>
      </c>
      <c r="F700" s="310">
        <v>1.9521318983457998E-2</v>
      </c>
      <c r="G700" s="311">
        <v>3.5683053447458202E-2</v>
      </c>
      <c r="H700" s="311">
        <v>2.20740203578295</v>
      </c>
      <c r="I700" s="311">
        <v>0.42166438913434451</v>
      </c>
      <c r="J700" s="311">
        <v>2.4645602719922301E-2</v>
      </c>
      <c r="K700" s="311">
        <v>1.4529136867637036E-4</v>
      </c>
      <c r="L700" s="518">
        <v>2.5759967511674801E-2</v>
      </c>
      <c r="M700" s="519">
        <v>1.5186079964701635E-4</v>
      </c>
    </row>
    <row r="701" spans="2:13" ht="15.75" x14ac:dyDescent="0.25">
      <c r="B701" s="212">
        <v>2043</v>
      </c>
      <c r="C701" s="309">
        <v>2033</v>
      </c>
      <c r="D701" s="250" t="s">
        <v>4167</v>
      </c>
      <c r="E701" s="517">
        <v>0.11905474889257303</v>
      </c>
      <c r="F701" s="310">
        <v>1.9080519948979299E-2</v>
      </c>
      <c r="G701" s="311">
        <v>3.2114748102712351E-2</v>
      </c>
      <c r="H701" s="311">
        <v>2.1360434921291498</v>
      </c>
      <c r="I701" s="311">
        <v>0.37949795022091043</v>
      </c>
      <c r="J701" s="311">
        <v>2.3570091114510101E-2</v>
      </c>
      <c r="K701" s="311">
        <v>1.3076223180873318E-4</v>
      </c>
      <c r="L701" s="518">
        <v>2.4635826043978001E-2</v>
      </c>
      <c r="M701" s="519">
        <v>1.3667471968231457E-4</v>
      </c>
    </row>
    <row r="702" spans="2:13" ht="15.75" x14ac:dyDescent="0.25">
      <c r="B702" s="212">
        <v>2043</v>
      </c>
      <c r="C702" s="309">
        <v>2034</v>
      </c>
      <c r="D702" s="250" t="s">
        <v>4168</v>
      </c>
      <c r="E702" s="517">
        <v>0.11840129597955629</v>
      </c>
      <c r="F702" s="310">
        <v>1.8590743244002901E-2</v>
      </c>
      <c r="G702" s="311">
        <v>2.8903273292441214E-2</v>
      </c>
      <c r="H702" s="311">
        <v>2.05675622140271</v>
      </c>
      <c r="I702" s="311">
        <v>0.34154815519881981</v>
      </c>
      <c r="J702" s="311">
        <v>2.23750782196077E-2</v>
      </c>
      <c r="K702" s="311">
        <v>1.1768600862786028E-4</v>
      </c>
      <c r="L702" s="518">
        <v>2.3386779968759298E-2</v>
      </c>
      <c r="M702" s="519">
        <v>1.2300724771408352E-4</v>
      </c>
    </row>
    <row r="703" spans="2:13" ht="15.75" x14ac:dyDescent="0.25">
      <c r="B703" s="212">
        <v>2043</v>
      </c>
      <c r="C703" s="309">
        <v>2035</v>
      </c>
      <c r="D703" s="250" t="s">
        <v>4169</v>
      </c>
      <c r="E703" s="517">
        <v>0.11781318835784146</v>
      </c>
      <c r="F703" s="310">
        <v>1.80465469051403E-2</v>
      </c>
      <c r="G703" s="311">
        <v>2.6012945963197084E-2</v>
      </c>
      <c r="H703" s="311">
        <v>1.9686592539288801</v>
      </c>
      <c r="I703" s="311">
        <v>0.30739333967893773</v>
      </c>
      <c r="J703" s="311">
        <v>2.1047286114160599E-2</v>
      </c>
      <c r="K703" s="311">
        <v>1.0591740776507421E-4</v>
      </c>
      <c r="L703" s="518">
        <v>2.1998950996294099E-2</v>
      </c>
      <c r="M703" s="519">
        <v>1.1070652294267513E-4</v>
      </c>
    </row>
    <row r="704" spans="2:13" ht="15.75" x14ac:dyDescent="0.25">
      <c r="B704" s="212">
        <v>2043</v>
      </c>
      <c r="C704" s="309">
        <v>2036</v>
      </c>
      <c r="D704" s="250" t="s">
        <v>4170</v>
      </c>
      <c r="E704" s="517">
        <v>0.1178131883578413</v>
      </c>
      <c r="F704" s="310">
        <v>1.7441884306404001E-2</v>
      </c>
      <c r="G704" s="311">
        <v>2.6012945963197105E-2</v>
      </c>
      <c r="H704" s="311">
        <v>1.87077373451352</v>
      </c>
      <c r="I704" s="311">
        <v>0.30739333967893795</v>
      </c>
      <c r="J704" s="311">
        <v>1.95719615525527E-2</v>
      </c>
      <c r="K704" s="311">
        <v>1.0591740776507428E-4</v>
      </c>
      <c r="L704" s="518">
        <v>2.0456918804666099E-2</v>
      </c>
      <c r="M704" s="519">
        <v>1.1070652294267521E-4</v>
      </c>
    </row>
    <row r="705" spans="2:13" ht="15.75" x14ac:dyDescent="0.25">
      <c r="B705" s="212">
        <v>2043</v>
      </c>
      <c r="C705" s="309">
        <v>2037</v>
      </c>
      <c r="D705" s="250" t="s">
        <v>4171</v>
      </c>
      <c r="E705" s="517">
        <v>0.11781318835784121</v>
      </c>
      <c r="F705" s="310">
        <v>1.6837221707667799E-2</v>
      </c>
      <c r="G705" s="311">
        <v>2.6012945963197049E-2</v>
      </c>
      <c r="H705" s="311">
        <v>1.77288821509816</v>
      </c>
      <c r="I705" s="311">
        <v>0.30739333967893734</v>
      </c>
      <c r="J705" s="311">
        <v>1.8096636990944801E-2</v>
      </c>
      <c r="K705" s="311">
        <v>1.0591740776507408E-4</v>
      </c>
      <c r="L705" s="518">
        <v>1.8914886613038001E-2</v>
      </c>
      <c r="M705" s="519">
        <v>1.10706522942675E-4</v>
      </c>
    </row>
    <row r="706" spans="2:13" ht="15.75" x14ac:dyDescent="0.25">
      <c r="B706" s="212">
        <v>2043</v>
      </c>
      <c r="C706" s="309">
        <v>2038</v>
      </c>
      <c r="D706" s="250" t="s">
        <v>4172</v>
      </c>
      <c r="E706" s="517">
        <v>0.11781318835784103</v>
      </c>
      <c r="F706" s="310">
        <v>1.62325591089315E-2</v>
      </c>
      <c r="G706" s="311">
        <v>2.6012945963196973E-2</v>
      </c>
      <c r="H706" s="311">
        <v>1.6750026956827899</v>
      </c>
      <c r="I706" s="311">
        <v>0.30739333967893645</v>
      </c>
      <c r="J706" s="311">
        <v>1.6621312429336899E-2</v>
      </c>
      <c r="K706" s="311">
        <v>1.0591740776507374E-4</v>
      </c>
      <c r="L706" s="518">
        <v>1.7372854421410001E-2</v>
      </c>
      <c r="M706" s="519">
        <v>1.1070652294267466E-4</v>
      </c>
    </row>
    <row r="707" spans="2:13" ht="15.75" x14ac:dyDescent="0.25">
      <c r="B707" s="212">
        <v>2043</v>
      </c>
      <c r="C707" s="309">
        <v>2039</v>
      </c>
      <c r="D707" s="250" t="s">
        <v>4173</v>
      </c>
      <c r="E707" s="517">
        <v>0.11781318835784159</v>
      </c>
      <c r="F707" s="310">
        <v>1.5627896510195201E-2</v>
      </c>
      <c r="G707" s="311">
        <v>2.6012945963197059E-2</v>
      </c>
      <c r="H707" s="311">
        <v>1.5771171762674301</v>
      </c>
      <c r="I707" s="311">
        <v>0.30739333967893806</v>
      </c>
      <c r="J707" s="311">
        <v>1.5145987867728999E-2</v>
      </c>
      <c r="K707" s="311">
        <v>1.0591740776507412E-4</v>
      </c>
      <c r="L707" s="518">
        <v>1.5830822229782E-2</v>
      </c>
      <c r="M707" s="519">
        <v>1.1070652294267504E-4</v>
      </c>
    </row>
    <row r="708" spans="2:13" ht="15.75" x14ac:dyDescent="0.25">
      <c r="B708" s="212">
        <v>2043</v>
      </c>
      <c r="C708" s="309">
        <v>2040</v>
      </c>
      <c r="D708" s="250" t="s">
        <v>4174</v>
      </c>
      <c r="E708" s="517">
        <v>0.11781318835784141</v>
      </c>
      <c r="F708" s="310">
        <v>1.5023233911459001E-2</v>
      </c>
      <c r="G708" s="311">
        <v>2.6012945963197052E-2</v>
      </c>
      <c r="H708" s="311">
        <v>1.47923165685207</v>
      </c>
      <c r="I708" s="311">
        <v>0.30739333967893734</v>
      </c>
      <c r="J708" s="311">
        <v>1.3670663306121199E-2</v>
      </c>
      <c r="K708" s="311">
        <v>1.0591740776507408E-4</v>
      </c>
      <c r="L708" s="518">
        <v>1.4288790038154E-2</v>
      </c>
      <c r="M708" s="519">
        <v>1.1070652294267501E-4</v>
      </c>
    </row>
    <row r="709" spans="2:13" ht="15.75" x14ac:dyDescent="0.25">
      <c r="B709" s="212">
        <v>2043</v>
      </c>
      <c r="C709" s="309">
        <v>2041</v>
      </c>
      <c r="D709" s="250" t="s">
        <v>4175</v>
      </c>
      <c r="E709" s="517">
        <v>0.11781318835784144</v>
      </c>
      <c r="F709" s="310">
        <v>1.44185713127227E-2</v>
      </c>
      <c r="G709" s="311">
        <v>2.6012945963197077E-2</v>
      </c>
      <c r="H709" s="311">
        <v>1.3813461374367</v>
      </c>
      <c r="I709" s="311">
        <v>0.30739333967893762</v>
      </c>
      <c r="J709" s="311">
        <v>1.21953387445133E-2</v>
      </c>
      <c r="K709" s="311">
        <v>1.0591740776507417E-4</v>
      </c>
      <c r="L709" s="518">
        <v>1.2746757846525901E-2</v>
      </c>
      <c r="M709" s="519">
        <v>1.107065229426751E-4</v>
      </c>
    </row>
    <row r="710" spans="2:13" ht="15.75" x14ac:dyDescent="0.25">
      <c r="B710" s="212">
        <v>2043</v>
      </c>
      <c r="C710" s="309">
        <v>2042</v>
      </c>
      <c r="D710" s="250" t="s">
        <v>4176</v>
      </c>
      <c r="E710" s="517">
        <v>0.11781318835784127</v>
      </c>
      <c r="F710" s="310">
        <v>1.3813908713986399E-2</v>
      </c>
      <c r="G710" s="311">
        <v>2.6012945963197049E-2</v>
      </c>
      <c r="H710" s="311">
        <v>1.2834606180213399</v>
      </c>
      <c r="I710" s="311">
        <v>0.30739333967893812</v>
      </c>
      <c r="J710" s="311">
        <v>1.0720014182905401E-2</v>
      </c>
      <c r="K710" s="311">
        <v>1.0591740776507433E-4</v>
      </c>
      <c r="L710" s="518">
        <v>1.12047256548979E-2</v>
      </c>
      <c r="M710" s="519">
        <v>1.1070652294267528E-4</v>
      </c>
    </row>
    <row r="711" spans="2:13" ht="15.75" x14ac:dyDescent="0.25">
      <c r="B711" s="212">
        <v>2043</v>
      </c>
      <c r="C711" s="309">
        <v>2043</v>
      </c>
      <c r="D711" s="250" t="s">
        <v>4177</v>
      </c>
      <c r="E711" s="517">
        <v>0.1178131883578411</v>
      </c>
      <c r="F711" s="310">
        <v>1.3209246115250199E-2</v>
      </c>
      <c r="G711" s="311">
        <v>2.6012945963197105E-2</v>
      </c>
      <c r="H711" s="311">
        <v>1.1855750986059801</v>
      </c>
      <c r="I711" s="311">
        <v>0.30739333967893795</v>
      </c>
      <c r="J711" s="311">
        <v>9.2446896212975103E-3</v>
      </c>
      <c r="K711" s="311">
        <v>1.0591740776507428E-4</v>
      </c>
      <c r="L711" s="518">
        <v>9.6626934632699502E-3</v>
      </c>
      <c r="M711" s="519">
        <v>1.1070652294267523E-4</v>
      </c>
    </row>
    <row r="712" spans="2:13" ht="15.75" x14ac:dyDescent="0.25">
      <c r="B712" s="212">
        <v>2043</v>
      </c>
      <c r="C712" s="309">
        <v>2044</v>
      </c>
      <c r="D712" s="250" t="s">
        <v>4517</v>
      </c>
      <c r="E712" s="517">
        <v>0.12522334439144858</v>
      </c>
      <c r="F712" s="310">
        <v>1.26045835165139E-2</v>
      </c>
      <c r="G712" s="311">
        <v>6.2431070311672734E-2</v>
      </c>
      <c r="H712" s="311">
        <v>1.08768957919062</v>
      </c>
      <c r="I712" s="311">
        <v>0.73774401522944888</v>
      </c>
      <c r="J712" s="311">
        <v>7.7693650596896103E-3</v>
      </c>
      <c r="K712" s="311">
        <v>2.5420177863617698E-4</v>
      </c>
      <c r="L712" s="518">
        <v>8.1206612716419203E-3</v>
      </c>
      <c r="M712" s="519">
        <v>2.6569565506241922E-4</v>
      </c>
    </row>
    <row r="713" spans="2:13" ht="15.75" x14ac:dyDescent="0.25">
      <c r="B713" s="212">
        <v>2044</v>
      </c>
      <c r="C713" s="309">
        <v>2012</v>
      </c>
      <c r="D713" s="250" t="s">
        <v>4190</v>
      </c>
      <c r="E713" s="517">
        <v>0.18035348904281714</v>
      </c>
      <c r="F713" s="310">
        <v>2.6217189614944601E-2</v>
      </c>
      <c r="G713" s="311">
        <v>5.4386614855959192E-2</v>
      </c>
      <c r="H713" s="311">
        <v>4.5264654135145701</v>
      </c>
      <c r="I713" s="311">
        <v>0.64268319313229805</v>
      </c>
      <c r="J713" s="311">
        <v>4.0268722939827403E-2</v>
      </c>
      <c r="K713" s="311">
        <v>2.2144701606694484E-4</v>
      </c>
      <c r="L713" s="518">
        <v>4.2089495901354801E-2</v>
      </c>
      <c r="M713" s="519">
        <v>2.3145986747691251E-4</v>
      </c>
    </row>
    <row r="714" spans="2:13" ht="15.75" x14ac:dyDescent="0.25">
      <c r="B714" s="212">
        <v>2044</v>
      </c>
      <c r="C714" s="309">
        <v>2013</v>
      </c>
      <c r="D714" s="250" t="s">
        <v>4191</v>
      </c>
      <c r="E714" s="517">
        <v>0.17913410328232343</v>
      </c>
      <c r="F714" s="310">
        <v>2.5706594416466201E-2</v>
      </c>
      <c r="G714" s="311">
        <v>5.4386618238539713E-2</v>
      </c>
      <c r="H714" s="311">
        <v>4.2933635574354598</v>
      </c>
      <c r="I714" s="311">
        <v>0.64268323310403985</v>
      </c>
      <c r="J714" s="311">
        <v>3.9108404064908897E-2</v>
      </c>
      <c r="K714" s="311">
        <v>2.2144702983986243E-4</v>
      </c>
      <c r="L714" s="518">
        <v>4.0876712555751198E-2</v>
      </c>
      <c r="M714" s="519">
        <v>2.3145988187258033E-4</v>
      </c>
    </row>
    <row r="715" spans="2:13" ht="15.75" x14ac:dyDescent="0.25">
      <c r="B715" s="212">
        <v>2044</v>
      </c>
      <c r="C715" s="309">
        <v>2014</v>
      </c>
      <c r="D715" s="250" t="s">
        <v>4192</v>
      </c>
      <c r="E715" s="517">
        <v>0.16141257551080504</v>
      </c>
      <c r="F715" s="310">
        <v>2.2052119268449698E-2</v>
      </c>
      <c r="G715" s="311">
        <v>5.4386617427523605E-2</v>
      </c>
      <c r="H715" s="311">
        <v>2.7968095716404999</v>
      </c>
      <c r="I715" s="311">
        <v>0.64268322352031371</v>
      </c>
      <c r="J715" s="311">
        <v>3.0699761704433799E-2</v>
      </c>
      <c r="K715" s="311">
        <v>2.2144702653763268E-4</v>
      </c>
      <c r="L715" s="518">
        <v>3.2087868700533401E-2</v>
      </c>
      <c r="M715" s="519">
        <v>2.314598784210384E-4</v>
      </c>
    </row>
    <row r="716" spans="2:13" ht="15.75" x14ac:dyDescent="0.25">
      <c r="B716" s="212">
        <v>2044</v>
      </c>
      <c r="C716" s="309">
        <v>2015</v>
      </c>
      <c r="D716" s="250" t="s">
        <v>4193</v>
      </c>
      <c r="E716" s="517">
        <v>0.15939014331912596</v>
      </c>
      <c r="F716" s="310">
        <v>2.1149906149461901E-2</v>
      </c>
      <c r="G716" s="311">
        <v>5.4386617642844672E-2</v>
      </c>
      <c r="H716" s="311">
        <v>2.4704099324742899</v>
      </c>
      <c r="I716" s="311">
        <v>0.64268322606474926</v>
      </c>
      <c r="J716" s="311">
        <v>2.8625119115847499E-2</v>
      </c>
      <c r="K716" s="311">
        <v>2.2144702741435957E-4</v>
      </c>
      <c r="L716" s="518">
        <v>2.99194199801813E-2</v>
      </c>
      <c r="M716" s="519">
        <v>2.3145987933740697E-4</v>
      </c>
    </row>
    <row r="717" spans="2:13" ht="15.75" x14ac:dyDescent="0.25">
      <c r="B717" s="212">
        <v>2044</v>
      </c>
      <c r="C717" s="309">
        <v>2016</v>
      </c>
      <c r="D717" s="250" t="s">
        <v>4194</v>
      </c>
      <c r="E717" s="517">
        <v>0.1593921184353663</v>
      </c>
      <c r="F717" s="310">
        <v>2.1151049784531702E-2</v>
      </c>
      <c r="G717" s="311">
        <v>5.4386616621893508E-2</v>
      </c>
      <c r="H717" s="311">
        <v>2.4703918311161002</v>
      </c>
      <c r="I717" s="311">
        <v>0.64268321400023232</v>
      </c>
      <c r="J717" s="311">
        <v>2.8629185425932499E-2</v>
      </c>
      <c r="K717" s="311">
        <v>2.2144702325733323E-4</v>
      </c>
      <c r="L717" s="518">
        <v>2.99236701507644E-2</v>
      </c>
      <c r="M717" s="519">
        <v>2.3145987499241836E-4</v>
      </c>
    </row>
    <row r="718" spans="2:13" ht="15.75" x14ac:dyDescent="0.25">
      <c r="B718" s="212">
        <v>2044</v>
      </c>
      <c r="C718" s="309">
        <v>2017</v>
      </c>
      <c r="D718" s="250" t="s">
        <v>4195</v>
      </c>
      <c r="E718" s="517">
        <v>0.15336257521464752</v>
      </c>
      <c r="F718" s="310">
        <v>2.1147735501241299E-2</v>
      </c>
      <c r="G718" s="311">
        <v>5.4386608016184453E-2</v>
      </c>
      <c r="H718" s="311">
        <v>2.4706928651279401</v>
      </c>
      <c r="I718" s="311">
        <v>0.64268311230711195</v>
      </c>
      <c r="J718" s="311">
        <v>2.8613927252339699E-2</v>
      </c>
      <c r="K718" s="311">
        <v>2.214469882173037E-4</v>
      </c>
      <c r="L718" s="518">
        <v>2.9907722070268799E-2</v>
      </c>
      <c r="M718" s="519">
        <v>2.3145983836803417E-4</v>
      </c>
    </row>
    <row r="719" spans="2:13" ht="15.75" x14ac:dyDescent="0.25">
      <c r="B719" s="212">
        <v>2044</v>
      </c>
      <c r="C719" s="309">
        <v>2018</v>
      </c>
      <c r="D719" s="250" t="s">
        <v>4196</v>
      </c>
      <c r="E719" s="517">
        <v>0.1533625752146483</v>
      </c>
      <c r="F719" s="310">
        <v>2.1147735501241299E-2</v>
      </c>
      <c r="G719" s="311">
        <v>5.4386608016184869E-2</v>
      </c>
      <c r="H719" s="311">
        <v>2.4706928651279401</v>
      </c>
      <c r="I719" s="311">
        <v>0.64268311230711683</v>
      </c>
      <c r="J719" s="311">
        <v>2.8613927252339699E-2</v>
      </c>
      <c r="K719" s="311">
        <v>2.2144698821730538E-4</v>
      </c>
      <c r="L719" s="518">
        <v>2.9907722070268799E-2</v>
      </c>
      <c r="M719" s="519">
        <v>2.3145983836803593E-4</v>
      </c>
    </row>
    <row r="720" spans="2:13" ht="15.75" x14ac:dyDescent="0.25">
      <c r="B720" s="212">
        <v>2044</v>
      </c>
      <c r="C720" s="309">
        <v>2019</v>
      </c>
      <c r="D720" s="250" t="s">
        <v>4197</v>
      </c>
      <c r="E720" s="517">
        <v>0.15336257521464813</v>
      </c>
      <c r="F720" s="310">
        <v>2.11477355012414E-2</v>
      </c>
      <c r="G720" s="311">
        <v>5.4386608016184682E-2</v>
      </c>
      <c r="H720" s="311">
        <v>2.4706928651279401</v>
      </c>
      <c r="I720" s="311">
        <v>0.6426831123071145</v>
      </c>
      <c r="J720" s="311">
        <v>2.8613927252339699E-2</v>
      </c>
      <c r="K720" s="311">
        <v>2.214469882173046E-4</v>
      </c>
      <c r="L720" s="518">
        <v>2.9907722070268799E-2</v>
      </c>
      <c r="M720" s="519">
        <v>2.3145983836803512E-4</v>
      </c>
    </row>
    <row r="721" spans="2:13" ht="15.75" x14ac:dyDescent="0.25">
      <c r="B721" s="212">
        <v>2044</v>
      </c>
      <c r="C721" s="309">
        <v>2020</v>
      </c>
      <c r="D721" s="250" t="s">
        <v>4198</v>
      </c>
      <c r="E721" s="517">
        <v>0.15336257521464786</v>
      </c>
      <c r="F721" s="310">
        <v>2.11477355012414E-2</v>
      </c>
      <c r="G721" s="311">
        <v>5.4386608016184515E-2</v>
      </c>
      <c r="H721" s="311">
        <v>2.4706928651279401</v>
      </c>
      <c r="I721" s="311">
        <v>0.64268311230711261</v>
      </c>
      <c r="J721" s="311">
        <v>2.8613927252339699E-2</v>
      </c>
      <c r="K721" s="311">
        <v>2.2144698821730395E-4</v>
      </c>
      <c r="L721" s="518">
        <v>2.9907722070268799E-2</v>
      </c>
      <c r="M721" s="519">
        <v>2.3145983836803444E-4</v>
      </c>
    </row>
    <row r="722" spans="2:13" ht="15.75" x14ac:dyDescent="0.25">
      <c r="B722" s="212">
        <v>2044</v>
      </c>
      <c r="C722" s="309">
        <v>2021</v>
      </c>
      <c r="D722" s="250" t="s">
        <v>4199</v>
      </c>
      <c r="E722" s="517">
        <v>0.13870014769554229</v>
      </c>
      <c r="F722" s="310">
        <v>2.1147735501241299E-2</v>
      </c>
      <c r="G722" s="311">
        <v>5.4386608016184577E-2</v>
      </c>
      <c r="H722" s="311">
        <v>2.4706928651279401</v>
      </c>
      <c r="I722" s="311">
        <v>0.64268311230711339</v>
      </c>
      <c r="J722" s="311">
        <v>2.8613927252339699E-2</v>
      </c>
      <c r="K722" s="311">
        <v>2.2144698821730419E-4</v>
      </c>
      <c r="L722" s="518">
        <v>2.9907722070268799E-2</v>
      </c>
      <c r="M722" s="519">
        <v>2.3145983836803474E-4</v>
      </c>
    </row>
    <row r="723" spans="2:13" ht="15.75" x14ac:dyDescent="0.25">
      <c r="B723" s="212">
        <v>2044</v>
      </c>
      <c r="C723" s="309">
        <v>2022</v>
      </c>
      <c r="D723" s="250" t="s">
        <v>4200</v>
      </c>
      <c r="E723" s="517">
        <v>0.13870014769554215</v>
      </c>
      <c r="F723" s="310">
        <v>2.1147735501241299E-2</v>
      </c>
      <c r="G723" s="311">
        <v>5.4386608016184515E-2</v>
      </c>
      <c r="H723" s="311">
        <v>2.4706928651279401</v>
      </c>
      <c r="I723" s="311">
        <v>0.64268311230711406</v>
      </c>
      <c r="J723" s="311">
        <v>2.8613927252339699E-2</v>
      </c>
      <c r="K723" s="311">
        <v>2.2144698821730392E-4</v>
      </c>
      <c r="L723" s="518">
        <v>2.9907722070268799E-2</v>
      </c>
      <c r="M723" s="519">
        <v>2.3145983836803439E-4</v>
      </c>
    </row>
    <row r="724" spans="2:13" ht="15.75" x14ac:dyDescent="0.25">
      <c r="B724" s="212">
        <v>2044</v>
      </c>
      <c r="C724" s="309">
        <v>2023</v>
      </c>
      <c r="D724" s="250" t="s">
        <v>4201</v>
      </c>
      <c r="E724" s="517">
        <v>0.13870014769554317</v>
      </c>
      <c r="F724" s="310">
        <v>2.1147735501241299E-2</v>
      </c>
      <c r="G724" s="311">
        <v>5.4386608016184848E-2</v>
      </c>
      <c r="H724" s="311">
        <v>2.4706928651279401</v>
      </c>
      <c r="I724" s="311">
        <v>0.64268311230711661</v>
      </c>
      <c r="J724" s="311">
        <v>2.8613927252339699E-2</v>
      </c>
      <c r="K724" s="311">
        <v>2.2144698821730528E-4</v>
      </c>
      <c r="L724" s="518">
        <v>2.9907722070268799E-2</v>
      </c>
      <c r="M724" s="519">
        <v>2.3145983836803585E-4</v>
      </c>
    </row>
    <row r="725" spans="2:13" ht="15.75" x14ac:dyDescent="0.25">
      <c r="B725" s="212">
        <v>2044</v>
      </c>
      <c r="C725" s="309">
        <v>2024</v>
      </c>
      <c r="D725" s="250" t="s">
        <v>4202</v>
      </c>
      <c r="E725" s="517">
        <v>0.12820381222415764</v>
      </c>
      <c r="F725" s="310">
        <v>2.1147735501241299E-2</v>
      </c>
      <c r="G725" s="311">
        <v>5.4386608016184348E-2</v>
      </c>
      <c r="H725" s="311">
        <v>2.4706928651279401</v>
      </c>
      <c r="I725" s="311">
        <v>0.64268311230711217</v>
      </c>
      <c r="J725" s="311">
        <v>2.8613927252339699E-2</v>
      </c>
      <c r="K725" s="311">
        <v>2.2144698821730378E-4</v>
      </c>
      <c r="L725" s="518">
        <v>2.9907722070268799E-2</v>
      </c>
      <c r="M725" s="519">
        <v>2.3145983836803428E-4</v>
      </c>
    </row>
    <row r="726" spans="2:13" ht="15.75" x14ac:dyDescent="0.25">
      <c r="B726" s="212">
        <v>2044</v>
      </c>
      <c r="C726" s="309">
        <v>2025</v>
      </c>
      <c r="D726" s="250" t="s">
        <v>4203</v>
      </c>
      <c r="E726" s="517">
        <v>0.12820381222415703</v>
      </c>
      <c r="F726" s="310">
        <v>2.1147735501241299E-2</v>
      </c>
      <c r="G726" s="311">
        <v>5.4386608016184321E-2</v>
      </c>
      <c r="H726" s="311">
        <v>2.4706928651279401</v>
      </c>
      <c r="I726" s="311">
        <v>0.64268311230711173</v>
      </c>
      <c r="J726" s="311">
        <v>2.8613927252339699E-2</v>
      </c>
      <c r="K726" s="311">
        <v>2.2144698821730316E-4</v>
      </c>
      <c r="L726" s="518">
        <v>2.9907722070268799E-2</v>
      </c>
      <c r="M726" s="519">
        <v>2.314598383680336E-4</v>
      </c>
    </row>
    <row r="727" spans="2:13" ht="15.75" x14ac:dyDescent="0.25">
      <c r="B727" s="212">
        <v>2044</v>
      </c>
      <c r="C727" s="309">
        <v>2026</v>
      </c>
      <c r="D727" s="250" t="s">
        <v>4204</v>
      </c>
      <c r="E727" s="517">
        <v>0.12820381222415744</v>
      </c>
      <c r="F727" s="310">
        <v>2.1147735501241299E-2</v>
      </c>
      <c r="G727" s="311">
        <v>5.4386608016184473E-2</v>
      </c>
      <c r="H727" s="311">
        <v>2.4706928651279401</v>
      </c>
      <c r="I727" s="311">
        <v>0.64268311230711206</v>
      </c>
      <c r="J727" s="311">
        <v>2.8613927252339699E-2</v>
      </c>
      <c r="K727" s="311">
        <v>2.2144698821730376E-4</v>
      </c>
      <c r="L727" s="518">
        <v>2.9907722070268799E-2</v>
      </c>
      <c r="M727" s="519">
        <v>2.3145983836803422E-4</v>
      </c>
    </row>
    <row r="728" spans="2:13" ht="15.75" x14ac:dyDescent="0.25">
      <c r="B728" s="212">
        <v>2044</v>
      </c>
      <c r="C728" s="309">
        <v>2027</v>
      </c>
      <c r="D728" s="250" t="s">
        <v>4205</v>
      </c>
      <c r="E728" s="517">
        <v>0.12358650261892168</v>
      </c>
      <c r="F728" s="310">
        <v>2.1147735501241299E-2</v>
      </c>
      <c r="G728" s="311">
        <v>5.438660801618421E-2</v>
      </c>
      <c r="H728" s="311">
        <v>2.4706928651279401</v>
      </c>
      <c r="I728" s="311">
        <v>0.64268311230710906</v>
      </c>
      <c r="J728" s="311">
        <v>2.8613927252339699E-2</v>
      </c>
      <c r="K728" s="311">
        <v>2.2144698821730273E-4</v>
      </c>
      <c r="L728" s="518">
        <v>2.9907722070268799E-2</v>
      </c>
      <c r="M728" s="519">
        <v>2.3145983836803314E-4</v>
      </c>
    </row>
    <row r="729" spans="2:13" ht="15.75" x14ac:dyDescent="0.25">
      <c r="B729" s="212">
        <v>2044</v>
      </c>
      <c r="C729" s="309">
        <v>2028</v>
      </c>
      <c r="D729" s="250" t="s">
        <v>4206</v>
      </c>
      <c r="E729" s="517">
        <v>0.12358650261892171</v>
      </c>
      <c r="F729" s="310">
        <v>2.1145925885684199E-2</v>
      </c>
      <c r="G729" s="311">
        <v>5.4386608016184355E-2</v>
      </c>
      <c r="H729" s="311">
        <v>2.4703999164545101</v>
      </c>
      <c r="I729" s="311">
        <v>0.64268311230711228</v>
      </c>
      <c r="J729" s="311">
        <v>2.8609511944816299E-2</v>
      </c>
      <c r="K729" s="311">
        <v>2.2144698821730384E-4</v>
      </c>
      <c r="L729" s="518">
        <v>2.99031071221319E-2</v>
      </c>
      <c r="M729" s="519">
        <v>2.3145983836803433E-4</v>
      </c>
    </row>
    <row r="730" spans="2:13" ht="15.75" x14ac:dyDescent="0.25">
      <c r="B730" s="212">
        <v>2044</v>
      </c>
      <c r="C730" s="309">
        <v>2029</v>
      </c>
      <c r="D730" s="250" t="s">
        <v>4207</v>
      </c>
      <c r="E730" s="517">
        <v>0.12358650261892164</v>
      </c>
      <c r="F730" s="310">
        <v>2.0885638434411598E-2</v>
      </c>
      <c r="G730" s="311">
        <v>5.4386608016184453E-2</v>
      </c>
      <c r="H730" s="311">
        <v>2.42826341776003</v>
      </c>
      <c r="I730" s="311">
        <v>0.64268311230711328</v>
      </c>
      <c r="J730" s="311">
        <v>2.79744327771249E-2</v>
      </c>
      <c r="K730" s="311">
        <v>2.214469882173037E-4</v>
      </c>
      <c r="L730" s="518">
        <v>2.92393124925996E-2</v>
      </c>
      <c r="M730" s="519">
        <v>2.3145983836803417E-4</v>
      </c>
    </row>
    <row r="731" spans="2:13" ht="15.75" x14ac:dyDescent="0.25">
      <c r="B731" s="212">
        <v>2044</v>
      </c>
      <c r="C731" s="309">
        <v>2030</v>
      </c>
      <c r="D731" s="250" t="s">
        <v>4208</v>
      </c>
      <c r="E731" s="517">
        <v>0.12247987437062915</v>
      </c>
      <c r="F731" s="310">
        <v>2.0596430155219801E-2</v>
      </c>
      <c r="G731" s="311">
        <v>4.8947947214566065E-2</v>
      </c>
      <c r="H731" s="311">
        <v>2.3814450858772802</v>
      </c>
      <c r="I731" s="311">
        <v>0.57841480107640142</v>
      </c>
      <c r="J731" s="311">
        <v>2.7268789257467899E-2</v>
      </c>
      <c r="K731" s="311">
        <v>1.9930228939557356E-4</v>
      </c>
      <c r="L731" s="518">
        <v>2.8501762904230399E-2</v>
      </c>
      <c r="M731" s="519">
        <v>2.0831385453123097E-4</v>
      </c>
    </row>
    <row r="732" spans="2:13" ht="15.75" x14ac:dyDescent="0.25">
      <c r="B732" s="212">
        <v>2044</v>
      </c>
      <c r="C732" s="309">
        <v>2031</v>
      </c>
      <c r="D732" s="250" t="s">
        <v>4209</v>
      </c>
      <c r="E732" s="517">
        <v>0.12148390894716514</v>
      </c>
      <c r="F732" s="310">
        <v>2.0275087622784502E-2</v>
      </c>
      <c r="G732" s="311">
        <v>4.4053152493109406E-2</v>
      </c>
      <c r="H732" s="311">
        <v>2.3294247171186702</v>
      </c>
      <c r="I732" s="311">
        <v>0.52057332096876185</v>
      </c>
      <c r="J732" s="311">
        <v>2.64847409022935E-2</v>
      </c>
      <c r="K732" s="311">
        <v>1.79372060456016E-4</v>
      </c>
      <c r="L732" s="518">
        <v>2.7682263361598E-2</v>
      </c>
      <c r="M732" s="519">
        <v>1.874824690781077E-4</v>
      </c>
    </row>
    <row r="733" spans="2:13" ht="15.75" x14ac:dyDescent="0.25">
      <c r="B733" s="212">
        <v>2044</v>
      </c>
      <c r="C733" s="309">
        <v>2032</v>
      </c>
      <c r="D733" s="250" t="s">
        <v>4210</v>
      </c>
      <c r="E733" s="517">
        <v>0.12058754006604946</v>
      </c>
      <c r="F733" s="310">
        <v>1.9918040364523E-2</v>
      </c>
      <c r="G733" s="311">
        <v>3.9647837243798577E-2</v>
      </c>
      <c r="H733" s="311">
        <v>2.27162430738688</v>
      </c>
      <c r="I733" s="311">
        <v>0.46851598887188589</v>
      </c>
      <c r="J733" s="311">
        <v>2.56135760632107E-2</v>
      </c>
      <c r="K733" s="311">
        <v>1.6143485441041486E-4</v>
      </c>
      <c r="L733" s="518">
        <v>2.67717083142286E-2</v>
      </c>
      <c r="M733" s="519">
        <v>1.6873422217029738E-4</v>
      </c>
    </row>
    <row r="734" spans="2:13" ht="15.75" x14ac:dyDescent="0.25">
      <c r="B734" s="212">
        <v>2044</v>
      </c>
      <c r="C734" s="309">
        <v>2033</v>
      </c>
      <c r="D734" s="250" t="s">
        <v>4211</v>
      </c>
      <c r="E734" s="517">
        <v>0.11978080807304341</v>
      </c>
      <c r="F734" s="310">
        <v>1.9521321188676902E-2</v>
      </c>
      <c r="G734" s="311">
        <v>3.5683053519418501E-2</v>
      </c>
      <c r="H734" s="311">
        <v>2.20740162990711</v>
      </c>
      <c r="I734" s="311">
        <v>0.42166438998469474</v>
      </c>
      <c r="J734" s="311">
        <v>2.4645615130896501E-2</v>
      </c>
      <c r="K734" s="311">
        <v>1.4529136896937247E-4</v>
      </c>
      <c r="L734" s="518">
        <v>2.57599804838183E-2</v>
      </c>
      <c r="M734" s="519">
        <v>1.5186079995326669E-4</v>
      </c>
    </row>
    <row r="735" spans="2:13" ht="15.75" x14ac:dyDescent="0.25">
      <c r="B735" s="212">
        <v>2044</v>
      </c>
      <c r="C735" s="309">
        <v>2034</v>
      </c>
      <c r="D735" s="250" t="s">
        <v>4212</v>
      </c>
      <c r="E735" s="517">
        <v>0.11905474927933887</v>
      </c>
      <c r="F735" s="310">
        <v>1.9080522104403402E-2</v>
      </c>
      <c r="G735" s="311">
        <v>3.2114748167476816E-2</v>
      </c>
      <c r="H735" s="311">
        <v>2.1360430993740298</v>
      </c>
      <c r="I735" s="311">
        <v>0.37949795098622796</v>
      </c>
      <c r="J735" s="311">
        <v>2.3570102983880799E-2</v>
      </c>
      <c r="K735" s="311">
        <v>1.3076223207243587E-4</v>
      </c>
      <c r="L735" s="518">
        <v>2.46358384500289E-2</v>
      </c>
      <c r="M735" s="519">
        <v>1.3667471995794072E-4</v>
      </c>
    </row>
    <row r="736" spans="2:13" ht="15.75" x14ac:dyDescent="0.25">
      <c r="B736" s="212">
        <v>2044</v>
      </c>
      <c r="C736" s="309">
        <v>2035</v>
      </c>
      <c r="D736" s="250" t="s">
        <v>4213</v>
      </c>
      <c r="E736" s="517">
        <v>0.11840129636500382</v>
      </c>
      <c r="F736" s="310">
        <v>1.8590745344099598E-2</v>
      </c>
      <c r="G736" s="311">
        <v>2.890327335072905E-2</v>
      </c>
      <c r="H736" s="311">
        <v>2.0567558432261701</v>
      </c>
      <c r="I736" s="311">
        <v>0.34154815588760351</v>
      </c>
      <c r="J736" s="311">
        <v>2.23750894871966E-2</v>
      </c>
      <c r="K736" s="311">
        <v>1.1768600886519196E-4</v>
      </c>
      <c r="L736" s="518">
        <v>2.3386791745818598E-2</v>
      </c>
      <c r="M736" s="519">
        <v>1.2300724796214632E-4</v>
      </c>
    </row>
    <row r="737" spans="2:13" ht="15.75" x14ac:dyDescent="0.25">
      <c r="B737" s="212">
        <v>2044</v>
      </c>
      <c r="C737" s="309">
        <v>2036</v>
      </c>
      <c r="D737" s="250" t="s">
        <v>4214</v>
      </c>
      <c r="E737" s="517">
        <v>0.1178131887421031</v>
      </c>
      <c r="F737" s="310">
        <v>1.8046548943762002E-2</v>
      </c>
      <c r="G737" s="311">
        <v>2.601294601565609E-2</v>
      </c>
      <c r="H737" s="311">
        <v>1.9686588919507599</v>
      </c>
      <c r="I737" s="311">
        <v>0.30739334029884324</v>
      </c>
      <c r="J737" s="311">
        <v>2.1047296713103101E-2</v>
      </c>
      <c r="K737" s="311">
        <v>1.0591740797867281E-4</v>
      </c>
      <c r="L737" s="518">
        <v>2.1998962074473698E-2</v>
      </c>
      <c r="M737" s="519">
        <v>1.1070652316593173E-4</v>
      </c>
    </row>
    <row r="738" spans="2:13" ht="15.75" x14ac:dyDescent="0.25">
      <c r="B738" s="212">
        <v>2044</v>
      </c>
      <c r="C738" s="309">
        <v>2037</v>
      </c>
      <c r="D738" s="250" t="s">
        <v>4215</v>
      </c>
      <c r="E738" s="517">
        <v>0.11781318874210278</v>
      </c>
      <c r="F738" s="310">
        <v>1.74418862767203E-2</v>
      </c>
      <c r="G738" s="311">
        <v>2.6012946015656166E-2</v>
      </c>
      <c r="H738" s="311">
        <v>1.8707733905336501</v>
      </c>
      <c r="I738" s="311">
        <v>0.30739334029884335</v>
      </c>
      <c r="J738" s="311">
        <v>1.9571971408554802E-2</v>
      </c>
      <c r="K738" s="311">
        <v>1.0591740797867284E-4</v>
      </c>
      <c r="L738" s="518">
        <v>2.0456929106312801E-2</v>
      </c>
      <c r="M738" s="519">
        <v>1.1070652316593177E-4</v>
      </c>
    </row>
    <row r="739" spans="2:13" ht="15.75" x14ac:dyDescent="0.25">
      <c r="B739" s="212">
        <v>2044</v>
      </c>
      <c r="C739" s="309">
        <v>2038</v>
      </c>
      <c r="D739" s="250" t="s">
        <v>4216</v>
      </c>
      <c r="E739" s="517">
        <v>0.11781318874210314</v>
      </c>
      <c r="F739" s="310">
        <v>1.6837223609678501E-2</v>
      </c>
      <c r="G739" s="311">
        <v>2.6012946015656045E-2</v>
      </c>
      <c r="H739" s="311">
        <v>1.7728878891165301</v>
      </c>
      <c r="I739" s="311">
        <v>0.30739334029884274</v>
      </c>
      <c r="J739" s="311">
        <v>1.8096646104006402E-2</v>
      </c>
      <c r="K739" s="311">
        <v>1.0591740797867261E-4</v>
      </c>
      <c r="L739" s="518">
        <v>1.89148961381518E-2</v>
      </c>
      <c r="M739" s="519">
        <v>1.1070652316593152E-4</v>
      </c>
    </row>
    <row r="740" spans="2:13" ht="15.75" x14ac:dyDescent="0.25">
      <c r="B740" s="212">
        <v>2044</v>
      </c>
      <c r="C740" s="309">
        <v>2039</v>
      </c>
      <c r="D740" s="250" t="s">
        <v>4217</v>
      </c>
      <c r="E740" s="517">
        <v>0.11781318874210335</v>
      </c>
      <c r="F740" s="310">
        <v>1.6232560942636799E-2</v>
      </c>
      <c r="G740" s="311">
        <v>2.6012946015656138E-2</v>
      </c>
      <c r="H740" s="311">
        <v>1.67500238769942</v>
      </c>
      <c r="I740" s="311">
        <v>0.30739334029884313</v>
      </c>
      <c r="J740" s="311">
        <v>1.6621320799458099E-2</v>
      </c>
      <c r="K740" s="311">
        <v>1.0591740797867275E-4</v>
      </c>
      <c r="L740" s="518">
        <v>1.7372863169990899E-2</v>
      </c>
      <c r="M740" s="519">
        <v>1.1070652316593166E-4</v>
      </c>
    </row>
    <row r="741" spans="2:13" ht="15.75" x14ac:dyDescent="0.25">
      <c r="B741" s="212">
        <v>2044</v>
      </c>
      <c r="C741" s="309">
        <v>2040</v>
      </c>
      <c r="D741" s="250" t="s">
        <v>4218</v>
      </c>
      <c r="E741" s="517">
        <v>0.11781318874210321</v>
      </c>
      <c r="F741" s="310">
        <v>1.5627898275594999E-2</v>
      </c>
      <c r="G741" s="311">
        <v>2.6012946015656114E-2</v>
      </c>
      <c r="H741" s="311">
        <v>1.5771168862823</v>
      </c>
      <c r="I741" s="311">
        <v>0.3073933402988428</v>
      </c>
      <c r="J741" s="311">
        <v>1.5145995494909701E-2</v>
      </c>
      <c r="K741" s="311">
        <v>1.0591740797867264E-4</v>
      </c>
      <c r="L741" s="518">
        <v>1.5830830201830001E-2</v>
      </c>
      <c r="M741" s="519">
        <v>1.1070652316593155E-4</v>
      </c>
    </row>
    <row r="742" spans="2:13" ht="15.75" x14ac:dyDescent="0.25">
      <c r="B742" s="212">
        <v>2044</v>
      </c>
      <c r="C742" s="309">
        <v>2041</v>
      </c>
      <c r="D742" s="250" t="s">
        <v>4219</v>
      </c>
      <c r="E742" s="517">
        <v>0.11781318874210307</v>
      </c>
      <c r="F742" s="310">
        <v>1.5023235608553299E-2</v>
      </c>
      <c r="G742" s="311">
        <v>2.6012946015656183E-2</v>
      </c>
      <c r="H742" s="311">
        <v>1.4792313848651899</v>
      </c>
      <c r="I742" s="311">
        <v>0.30739334029884424</v>
      </c>
      <c r="J742" s="311">
        <v>1.36706701903614E-2</v>
      </c>
      <c r="K742" s="311">
        <v>1.0591740797867292E-4</v>
      </c>
      <c r="L742" s="518">
        <v>1.4288797233669E-2</v>
      </c>
      <c r="M742" s="519">
        <v>1.1070652316593185E-4</v>
      </c>
    </row>
    <row r="743" spans="2:13" ht="15.75" x14ac:dyDescent="0.25">
      <c r="B743" s="212">
        <v>2044</v>
      </c>
      <c r="C743" s="309">
        <v>2042</v>
      </c>
      <c r="D743" s="250" t="s">
        <v>4220</v>
      </c>
      <c r="E743" s="517">
        <v>0.11781318874210331</v>
      </c>
      <c r="F743" s="310">
        <v>1.44185729415115E-2</v>
      </c>
      <c r="G743" s="311">
        <v>2.601294601565618E-2</v>
      </c>
      <c r="H743" s="311">
        <v>1.3813458834480701</v>
      </c>
      <c r="I743" s="311">
        <v>0.30739334029884424</v>
      </c>
      <c r="J743" s="311">
        <v>1.21953448858131E-2</v>
      </c>
      <c r="K743" s="311">
        <v>1.0591740797867292E-4</v>
      </c>
      <c r="L743" s="518">
        <v>1.2746764265508101E-2</v>
      </c>
      <c r="M743" s="519">
        <v>1.1070652316593183E-4</v>
      </c>
    </row>
    <row r="744" spans="2:13" ht="15.75" x14ac:dyDescent="0.25">
      <c r="B744" s="212">
        <v>2044</v>
      </c>
      <c r="C744" s="309">
        <v>2043</v>
      </c>
      <c r="D744" s="250" t="s">
        <v>4221</v>
      </c>
      <c r="E744" s="517">
        <v>0.11781318874210317</v>
      </c>
      <c r="F744" s="310">
        <v>1.3813910274469701E-2</v>
      </c>
      <c r="G744" s="311">
        <v>2.6012946015656114E-2</v>
      </c>
      <c r="H744" s="311">
        <v>1.28346038203096</v>
      </c>
      <c r="I744" s="311">
        <v>0.30739334029884346</v>
      </c>
      <c r="J744" s="311">
        <v>1.07200195812647E-2</v>
      </c>
      <c r="K744" s="311">
        <v>1.0591740797867265E-4</v>
      </c>
      <c r="L744" s="518">
        <v>1.1204731297347101E-2</v>
      </c>
      <c r="M744" s="519">
        <v>1.1070652316593156E-4</v>
      </c>
    </row>
    <row r="745" spans="2:13" ht="15.75" x14ac:dyDescent="0.25">
      <c r="B745" s="212">
        <v>2044</v>
      </c>
      <c r="C745" s="309">
        <v>2044</v>
      </c>
      <c r="D745" s="250" t="s">
        <v>4222</v>
      </c>
      <c r="E745" s="517">
        <v>0.11781318874210295</v>
      </c>
      <c r="F745" s="310">
        <v>1.3209247607428001E-2</v>
      </c>
      <c r="G745" s="311">
        <v>2.6012946015656114E-2</v>
      </c>
      <c r="H745" s="311">
        <v>1.18557488061384</v>
      </c>
      <c r="I745" s="311">
        <v>0.30739334029884346</v>
      </c>
      <c r="J745" s="311">
        <v>9.2446942767164097E-3</v>
      </c>
      <c r="K745" s="311">
        <v>1.0591740797867266E-4</v>
      </c>
      <c r="L745" s="518">
        <v>9.6626983291862398E-3</v>
      </c>
      <c r="M745" s="519">
        <v>1.1070652316593156E-4</v>
      </c>
    </row>
    <row r="746" spans="2:13" ht="15.75" x14ac:dyDescent="0.25">
      <c r="B746" s="212">
        <v>2044</v>
      </c>
      <c r="C746" s="309">
        <v>2045</v>
      </c>
      <c r="D746" s="250" t="s">
        <v>4518</v>
      </c>
      <c r="E746" s="517">
        <v>0.12522334479065475</v>
      </c>
      <c r="F746" s="310">
        <v>1.26045849403862E-2</v>
      </c>
      <c r="G746" s="311">
        <v>6.2431070437574808E-2</v>
      </c>
      <c r="H746" s="311">
        <v>1.0876893791967199</v>
      </c>
      <c r="I746" s="311">
        <v>0.73774401671722578</v>
      </c>
      <c r="J746" s="311">
        <v>7.7693689721680696E-3</v>
      </c>
      <c r="K746" s="311">
        <v>2.5420177914881493E-4</v>
      </c>
      <c r="L746" s="518">
        <v>8.1206653610253008E-3</v>
      </c>
      <c r="M746" s="519">
        <v>2.6569565559823627E-4</v>
      </c>
    </row>
    <row r="747" spans="2:13" ht="15.75" x14ac:dyDescent="0.25">
      <c r="B747" s="212">
        <v>2045</v>
      </c>
      <c r="C747" s="309">
        <v>2013</v>
      </c>
      <c r="D747" s="250" t="s">
        <v>4235</v>
      </c>
      <c r="E747" s="517">
        <v>0.17913410301468866</v>
      </c>
      <c r="F747" s="310">
        <v>2.5706596182148898E-2</v>
      </c>
      <c r="G747" s="311">
        <v>5.4386615000606479E-2</v>
      </c>
      <c r="H747" s="311">
        <v>4.2933637821125004</v>
      </c>
      <c r="I747" s="311">
        <v>0.64268319484158731</v>
      </c>
      <c r="J747" s="311">
        <v>3.9108418154767698E-2</v>
      </c>
      <c r="K747" s="311">
        <v>2.2144701665590796E-4</v>
      </c>
      <c r="L747" s="518">
        <v>4.08767272826909E-2</v>
      </c>
      <c r="M747" s="519">
        <v>2.3145986809250591E-4</v>
      </c>
    </row>
    <row r="748" spans="2:13" ht="15.75" x14ac:dyDescent="0.25">
      <c r="B748" s="212">
        <v>2045</v>
      </c>
      <c r="C748" s="309">
        <v>2014</v>
      </c>
      <c r="D748" s="250" t="s">
        <v>4236</v>
      </c>
      <c r="E748" s="517">
        <v>0.16141257527393774</v>
      </c>
      <c r="F748" s="310">
        <v>2.2052121030172001E-2</v>
      </c>
      <c r="G748" s="311">
        <v>5.4386614450408634E-2</v>
      </c>
      <c r="H748" s="311">
        <v>2.7968093506027198</v>
      </c>
      <c r="I748" s="311">
        <v>0.64268318833993265</v>
      </c>
      <c r="J748" s="311">
        <v>3.06997727196354E-2</v>
      </c>
      <c r="K748" s="311">
        <v>2.2144701441565687E-4</v>
      </c>
      <c r="L748" s="518">
        <v>3.2087880213793399E-2</v>
      </c>
      <c r="M748" s="519">
        <v>2.3145986575096063E-4</v>
      </c>
    </row>
    <row r="749" spans="2:13" ht="15.75" x14ac:dyDescent="0.25">
      <c r="B749" s="212">
        <v>2045</v>
      </c>
      <c r="C749" s="309">
        <v>2015</v>
      </c>
      <c r="D749" s="250" t="s">
        <v>4237</v>
      </c>
      <c r="E749" s="517">
        <v>0.15939014305861982</v>
      </c>
      <c r="F749" s="310">
        <v>2.11499079026287E-2</v>
      </c>
      <c r="G749" s="311">
        <v>5.4386614596779917E-2</v>
      </c>
      <c r="H749" s="311">
        <v>2.4704096205480002</v>
      </c>
      <c r="I749" s="311">
        <v>0.64268319006959451</v>
      </c>
      <c r="J749" s="311">
        <v>2.8625129393124098E-2</v>
      </c>
      <c r="K749" s="311">
        <v>2.214470150116402E-4</v>
      </c>
      <c r="L749" s="518">
        <v>2.9919430722150801E-2</v>
      </c>
      <c r="M749" s="519">
        <v>2.3145986637389168E-4</v>
      </c>
    </row>
    <row r="750" spans="2:13" ht="15.75" x14ac:dyDescent="0.25">
      <c r="B750" s="212">
        <v>2045</v>
      </c>
      <c r="C750" s="309">
        <v>2016</v>
      </c>
      <c r="D750" s="250" t="s">
        <v>4238</v>
      </c>
      <c r="E750" s="517">
        <v>0.15939211822867577</v>
      </c>
      <c r="F750" s="310">
        <v>2.11510515184739E-2</v>
      </c>
      <c r="G750" s="311">
        <v>5.438661390460043E-2</v>
      </c>
      <c r="H750" s="311">
        <v>2.4703915196391799</v>
      </c>
      <c r="I750" s="311">
        <v>0.64268318189015294</v>
      </c>
      <c r="J750" s="311">
        <v>2.8629195628301199E-2</v>
      </c>
      <c r="K750" s="311">
        <v>2.2144701219327923E-4</v>
      </c>
      <c r="L750" s="518">
        <v>2.9923680814438899E-2</v>
      </c>
      <c r="M750" s="519">
        <v>2.3145986342809692E-4</v>
      </c>
    </row>
    <row r="751" spans="2:13" ht="15.75" x14ac:dyDescent="0.25">
      <c r="B751" s="212">
        <v>2045</v>
      </c>
      <c r="C751" s="309">
        <v>2017</v>
      </c>
      <c r="D751" s="250" t="s">
        <v>4239</v>
      </c>
      <c r="E751" s="517">
        <v>0.15336257554502086</v>
      </c>
      <c r="F751" s="310">
        <v>2.1147737122433501E-2</v>
      </c>
      <c r="G751" s="311">
        <v>5.4386608066606487E-2</v>
      </c>
      <c r="H751" s="311">
        <v>2.4706925572093099</v>
      </c>
      <c r="I751" s="311">
        <v>0.64268311290294755</v>
      </c>
      <c r="J751" s="311">
        <v>2.86139370252276E-2</v>
      </c>
      <c r="K751" s="311">
        <v>2.2144698842260858E-4</v>
      </c>
      <c r="L751" s="518">
        <v>2.9907732285043401E-2</v>
      </c>
      <c r="M751" s="519">
        <v>2.3145983858262204E-4</v>
      </c>
    </row>
    <row r="752" spans="2:13" ht="15.75" x14ac:dyDescent="0.25">
      <c r="B752" s="212">
        <v>2045</v>
      </c>
      <c r="C752" s="309">
        <v>2018</v>
      </c>
      <c r="D752" s="250" t="s">
        <v>4240</v>
      </c>
      <c r="E752" s="517">
        <v>0.15336257554502053</v>
      </c>
      <c r="F752" s="310">
        <v>2.1147737122433501E-2</v>
      </c>
      <c r="G752" s="311">
        <v>5.4386608066606487E-2</v>
      </c>
      <c r="H752" s="311">
        <v>2.4706925572093099</v>
      </c>
      <c r="I752" s="311">
        <v>0.64268311290294755</v>
      </c>
      <c r="J752" s="311">
        <v>2.86139370252276E-2</v>
      </c>
      <c r="K752" s="311">
        <v>2.2144698842260863E-4</v>
      </c>
      <c r="L752" s="518">
        <v>2.9907732285043401E-2</v>
      </c>
      <c r="M752" s="519">
        <v>2.3145983858262206E-4</v>
      </c>
    </row>
    <row r="753" spans="2:13" ht="15.75" x14ac:dyDescent="0.25">
      <c r="B753" s="212">
        <v>2045</v>
      </c>
      <c r="C753" s="309">
        <v>2019</v>
      </c>
      <c r="D753" s="250" t="s">
        <v>4241</v>
      </c>
      <c r="E753" s="517">
        <v>0.15336257554502106</v>
      </c>
      <c r="F753" s="310">
        <v>2.1147737122433501E-2</v>
      </c>
      <c r="G753" s="311">
        <v>5.4386608066606577E-2</v>
      </c>
      <c r="H753" s="311">
        <v>2.4706925572093099</v>
      </c>
      <c r="I753" s="311">
        <v>0.642683112902947</v>
      </c>
      <c r="J753" s="311">
        <v>2.86139370252276E-2</v>
      </c>
      <c r="K753" s="311">
        <v>2.2144698842260842E-4</v>
      </c>
      <c r="L753" s="518">
        <v>2.9907732285043401E-2</v>
      </c>
      <c r="M753" s="519">
        <v>2.3145983858262185E-4</v>
      </c>
    </row>
    <row r="754" spans="2:13" ht="15.75" x14ac:dyDescent="0.25">
      <c r="B754" s="212">
        <v>2045</v>
      </c>
      <c r="C754" s="309">
        <v>2020</v>
      </c>
      <c r="D754" s="250" t="s">
        <v>4242</v>
      </c>
      <c r="E754" s="517">
        <v>0.15336257554502072</v>
      </c>
      <c r="F754" s="310">
        <v>2.1147737122433501E-2</v>
      </c>
      <c r="G754" s="311">
        <v>5.4386608066606563E-2</v>
      </c>
      <c r="H754" s="311">
        <v>2.4706925572093099</v>
      </c>
      <c r="I754" s="311">
        <v>0.64268311290294811</v>
      </c>
      <c r="J754" s="311">
        <v>2.86139370252276E-2</v>
      </c>
      <c r="K754" s="311">
        <v>2.2144698842260836E-4</v>
      </c>
      <c r="L754" s="518">
        <v>2.9907732285043401E-2</v>
      </c>
      <c r="M754" s="519">
        <v>2.3145983858262182E-4</v>
      </c>
    </row>
    <row r="755" spans="2:13" ht="15.75" x14ac:dyDescent="0.25">
      <c r="B755" s="212">
        <v>2045</v>
      </c>
      <c r="C755" s="309">
        <v>2021</v>
      </c>
      <c r="D755" s="250" t="s">
        <v>4243</v>
      </c>
      <c r="E755" s="517">
        <v>0.1387001479943297</v>
      </c>
      <c r="F755" s="310">
        <v>2.1147737122433501E-2</v>
      </c>
      <c r="G755" s="311">
        <v>5.4386608066606536E-2</v>
      </c>
      <c r="H755" s="311">
        <v>2.4706925572093099</v>
      </c>
      <c r="I755" s="311">
        <v>0.64268311290294788</v>
      </c>
      <c r="J755" s="311">
        <v>2.86139370252276E-2</v>
      </c>
      <c r="K755" s="311">
        <v>2.2144698842260828E-4</v>
      </c>
      <c r="L755" s="518">
        <v>2.9907732285043401E-2</v>
      </c>
      <c r="M755" s="519">
        <v>2.3145983858262171E-4</v>
      </c>
    </row>
    <row r="756" spans="2:13" ht="15.75" x14ac:dyDescent="0.25">
      <c r="B756" s="212">
        <v>2045</v>
      </c>
      <c r="C756" s="309">
        <v>2022</v>
      </c>
      <c r="D756" s="250" t="s">
        <v>4244</v>
      </c>
      <c r="E756" s="517">
        <v>0.13870014799432959</v>
      </c>
      <c r="F756" s="310">
        <v>2.1147737122433601E-2</v>
      </c>
      <c r="G756" s="311">
        <v>5.4386608066606584E-2</v>
      </c>
      <c r="H756" s="311">
        <v>2.4706925572093099</v>
      </c>
      <c r="I756" s="311">
        <v>0.64268311290294711</v>
      </c>
      <c r="J756" s="311">
        <v>2.86139370252276E-2</v>
      </c>
      <c r="K756" s="311">
        <v>2.2144698842260844E-4</v>
      </c>
      <c r="L756" s="518">
        <v>2.9907732285043401E-2</v>
      </c>
      <c r="M756" s="519">
        <v>2.3145983858262188E-4</v>
      </c>
    </row>
    <row r="757" spans="2:13" ht="15.75" x14ac:dyDescent="0.25">
      <c r="B757" s="212">
        <v>2045</v>
      </c>
      <c r="C757" s="309">
        <v>2023</v>
      </c>
      <c r="D757" s="250" t="s">
        <v>4245</v>
      </c>
      <c r="E757" s="517">
        <v>0.13870014799432936</v>
      </c>
      <c r="F757" s="310">
        <v>2.1147737122433501E-2</v>
      </c>
      <c r="G757" s="311">
        <v>5.4386608066606466E-2</v>
      </c>
      <c r="H757" s="311">
        <v>2.4706925572093099</v>
      </c>
      <c r="I757" s="311">
        <v>0.64268311290294566</v>
      </c>
      <c r="J757" s="311">
        <v>2.86139370252276E-2</v>
      </c>
      <c r="K757" s="311">
        <v>2.2144698842260796E-4</v>
      </c>
      <c r="L757" s="518">
        <v>2.9907732285043401E-2</v>
      </c>
      <c r="M757" s="519">
        <v>2.3145983858262139E-4</v>
      </c>
    </row>
    <row r="758" spans="2:13" ht="15.75" x14ac:dyDescent="0.25">
      <c r="B758" s="212">
        <v>2045</v>
      </c>
      <c r="C758" s="309">
        <v>2024</v>
      </c>
      <c r="D758" s="250" t="s">
        <v>4246</v>
      </c>
      <c r="E758" s="517">
        <v>0.12820381250033391</v>
      </c>
      <c r="F758" s="310">
        <v>2.1147737122433601E-2</v>
      </c>
      <c r="G758" s="311">
        <v>5.4386608066606584E-2</v>
      </c>
      <c r="H758" s="311">
        <v>2.4706925572093099</v>
      </c>
      <c r="I758" s="311">
        <v>0.642683112902947</v>
      </c>
      <c r="J758" s="311">
        <v>2.86139370252276E-2</v>
      </c>
      <c r="K758" s="311">
        <v>2.2144698842260844E-4</v>
      </c>
      <c r="L758" s="518">
        <v>2.9907732285043401E-2</v>
      </c>
      <c r="M758" s="519">
        <v>2.3145983858262188E-4</v>
      </c>
    </row>
    <row r="759" spans="2:13" ht="15.75" x14ac:dyDescent="0.25">
      <c r="B759" s="212">
        <v>2045</v>
      </c>
      <c r="C759" s="309">
        <v>2025</v>
      </c>
      <c r="D759" s="250" t="s">
        <v>4247</v>
      </c>
      <c r="E759" s="517">
        <v>0.12820381250033397</v>
      </c>
      <c r="F759" s="310">
        <v>2.1147737122433501E-2</v>
      </c>
      <c r="G759" s="311">
        <v>5.4386608066606557E-2</v>
      </c>
      <c r="H759" s="311">
        <v>2.4706925572093099</v>
      </c>
      <c r="I759" s="311">
        <v>0.64268311290294811</v>
      </c>
      <c r="J759" s="311">
        <v>2.86139370252276E-2</v>
      </c>
      <c r="K759" s="311">
        <v>2.2144698842260834E-4</v>
      </c>
      <c r="L759" s="518">
        <v>2.9907732285043401E-2</v>
      </c>
      <c r="M759" s="519">
        <v>2.3145983858262179E-4</v>
      </c>
    </row>
    <row r="760" spans="2:13" ht="15.75" x14ac:dyDescent="0.25">
      <c r="B760" s="212">
        <v>2045</v>
      </c>
      <c r="C760" s="309">
        <v>2026</v>
      </c>
      <c r="D760" s="250" t="s">
        <v>4248</v>
      </c>
      <c r="E760" s="517">
        <v>0.12820381250033389</v>
      </c>
      <c r="F760" s="310">
        <v>2.1147737122433501E-2</v>
      </c>
      <c r="G760" s="311">
        <v>5.438660806660655E-2</v>
      </c>
      <c r="H760" s="311">
        <v>2.4706925572093099</v>
      </c>
      <c r="I760" s="311">
        <v>0.64268311290294655</v>
      </c>
      <c r="J760" s="311">
        <v>2.86139370252276E-2</v>
      </c>
      <c r="K760" s="311">
        <v>2.2144698842260828E-4</v>
      </c>
      <c r="L760" s="518">
        <v>2.9907732285043401E-2</v>
      </c>
      <c r="M760" s="519">
        <v>2.3145983858262174E-4</v>
      </c>
    </row>
    <row r="761" spans="2:13" ht="15.75" x14ac:dyDescent="0.25">
      <c r="B761" s="212">
        <v>2045</v>
      </c>
      <c r="C761" s="309">
        <v>2027</v>
      </c>
      <c r="D761" s="250" t="s">
        <v>4249</v>
      </c>
      <c r="E761" s="517">
        <v>0.12358650288515144</v>
      </c>
      <c r="F761" s="310">
        <v>2.1147737122433501E-2</v>
      </c>
      <c r="G761" s="311">
        <v>5.4386608066606563E-2</v>
      </c>
      <c r="H761" s="311">
        <v>2.4706925572093099</v>
      </c>
      <c r="I761" s="311">
        <v>0.64268311290294822</v>
      </c>
      <c r="J761" s="311">
        <v>2.86139370252276E-2</v>
      </c>
      <c r="K761" s="311">
        <v>2.2144698842260836E-4</v>
      </c>
      <c r="L761" s="518">
        <v>2.9907732285043401E-2</v>
      </c>
      <c r="M761" s="519">
        <v>2.3145983858262182E-4</v>
      </c>
    </row>
    <row r="762" spans="2:13" ht="15.75" x14ac:dyDescent="0.25">
      <c r="B762" s="212">
        <v>2045</v>
      </c>
      <c r="C762" s="309">
        <v>2028</v>
      </c>
      <c r="D762" s="250" t="s">
        <v>4250</v>
      </c>
      <c r="E762" s="517">
        <v>0.12358650288515155</v>
      </c>
      <c r="F762" s="310">
        <v>2.1147737122433501E-2</v>
      </c>
      <c r="G762" s="311">
        <v>5.4386608066606591E-2</v>
      </c>
      <c r="H762" s="311">
        <v>2.4706925572093099</v>
      </c>
      <c r="I762" s="311">
        <v>0.64268311290294855</v>
      </c>
      <c r="J762" s="311">
        <v>2.86139370252276E-2</v>
      </c>
      <c r="K762" s="311">
        <v>2.2144698842260847E-4</v>
      </c>
      <c r="L762" s="518">
        <v>2.9907732285043401E-2</v>
      </c>
      <c r="M762" s="519">
        <v>2.3145983858262193E-4</v>
      </c>
    </row>
    <row r="763" spans="2:13" ht="15.75" x14ac:dyDescent="0.25">
      <c r="B763" s="212">
        <v>2045</v>
      </c>
      <c r="C763" s="309">
        <v>2029</v>
      </c>
      <c r="D763" s="250" t="s">
        <v>4251</v>
      </c>
      <c r="E763" s="517">
        <v>0.12358650288515163</v>
      </c>
      <c r="F763" s="310">
        <v>2.1145927506737699E-2</v>
      </c>
      <c r="G763" s="311">
        <v>5.4386608066606605E-2</v>
      </c>
      <c r="H763" s="311">
        <v>2.4703996085723898</v>
      </c>
      <c r="I763" s="311">
        <v>0.64268311290294866</v>
      </c>
      <c r="J763" s="311">
        <v>2.8609521716196198E-2</v>
      </c>
      <c r="K763" s="311">
        <v>2.2144698842260853E-4</v>
      </c>
      <c r="L763" s="518">
        <v>2.9903117335330201E-2</v>
      </c>
      <c r="M763" s="519">
        <v>2.3145983858262196E-4</v>
      </c>
    </row>
    <row r="764" spans="2:13" ht="15.75" x14ac:dyDescent="0.25">
      <c r="B764" s="212">
        <v>2045</v>
      </c>
      <c r="C764" s="309">
        <v>2030</v>
      </c>
      <c r="D764" s="250" t="s">
        <v>4252</v>
      </c>
      <c r="E764" s="517">
        <v>0.12358650288515168</v>
      </c>
      <c r="F764" s="310">
        <v>2.08856400355114E-2</v>
      </c>
      <c r="G764" s="311">
        <v>5.4386608066606647E-2</v>
      </c>
      <c r="H764" s="311">
        <v>2.4282631151293201</v>
      </c>
      <c r="I764" s="311">
        <v>0.64268311290294922</v>
      </c>
      <c r="J764" s="311">
        <v>2.7974442331598001E-2</v>
      </c>
      <c r="K764" s="311">
        <v>2.2144698842260874E-4</v>
      </c>
      <c r="L764" s="518">
        <v>2.92393224790835E-2</v>
      </c>
      <c r="M764" s="519">
        <v>2.3145983858262217E-4</v>
      </c>
    </row>
    <row r="765" spans="2:13" ht="15.75" x14ac:dyDescent="0.25">
      <c r="B765" s="212">
        <v>2045</v>
      </c>
      <c r="C765" s="309">
        <v>2031</v>
      </c>
      <c r="D765" s="250" t="s">
        <v>4253</v>
      </c>
      <c r="E765" s="517">
        <v>0.12247987463583281</v>
      </c>
      <c r="F765" s="310">
        <v>2.0596431734148799E-2</v>
      </c>
      <c r="G765" s="311">
        <v>4.8947947259945897E-2</v>
      </c>
      <c r="H765" s="311">
        <v>2.3814447890814701</v>
      </c>
      <c r="I765" s="311">
        <v>0.57841480161265313</v>
      </c>
      <c r="J765" s="311">
        <v>2.7268798570933301E-2</v>
      </c>
      <c r="K765" s="311">
        <v>1.9930228958034746E-4</v>
      </c>
      <c r="L765" s="518">
        <v>2.8501772638809399E-2</v>
      </c>
      <c r="M765" s="519">
        <v>2.0831385472435958E-4</v>
      </c>
    </row>
    <row r="766" spans="2:13" ht="15.75" x14ac:dyDescent="0.25">
      <c r="B766" s="212">
        <v>2045</v>
      </c>
      <c r="C766" s="309">
        <v>2032</v>
      </c>
      <c r="D766" s="250" t="s">
        <v>4254</v>
      </c>
      <c r="E766" s="517">
        <v>0.12148390921144528</v>
      </c>
      <c r="F766" s="310">
        <v>2.0275089177079202E-2</v>
      </c>
      <c r="G766" s="311">
        <v>4.4053152533951034E-2</v>
      </c>
      <c r="H766" s="311">
        <v>2.32942442680607</v>
      </c>
      <c r="I766" s="311">
        <v>0.52057332145138357</v>
      </c>
      <c r="J766" s="311">
        <v>2.6484749947972602E-2</v>
      </c>
      <c r="K766" s="311">
        <v>1.7937206062231163E-4</v>
      </c>
      <c r="L766" s="518">
        <v>2.7682272816282601E-2</v>
      </c>
      <c r="M766" s="519">
        <v>1.8748246925192247E-4</v>
      </c>
    </row>
    <row r="767" spans="2:13" ht="15.75" x14ac:dyDescent="0.25">
      <c r="B767" s="212">
        <v>2045</v>
      </c>
      <c r="C767" s="309">
        <v>2033</v>
      </c>
      <c r="D767" s="250" t="s">
        <v>4255</v>
      </c>
      <c r="E767" s="517">
        <v>0.12058754032949862</v>
      </c>
      <c r="F767" s="310">
        <v>1.99180418914464E-2</v>
      </c>
      <c r="G767" s="311">
        <v>3.9647837280556278E-2</v>
      </c>
      <c r="H767" s="311">
        <v>2.27162402427785</v>
      </c>
      <c r="I767" s="311">
        <v>0.46851598930624938</v>
      </c>
      <c r="J767" s="311">
        <v>2.56135848113496E-2</v>
      </c>
      <c r="K767" s="311">
        <v>1.6143485456008189E-4</v>
      </c>
      <c r="L767" s="518">
        <v>2.6771717457919501E-2</v>
      </c>
      <c r="M767" s="519">
        <v>1.6873422232673168E-4</v>
      </c>
    </row>
    <row r="768" spans="2:13" ht="15.75" x14ac:dyDescent="0.25">
      <c r="B768" s="212">
        <v>2045</v>
      </c>
      <c r="C768" s="309">
        <v>2034</v>
      </c>
      <c r="D768" s="250" t="s">
        <v>4256</v>
      </c>
      <c r="E768" s="517">
        <v>0.11978080833574502</v>
      </c>
      <c r="F768" s="310">
        <v>1.9521322685187598E-2</v>
      </c>
      <c r="G768" s="311">
        <v>3.5683053552500565E-2</v>
      </c>
      <c r="H768" s="311">
        <v>2.2074013548020601</v>
      </c>
      <c r="I768" s="311">
        <v>0.42166439037562331</v>
      </c>
      <c r="J768" s="311">
        <v>2.4645623548435101E-2</v>
      </c>
      <c r="K768" s="311">
        <v>1.4529136910407332E-4</v>
      </c>
      <c r="L768" s="518">
        <v>2.5759989281960501E-2</v>
      </c>
      <c r="M768" s="519">
        <v>1.5186080009405814E-4</v>
      </c>
    </row>
    <row r="769" spans="2:13" ht="15.75" x14ac:dyDescent="0.25">
      <c r="B769" s="212">
        <v>2045</v>
      </c>
      <c r="C769" s="309">
        <v>2035</v>
      </c>
      <c r="D769" s="250" t="s">
        <v>4257</v>
      </c>
      <c r="E769" s="517">
        <v>0.1190547495413664</v>
      </c>
      <c r="F769" s="310">
        <v>1.90805235671224E-2</v>
      </c>
      <c r="G769" s="311">
        <v>3.2114748197250499E-2</v>
      </c>
      <c r="H769" s="311">
        <v>2.1360428331622798</v>
      </c>
      <c r="I769" s="311">
        <v>0.37949795133806091</v>
      </c>
      <c r="J769" s="311">
        <v>2.35701110340856E-2</v>
      </c>
      <c r="K769" s="311">
        <v>1.3076223219366597E-4</v>
      </c>
      <c r="L769" s="518">
        <v>2.4635846864228299E-2</v>
      </c>
      <c r="M769" s="519">
        <v>1.3667472008465229E-4</v>
      </c>
    </row>
    <row r="770" spans="2:13" ht="15.75" x14ac:dyDescent="0.25">
      <c r="B770" s="212">
        <v>2045</v>
      </c>
      <c r="C770" s="309">
        <v>2036</v>
      </c>
      <c r="D770" s="250" t="s">
        <v>4258</v>
      </c>
      <c r="E770" s="517">
        <v>0.11840129662642669</v>
      </c>
      <c r="F770" s="310">
        <v>1.8590746769272099E-2</v>
      </c>
      <c r="G770" s="311">
        <v>2.890327337752556E-2</v>
      </c>
      <c r="H770" s="311">
        <v>2.05675558689587</v>
      </c>
      <c r="I770" s="311">
        <v>0.34154815620425621</v>
      </c>
      <c r="J770" s="311">
        <v>2.23750971292529E-2</v>
      </c>
      <c r="K770" s="311">
        <v>1.1768600897429984E-4</v>
      </c>
      <c r="L770" s="518">
        <v>2.33867997334147E-2</v>
      </c>
      <c r="M770" s="519">
        <v>1.2300724807618756E-4</v>
      </c>
    </row>
    <row r="771" spans="2:13" ht="15.75" x14ac:dyDescent="0.25">
      <c r="B771" s="212">
        <v>2045</v>
      </c>
      <c r="C771" s="309">
        <v>2037</v>
      </c>
      <c r="D771" s="250" t="s">
        <v>4259</v>
      </c>
      <c r="E771" s="517">
        <v>0.11781318900298073</v>
      </c>
      <c r="F771" s="310">
        <v>1.8046550327216301E-2</v>
      </c>
      <c r="G771" s="311">
        <v>2.6012946039772902E-2</v>
      </c>
      <c r="H771" s="311">
        <v>1.9686586465998499</v>
      </c>
      <c r="I771" s="311">
        <v>0.30739334058383011</v>
      </c>
      <c r="J771" s="311">
        <v>2.1047303901660999E-2</v>
      </c>
      <c r="K771" s="311">
        <v>1.0591740807686968E-4</v>
      </c>
      <c r="L771" s="518">
        <v>2.1998969588066301E-2</v>
      </c>
      <c r="M771" s="519">
        <v>1.1070652326856862E-4</v>
      </c>
    </row>
    <row r="772" spans="2:13" ht="15.75" x14ac:dyDescent="0.25">
      <c r="B772" s="212">
        <v>2045</v>
      </c>
      <c r="C772" s="309">
        <v>2038</v>
      </c>
      <c r="D772" s="250" t="s">
        <v>4260</v>
      </c>
      <c r="E772" s="517">
        <v>0.11781318900298067</v>
      </c>
      <c r="F772" s="310">
        <v>1.74418876138209E-2</v>
      </c>
      <c r="G772" s="311">
        <v>2.6012946039772979E-2</v>
      </c>
      <c r="H772" s="311">
        <v>1.8707731573820501</v>
      </c>
      <c r="I772" s="311">
        <v>0.30739334058383022</v>
      </c>
      <c r="J772" s="311">
        <v>1.9571978093225601E-2</v>
      </c>
      <c r="K772" s="311">
        <v>1.0591740807686974E-4</v>
      </c>
      <c r="L772" s="518">
        <v>2.04569360932347E-2</v>
      </c>
      <c r="M772" s="519">
        <v>1.1070652326856867E-4</v>
      </c>
    </row>
    <row r="773" spans="2:13" ht="15.75" x14ac:dyDescent="0.25">
      <c r="B773" s="212">
        <v>2045</v>
      </c>
      <c r="C773" s="309">
        <v>2039</v>
      </c>
      <c r="D773" s="250" t="s">
        <v>4261</v>
      </c>
      <c r="E773" s="517">
        <v>0.11781318900298059</v>
      </c>
      <c r="F773" s="310">
        <v>1.6837224900425499E-2</v>
      </c>
      <c r="G773" s="311">
        <v>2.6012946039772836E-2</v>
      </c>
      <c r="H773" s="311">
        <v>1.77288766816426</v>
      </c>
      <c r="I773" s="311">
        <v>0.30739334058382856</v>
      </c>
      <c r="J773" s="311">
        <v>1.8096652284790099E-2</v>
      </c>
      <c r="K773" s="311">
        <v>1.0591740807686917E-4</v>
      </c>
      <c r="L773" s="518">
        <v>1.8914902598403099E-2</v>
      </c>
      <c r="M773" s="519">
        <v>1.1070652326856808E-4</v>
      </c>
    </row>
    <row r="774" spans="2:13" ht="15.75" x14ac:dyDescent="0.25">
      <c r="B774" s="212">
        <v>2045</v>
      </c>
      <c r="C774" s="309">
        <v>2040</v>
      </c>
      <c r="D774" s="250" t="s">
        <v>4262</v>
      </c>
      <c r="E774" s="517">
        <v>0.11781318900298021</v>
      </c>
      <c r="F774" s="310">
        <v>1.6232562187030099E-2</v>
      </c>
      <c r="G774" s="311">
        <v>2.6012946039772843E-2</v>
      </c>
      <c r="H774" s="311">
        <v>1.67500217894646</v>
      </c>
      <c r="I774" s="311">
        <v>0.30739334058382867</v>
      </c>
      <c r="J774" s="311">
        <v>1.6621326476354701E-2</v>
      </c>
      <c r="K774" s="311">
        <v>1.0591740807686918E-4</v>
      </c>
      <c r="L774" s="518">
        <v>1.7372869103571501E-2</v>
      </c>
      <c r="M774" s="519">
        <v>1.107065232685681E-4</v>
      </c>
    </row>
    <row r="775" spans="2:13" ht="15.75" x14ac:dyDescent="0.25">
      <c r="B775" s="212">
        <v>2045</v>
      </c>
      <c r="C775" s="309">
        <v>2041</v>
      </c>
      <c r="D775" s="250" t="s">
        <v>4263</v>
      </c>
      <c r="E775" s="517">
        <v>0.11781318900298045</v>
      </c>
      <c r="F775" s="310">
        <v>1.5627899473634702E-2</v>
      </c>
      <c r="G775" s="311">
        <v>2.6012946039772868E-2</v>
      </c>
      <c r="H775" s="311">
        <v>1.5771166897286599</v>
      </c>
      <c r="I775" s="311">
        <v>0.30739334058382894</v>
      </c>
      <c r="J775" s="311">
        <v>1.5146000667919201E-2</v>
      </c>
      <c r="K775" s="311">
        <v>1.0591740807686929E-4</v>
      </c>
      <c r="L775" s="518">
        <v>1.5830835608740001E-2</v>
      </c>
      <c r="M775" s="519">
        <v>1.1070652326856821E-4</v>
      </c>
    </row>
    <row r="776" spans="2:13" ht="15.75" x14ac:dyDescent="0.25">
      <c r="B776" s="212">
        <v>2045</v>
      </c>
      <c r="C776" s="309">
        <v>2042</v>
      </c>
      <c r="D776" s="250" t="s">
        <v>4264</v>
      </c>
      <c r="E776" s="517">
        <v>0.11781318900298046</v>
      </c>
      <c r="F776" s="310">
        <v>1.5023236760239299E-2</v>
      </c>
      <c r="G776" s="311">
        <v>2.6012946039772913E-2</v>
      </c>
      <c r="H776" s="311">
        <v>1.4792312005108701</v>
      </c>
      <c r="I776" s="311">
        <v>0.30739334058383011</v>
      </c>
      <c r="J776" s="311">
        <v>1.3670674859483801E-2</v>
      </c>
      <c r="K776" s="311">
        <v>1.0591740807686948E-4</v>
      </c>
      <c r="L776" s="518">
        <v>1.42888021139084E-2</v>
      </c>
      <c r="M776" s="519">
        <v>1.107065232685684E-4</v>
      </c>
    </row>
    <row r="777" spans="2:13" ht="15.75" x14ac:dyDescent="0.25">
      <c r="B777" s="212">
        <v>2045</v>
      </c>
      <c r="C777" s="309">
        <v>2043</v>
      </c>
      <c r="D777" s="250" t="s">
        <v>4265</v>
      </c>
      <c r="E777" s="517">
        <v>0.11781318900298031</v>
      </c>
      <c r="F777" s="310">
        <v>1.44185740468439E-2</v>
      </c>
      <c r="G777" s="311">
        <v>2.601294603977292E-2</v>
      </c>
      <c r="H777" s="311">
        <v>1.38134571129307</v>
      </c>
      <c r="I777" s="311">
        <v>0.30739334058382956</v>
      </c>
      <c r="J777" s="311">
        <v>1.21953490510483E-2</v>
      </c>
      <c r="K777" s="311">
        <v>1.0591740807686951E-4</v>
      </c>
      <c r="L777" s="518">
        <v>1.2746768619076801E-2</v>
      </c>
      <c r="M777" s="519">
        <v>1.1070652326856843E-4</v>
      </c>
    </row>
    <row r="778" spans="2:13" ht="15.75" x14ac:dyDescent="0.25">
      <c r="B778" s="212">
        <v>2045</v>
      </c>
      <c r="C778" s="309">
        <v>2044</v>
      </c>
      <c r="D778" s="250" t="s">
        <v>4266</v>
      </c>
      <c r="E778" s="517">
        <v>0.1178131890029805</v>
      </c>
      <c r="F778" s="310">
        <v>1.38139113334486E-2</v>
      </c>
      <c r="G778" s="311">
        <v>2.6012946039772909E-2</v>
      </c>
      <c r="H778" s="311">
        <v>1.28346022207527</v>
      </c>
      <c r="I778" s="311">
        <v>0.30739334058382944</v>
      </c>
      <c r="J778" s="311">
        <v>1.0720023242612901E-2</v>
      </c>
      <c r="K778" s="311">
        <v>1.0591740807686945E-4</v>
      </c>
      <c r="L778" s="518">
        <v>1.12047351242452E-2</v>
      </c>
      <c r="M778" s="519">
        <v>1.1070652326856839E-4</v>
      </c>
    </row>
    <row r="779" spans="2:13" ht="15.75" x14ac:dyDescent="0.25">
      <c r="B779" s="212">
        <v>2045</v>
      </c>
      <c r="C779" s="309">
        <v>2045</v>
      </c>
      <c r="D779" s="250" t="s">
        <v>4267</v>
      </c>
      <c r="E779" s="517">
        <v>0.11781318900298056</v>
      </c>
      <c r="F779" s="310">
        <v>1.3209248620053101E-2</v>
      </c>
      <c r="G779" s="311">
        <v>2.6012946039773013E-2</v>
      </c>
      <c r="H779" s="311">
        <v>1.1855747328574799</v>
      </c>
      <c r="I779" s="311">
        <v>0.30739334058383067</v>
      </c>
      <c r="J779" s="311">
        <v>9.2446974341774801E-3</v>
      </c>
      <c r="K779" s="311">
        <v>1.0591740807686987E-4</v>
      </c>
      <c r="L779" s="518">
        <v>9.6627016294136801E-3</v>
      </c>
      <c r="M779" s="519">
        <v>1.1070652326856882E-4</v>
      </c>
    </row>
    <row r="780" spans="2:13" ht="15.75" x14ac:dyDescent="0.25">
      <c r="B780" s="212">
        <v>2045</v>
      </c>
      <c r="C780" s="309">
        <v>2046</v>
      </c>
      <c r="D780" s="250" t="s">
        <v>4519</v>
      </c>
      <c r="E780" s="517">
        <v>0.12522334505840182</v>
      </c>
      <c r="F780" s="310">
        <v>1.2604585906657801E-2</v>
      </c>
      <c r="G780" s="311">
        <v>6.2431070495454925E-2</v>
      </c>
      <c r="H780" s="311">
        <v>1.0876892436396799</v>
      </c>
      <c r="I780" s="311">
        <v>0.73774401740119</v>
      </c>
      <c r="J780" s="311">
        <v>7.76937162574203E-3</v>
      </c>
      <c r="K780" s="311">
        <v>2.5420177938448643E-4</v>
      </c>
      <c r="L780" s="518">
        <v>8.1206681345821E-3</v>
      </c>
      <c r="M780" s="519">
        <v>2.6569565584456386E-4</v>
      </c>
    </row>
    <row r="781" spans="2:13" ht="15.75" x14ac:dyDescent="0.25">
      <c r="B781" s="212">
        <v>2046</v>
      </c>
      <c r="C781" s="309">
        <v>2014</v>
      </c>
      <c r="D781" s="250" t="s">
        <v>4280</v>
      </c>
      <c r="E781" s="517">
        <v>0.16141257511100909</v>
      </c>
      <c r="F781" s="310">
        <v>2.20521222252456E-2</v>
      </c>
      <c r="G781" s="311">
        <v>5.4386612421740865E-2</v>
      </c>
      <c r="H781" s="311">
        <v>2.7968092006682199</v>
      </c>
      <c r="I781" s="311">
        <v>0.64268316436729389</v>
      </c>
      <c r="J781" s="311">
        <v>3.0699780191863799E-2</v>
      </c>
      <c r="K781" s="311">
        <v>2.2144700615549172E-4</v>
      </c>
      <c r="L781" s="518">
        <v>3.20878880238828E-2</v>
      </c>
      <c r="M781" s="519">
        <v>2.3145985711730743E-4</v>
      </c>
    </row>
    <row r="782" spans="2:13" ht="15.75" x14ac:dyDescent="0.25">
      <c r="B782" s="212">
        <v>2046</v>
      </c>
      <c r="C782" s="309">
        <v>2015</v>
      </c>
      <c r="D782" s="250" t="s">
        <v>4281</v>
      </c>
      <c r="E782" s="517">
        <v>0.15939014287964934</v>
      </c>
      <c r="F782" s="310">
        <v>2.1149909091881001E-2</v>
      </c>
      <c r="G782" s="311">
        <v>5.4386612521307331E-2</v>
      </c>
      <c r="H782" s="311">
        <v>2.4704094089592101</v>
      </c>
      <c r="I782" s="311">
        <v>0.64268316554386573</v>
      </c>
      <c r="J782" s="311">
        <v>2.8625136364777499E-2</v>
      </c>
      <c r="K782" s="311">
        <v>2.2144700656089833E-4</v>
      </c>
      <c r="L782" s="518">
        <v>2.99194380090314E-2</v>
      </c>
      <c r="M782" s="519">
        <v>2.3145985754104476E-4</v>
      </c>
    </row>
    <row r="783" spans="2:13" ht="15.75" x14ac:dyDescent="0.25">
      <c r="B783" s="212">
        <v>2046</v>
      </c>
      <c r="C783" s="309">
        <v>2016</v>
      </c>
      <c r="D783" s="250" t="s">
        <v>4282</v>
      </c>
      <c r="E783" s="517">
        <v>0.15939211808612838</v>
      </c>
      <c r="F783" s="310">
        <v>2.1151052694701401E-2</v>
      </c>
      <c r="G783" s="311">
        <v>5.4386612051722918E-2</v>
      </c>
      <c r="H783" s="311">
        <v>2.4703913083549902</v>
      </c>
      <c r="I783" s="311">
        <v>0.64268315999481651</v>
      </c>
      <c r="J783" s="311">
        <v>2.8629202549204699E-2</v>
      </c>
      <c r="K783" s="311">
        <v>2.2144700464888254E-4</v>
      </c>
      <c r="L783" s="518">
        <v>2.9923688048274999E-2</v>
      </c>
      <c r="M783" s="519">
        <v>2.314598555425761E-4</v>
      </c>
    </row>
    <row r="784" spans="2:13" ht="15.75" x14ac:dyDescent="0.25">
      <c r="B784" s="212">
        <v>2046</v>
      </c>
      <c r="C784" s="309">
        <v>2017</v>
      </c>
      <c r="D784" s="250" t="s">
        <v>4283</v>
      </c>
      <c r="E784" s="517">
        <v>0.1533625757666498</v>
      </c>
      <c r="F784" s="310">
        <v>2.11477382222604E-2</v>
      </c>
      <c r="G784" s="311">
        <v>5.4386608089783683E-2</v>
      </c>
      <c r="H784" s="311">
        <v>2.4706923483369101</v>
      </c>
      <c r="I784" s="311">
        <v>0.64268311317682936</v>
      </c>
      <c r="J784" s="311">
        <v>2.86139436550935E-2</v>
      </c>
      <c r="K784" s="311">
        <v>2.2144698851697908E-4</v>
      </c>
      <c r="L784" s="518">
        <v>2.9907739214682399E-2</v>
      </c>
      <c r="M784" s="519">
        <v>2.3145983868125955E-4</v>
      </c>
    </row>
    <row r="785" spans="2:13" ht="15.75" x14ac:dyDescent="0.25">
      <c r="B785" s="212">
        <v>2046</v>
      </c>
      <c r="C785" s="309">
        <v>2018</v>
      </c>
      <c r="D785" s="250" t="s">
        <v>4284</v>
      </c>
      <c r="E785" s="517">
        <v>0.15336257576664961</v>
      </c>
      <c r="F785" s="310">
        <v>2.11477382222604E-2</v>
      </c>
      <c r="G785" s="311">
        <v>5.4386608089783635E-2</v>
      </c>
      <c r="H785" s="311">
        <v>2.4706923483369101</v>
      </c>
      <c r="I785" s="311">
        <v>0.64268311317683002</v>
      </c>
      <c r="J785" s="311">
        <v>2.86139436550936E-2</v>
      </c>
      <c r="K785" s="311">
        <v>2.2144698851697884E-4</v>
      </c>
      <c r="L785" s="518">
        <v>2.9907739214682399E-2</v>
      </c>
      <c r="M785" s="519">
        <v>2.3145983868125934E-4</v>
      </c>
    </row>
    <row r="786" spans="2:13" ht="15.75" x14ac:dyDescent="0.25">
      <c r="B786" s="212">
        <v>2046</v>
      </c>
      <c r="C786" s="309">
        <v>2019</v>
      </c>
      <c r="D786" s="250" t="s">
        <v>4285</v>
      </c>
      <c r="E786" s="517">
        <v>0.15336257576664927</v>
      </c>
      <c r="F786" s="310">
        <v>2.11477382222604E-2</v>
      </c>
      <c r="G786" s="311">
        <v>5.4386608089783454E-2</v>
      </c>
      <c r="H786" s="311">
        <v>2.4706923483369101</v>
      </c>
      <c r="I786" s="311">
        <v>0.64268311317682802</v>
      </c>
      <c r="J786" s="311">
        <v>2.86139436550935E-2</v>
      </c>
      <c r="K786" s="311">
        <v>2.2144698851697816E-4</v>
      </c>
      <c r="L786" s="518">
        <v>2.9907739214682399E-2</v>
      </c>
      <c r="M786" s="519">
        <v>2.314598386812586E-4</v>
      </c>
    </row>
    <row r="787" spans="2:13" ht="15.75" x14ac:dyDescent="0.25">
      <c r="B787" s="212">
        <v>2046</v>
      </c>
      <c r="C787" s="309">
        <v>2020</v>
      </c>
      <c r="D787" s="250" t="s">
        <v>4286</v>
      </c>
      <c r="E787" s="517">
        <v>0.15336257576665055</v>
      </c>
      <c r="F787" s="310">
        <v>2.1147738222260501E-2</v>
      </c>
      <c r="G787" s="311">
        <v>5.4386608089783649E-2</v>
      </c>
      <c r="H787" s="311">
        <v>2.4706923483369101</v>
      </c>
      <c r="I787" s="311">
        <v>0.64268311317683025</v>
      </c>
      <c r="J787" s="311">
        <v>2.86139436550935E-2</v>
      </c>
      <c r="K787" s="311">
        <v>2.2144698851697895E-4</v>
      </c>
      <c r="L787" s="518">
        <v>2.9907739214682399E-2</v>
      </c>
      <c r="M787" s="519">
        <v>2.3145983868125942E-4</v>
      </c>
    </row>
    <row r="788" spans="2:13" ht="15.75" x14ac:dyDescent="0.25">
      <c r="B788" s="212">
        <v>2046</v>
      </c>
      <c r="C788" s="309">
        <v>2021</v>
      </c>
      <c r="D788" s="250" t="s">
        <v>4287</v>
      </c>
      <c r="E788" s="517">
        <v>0.13870014819476872</v>
      </c>
      <c r="F788" s="310">
        <v>2.11477382222604E-2</v>
      </c>
      <c r="G788" s="311">
        <v>5.4386608089783545E-2</v>
      </c>
      <c r="H788" s="311">
        <v>2.4706923483369101</v>
      </c>
      <c r="I788" s="311">
        <v>0.6426831131768278</v>
      </c>
      <c r="J788" s="311">
        <v>2.86139436550935E-2</v>
      </c>
      <c r="K788" s="311">
        <v>2.2144698851697851E-4</v>
      </c>
      <c r="L788" s="518">
        <v>2.9907739214682399E-2</v>
      </c>
      <c r="M788" s="519">
        <v>2.3145983868125898E-4</v>
      </c>
    </row>
    <row r="789" spans="2:13" ht="15.75" x14ac:dyDescent="0.25">
      <c r="B789" s="212">
        <v>2046</v>
      </c>
      <c r="C789" s="309">
        <v>2022</v>
      </c>
      <c r="D789" s="250" t="s">
        <v>4288</v>
      </c>
      <c r="E789" s="517">
        <v>0.13870014819476875</v>
      </c>
      <c r="F789" s="310">
        <v>2.1147738222260501E-2</v>
      </c>
      <c r="G789" s="311">
        <v>5.4386608089783489E-2</v>
      </c>
      <c r="H789" s="311">
        <v>2.4706923483369101</v>
      </c>
      <c r="I789" s="311">
        <v>0.64268311317682847</v>
      </c>
      <c r="J789" s="311">
        <v>2.86139436550935E-2</v>
      </c>
      <c r="K789" s="311">
        <v>2.214469885169783E-4</v>
      </c>
      <c r="L789" s="518">
        <v>2.9907739214682399E-2</v>
      </c>
      <c r="M789" s="519">
        <v>2.3145983868125869E-4</v>
      </c>
    </row>
    <row r="790" spans="2:13" ht="15.75" x14ac:dyDescent="0.25">
      <c r="B790" s="212">
        <v>2046</v>
      </c>
      <c r="C790" s="309">
        <v>2023</v>
      </c>
      <c r="D790" s="250" t="s">
        <v>4289</v>
      </c>
      <c r="E790" s="517">
        <v>0.13870014819476809</v>
      </c>
      <c r="F790" s="310">
        <v>2.11477382222604E-2</v>
      </c>
      <c r="G790" s="311">
        <v>5.438660808978333E-2</v>
      </c>
      <c r="H790" s="311">
        <v>2.4706923483369101</v>
      </c>
      <c r="I790" s="311">
        <v>0.64268311317682814</v>
      </c>
      <c r="J790" s="311">
        <v>2.86139436550936E-2</v>
      </c>
      <c r="K790" s="311">
        <v>2.2144698851697819E-4</v>
      </c>
      <c r="L790" s="518">
        <v>2.9907739214682399E-2</v>
      </c>
      <c r="M790" s="519">
        <v>2.3145983868125863E-4</v>
      </c>
    </row>
    <row r="791" spans="2:13" ht="15.75" x14ac:dyDescent="0.25">
      <c r="B791" s="212">
        <v>2046</v>
      </c>
      <c r="C791" s="309">
        <v>2024</v>
      </c>
      <c r="D791" s="250" t="s">
        <v>4290</v>
      </c>
      <c r="E791" s="517">
        <v>0.12820381268560535</v>
      </c>
      <c r="F791" s="310">
        <v>2.11477382222604E-2</v>
      </c>
      <c r="G791" s="311">
        <v>5.4386608089783808E-2</v>
      </c>
      <c r="H791" s="311">
        <v>2.4706923483369101</v>
      </c>
      <c r="I791" s="311">
        <v>0.64268311317683091</v>
      </c>
      <c r="J791" s="311">
        <v>2.86139436550935E-2</v>
      </c>
      <c r="K791" s="311">
        <v>2.214469885169796E-4</v>
      </c>
      <c r="L791" s="518">
        <v>2.9907739214682399E-2</v>
      </c>
      <c r="M791" s="519">
        <v>2.3145983868126007E-4</v>
      </c>
    </row>
    <row r="792" spans="2:13" ht="15.75" x14ac:dyDescent="0.25">
      <c r="B792" s="212">
        <v>2046</v>
      </c>
      <c r="C792" s="309">
        <v>2025</v>
      </c>
      <c r="D792" s="250" t="s">
        <v>4291</v>
      </c>
      <c r="E792" s="517">
        <v>0.12820381268560491</v>
      </c>
      <c r="F792" s="310">
        <v>2.1147738222260501E-2</v>
      </c>
      <c r="G792" s="311">
        <v>5.4386608089783642E-2</v>
      </c>
      <c r="H792" s="311">
        <v>2.4706923483369101</v>
      </c>
      <c r="I792" s="311">
        <v>0.64268311317682891</v>
      </c>
      <c r="J792" s="311">
        <v>2.86139436550936E-2</v>
      </c>
      <c r="K792" s="311">
        <v>2.2144698851697892E-4</v>
      </c>
      <c r="L792" s="518">
        <v>2.9907739214682399E-2</v>
      </c>
      <c r="M792" s="519">
        <v>2.3145983868125934E-4</v>
      </c>
    </row>
    <row r="793" spans="2:13" ht="15.75" x14ac:dyDescent="0.25">
      <c r="B793" s="212">
        <v>2046</v>
      </c>
      <c r="C793" s="309">
        <v>2026</v>
      </c>
      <c r="D793" s="250" t="s">
        <v>4292</v>
      </c>
      <c r="E793" s="517">
        <v>0.12820381268560493</v>
      </c>
      <c r="F793" s="310">
        <v>2.11477382222604E-2</v>
      </c>
      <c r="G793" s="311">
        <v>5.4386608089783545E-2</v>
      </c>
      <c r="H793" s="311">
        <v>2.4706923483369101</v>
      </c>
      <c r="I793" s="311">
        <v>0.6426831131768278</v>
      </c>
      <c r="J793" s="311">
        <v>2.86139436550935E-2</v>
      </c>
      <c r="K793" s="311">
        <v>2.2144698851697857E-4</v>
      </c>
      <c r="L793" s="518">
        <v>2.9907739214682399E-2</v>
      </c>
      <c r="M793" s="519">
        <v>2.3145983868125898E-4</v>
      </c>
    </row>
    <row r="794" spans="2:13" ht="15.75" x14ac:dyDescent="0.25">
      <c r="B794" s="212">
        <v>2046</v>
      </c>
      <c r="C794" s="309">
        <v>2027</v>
      </c>
      <c r="D794" s="250" t="s">
        <v>4293</v>
      </c>
      <c r="E794" s="517">
        <v>0.12358650306374985</v>
      </c>
      <c r="F794" s="310">
        <v>2.1147738222260501E-2</v>
      </c>
      <c r="G794" s="311">
        <v>5.4386608089783579E-2</v>
      </c>
      <c r="H794" s="311">
        <v>2.4706923483369101</v>
      </c>
      <c r="I794" s="311">
        <v>0.64268311317682958</v>
      </c>
      <c r="J794" s="311">
        <v>2.86139436550935E-2</v>
      </c>
      <c r="K794" s="311">
        <v>2.2144698851697867E-4</v>
      </c>
      <c r="L794" s="518">
        <v>2.9907739214682399E-2</v>
      </c>
      <c r="M794" s="519">
        <v>2.3145983868125912E-4</v>
      </c>
    </row>
    <row r="795" spans="2:13" ht="15.75" x14ac:dyDescent="0.25">
      <c r="B795" s="212">
        <v>2046</v>
      </c>
      <c r="C795" s="309">
        <v>2028</v>
      </c>
      <c r="D795" s="250" t="s">
        <v>4294</v>
      </c>
      <c r="E795" s="517">
        <v>0.12358650306374959</v>
      </c>
      <c r="F795" s="310">
        <v>2.11477382222604E-2</v>
      </c>
      <c r="G795" s="311">
        <v>5.4386608089783552E-2</v>
      </c>
      <c r="H795" s="311">
        <v>2.4706923483369101</v>
      </c>
      <c r="I795" s="311">
        <v>0.64268311317682791</v>
      </c>
      <c r="J795" s="311">
        <v>2.86139436550935E-2</v>
      </c>
      <c r="K795" s="311">
        <v>2.2144698851697859E-4</v>
      </c>
      <c r="L795" s="518">
        <v>2.9907739214682399E-2</v>
      </c>
      <c r="M795" s="519">
        <v>2.3145983868125901E-4</v>
      </c>
    </row>
    <row r="796" spans="2:13" ht="15.75" x14ac:dyDescent="0.25">
      <c r="B796" s="212">
        <v>2046</v>
      </c>
      <c r="C796" s="309">
        <v>2029</v>
      </c>
      <c r="D796" s="250" t="s">
        <v>4295</v>
      </c>
      <c r="E796" s="517">
        <v>0.12358650306374971</v>
      </c>
      <c r="F796" s="310">
        <v>2.11477382222604E-2</v>
      </c>
      <c r="G796" s="311">
        <v>5.4386608089783572E-2</v>
      </c>
      <c r="H796" s="311">
        <v>2.4706923483369101</v>
      </c>
      <c r="I796" s="311">
        <v>0.64268311317682802</v>
      </c>
      <c r="J796" s="311">
        <v>2.86139436550935E-2</v>
      </c>
      <c r="K796" s="311">
        <v>2.2144698851697865E-4</v>
      </c>
      <c r="L796" s="518">
        <v>2.9907739214682399E-2</v>
      </c>
      <c r="M796" s="519">
        <v>2.3145983868125907E-4</v>
      </c>
    </row>
    <row r="797" spans="2:13" ht="15.75" x14ac:dyDescent="0.25">
      <c r="B797" s="212">
        <v>2046</v>
      </c>
      <c r="C797" s="309">
        <v>2030</v>
      </c>
      <c r="D797" s="250" t="s">
        <v>4296</v>
      </c>
      <c r="E797" s="517">
        <v>0.12358650306374974</v>
      </c>
      <c r="F797" s="310">
        <v>2.11459286064705E-2</v>
      </c>
      <c r="G797" s="311">
        <v>5.4386608089783538E-2</v>
      </c>
      <c r="H797" s="311">
        <v>2.47039939972476</v>
      </c>
      <c r="I797" s="311">
        <v>0.64268311317682769</v>
      </c>
      <c r="J797" s="311">
        <v>2.86095283450391E-2</v>
      </c>
      <c r="K797" s="311">
        <v>2.2144698851697849E-4</v>
      </c>
      <c r="L797" s="518">
        <v>2.9903124263899902E-2</v>
      </c>
      <c r="M797" s="519">
        <v>2.3145983868125893E-4</v>
      </c>
    </row>
    <row r="798" spans="2:13" ht="15.75" x14ac:dyDescent="0.25">
      <c r="B798" s="212">
        <v>2046</v>
      </c>
      <c r="C798" s="309">
        <v>2031</v>
      </c>
      <c r="D798" s="250" t="s">
        <v>4297</v>
      </c>
      <c r="E798" s="517">
        <v>0.12358650306374967</v>
      </c>
      <c r="F798" s="310">
        <v>2.0885641121707401E-2</v>
      </c>
      <c r="G798" s="311">
        <v>5.4386608089783461E-2</v>
      </c>
      <c r="H798" s="311">
        <v>2.4282629098439101</v>
      </c>
      <c r="I798" s="311">
        <v>0.64268311317682836</v>
      </c>
      <c r="J798" s="311">
        <v>2.7974448813292599E-2</v>
      </c>
      <c r="K798" s="311">
        <v>2.214469885169787E-4</v>
      </c>
      <c r="L798" s="518">
        <v>2.9239329253851601E-2</v>
      </c>
      <c r="M798" s="519">
        <v>2.3145983868125915E-4</v>
      </c>
    </row>
    <row r="799" spans="2:13" ht="15.75" x14ac:dyDescent="0.25">
      <c r="B799" s="212">
        <v>2046</v>
      </c>
      <c r="C799" s="309">
        <v>2032</v>
      </c>
      <c r="D799" s="250" t="s">
        <v>4298</v>
      </c>
      <c r="E799" s="517">
        <v>0.12247987481395961</v>
      </c>
      <c r="F799" s="310">
        <v>2.0596432805303998E-2</v>
      </c>
      <c r="G799" s="311">
        <v>4.8947947280805239E-2</v>
      </c>
      <c r="H799" s="311">
        <v>2.3814445877540802</v>
      </c>
      <c r="I799" s="311">
        <v>0.57841480185914551</v>
      </c>
      <c r="J799" s="311">
        <v>2.7268804889129899E-2</v>
      </c>
      <c r="K799" s="311">
        <v>1.9930228966528085E-4</v>
      </c>
      <c r="L799" s="518">
        <v>2.8501779242686799E-2</v>
      </c>
      <c r="M799" s="519">
        <v>2.0831385481313329E-4</v>
      </c>
    </row>
    <row r="800" spans="2:13" ht="15.75" x14ac:dyDescent="0.25">
      <c r="B800" s="212">
        <v>2046</v>
      </c>
      <c r="C800" s="309">
        <v>2033</v>
      </c>
      <c r="D800" s="250" t="s">
        <v>4299</v>
      </c>
      <c r="E800" s="517">
        <v>0.12148390938914778</v>
      </c>
      <c r="F800" s="310">
        <v>2.0275090231522401E-2</v>
      </c>
      <c r="G800" s="311">
        <v>4.4053152552724593E-2</v>
      </c>
      <c r="H800" s="311">
        <v>2.32942422987648</v>
      </c>
      <c r="I800" s="311">
        <v>0.52057332167323078</v>
      </c>
      <c r="J800" s="311">
        <v>2.6484756084504599E-2</v>
      </c>
      <c r="K800" s="311">
        <v>1.7937206069875274E-4</v>
      </c>
      <c r="L800" s="518">
        <v>2.7682279230281399E-2</v>
      </c>
      <c r="M800" s="519">
        <v>1.874824693318199E-4</v>
      </c>
    </row>
    <row r="801" spans="2:13" ht="15.75" x14ac:dyDescent="0.25">
      <c r="B801" s="212">
        <v>2046</v>
      </c>
      <c r="C801" s="309">
        <v>2034</v>
      </c>
      <c r="D801" s="250" t="s">
        <v>4300</v>
      </c>
      <c r="E801" s="517">
        <v>0.12058754050681876</v>
      </c>
      <c r="F801" s="310">
        <v>1.99180429273207E-2</v>
      </c>
      <c r="G801" s="311">
        <v>3.9647837297452235E-2</v>
      </c>
      <c r="H801" s="311">
        <v>2.27162383223471</v>
      </c>
      <c r="I801" s="311">
        <v>0.46851598950590878</v>
      </c>
      <c r="J801" s="311">
        <v>2.5613590746032099E-2</v>
      </c>
      <c r="K801" s="311">
        <v>1.6143485462887747E-4</v>
      </c>
      <c r="L801" s="518">
        <v>2.67717236609421E-2</v>
      </c>
      <c r="M801" s="519">
        <v>1.6873422239863792E-4</v>
      </c>
    </row>
    <row r="802" spans="2:13" ht="15.75" x14ac:dyDescent="0.25">
      <c r="B802" s="212">
        <v>2046</v>
      </c>
      <c r="C802" s="309">
        <v>2035</v>
      </c>
      <c r="D802" s="250" t="s">
        <v>4301</v>
      </c>
      <c r="E802" s="517">
        <v>0.11978080851272124</v>
      </c>
      <c r="F802" s="310">
        <v>1.9521323700429902E-2</v>
      </c>
      <c r="G802" s="311">
        <v>3.5683053567706943E-2</v>
      </c>
      <c r="H802" s="311">
        <v>2.2074011681883001</v>
      </c>
      <c r="I802" s="311">
        <v>0.42166439055531729</v>
      </c>
      <c r="J802" s="311">
        <v>2.4645629258840399E-2</v>
      </c>
      <c r="K802" s="311">
        <v>1.452913691659898E-4</v>
      </c>
      <c r="L802" s="518">
        <v>2.5759995250565101E-2</v>
      </c>
      <c r="M802" s="519">
        <v>1.518608001587742E-4</v>
      </c>
    </row>
    <row r="803" spans="2:13" ht="15.75" x14ac:dyDescent="0.25">
      <c r="B803" s="212">
        <v>2046</v>
      </c>
      <c r="C803" s="309">
        <v>2036</v>
      </c>
      <c r="D803" s="250" t="s">
        <v>4302</v>
      </c>
      <c r="E803" s="517">
        <v>0.11905474971803402</v>
      </c>
      <c r="F803" s="310">
        <v>1.90805245594401E-2</v>
      </c>
      <c r="G803" s="311">
        <v>3.2114748210936211E-2</v>
      </c>
      <c r="H803" s="311">
        <v>2.13604265258118</v>
      </c>
      <c r="I803" s="311">
        <v>0.37949795149978416</v>
      </c>
      <c r="J803" s="311">
        <v>2.3570116495294099E-2</v>
      </c>
      <c r="K803" s="311">
        <v>1.3076223224939033E-4</v>
      </c>
      <c r="L803" s="518">
        <v>2.4635852572368399E-2</v>
      </c>
      <c r="M803" s="519">
        <v>1.3667472014289628E-4</v>
      </c>
    </row>
    <row r="804" spans="2:13" ht="15.75" x14ac:dyDescent="0.25">
      <c r="B804" s="212">
        <v>2046</v>
      </c>
      <c r="C804" s="309">
        <v>2037</v>
      </c>
      <c r="D804" s="250" t="s">
        <v>4303</v>
      </c>
      <c r="E804" s="517">
        <v>0.11840129680281498</v>
      </c>
      <c r="F804" s="310">
        <v>1.8590747736118102E-2</v>
      </c>
      <c r="G804" s="311">
        <v>2.8903273389842644E-2</v>
      </c>
      <c r="H804" s="311">
        <v>2.0567554130177101</v>
      </c>
      <c r="I804" s="311">
        <v>0.34154815634980634</v>
      </c>
      <c r="J804" s="311">
        <v>2.2375102313575999E-2</v>
      </c>
      <c r="K804" s="311">
        <v>1.1768600902445153E-4</v>
      </c>
      <c r="L804" s="518">
        <v>2.33868051521499E-2</v>
      </c>
      <c r="M804" s="519">
        <v>1.2300724812860689E-4</v>
      </c>
    </row>
    <row r="805" spans="2:13" ht="15.75" x14ac:dyDescent="0.25">
      <c r="B805" s="212">
        <v>2046</v>
      </c>
      <c r="C805" s="309">
        <v>2038</v>
      </c>
      <c r="D805" s="250" t="s">
        <v>4304</v>
      </c>
      <c r="E805" s="517">
        <v>0.1178131891791183</v>
      </c>
      <c r="F805" s="310">
        <v>1.80465512657603E-2</v>
      </c>
      <c r="G805" s="311">
        <v>2.6012946050858334E-2</v>
      </c>
      <c r="H805" s="311">
        <v>1.96865848016941</v>
      </c>
      <c r="I805" s="311">
        <v>0.30739334071482516</v>
      </c>
      <c r="J805" s="311">
        <v>2.10473087783336E-2</v>
      </c>
      <c r="K805" s="311">
        <v>1.059174081220062E-4</v>
      </c>
      <c r="L805" s="518">
        <v>2.19989746852404E-2</v>
      </c>
      <c r="M805" s="519">
        <v>1.10706523315746E-4</v>
      </c>
    </row>
    <row r="806" spans="2:13" ht="15.75" x14ac:dyDescent="0.25">
      <c r="B806" s="212">
        <v>2046</v>
      </c>
      <c r="C806" s="309">
        <v>2039</v>
      </c>
      <c r="D806" s="250" t="s">
        <v>4305</v>
      </c>
      <c r="E806" s="517">
        <v>0.11781318917911861</v>
      </c>
      <c r="F806" s="310">
        <v>1.7441888520918301E-2</v>
      </c>
      <c r="G806" s="311">
        <v>2.6012946050858309E-2</v>
      </c>
      <c r="H806" s="311">
        <v>1.87077299922685</v>
      </c>
      <c r="I806" s="311">
        <v>0.30739334071482488</v>
      </c>
      <c r="J806" s="311">
        <v>1.95719826280643E-2</v>
      </c>
      <c r="K806" s="311">
        <v>1.0591740812200609E-4</v>
      </c>
      <c r="L806" s="518">
        <v>2.0456940833118699E-2</v>
      </c>
      <c r="M806" s="519">
        <v>1.107065233157459E-4</v>
      </c>
    </row>
    <row r="807" spans="2:13" ht="15.75" x14ac:dyDescent="0.25">
      <c r="B807" s="212">
        <v>2046</v>
      </c>
      <c r="C807" s="309">
        <v>2040</v>
      </c>
      <c r="D807" s="250" t="s">
        <v>4306</v>
      </c>
      <c r="E807" s="517">
        <v>0.11781318917911857</v>
      </c>
      <c r="F807" s="310">
        <v>1.6837225776076301E-2</v>
      </c>
      <c r="G807" s="311">
        <v>2.6012946050858403E-2</v>
      </c>
      <c r="H807" s="311">
        <v>1.7728875182843</v>
      </c>
      <c r="I807" s="311">
        <v>0.30739334071482599</v>
      </c>
      <c r="J807" s="311">
        <v>1.8096656477795001E-2</v>
      </c>
      <c r="K807" s="311">
        <v>1.0591740812200647E-4</v>
      </c>
      <c r="L807" s="518">
        <v>1.8914906980997102E-2</v>
      </c>
      <c r="M807" s="519">
        <v>1.1070652331574631E-4</v>
      </c>
    </row>
    <row r="808" spans="2:13" ht="15.75" x14ac:dyDescent="0.25">
      <c r="B808" s="212">
        <v>2046</v>
      </c>
      <c r="C808" s="309">
        <v>2041</v>
      </c>
      <c r="D808" s="250" t="s">
        <v>4307</v>
      </c>
      <c r="E808" s="517">
        <v>0.1178131891791184</v>
      </c>
      <c r="F808" s="310">
        <v>1.6232563031234298E-2</v>
      </c>
      <c r="G808" s="311">
        <v>2.6012946050858406E-2</v>
      </c>
      <c r="H808" s="311">
        <v>1.67500203734174</v>
      </c>
      <c r="I808" s="311">
        <v>0.30739334071482605</v>
      </c>
      <c r="J808" s="311">
        <v>1.6621330327525701E-2</v>
      </c>
      <c r="K808" s="311">
        <v>1.0591740812200648E-4</v>
      </c>
      <c r="L808" s="518">
        <v>1.7372873128875501E-2</v>
      </c>
      <c r="M808" s="519">
        <v>1.1070652331574631E-4</v>
      </c>
    </row>
    <row r="809" spans="2:13" ht="15.75" x14ac:dyDescent="0.25">
      <c r="B809" s="212">
        <v>2046</v>
      </c>
      <c r="C809" s="309">
        <v>2042</v>
      </c>
      <c r="D809" s="250" t="s">
        <v>4308</v>
      </c>
      <c r="E809" s="517">
        <v>0.11781318917911825</v>
      </c>
      <c r="F809" s="310">
        <v>1.5627900286392299E-2</v>
      </c>
      <c r="G809" s="311">
        <v>2.6012946050858271E-2</v>
      </c>
      <c r="H809" s="311">
        <v>1.57711655639919</v>
      </c>
      <c r="I809" s="311">
        <v>0.30739334071482521</v>
      </c>
      <c r="J809" s="311">
        <v>1.51460041772564E-2</v>
      </c>
      <c r="K809" s="311">
        <v>1.059174081220062E-4</v>
      </c>
      <c r="L809" s="518">
        <v>1.58308392767538E-2</v>
      </c>
      <c r="M809" s="519">
        <v>1.1070652331574601E-4</v>
      </c>
    </row>
    <row r="810" spans="2:13" ht="15.75" x14ac:dyDescent="0.25">
      <c r="B810" s="212">
        <v>2046</v>
      </c>
      <c r="C810" s="309">
        <v>2043</v>
      </c>
      <c r="D810" s="250" t="s">
        <v>4309</v>
      </c>
      <c r="E810" s="517">
        <v>0.11781318917911854</v>
      </c>
      <c r="F810" s="310">
        <v>1.5023237541550299E-2</v>
      </c>
      <c r="G810" s="311">
        <v>2.601294605085832E-2</v>
      </c>
      <c r="H810" s="311">
        <v>1.47923107545663</v>
      </c>
      <c r="I810" s="311">
        <v>0.30739334071482566</v>
      </c>
      <c r="J810" s="311">
        <v>1.36706780269871E-2</v>
      </c>
      <c r="K810" s="311">
        <v>1.0591740812200613E-4</v>
      </c>
      <c r="L810" s="518">
        <v>1.4288805424632201E-2</v>
      </c>
      <c r="M810" s="519">
        <v>1.1070652331574594E-4</v>
      </c>
    </row>
    <row r="811" spans="2:13" ht="15.75" x14ac:dyDescent="0.25">
      <c r="B811" s="212">
        <v>2046</v>
      </c>
      <c r="C811" s="309">
        <v>2044</v>
      </c>
      <c r="D811" s="250" t="s">
        <v>4310</v>
      </c>
      <c r="E811" s="517">
        <v>0.11781318917911843</v>
      </c>
      <c r="F811" s="310">
        <v>1.4418574796708401E-2</v>
      </c>
      <c r="G811" s="311">
        <v>2.6012946050858358E-2</v>
      </c>
      <c r="H811" s="311">
        <v>1.38134559451408</v>
      </c>
      <c r="I811" s="311">
        <v>0.30739334071482544</v>
      </c>
      <c r="J811" s="311">
        <v>1.2195351876717799E-2</v>
      </c>
      <c r="K811" s="311">
        <v>1.0591740812200628E-4</v>
      </c>
      <c r="L811" s="518">
        <v>1.27467715725105E-2</v>
      </c>
      <c r="M811" s="519">
        <v>1.1070652331574609E-4</v>
      </c>
    </row>
    <row r="812" spans="2:13" ht="15.75" x14ac:dyDescent="0.25">
      <c r="B812" s="212">
        <v>2046</v>
      </c>
      <c r="C812" s="309">
        <v>2045</v>
      </c>
      <c r="D812" s="250" t="s">
        <v>4311</v>
      </c>
      <c r="E812" s="517">
        <v>0.11781318917911861</v>
      </c>
      <c r="F812" s="310">
        <v>1.3813912051866399E-2</v>
      </c>
      <c r="G812" s="311">
        <v>2.6012946050858403E-2</v>
      </c>
      <c r="H812" s="311">
        <v>1.28346011357152</v>
      </c>
      <c r="I812" s="311">
        <v>0.30739334071482671</v>
      </c>
      <c r="J812" s="311">
        <v>1.07200257264485E-2</v>
      </c>
      <c r="K812" s="311">
        <v>1.0591740812200648E-4</v>
      </c>
      <c r="L812" s="518">
        <v>1.1204737720388901E-2</v>
      </c>
      <c r="M812" s="519">
        <v>1.1070652331574631E-4</v>
      </c>
    </row>
    <row r="813" spans="2:13" ht="15.75" x14ac:dyDescent="0.25">
      <c r="B813" s="212">
        <v>2046</v>
      </c>
      <c r="C813" s="309">
        <v>2046</v>
      </c>
      <c r="D813" s="250" t="s">
        <v>4312</v>
      </c>
      <c r="E813" s="517">
        <v>0.11781318917911883</v>
      </c>
      <c r="F813" s="310">
        <v>1.32092493070244E-2</v>
      </c>
      <c r="G813" s="311">
        <v>2.6012946050858483E-2</v>
      </c>
      <c r="H813" s="311">
        <v>1.18557463262896</v>
      </c>
      <c r="I813" s="311">
        <v>0.30739334071482693</v>
      </c>
      <c r="J813" s="311">
        <v>9.2446995761792695E-3</v>
      </c>
      <c r="K813" s="311">
        <v>1.0591740812200679E-4</v>
      </c>
      <c r="L813" s="518">
        <v>9.6627038682672896E-3</v>
      </c>
      <c r="M813" s="519">
        <v>1.1070652331574665E-4</v>
      </c>
    </row>
    <row r="814" spans="2:13" ht="15.75" x14ac:dyDescent="0.25">
      <c r="B814" s="212">
        <v>2046</v>
      </c>
      <c r="C814" s="309">
        <v>2047</v>
      </c>
      <c r="D814" s="250" t="s">
        <v>4520</v>
      </c>
      <c r="E814" s="517">
        <v>0.12522334523769732</v>
      </c>
      <c r="F814" s="310">
        <v>1.2604586562182401E-2</v>
      </c>
      <c r="G814" s="311">
        <v>6.2431070522059907E-2</v>
      </c>
      <c r="H814" s="311">
        <v>1.08768915168641</v>
      </c>
      <c r="I814" s="311">
        <v>0.73774401771557929</v>
      </c>
      <c r="J814" s="311">
        <v>7.76937342590997E-3</v>
      </c>
      <c r="K814" s="311">
        <v>2.5420177949281449E-4</v>
      </c>
      <c r="L814" s="518">
        <v>8.1206700161456594E-3</v>
      </c>
      <c r="M814" s="519">
        <v>2.6569565595779002E-4</v>
      </c>
    </row>
    <row r="815" spans="2:13" ht="15.75" x14ac:dyDescent="0.25">
      <c r="B815" s="212">
        <v>2047</v>
      </c>
      <c r="C815" s="309">
        <v>2015</v>
      </c>
      <c r="D815" s="250" t="s">
        <v>4325</v>
      </c>
      <c r="E815" s="517">
        <v>0.15939014276453126</v>
      </c>
      <c r="F815" s="310">
        <v>2.1149909904736201E-2</v>
      </c>
      <c r="G815" s="311">
        <v>5.4386611106281693E-2</v>
      </c>
      <c r="H815" s="311">
        <v>2.4704092650717802</v>
      </c>
      <c r="I815" s="311">
        <v>0.64268314882259592</v>
      </c>
      <c r="J815" s="311">
        <v>2.8625141119379999E-2</v>
      </c>
      <c r="K815" s="311">
        <v>2.2144700079931154E-4</v>
      </c>
      <c r="L815" s="518">
        <v>2.9919442978615901E-2</v>
      </c>
      <c r="M815" s="519">
        <v>2.3145985151894457E-4</v>
      </c>
    </row>
    <row r="816" spans="2:13" ht="15.75" x14ac:dyDescent="0.25">
      <c r="B816" s="212">
        <v>2047</v>
      </c>
      <c r="C816" s="309">
        <v>2016</v>
      </c>
      <c r="D816" s="250" t="s">
        <v>4326</v>
      </c>
      <c r="E816" s="517">
        <v>0.15939211799574463</v>
      </c>
      <c r="F816" s="310">
        <v>2.1151053498705601E-2</v>
      </c>
      <c r="G816" s="311">
        <v>5.4386610787946141E-2</v>
      </c>
      <c r="H816" s="311">
        <v>2.47039116467402</v>
      </c>
      <c r="I816" s="311">
        <v>0.64268314506084612</v>
      </c>
      <c r="J816" s="311">
        <v>2.8629207269316299E-2</v>
      </c>
      <c r="K816" s="311">
        <v>2.2144699950313857E-4</v>
      </c>
      <c r="L816" s="518">
        <v>2.9923692981809101E-2</v>
      </c>
      <c r="M816" s="519">
        <v>2.314598501641644E-4</v>
      </c>
    </row>
    <row r="817" spans="2:13" ht="15.75" x14ac:dyDescent="0.25">
      <c r="B817" s="212">
        <v>2047</v>
      </c>
      <c r="C817" s="309">
        <v>2017</v>
      </c>
      <c r="D817" s="250" t="s">
        <v>4327</v>
      </c>
      <c r="E817" s="517">
        <v>0.15336257592344393</v>
      </c>
      <c r="F817" s="310">
        <v>2.1147738974371E-2</v>
      </c>
      <c r="G817" s="311">
        <v>5.438660810045072E-2</v>
      </c>
      <c r="H817" s="311">
        <v>2.4706922062941801</v>
      </c>
      <c r="I817" s="311">
        <v>0.64268311330288097</v>
      </c>
      <c r="J817" s="311">
        <v>2.8613948177552001E-2</v>
      </c>
      <c r="K817" s="311">
        <v>2.2144698856041225E-4</v>
      </c>
      <c r="L817" s="518">
        <v>2.9907743941626399E-2</v>
      </c>
      <c r="M817" s="519">
        <v>2.3145983872665656E-4</v>
      </c>
    </row>
    <row r="818" spans="2:13" ht="15.75" x14ac:dyDescent="0.25">
      <c r="B818" s="212">
        <v>2047</v>
      </c>
      <c r="C818" s="309">
        <v>2018</v>
      </c>
      <c r="D818" s="250" t="s">
        <v>4328</v>
      </c>
      <c r="E818" s="517">
        <v>0.15336257592344416</v>
      </c>
      <c r="F818" s="310">
        <v>2.1147738974370899E-2</v>
      </c>
      <c r="G818" s="311">
        <v>5.4386608100450713E-2</v>
      </c>
      <c r="H818" s="311">
        <v>2.4706922062941801</v>
      </c>
      <c r="I818" s="311">
        <v>0.64268311330288108</v>
      </c>
      <c r="J818" s="311">
        <v>2.8613948177552001E-2</v>
      </c>
      <c r="K818" s="311">
        <v>2.2144698856041225E-4</v>
      </c>
      <c r="L818" s="518">
        <v>2.9907743941626399E-2</v>
      </c>
      <c r="M818" s="519">
        <v>2.3145983872665656E-4</v>
      </c>
    </row>
    <row r="819" spans="2:13" ht="15.75" x14ac:dyDescent="0.25">
      <c r="B819" s="212">
        <v>2047</v>
      </c>
      <c r="C819" s="309">
        <v>2019</v>
      </c>
      <c r="D819" s="250" t="s">
        <v>4329</v>
      </c>
      <c r="E819" s="517">
        <v>0.15336257592344427</v>
      </c>
      <c r="F819" s="310">
        <v>2.1147738974371E-2</v>
      </c>
      <c r="G819" s="311">
        <v>5.4386608100450727E-2</v>
      </c>
      <c r="H819" s="311">
        <v>2.4706922062941801</v>
      </c>
      <c r="I819" s="311">
        <v>0.64268311330288252</v>
      </c>
      <c r="J819" s="311">
        <v>2.8613948177552001E-2</v>
      </c>
      <c r="K819" s="311">
        <v>2.2144698856041233E-4</v>
      </c>
      <c r="L819" s="518">
        <v>2.9907743941626399E-2</v>
      </c>
      <c r="M819" s="519">
        <v>2.3145983872665664E-4</v>
      </c>
    </row>
    <row r="820" spans="2:13" ht="15.75" x14ac:dyDescent="0.25">
      <c r="B820" s="212">
        <v>2047</v>
      </c>
      <c r="C820" s="309">
        <v>2020</v>
      </c>
      <c r="D820" s="250" t="s">
        <v>4330</v>
      </c>
      <c r="E820" s="517">
        <v>0.15336257592344404</v>
      </c>
      <c r="F820" s="310">
        <v>2.1147738974371E-2</v>
      </c>
      <c r="G820" s="311">
        <v>5.4386608100450755E-2</v>
      </c>
      <c r="H820" s="311">
        <v>2.4706922062941801</v>
      </c>
      <c r="I820" s="311">
        <v>0.64268311330288286</v>
      </c>
      <c r="J820" s="311">
        <v>2.8613948177552001E-2</v>
      </c>
      <c r="K820" s="311">
        <v>2.2144698856041241E-4</v>
      </c>
      <c r="L820" s="518">
        <v>2.9907743941626399E-2</v>
      </c>
      <c r="M820" s="519">
        <v>2.3145983872665672E-4</v>
      </c>
    </row>
    <row r="821" spans="2:13" ht="15.75" x14ac:dyDescent="0.25">
      <c r="B821" s="212">
        <v>2047</v>
      </c>
      <c r="C821" s="309">
        <v>2021</v>
      </c>
      <c r="D821" s="250" t="s">
        <v>4331</v>
      </c>
      <c r="E821" s="517">
        <v>0.13870014833657265</v>
      </c>
      <c r="F821" s="310">
        <v>2.1147738974371E-2</v>
      </c>
      <c r="G821" s="311">
        <v>5.4386608100450748E-2</v>
      </c>
      <c r="H821" s="311">
        <v>2.4706922062941801</v>
      </c>
      <c r="I821" s="311">
        <v>0.64268311330288275</v>
      </c>
      <c r="J821" s="311">
        <v>2.8613948177552102E-2</v>
      </c>
      <c r="K821" s="311">
        <v>2.2144698856041238E-4</v>
      </c>
      <c r="L821" s="518">
        <v>2.9907743941626399E-2</v>
      </c>
      <c r="M821" s="519">
        <v>2.3145983872665667E-4</v>
      </c>
    </row>
    <row r="822" spans="2:13" ht="15.75" x14ac:dyDescent="0.25">
      <c r="B822" s="212">
        <v>2047</v>
      </c>
      <c r="C822" s="309">
        <v>2022</v>
      </c>
      <c r="D822" s="250" t="s">
        <v>4332</v>
      </c>
      <c r="E822" s="517">
        <v>0.13870014833657429</v>
      </c>
      <c r="F822" s="310">
        <v>2.1147738974371E-2</v>
      </c>
      <c r="G822" s="311">
        <v>5.438660810045097E-2</v>
      </c>
      <c r="H822" s="311">
        <v>2.4706922062941801</v>
      </c>
      <c r="I822" s="311">
        <v>0.64268311330288408</v>
      </c>
      <c r="J822" s="311">
        <v>2.8613948177552001E-2</v>
      </c>
      <c r="K822" s="311">
        <v>2.214469885604133E-4</v>
      </c>
      <c r="L822" s="518">
        <v>2.9907743941626399E-2</v>
      </c>
      <c r="M822" s="519">
        <v>2.3145983872665767E-4</v>
      </c>
    </row>
    <row r="823" spans="2:13" ht="15.75" x14ac:dyDescent="0.25">
      <c r="B823" s="212">
        <v>2047</v>
      </c>
      <c r="C823" s="309">
        <v>2023</v>
      </c>
      <c r="D823" s="250" t="s">
        <v>4333</v>
      </c>
      <c r="E823" s="517">
        <v>0.13870014833657318</v>
      </c>
      <c r="F823" s="310">
        <v>2.1147738974370899E-2</v>
      </c>
      <c r="G823" s="311">
        <v>5.4386608100450679E-2</v>
      </c>
      <c r="H823" s="311">
        <v>2.4706922062941801</v>
      </c>
      <c r="I823" s="311">
        <v>0.64268311330288064</v>
      </c>
      <c r="J823" s="311">
        <v>2.8613948177552001E-2</v>
      </c>
      <c r="K823" s="311">
        <v>2.2144698856041211E-4</v>
      </c>
      <c r="L823" s="518">
        <v>2.9907743941626399E-2</v>
      </c>
      <c r="M823" s="519">
        <v>2.3145983872665643E-4</v>
      </c>
    </row>
    <row r="824" spans="2:13" ht="15.75" x14ac:dyDescent="0.25">
      <c r="B824" s="212">
        <v>2047</v>
      </c>
      <c r="C824" s="309">
        <v>2024</v>
      </c>
      <c r="D824" s="250" t="s">
        <v>4334</v>
      </c>
      <c r="E824" s="517">
        <v>0.12820381281667817</v>
      </c>
      <c r="F824" s="310">
        <v>2.1147738974371E-2</v>
      </c>
      <c r="G824" s="311">
        <v>5.4386608100450928E-2</v>
      </c>
      <c r="H824" s="311">
        <v>2.4706922062941801</v>
      </c>
      <c r="I824" s="311">
        <v>0.64268311330288508</v>
      </c>
      <c r="J824" s="311">
        <v>2.8613948177552001E-2</v>
      </c>
      <c r="K824" s="311">
        <v>2.2144698856041368E-4</v>
      </c>
      <c r="L824" s="518">
        <v>2.9907743941626399E-2</v>
      </c>
      <c r="M824" s="519">
        <v>2.3145983872665805E-4</v>
      </c>
    </row>
    <row r="825" spans="2:13" ht="15.75" x14ac:dyDescent="0.25">
      <c r="B825" s="212">
        <v>2047</v>
      </c>
      <c r="C825" s="309">
        <v>2025</v>
      </c>
      <c r="D825" s="250" t="s">
        <v>4335</v>
      </c>
      <c r="E825" s="517">
        <v>0.12820381281667761</v>
      </c>
      <c r="F825" s="310">
        <v>2.1147738974370899E-2</v>
      </c>
      <c r="G825" s="311">
        <v>5.4386608100450609E-2</v>
      </c>
      <c r="H825" s="311">
        <v>2.4706922062941801</v>
      </c>
      <c r="I825" s="311">
        <v>0.64268311330288119</v>
      </c>
      <c r="J825" s="311">
        <v>2.8613948177552001E-2</v>
      </c>
      <c r="K825" s="311">
        <v>2.2144698856041179E-4</v>
      </c>
      <c r="L825" s="518">
        <v>2.9907743941626399E-2</v>
      </c>
      <c r="M825" s="519">
        <v>2.3145983872665613E-4</v>
      </c>
    </row>
    <row r="826" spans="2:13" ht="15.75" x14ac:dyDescent="0.25">
      <c r="B826" s="212">
        <v>2047</v>
      </c>
      <c r="C826" s="309">
        <v>2026</v>
      </c>
      <c r="D826" s="250" t="s">
        <v>4336</v>
      </c>
      <c r="E826" s="517">
        <v>0.12820381281667778</v>
      </c>
      <c r="F826" s="310">
        <v>2.1147738974370899E-2</v>
      </c>
      <c r="G826" s="311">
        <v>5.4386608100450644E-2</v>
      </c>
      <c r="H826" s="311">
        <v>2.4706922062941801</v>
      </c>
      <c r="I826" s="311">
        <v>0.64268311330288186</v>
      </c>
      <c r="J826" s="311">
        <v>2.8613948177552001E-2</v>
      </c>
      <c r="K826" s="311">
        <v>2.2144698856041249E-4</v>
      </c>
      <c r="L826" s="518">
        <v>2.9907743941626399E-2</v>
      </c>
      <c r="M826" s="519">
        <v>2.3145983872665681E-4</v>
      </c>
    </row>
    <row r="827" spans="2:13" ht="15.75" x14ac:dyDescent="0.25">
      <c r="B827" s="212">
        <v>2047</v>
      </c>
      <c r="C827" s="309">
        <v>2027</v>
      </c>
      <c r="D827" s="250" t="s">
        <v>4337</v>
      </c>
      <c r="E827" s="517">
        <v>0.123586503190102</v>
      </c>
      <c r="F827" s="310">
        <v>2.1147738974370899E-2</v>
      </c>
      <c r="G827" s="311">
        <v>5.4386608100450762E-2</v>
      </c>
      <c r="H827" s="311">
        <v>2.4706922062941801</v>
      </c>
      <c r="I827" s="311">
        <v>0.64268311330288153</v>
      </c>
      <c r="J827" s="311">
        <v>2.8613948177552001E-2</v>
      </c>
      <c r="K827" s="311">
        <v>2.2144698856041241E-4</v>
      </c>
      <c r="L827" s="518">
        <v>2.9907743941626399E-2</v>
      </c>
      <c r="M827" s="519">
        <v>2.3145983872665672E-4</v>
      </c>
    </row>
    <row r="828" spans="2:13" ht="15.75" x14ac:dyDescent="0.25">
      <c r="B828" s="212">
        <v>2047</v>
      </c>
      <c r="C828" s="309">
        <v>2028</v>
      </c>
      <c r="D828" s="250" t="s">
        <v>4338</v>
      </c>
      <c r="E828" s="517">
        <v>0.12358650319010209</v>
      </c>
      <c r="F828" s="310">
        <v>2.1147738974371E-2</v>
      </c>
      <c r="G828" s="311">
        <v>5.4386608100450762E-2</v>
      </c>
      <c r="H828" s="311">
        <v>2.4706922062941801</v>
      </c>
      <c r="I828" s="311">
        <v>0.64268311330288153</v>
      </c>
      <c r="J828" s="311">
        <v>2.8613948177552001E-2</v>
      </c>
      <c r="K828" s="311">
        <v>2.2144698856041244E-4</v>
      </c>
      <c r="L828" s="518">
        <v>2.9907743941626399E-2</v>
      </c>
      <c r="M828" s="519">
        <v>2.3145983872665675E-4</v>
      </c>
    </row>
    <row r="829" spans="2:13" ht="15.75" x14ac:dyDescent="0.25">
      <c r="B829" s="212">
        <v>2047</v>
      </c>
      <c r="C829" s="309">
        <v>2029</v>
      </c>
      <c r="D829" s="250" t="s">
        <v>4339</v>
      </c>
      <c r="E829" s="517">
        <v>0.12358650319010202</v>
      </c>
      <c r="F829" s="310">
        <v>2.1147738974370899E-2</v>
      </c>
      <c r="G829" s="311">
        <v>5.4386608100450685E-2</v>
      </c>
      <c r="H829" s="311">
        <v>2.4706922062941801</v>
      </c>
      <c r="I829" s="311">
        <v>0.64268311330288208</v>
      </c>
      <c r="J829" s="311">
        <v>2.8613948177552001E-2</v>
      </c>
      <c r="K829" s="311">
        <v>2.2144698856041214E-4</v>
      </c>
      <c r="L829" s="518">
        <v>2.9907743941626399E-2</v>
      </c>
      <c r="M829" s="519">
        <v>2.3145983872665643E-4</v>
      </c>
    </row>
    <row r="830" spans="2:13" ht="15.75" x14ac:dyDescent="0.25">
      <c r="B830" s="212">
        <v>2047</v>
      </c>
      <c r="C830" s="309">
        <v>2030</v>
      </c>
      <c r="D830" s="250" t="s">
        <v>4340</v>
      </c>
      <c r="E830" s="517">
        <v>0.12358650319010205</v>
      </c>
      <c r="F830" s="310">
        <v>2.1147738974370899E-2</v>
      </c>
      <c r="G830" s="311">
        <v>5.4386608100450713E-2</v>
      </c>
      <c r="H830" s="311">
        <v>2.4706922062941801</v>
      </c>
      <c r="I830" s="311">
        <v>0.64268311330288241</v>
      </c>
      <c r="J830" s="311">
        <v>2.8613948177552001E-2</v>
      </c>
      <c r="K830" s="311">
        <v>2.2144698856041225E-4</v>
      </c>
      <c r="L830" s="518">
        <v>2.9907743941626399E-2</v>
      </c>
      <c r="M830" s="519">
        <v>2.3145983872665656E-4</v>
      </c>
    </row>
    <row r="831" spans="2:13" ht="15.75" x14ac:dyDescent="0.25">
      <c r="B831" s="212">
        <v>2047</v>
      </c>
      <c r="C831" s="309">
        <v>2031</v>
      </c>
      <c r="D831" s="250" t="s">
        <v>4341</v>
      </c>
      <c r="E831" s="517">
        <v>0.12358650319010198</v>
      </c>
      <c r="F831" s="310">
        <v>2.1145929358516599E-2</v>
      </c>
      <c r="G831" s="311">
        <v>5.4386608100450706E-2</v>
      </c>
      <c r="H831" s="311">
        <v>2.4703992576988698</v>
      </c>
      <c r="I831" s="311">
        <v>0.6426831133028823</v>
      </c>
      <c r="J831" s="311">
        <v>2.8609532866799799E-2</v>
      </c>
      <c r="K831" s="311">
        <v>2.2144698856041222E-4</v>
      </c>
      <c r="L831" s="518">
        <v>2.9903128990114599E-2</v>
      </c>
      <c r="M831" s="519">
        <v>2.3145983872665653E-4</v>
      </c>
    </row>
    <row r="832" spans="2:13" ht="15.75" x14ac:dyDescent="0.25">
      <c r="B832" s="212">
        <v>2047</v>
      </c>
      <c r="C832" s="309">
        <v>2032</v>
      </c>
      <c r="D832" s="250" t="s">
        <v>4342</v>
      </c>
      <c r="E832" s="517">
        <v>0.12358650319010198</v>
      </c>
      <c r="F832" s="310">
        <v>2.0885641864496499E-2</v>
      </c>
      <c r="G832" s="311">
        <v>5.4386608100450665E-2</v>
      </c>
      <c r="H832" s="311">
        <v>2.4282627702404902</v>
      </c>
      <c r="I832" s="311">
        <v>0.64268311330288175</v>
      </c>
      <c r="J832" s="311">
        <v>2.7974453234678402E-2</v>
      </c>
      <c r="K832" s="311">
        <v>2.2144698856041203E-4</v>
      </c>
      <c r="L832" s="518">
        <v>2.92393338751528E-2</v>
      </c>
      <c r="M832" s="519">
        <v>2.3145983872665634E-4</v>
      </c>
    </row>
    <row r="833" spans="2:13" ht="15.75" x14ac:dyDescent="0.25">
      <c r="B833" s="212">
        <v>2047</v>
      </c>
      <c r="C833" s="309">
        <v>2033</v>
      </c>
      <c r="D833" s="250" t="s">
        <v>4343</v>
      </c>
      <c r="E833" s="517">
        <v>0.12247987494009424</v>
      </c>
      <c r="F833" s="310">
        <v>2.0596433537807601E-2</v>
      </c>
      <c r="G833" s="311">
        <v>4.8947947290405358E-2</v>
      </c>
      <c r="H833" s="311">
        <v>2.3814444508423001</v>
      </c>
      <c r="I833" s="311">
        <v>0.57841480197258954</v>
      </c>
      <c r="J833" s="311">
        <v>2.7268809198988001E-2</v>
      </c>
      <c r="K833" s="311">
        <v>1.9930228970436987E-4</v>
      </c>
      <c r="L833" s="518">
        <v>2.8501783747417599E-2</v>
      </c>
      <c r="M833" s="519">
        <v>2.0831385485398969E-4</v>
      </c>
    </row>
    <row r="834" spans="2:13" ht="15.75" x14ac:dyDescent="0.25">
      <c r="B834" s="212">
        <v>2047</v>
      </c>
      <c r="C834" s="309">
        <v>2034</v>
      </c>
      <c r="D834" s="250" t="s">
        <v>4344</v>
      </c>
      <c r="E834" s="517">
        <v>0.12148390951508836</v>
      </c>
      <c r="F834" s="310">
        <v>2.0275090952597601E-2</v>
      </c>
      <c r="G834" s="311">
        <v>4.4053152561364779E-2</v>
      </c>
      <c r="H834" s="311">
        <v>2.3294240959554098</v>
      </c>
      <c r="I834" s="311">
        <v>0.52057332177533144</v>
      </c>
      <c r="J834" s="311">
        <v>2.6484760270443199E-2</v>
      </c>
      <c r="K834" s="311">
        <v>1.7937206073393314E-4</v>
      </c>
      <c r="L834" s="518">
        <v>2.7682283605489501E-2</v>
      </c>
      <c r="M834" s="519">
        <v>1.87482469368591E-4</v>
      </c>
    </row>
    <row r="835" spans="2:13" ht="15.75" x14ac:dyDescent="0.25">
      <c r="B835" s="212">
        <v>2047</v>
      </c>
      <c r="C835" s="309">
        <v>2035</v>
      </c>
      <c r="D835" s="250" t="s">
        <v>4345</v>
      </c>
      <c r="E835" s="517">
        <v>0.12058754063258287</v>
      </c>
      <c r="F835" s="310">
        <v>1.9918043635697599E-2</v>
      </c>
      <c r="G835" s="311">
        <v>3.9647837305228695E-2</v>
      </c>
      <c r="H835" s="311">
        <v>2.2716237016366398</v>
      </c>
      <c r="I835" s="311">
        <v>0.46851598959780172</v>
      </c>
      <c r="J835" s="311">
        <v>2.5613594794282199E-2</v>
      </c>
      <c r="K835" s="311">
        <v>1.6143485466054103E-4</v>
      </c>
      <c r="L835" s="518">
        <v>2.67717278922361E-2</v>
      </c>
      <c r="M835" s="519">
        <v>1.6873422243173316E-4</v>
      </c>
    </row>
    <row r="836" spans="2:13" ht="15.75" x14ac:dyDescent="0.25">
      <c r="B836" s="212">
        <v>2047</v>
      </c>
      <c r="C836" s="309">
        <v>2036</v>
      </c>
      <c r="D836" s="250" t="s">
        <v>4346</v>
      </c>
      <c r="E836" s="517">
        <v>0.1197808086383267</v>
      </c>
      <c r="F836" s="310">
        <v>1.9521324394697601E-2</v>
      </c>
      <c r="G836" s="311">
        <v>3.5683053574705664E-2</v>
      </c>
      <c r="H836" s="311">
        <v>2.2074010412824601</v>
      </c>
      <c r="I836" s="311">
        <v>0.42166439063802058</v>
      </c>
      <c r="J836" s="311">
        <v>2.46456331541034E-2</v>
      </c>
      <c r="K836" s="311">
        <v>1.4529136919448629E-4</v>
      </c>
      <c r="L836" s="518">
        <v>2.57599993219545E-2</v>
      </c>
      <c r="M836" s="519">
        <v>1.5186080018855918E-4</v>
      </c>
    </row>
    <row r="837" spans="2:13" ht="15.75" x14ac:dyDescent="0.25">
      <c r="B837" s="212">
        <v>2047</v>
      </c>
      <c r="C837" s="309">
        <v>2037</v>
      </c>
      <c r="D837" s="250" t="s">
        <v>4347</v>
      </c>
      <c r="E837" s="517">
        <v>0.11905474984349705</v>
      </c>
      <c r="F837" s="310">
        <v>1.9080525238030999E-2</v>
      </c>
      <c r="G837" s="311">
        <v>3.2114748217235069E-2</v>
      </c>
      <c r="H837" s="311">
        <v>2.1360425297778201</v>
      </c>
      <c r="I837" s="311">
        <v>0.3794979515742174</v>
      </c>
      <c r="J837" s="311">
        <v>2.3570120220571401E-2</v>
      </c>
      <c r="K837" s="311">
        <v>1.3076223227503753E-4</v>
      </c>
      <c r="L837" s="518">
        <v>2.4635856466086199E-2</v>
      </c>
      <c r="M837" s="519">
        <v>1.3667472016970313E-4</v>
      </c>
    </row>
    <row r="838" spans="2:13" ht="15.75" x14ac:dyDescent="0.25">
      <c r="B838" s="212">
        <v>2047</v>
      </c>
      <c r="C838" s="309">
        <v>2038</v>
      </c>
      <c r="D838" s="250" t="s">
        <v>4348</v>
      </c>
      <c r="E838" s="517">
        <v>0.11840129692815018</v>
      </c>
      <c r="F838" s="310">
        <v>1.8590748397290299E-2</v>
      </c>
      <c r="G838" s="311">
        <v>2.890327339551161E-2</v>
      </c>
      <c r="H838" s="311">
        <v>2.0567552947726599</v>
      </c>
      <c r="I838" s="311">
        <v>0.3415481564167962</v>
      </c>
      <c r="J838" s="311">
        <v>2.23751058499802E-2</v>
      </c>
      <c r="K838" s="311">
        <v>1.1768600904753396E-4</v>
      </c>
      <c r="L838" s="518">
        <v>2.33868088484546E-2</v>
      </c>
      <c r="M838" s="519">
        <v>1.2300724815273302E-4</v>
      </c>
    </row>
    <row r="839" spans="2:13" ht="15.75" x14ac:dyDescent="0.25">
      <c r="B839" s="212">
        <v>2047</v>
      </c>
      <c r="C839" s="309">
        <v>2039</v>
      </c>
      <c r="D839" s="250" t="s">
        <v>4349</v>
      </c>
      <c r="E839" s="517">
        <v>0.1178131893043381</v>
      </c>
      <c r="F839" s="310">
        <v>1.8046551907578399E-2</v>
      </c>
      <c r="G839" s="311">
        <v>2.6012946055960419E-2</v>
      </c>
      <c r="H839" s="311">
        <v>1.96865836698914</v>
      </c>
      <c r="I839" s="311">
        <v>0.30739334077511693</v>
      </c>
      <c r="J839" s="311">
        <v>2.1047312104878899E-2</v>
      </c>
      <c r="K839" s="311">
        <v>1.059174081427807E-4</v>
      </c>
      <c r="L839" s="518">
        <v>2.19989781621973E-2</v>
      </c>
      <c r="M839" s="519">
        <v>1.1070652333745985E-4</v>
      </c>
    </row>
    <row r="840" spans="2:13" ht="15.75" x14ac:dyDescent="0.25">
      <c r="B840" s="212">
        <v>2047</v>
      </c>
      <c r="C840" s="309">
        <v>2040</v>
      </c>
      <c r="D840" s="250" t="s">
        <v>4350</v>
      </c>
      <c r="E840" s="517">
        <v>0.11781318930433826</v>
      </c>
      <c r="F840" s="310">
        <v>1.7441889141231799E-2</v>
      </c>
      <c r="G840" s="311">
        <v>2.6012946055960429E-2</v>
      </c>
      <c r="H840" s="311">
        <v>1.87077289167413</v>
      </c>
      <c r="I840" s="311">
        <v>0.3073933407751171</v>
      </c>
      <c r="J840" s="311">
        <v>1.9571985721433101E-2</v>
      </c>
      <c r="K840" s="311">
        <v>1.0591740814278074E-4</v>
      </c>
      <c r="L840" s="518">
        <v>2.0456944066355901E-2</v>
      </c>
      <c r="M840" s="519">
        <v>1.107065233374599E-4</v>
      </c>
    </row>
    <row r="841" spans="2:13" ht="15.75" x14ac:dyDescent="0.25">
      <c r="B841" s="212">
        <v>2047</v>
      </c>
      <c r="C841" s="309">
        <v>2041</v>
      </c>
      <c r="D841" s="250" t="s">
        <v>4351</v>
      </c>
      <c r="E841" s="517">
        <v>0.11781318930433858</v>
      </c>
      <c r="F841" s="310">
        <v>1.68372263748852E-2</v>
      </c>
      <c r="G841" s="311">
        <v>2.6012946055960499E-2</v>
      </c>
      <c r="H841" s="311">
        <v>1.77288741635911</v>
      </c>
      <c r="I841" s="311">
        <v>0.3073933407751171</v>
      </c>
      <c r="J841" s="311">
        <v>1.8096659337987198E-2</v>
      </c>
      <c r="K841" s="311">
        <v>1.0591740814278076E-4</v>
      </c>
      <c r="L841" s="518">
        <v>1.8914909970514499E-2</v>
      </c>
      <c r="M841" s="519">
        <v>1.1070652333745991E-4</v>
      </c>
    </row>
    <row r="842" spans="2:13" ht="15.75" x14ac:dyDescent="0.25">
      <c r="B842" s="212">
        <v>2047</v>
      </c>
      <c r="C842" s="309">
        <v>2042</v>
      </c>
      <c r="D842" s="250" t="s">
        <v>4352</v>
      </c>
      <c r="E842" s="517">
        <v>0.11781318930433861</v>
      </c>
      <c r="F842" s="310">
        <v>1.6232563608538701E-2</v>
      </c>
      <c r="G842" s="311">
        <v>2.6012946055960481E-2</v>
      </c>
      <c r="H842" s="311">
        <v>1.6750019410440999</v>
      </c>
      <c r="I842" s="311">
        <v>0.3073933407751176</v>
      </c>
      <c r="J842" s="311">
        <v>1.6621332954541299E-2</v>
      </c>
      <c r="K842" s="311">
        <v>1.059174081427807E-4</v>
      </c>
      <c r="L842" s="518">
        <v>1.7372875874673101E-2</v>
      </c>
      <c r="M842" s="519">
        <v>1.1070652333745984E-4</v>
      </c>
    </row>
    <row r="843" spans="2:13" ht="15.75" x14ac:dyDescent="0.25">
      <c r="B843" s="212">
        <v>2047</v>
      </c>
      <c r="C843" s="309">
        <v>2043</v>
      </c>
      <c r="D843" s="250" t="s">
        <v>4353</v>
      </c>
      <c r="E843" s="517">
        <v>0.11781318930433828</v>
      </c>
      <c r="F843" s="310">
        <v>1.5627900842192101E-2</v>
      </c>
      <c r="G843" s="311">
        <v>2.601294605596045E-2</v>
      </c>
      <c r="H843" s="311">
        <v>1.5771164657290799</v>
      </c>
      <c r="I843" s="311">
        <v>0.30739334077511726</v>
      </c>
      <c r="J843" s="311">
        <v>1.5146006571095501E-2</v>
      </c>
      <c r="K843" s="311">
        <v>1.0591740814278058E-4</v>
      </c>
      <c r="L843" s="518">
        <v>1.5830841778831602E-2</v>
      </c>
      <c r="M843" s="519">
        <v>1.1070652333745972E-4</v>
      </c>
    </row>
    <row r="844" spans="2:13" ht="15.75" x14ac:dyDescent="0.25">
      <c r="B844" s="212">
        <v>2047</v>
      </c>
      <c r="C844" s="309">
        <v>2044</v>
      </c>
      <c r="D844" s="250" t="s">
        <v>4354</v>
      </c>
      <c r="E844" s="517">
        <v>0.11781318930433853</v>
      </c>
      <c r="F844" s="310">
        <v>1.50232380758455E-2</v>
      </c>
      <c r="G844" s="311">
        <v>2.6012946055960429E-2</v>
      </c>
      <c r="H844" s="311">
        <v>1.4792309904140699</v>
      </c>
      <c r="I844" s="311">
        <v>0.30739334077511632</v>
      </c>
      <c r="J844" s="311">
        <v>1.36706801876496E-2</v>
      </c>
      <c r="K844" s="311">
        <v>1.059174081427805E-4</v>
      </c>
      <c r="L844" s="518">
        <v>1.42888076829902E-2</v>
      </c>
      <c r="M844" s="519">
        <v>1.1070652333745962E-4</v>
      </c>
    </row>
    <row r="845" spans="2:13" ht="15.75" x14ac:dyDescent="0.25">
      <c r="B845" s="212">
        <v>2047</v>
      </c>
      <c r="C845" s="309">
        <v>2045</v>
      </c>
      <c r="D845" s="250" t="s">
        <v>4355</v>
      </c>
      <c r="E845" s="517">
        <v>0.11781318930433828</v>
      </c>
      <c r="F845" s="310">
        <v>1.4418575309499001E-2</v>
      </c>
      <c r="G845" s="311">
        <v>2.6012946055960478E-2</v>
      </c>
      <c r="H845" s="311">
        <v>1.3813455150990499</v>
      </c>
      <c r="I845" s="311">
        <v>0.30739334077511749</v>
      </c>
      <c r="J845" s="311">
        <v>1.2195353804203699E-2</v>
      </c>
      <c r="K845" s="311">
        <v>1.0591740814278069E-4</v>
      </c>
      <c r="L845" s="518">
        <v>1.27467735871488E-2</v>
      </c>
      <c r="M845" s="519">
        <v>1.1070652333745983E-4</v>
      </c>
    </row>
    <row r="846" spans="2:13" ht="15.75" x14ac:dyDescent="0.25">
      <c r="B846" s="212">
        <v>2047</v>
      </c>
      <c r="C846" s="309">
        <v>2046</v>
      </c>
      <c r="D846" s="250" t="s">
        <v>4356</v>
      </c>
      <c r="E846" s="517">
        <v>0.11781318930433811</v>
      </c>
      <c r="F846" s="310">
        <v>1.3813912543152399E-2</v>
      </c>
      <c r="G846" s="311">
        <v>2.6012946055960419E-2</v>
      </c>
      <c r="H846" s="311">
        <v>1.2834600397840299</v>
      </c>
      <c r="I846" s="311">
        <v>0.30739334077511682</v>
      </c>
      <c r="J846" s="311">
        <v>1.07200274207578E-2</v>
      </c>
      <c r="K846" s="311">
        <v>1.0591740814278045E-4</v>
      </c>
      <c r="L846" s="518">
        <v>1.1204739491307399E-2</v>
      </c>
      <c r="M846" s="519">
        <v>1.1070652333745957E-4</v>
      </c>
    </row>
    <row r="847" spans="2:13" ht="15.75" x14ac:dyDescent="0.25">
      <c r="B847" s="212">
        <v>2047</v>
      </c>
      <c r="C847" s="309">
        <v>2047</v>
      </c>
      <c r="D847" s="250" t="s">
        <v>4357</v>
      </c>
      <c r="E847" s="517">
        <v>0.11781318930433843</v>
      </c>
      <c r="F847" s="310">
        <v>1.32092497768058E-2</v>
      </c>
      <c r="G847" s="311">
        <v>2.6012946055960395E-2</v>
      </c>
      <c r="H847" s="311">
        <v>1.1855745644690201</v>
      </c>
      <c r="I847" s="311">
        <v>0.30739334077511588</v>
      </c>
      <c r="J847" s="311">
        <v>9.2447010373120104E-3</v>
      </c>
      <c r="K847" s="311">
        <v>1.0591740814278035E-4</v>
      </c>
      <c r="L847" s="518">
        <v>9.6627053954659696E-3</v>
      </c>
      <c r="M847" s="519">
        <v>1.1070652333745948E-4</v>
      </c>
    </row>
    <row r="848" spans="2:13" ht="15.75" x14ac:dyDescent="0.25">
      <c r="B848" s="212">
        <v>2047</v>
      </c>
      <c r="C848" s="309">
        <v>2048</v>
      </c>
      <c r="D848" s="250" t="s">
        <v>4521</v>
      </c>
      <c r="E848" s="517">
        <v>0.12522334536437116</v>
      </c>
      <c r="F848" s="310">
        <v>1.2604587010459301E-2</v>
      </c>
      <c r="G848" s="311">
        <v>6.2431070534305147E-2</v>
      </c>
      <c r="H848" s="311">
        <v>1.0876890891540001</v>
      </c>
      <c r="I848" s="311">
        <v>0.73774401786028065</v>
      </c>
      <c r="J848" s="311">
        <v>7.76937465386614E-3</v>
      </c>
      <c r="K848" s="311">
        <v>2.5420177954267365E-4</v>
      </c>
      <c r="L848" s="518">
        <v>8.1206712996245607E-3</v>
      </c>
      <c r="M848" s="519">
        <v>2.6569565600990361E-4</v>
      </c>
    </row>
    <row r="849" spans="2:13" ht="15.75" x14ac:dyDescent="0.25">
      <c r="B849" s="212">
        <v>2048</v>
      </c>
      <c r="C849" s="309">
        <v>2016</v>
      </c>
      <c r="D849" s="250" t="s">
        <v>4370</v>
      </c>
      <c r="E849" s="517">
        <v>0.15939211793123417</v>
      </c>
      <c r="F849" s="310">
        <v>2.1151054042078499E-2</v>
      </c>
      <c r="G849" s="311">
        <v>5.4386609929049208E-2</v>
      </c>
      <c r="H849" s="311">
        <v>2.4703910672688099</v>
      </c>
      <c r="I849" s="311">
        <v>0.64268313491131401</v>
      </c>
      <c r="J849" s="311">
        <v>2.86292104645069E-2</v>
      </c>
      <c r="K849" s="311">
        <v>2.2144699600595158E-4</v>
      </c>
      <c r="L849" s="518">
        <v>2.9923696321471901E-2</v>
      </c>
      <c r="M849" s="519">
        <v>2.3145984650885018E-4</v>
      </c>
    </row>
    <row r="850" spans="2:13" ht="15.75" x14ac:dyDescent="0.25">
      <c r="B850" s="212">
        <v>2048</v>
      </c>
      <c r="C850" s="309">
        <v>2017</v>
      </c>
      <c r="D850" s="250" t="s">
        <v>4371</v>
      </c>
      <c r="E850" s="517">
        <v>0.15336257602658257</v>
      </c>
      <c r="F850" s="310">
        <v>2.1147739482592302E-2</v>
      </c>
      <c r="G850" s="311">
        <v>5.4386608105354728E-2</v>
      </c>
      <c r="H850" s="311">
        <v>2.4706921099974899</v>
      </c>
      <c r="I850" s="311">
        <v>0.64268311336083295</v>
      </c>
      <c r="J850" s="311">
        <v>2.86139512388166E-2</v>
      </c>
      <c r="K850" s="311">
        <v>2.2144698858038054E-4</v>
      </c>
      <c r="L850" s="518">
        <v>2.99077471413077E-2</v>
      </c>
      <c r="M850" s="519">
        <v>2.3145983874752775E-4</v>
      </c>
    </row>
    <row r="851" spans="2:13" ht="15.75" x14ac:dyDescent="0.25">
      <c r="B851" s="212">
        <v>2048</v>
      </c>
      <c r="C851" s="309">
        <v>2018</v>
      </c>
      <c r="D851" s="250" t="s">
        <v>4372</v>
      </c>
      <c r="E851" s="517">
        <v>0.15336257602658276</v>
      </c>
      <c r="F851" s="310">
        <v>2.1147739482592302E-2</v>
      </c>
      <c r="G851" s="311">
        <v>5.4386608105354846E-2</v>
      </c>
      <c r="H851" s="311">
        <v>2.4706921099974899</v>
      </c>
      <c r="I851" s="311">
        <v>0.64268311336083284</v>
      </c>
      <c r="J851" s="311">
        <v>2.86139512388166E-2</v>
      </c>
      <c r="K851" s="311">
        <v>2.2144698858038049E-4</v>
      </c>
      <c r="L851" s="518">
        <v>2.99077471413077E-2</v>
      </c>
      <c r="M851" s="519">
        <v>2.3145983874752764E-4</v>
      </c>
    </row>
    <row r="852" spans="2:13" ht="15.75" x14ac:dyDescent="0.25">
      <c r="B852" s="212">
        <v>2048</v>
      </c>
      <c r="C852" s="309">
        <v>2019</v>
      </c>
      <c r="D852" s="250" t="s">
        <v>4373</v>
      </c>
      <c r="E852" s="517">
        <v>0.15336257602658268</v>
      </c>
      <c r="F852" s="310">
        <v>2.1147739482592302E-2</v>
      </c>
      <c r="G852" s="311">
        <v>5.4386608105354846E-2</v>
      </c>
      <c r="H852" s="311">
        <v>2.4706921099974899</v>
      </c>
      <c r="I852" s="311">
        <v>0.64268311336083417</v>
      </c>
      <c r="J852" s="311">
        <v>2.86139512388166E-2</v>
      </c>
      <c r="K852" s="311">
        <v>2.2144698858038046E-4</v>
      </c>
      <c r="L852" s="518">
        <v>2.99077471413077E-2</v>
      </c>
      <c r="M852" s="519">
        <v>2.3145983874752767E-4</v>
      </c>
    </row>
    <row r="853" spans="2:13" ht="15.75" x14ac:dyDescent="0.25">
      <c r="B853" s="212">
        <v>2048</v>
      </c>
      <c r="C853" s="309">
        <v>2020</v>
      </c>
      <c r="D853" s="250" t="s">
        <v>4374</v>
      </c>
      <c r="E853" s="517">
        <v>0.15336257602658274</v>
      </c>
      <c r="F853" s="310">
        <v>2.1147739482592302E-2</v>
      </c>
      <c r="G853" s="311">
        <v>5.4386608105354742E-2</v>
      </c>
      <c r="H853" s="311">
        <v>2.4706921099974899</v>
      </c>
      <c r="I853" s="311">
        <v>0.64268311336083317</v>
      </c>
      <c r="J853" s="311">
        <v>2.86139512388165E-2</v>
      </c>
      <c r="K853" s="311">
        <v>2.2144698858038057E-4</v>
      </c>
      <c r="L853" s="518">
        <v>2.99077471413077E-2</v>
      </c>
      <c r="M853" s="519">
        <v>2.3145983874752781E-4</v>
      </c>
    </row>
    <row r="854" spans="2:13" ht="15.75" x14ac:dyDescent="0.25">
      <c r="B854" s="212">
        <v>2048</v>
      </c>
      <c r="C854" s="309">
        <v>2021</v>
      </c>
      <c r="D854" s="250" t="s">
        <v>4375</v>
      </c>
      <c r="E854" s="517">
        <v>0.13870014842985109</v>
      </c>
      <c r="F854" s="310">
        <v>2.1147739482592302E-2</v>
      </c>
      <c r="G854" s="311">
        <v>5.438660810535486E-2</v>
      </c>
      <c r="H854" s="311">
        <v>2.4706921099974899</v>
      </c>
      <c r="I854" s="311">
        <v>0.64268311336083306</v>
      </c>
      <c r="J854" s="311">
        <v>2.86139512388165E-2</v>
      </c>
      <c r="K854" s="311">
        <v>2.2144698858038054E-4</v>
      </c>
      <c r="L854" s="518">
        <v>2.99077471413077E-2</v>
      </c>
      <c r="M854" s="519">
        <v>2.3145983874752775E-4</v>
      </c>
    </row>
    <row r="855" spans="2:13" ht="15.75" x14ac:dyDescent="0.25">
      <c r="B855" s="212">
        <v>2048</v>
      </c>
      <c r="C855" s="309">
        <v>2022</v>
      </c>
      <c r="D855" s="250" t="s">
        <v>4376</v>
      </c>
      <c r="E855" s="517">
        <v>0.1387001484298504</v>
      </c>
      <c r="F855" s="310">
        <v>2.1147739482592302E-2</v>
      </c>
      <c r="G855" s="311">
        <v>5.4386608105354485E-2</v>
      </c>
      <c r="H855" s="311">
        <v>2.4706921099974899</v>
      </c>
      <c r="I855" s="311">
        <v>0.64268311336082851</v>
      </c>
      <c r="J855" s="311">
        <v>2.86139512388166E-2</v>
      </c>
      <c r="K855" s="311">
        <v>2.2144698858037902E-4</v>
      </c>
      <c r="L855" s="518">
        <v>2.99077471413077E-2</v>
      </c>
      <c r="M855" s="519">
        <v>2.3145983874752615E-4</v>
      </c>
    </row>
    <row r="856" spans="2:13" ht="15.75" x14ac:dyDescent="0.25">
      <c r="B856" s="212">
        <v>2048</v>
      </c>
      <c r="C856" s="309">
        <v>2023</v>
      </c>
      <c r="D856" s="250" t="s">
        <v>4377</v>
      </c>
      <c r="E856" s="517">
        <v>0.13870014842985134</v>
      </c>
      <c r="F856" s="310">
        <v>2.1147739482592302E-2</v>
      </c>
      <c r="G856" s="311">
        <v>5.4386608105354908E-2</v>
      </c>
      <c r="H856" s="311">
        <v>2.4706921099974899</v>
      </c>
      <c r="I856" s="311">
        <v>0.64268311336083495</v>
      </c>
      <c r="J856" s="311">
        <v>2.86139512388166E-2</v>
      </c>
      <c r="K856" s="311">
        <v>2.2144698858038073E-4</v>
      </c>
      <c r="L856" s="518">
        <v>2.99077471413077E-2</v>
      </c>
      <c r="M856" s="519">
        <v>2.3145983874752794E-4</v>
      </c>
    </row>
    <row r="857" spans="2:13" ht="15.75" x14ac:dyDescent="0.25">
      <c r="B857" s="212">
        <v>2048</v>
      </c>
      <c r="C857" s="309">
        <v>2024</v>
      </c>
      <c r="D857" s="250" t="s">
        <v>4378</v>
      </c>
      <c r="E857" s="517">
        <v>0.12820381290289593</v>
      </c>
      <c r="F857" s="310">
        <v>2.1147739482592302E-2</v>
      </c>
      <c r="G857" s="311">
        <v>5.4386608105354409E-2</v>
      </c>
      <c r="H857" s="311">
        <v>2.4706921099974801</v>
      </c>
      <c r="I857" s="311">
        <v>0.64268311336082917</v>
      </c>
      <c r="J857" s="311">
        <v>2.86139512388165E-2</v>
      </c>
      <c r="K857" s="311">
        <v>2.2144698858037924E-4</v>
      </c>
      <c r="L857" s="518">
        <v>2.99077471413077E-2</v>
      </c>
      <c r="M857" s="519">
        <v>2.3145983874752637E-4</v>
      </c>
    </row>
    <row r="858" spans="2:13" ht="15.75" x14ac:dyDescent="0.25">
      <c r="B858" s="212">
        <v>2048</v>
      </c>
      <c r="C858" s="309">
        <v>2025</v>
      </c>
      <c r="D858" s="250" t="s">
        <v>4379</v>
      </c>
      <c r="E858" s="517">
        <v>0.12820381290289642</v>
      </c>
      <c r="F858" s="310">
        <v>2.1147739482592302E-2</v>
      </c>
      <c r="G858" s="311">
        <v>5.4386608105354797E-2</v>
      </c>
      <c r="H858" s="311">
        <v>2.4706921099974899</v>
      </c>
      <c r="I858" s="311">
        <v>0.64268311336083228</v>
      </c>
      <c r="J858" s="311">
        <v>2.86139512388165E-2</v>
      </c>
      <c r="K858" s="311">
        <v>2.214469885803803E-4</v>
      </c>
      <c r="L858" s="518">
        <v>2.99077471413077E-2</v>
      </c>
      <c r="M858" s="519">
        <v>2.3145983874752748E-4</v>
      </c>
    </row>
    <row r="859" spans="2:13" ht="15.75" x14ac:dyDescent="0.25">
      <c r="B859" s="212">
        <v>2048</v>
      </c>
      <c r="C859" s="309">
        <v>2026</v>
      </c>
      <c r="D859" s="250" t="s">
        <v>4380</v>
      </c>
      <c r="E859" s="517">
        <v>0.12820381290289656</v>
      </c>
      <c r="F859" s="310">
        <v>2.1147739482592302E-2</v>
      </c>
      <c r="G859" s="311">
        <v>5.438660810535495E-2</v>
      </c>
      <c r="H859" s="311">
        <v>2.4706921099974899</v>
      </c>
      <c r="I859" s="311">
        <v>0.64268311336083528</v>
      </c>
      <c r="J859" s="311">
        <v>2.86139512388166E-2</v>
      </c>
      <c r="K859" s="311">
        <v>2.2144698858038089E-4</v>
      </c>
      <c r="L859" s="518">
        <v>2.99077471413077E-2</v>
      </c>
      <c r="M859" s="519">
        <v>2.3145983874752808E-4</v>
      </c>
    </row>
    <row r="860" spans="2:13" ht="15.75" x14ac:dyDescent="0.25">
      <c r="B860" s="212">
        <v>2048</v>
      </c>
      <c r="C860" s="309">
        <v>2027</v>
      </c>
      <c r="D860" s="250" t="s">
        <v>4381</v>
      </c>
      <c r="E860" s="517">
        <v>0.12358650327321571</v>
      </c>
      <c r="F860" s="310">
        <v>2.1147739482592302E-2</v>
      </c>
      <c r="G860" s="311">
        <v>5.4386608105354915E-2</v>
      </c>
      <c r="H860" s="311">
        <v>2.4706921099974899</v>
      </c>
      <c r="I860" s="311">
        <v>0.64268311336083495</v>
      </c>
      <c r="J860" s="311">
        <v>2.86139512388165E-2</v>
      </c>
      <c r="K860" s="311">
        <v>2.2144698858038079E-4</v>
      </c>
      <c r="L860" s="518">
        <v>2.99077471413077E-2</v>
      </c>
      <c r="M860" s="519">
        <v>2.3145983874752797E-4</v>
      </c>
    </row>
    <row r="861" spans="2:13" ht="15.75" x14ac:dyDescent="0.25">
      <c r="B861" s="212">
        <v>2048</v>
      </c>
      <c r="C861" s="309">
        <v>2028</v>
      </c>
      <c r="D861" s="250" t="s">
        <v>4382</v>
      </c>
      <c r="E861" s="517">
        <v>0.12358650327321589</v>
      </c>
      <c r="F861" s="310">
        <v>2.1147739482592302E-2</v>
      </c>
      <c r="G861" s="311">
        <v>5.4386608105354929E-2</v>
      </c>
      <c r="H861" s="311">
        <v>2.4706921099974899</v>
      </c>
      <c r="I861" s="311">
        <v>0.64268311336083384</v>
      </c>
      <c r="J861" s="311">
        <v>2.86139512388166E-2</v>
      </c>
      <c r="K861" s="311">
        <v>2.2144698858038084E-4</v>
      </c>
      <c r="L861" s="518">
        <v>2.99077471413077E-2</v>
      </c>
      <c r="M861" s="519">
        <v>2.3145983874752802E-4</v>
      </c>
    </row>
    <row r="862" spans="2:13" ht="15.75" x14ac:dyDescent="0.25">
      <c r="B862" s="212">
        <v>2048</v>
      </c>
      <c r="C862" s="309">
        <v>2029</v>
      </c>
      <c r="D862" s="250" t="s">
        <v>4383</v>
      </c>
      <c r="E862" s="517">
        <v>0.12358650327321588</v>
      </c>
      <c r="F862" s="310">
        <v>2.1147739482592302E-2</v>
      </c>
      <c r="G862" s="311">
        <v>5.4386608105354964E-2</v>
      </c>
      <c r="H862" s="311">
        <v>2.4706921099974899</v>
      </c>
      <c r="I862" s="311">
        <v>0.64268311336083417</v>
      </c>
      <c r="J862" s="311">
        <v>2.86139512388166E-2</v>
      </c>
      <c r="K862" s="311">
        <v>2.21446988580381E-4</v>
      </c>
      <c r="L862" s="518">
        <v>2.99077471413077E-2</v>
      </c>
      <c r="M862" s="519">
        <v>2.3145983874752821E-4</v>
      </c>
    </row>
    <row r="863" spans="2:13" ht="15.75" x14ac:dyDescent="0.25">
      <c r="B863" s="212">
        <v>2048</v>
      </c>
      <c r="C863" s="309">
        <v>2030</v>
      </c>
      <c r="D863" s="250" t="s">
        <v>4384</v>
      </c>
      <c r="E863" s="517">
        <v>0.12358650327321569</v>
      </c>
      <c r="F863" s="310">
        <v>2.1147739482592302E-2</v>
      </c>
      <c r="G863" s="311">
        <v>5.4386608105354756E-2</v>
      </c>
      <c r="H863" s="311">
        <v>2.4706921099974801</v>
      </c>
      <c r="I863" s="311">
        <v>0.64268311336083328</v>
      </c>
      <c r="J863" s="311">
        <v>2.86139512388165E-2</v>
      </c>
      <c r="K863" s="311">
        <v>2.2144698858038062E-4</v>
      </c>
      <c r="L863" s="518">
        <v>2.99077471413077E-2</v>
      </c>
      <c r="M863" s="519">
        <v>2.3145983874752781E-4</v>
      </c>
    </row>
    <row r="864" spans="2:13" ht="15.75" x14ac:dyDescent="0.25">
      <c r="B864" s="212">
        <v>2048</v>
      </c>
      <c r="C864" s="309">
        <v>2031</v>
      </c>
      <c r="D864" s="250" t="s">
        <v>4385</v>
      </c>
      <c r="E864" s="517">
        <v>0.12358650327321574</v>
      </c>
      <c r="F864" s="310">
        <v>2.1147739482592302E-2</v>
      </c>
      <c r="G864" s="311">
        <v>5.4386608105354894E-2</v>
      </c>
      <c r="H864" s="311">
        <v>2.4706921099974899</v>
      </c>
      <c r="I864" s="311">
        <v>0.64268311336083472</v>
      </c>
      <c r="J864" s="311">
        <v>2.86139512388166E-2</v>
      </c>
      <c r="K864" s="311">
        <v>2.2144698858038065E-4</v>
      </c>
      <c r="L864" s="518">
        <v>2.99077471413077E-2</v>
      </c>
      <c r="M864" s="519">
        <v>2.3145983874752786E-4</v>
      </c>
    </row>
    <row r="865" spans="2:13" ht="15.75" x14ac:dyDescent="0.25">
      <c r="B865" s="212">
        <v>2048</v>
      </c>
      <c r="C865" s="309">
        <v>2032</v>
      </c>
      <c r="D865" s="250" t="s">
        <v>4386</v>
      </c>
      <c r="E865" s="517">
        <v>0.12358650327321576</v>
      </c>
      <c r="F865" s="310">
        <v>2.1145929866694502E-2</v>
      </c>
      <c r="G865" s="311">
        <v>5.4386608105354894E-2</v>
      </c>
      <c r="H865" s="311">
        <v>2.4703991614135998</v>
      </c>
      <c r="I865" s="311">
        <v>0.64268311336083472</v>
      </c>
      <c r="J865" s="311">
        <v>2.8609535927591901E-2</v>
      </c>
      <c r="K865" s="311">
        <v>2.2144698858038068E-4</v>
      </c>
      <c r="L865" s="518">
        <v>2.9903132189302101E-2</v>
      </c>
      <c r="M865" s="519">
        <v>2.3145983874752786E-4</v>
      </c>
    </row>
    <row r="866" spans="2:13" ht="15.75" x14ac:dyDescent="0.25">
      <c r="B866" s="212">
        <v>2048</v>
      </c>
      <c r="C866" s="309">
        <v>2033</v>
      </c>
      <c r="D866" s="250" t="s">
        <v>4387</v>
      </c>
      <c r="E866" s="517">
        <v>0.12358650327321571</v>
      </c>
      <c r="F866" s="310">
        <v>2.08856423664192E-2</v>
      </c>
      <c r="G866" s="311">
        <v>5.4386608105354749E-2</v>
      </c>
      <c r="H866" s="311">
        <v>2.4282626755975101</v>
      </c>
      <c r="I866" s="311">
        <v>0.64268311336083173</v>
      </c>
      <c r="J866" s="311">
        <v>2.7974456227526499E-2</v>
      </c>
      <c r="K866" s="311">
        <v>2.2144698858038008E-4</v>
      </c>
      <c r="L866" s="518">
        <v>2.9239337003324199E-2</v>
      </c>
      <c r="M866" s="519">
        <v>2.3145983874752726E-4</v>
      </c>
    </row>
    <row r="867" spans="2:13" ht="15.75" x14ac:dyDescent="0.25">
      <c r="B867" s="212">
        <v>2048</v>
      </c>
      <c r="C867" s="309">
        <v>2034</v>
      </c>
      <c r="D867" s="250" t="s">
        <v>4388</v>
      </c>
      <c r="E867" s="517">
        <v>0.12247987502310768</v>
      </c>
      <c r="F867" s="310">
        <v>2.0596434032780001E-2</v>
      </c>
      <c r="G867" s="311">
        <v>4.8947947294819133E-2</v>
      </c>
      <c r="H867" s="311">
        <v>2.38144435802409</v>
      </c>
      <c r="I867" s="311">
        <v>0.57841480202474671</v>
      </c>
      <c r="J867" s="311">
        <v>2.72688121163428E-2</v>
      </c>
      <c r="K867" s="311">
        <v>1.9930228972234149E-4</v>
      </c>
      <c r="L867" s="518">
        <v>2.8501786796682201E-2</v>
      </c>
      <c r="M867" s="519">
        <v>2.0831385487277392E-4</v>
      </c>
    </row>
    <row r="868" spans="2:13" ht="15.75" x14ac:dyDescent="0.25">
      <c r="B868" s="212">
        <v>2048</v>
      </c>
      <c r="C868" s="309">
        <v>2035</v>
      </c>
      <c r="D868" s="250" t="s">
        <v>4389</v>
      </c>
      <c r="E868" s="517">
        <v>0.12148390959801232</v>
      </c>
      <c r="F868" s="310">
        <v>2.0275091439847501E-2</v>
      </c>
      <c r="G868" s="311">
        <v>4.4053152565337483E-2</v>
      </c>
      <c r="H868" s="311">
        <v>2.3294240051647201</v>
      </c>
      <c r="I868" s="311">
        <v>0.52057332182227523</v>
      </c>
      <c r="J868" s="311">
        <v>2.6484763103916401E-2</v>
      </c>
      <c r="K868" s="311">
        <v>1.7937206075010844E-4</v>
      </c>
      <c r="L868" s="518">
        <v>2.76822865670798E-2</v>
      </c>
      <c r="M868" s="519">
        <v>1.8748246938549767E-4</v>
      </c>
    </row>
    <row r="869" spans="2:13" ht="15.75" x14ac:dyDescent="0.25">
      <c r="B869" s="212">
        <v>2048</v>
      </c>
      <c r="C869" s="309">
        <v>2036</v>
      </c>
      <c r="D869" s="250" t="s">
        <v>4390</v>
      </c>
      <c r="E869" s="517">
        <v>0.12058754071542578</v>
      </c>
      <c r="F869" s="310">
        <v>1.9918044114367001E-2</v>
      </c>
      <c r="G869" s="311">
        <v>3.9647837308803738E-2</v>
      </c>
      <c r="H869" s="311">
        <v>2.2716236130987602</v>
      </c>
      <c r="I869" s="311">
        <v>0.46851598964004781</v>
      </c>
      <c r="J869" s="311">
        <v>2.5613597534553799E-2</v>
      </c>
      <c r="K869" s="311">
        <v>1.6143485467509758E-4</v>
      </c>
      <c r="L869" s="518">
        <v>2.6771730756410601E-2</v>
      </c>
      <c r="M869" s="519">
        <v>1.6873422244694791E-4</v>
      </c>
    </row>
    <row r="870" spans="2:13" ht="15.75" x14ac:dyDescent="0.25">
      <c r="B870" s="212">
        <v>2048</v>
      </c>
      <c r="C870" s="309">
        <v>2037</v>
      </c>
      <c r="D870" s="250" t="s">
        <v>4391</v>
      </c>
      <c r="E870" s="517">
        <v>0.11978080872109811</v>
      </c>
      <c r="F870" s="310">
        <v>1.9521324863833001E-2</v>
      </c>
      <c r="G870" s="311">
        <v>3.5683053577923569E-2</v>
      </c>
      <c r="H870" s="311">
        <v>2.2074009552476999</v>
      </c>
      <c r="I870" s="311">
        <v>0.42166439067604539</v>
      </c>
      <c r="J870" s="311">
        <v>2.4645635790817501E-2</v>
      </c>
      <c r="K870" s="311">
        <v>1.4529136920758866E-4</v>
      </c>
      <c r="L870" s="518">
        <v>2.5760002077889199E-2</v>
      </c>
      <c r="M870" s="519">
        <v>1.5186080020225399E-4</v>
      </c>
    </row>
    <row r="871" spans="2:13" ht="15.75" x14ac:dyDescent="0.25">
      <c r="B871" s="212">
        <v>2048</v>
      </c>
      <c r="C871" s="309">
        <v>2038</v>
      </c>
      <c r="D871" s="250" t="s">
        <v>4392</v>
      </c>
      <c r="E871" s="517">
        <v>0.1190547499262027</v>
      </c>
      <c r="F871" s="310">
        <v>1.9080525696573099E-2</v>
      </c>
      <c r="G871" s="311">
        <v>3.2114748220131016E-2</v>
      </c>
      <c r="H871" s="311">
        <v>2.1360424465242902</v>
      </c>
      <c r="I871" s="311">
        <v>0.37949795160843947</v>
      </c>
      <c r="J871" s="311">
        <v>2.35701227422217E-2</v>
      </c>
      <c r="K871" s="311">
        <v>1.3076223228682932E-4</v>
      </c>
      <c r="L871" s="518">
        <v>2.46358591017544E-2</v>
      </c>
      <c r="M871" s="519">
        <v>1.3667472018202807E-4</v>
      </c>
    </row>
    <row r="872" spans="2:13" ht="15.75" x14ac:dyDescent="0.25">
      <c r="B872" s="212">
        <v>2048</v>
      </c>
      <c r="C872" s="309">
        <v>2039</v>
      </c>
      <c r="D872" s="250" t="s">
        <v>4393</v>
      </c>
      <c r="E872" s="517">
        <v>0.11840129701079698</v>
      </c>
      <c r="F872" s="310">
        <v>1.8590748844062099E-2</v>
      </c>
      <c r="G872" s="311">
        <v>2.8903273398117924E-2</v>
      </c>
      <c r="H872" s="311">
        <v>2.0567552146093999</v>
      </c>
      <c r="I872" s="311">
        <v>0.34154815644759484</v>
      </c>
      <c r="J872" s="311">
        <v>2.2375108243781899E-2</v>
      </c>
      <c r="K872" s="311">
        <v>1.1768600905814616E-4</v>
      </c>
      <c r="L872" s="518">
        <v>2.3386811350493399E-2</v>
      </c>
      <c r="M872" s="519">
        <v>1.2300724816382503E-4</v>
      </c>
    </row>
    <row r="873" spans="2:13" ht="15.75" x14ac:dyDescent="0.25">
      <c r="B873" s="212">
        <v>2048</v>
      </c>
      <c r="C873" s="309">
        <v>2040</v>
      </c>
      <c r="D873" s="250" t="s">
        <v>4394</v>
      </c>
      <c r="E873" s="517">
        <v>0.11781318938693154</v>
      </c>
      <c r="F873" s="310">
        <v>1.8046552341272101E-2</v>
      </c>
      <c r="G873" s="311">
        <v>2.6012946058306098E-2</v>
      </c>
      <c r="H873" s="311">
        <v>1.96865829025951</v>
      </c>
      <c r="I873" s="311">
        <v>0.30739334080283576</v>
      </c>
      <c r="J873" s="311">
        <v>2.10473143566265E-2</v>
      </c>
      <c r="K873" s="311">
        <v>1.0591740815233167E-4</v>
      </c>
      <c r="L873" s="518">
        <v>2.1998980515758999E-2</v>
      </c>
      <c r="M873" s="519">
        <v>1.1070652334744266E-4</v>
      </c>
    </row>
    <row r="874" spans="2:13" ht="15.75" x14ac:dyDescent="0.25">
      <c r="B874" s="212">
        <v>2048</v>
      </c>
      <c r="C874" s="309">
        <v>2041</v>
      </c>
      <c r="D874" s="250" t="s">
        <v>4395</v>
      </c>
      <c r="E874" s="517">
        <v>0.11781318938693161</v>
      </c>
      <c r="F874" s="310">
        <v>1.7441889560394299E-2</v>
      </c>
      <c r="G874" s="311">
        <v>2.601294605830605E-2</v>
      </c>
      <c r="H874" s="311">
        <v>1.87077281875964</v>
      </c>
      <c r="I874" s="311">
        <v>0.30739334080283437</v>
      </c>
      <c r="J874" s="311">
        <v>1.9571987815342799E-2</v>
      </c>
      <c r="K874" s="311">
        <v>1.059174081523312E-4</v>
      </c>
      <c r="L874" s="518">
        <v>2.0456946254943001E-2</v>
      </c>
      <c r="M874" s="519">
        <v>1.1070652334744217E-4</v>
      </c>
    </row>
    <row r="875" spans="2:13" ht="15.75" x14ac:dyDescent="0.25">
      <c r="B875" s="212">
        <v>2048</v>
      </c>
      <c r="C875" s="309">
        <v>2042</v>
      </c>
      <c r="D875" s="250" t="s">
        <v>4396</v>
      </c>
      <c r="E875" s="517">
        <v>0.11781318938693122</v>
      </c>
      <c r="F875" s="310">
        <v>1.68372267795165E-2</v>
      </c>
      <c r="G875" s="311">
        <v>2.6012946058306056E-2</v>
      </c>
      <c r="H875" s="311">
        <v>1.7728873472597699</v>
      </c>
      <c r="I875" s="311">
        <v>0.30739334080283515</v>
      </c>
      <c r="J875" s="311">
        <v>1.8096661274059098E-2</v>
      </c>
      <c r="K875" s="311">
        <v>1.0591740815233124E-4</v>
      </c>
      <c r="L875" s="518">
        <v>1.8914911994126999E-2</v>
      </c>
      <c r="M875" s="519">
        <v>1.1070652334744221E-4</v>
      </c>
    </row>
    <row r="876" spans="2:13" ht="15.75" x14ac:dyDescent="0.25">
      <c r="B876" s="212">
        <v>2048</v>
      </c>
      <c r="C876" s="309">
        <v>2043</v>
      </c>
      <c r="D876" s="250" t="s">
        <v>4397</v>
      </c>
      <c r="E876" s="517">
        <v>0.11781318938693128</v>
      </c>
      <c r="F876" s="310">
        <v>1.6232563998638799E-2</v>
      </c>
      <c r="G876" s="311">
        <v>2.6012946058306004E-2</v>
      </c>
      <c r="H876" s="311">
        <v>1.6750018757598999</v>
      </c>
      <c r="I876" s="311">
        <v>0.30739334080283381</v>
      </c>
      <c r="J876" s="311">
        <v>1.6621334732775401E-2</v>
      </c>
      <c r="K876" s="311">
        <v>1.0591740815233101E-4</v>
      </c>
      <c r="L876" s="518">
        <v>1.73728777333109E-2</v>
      </c>
      <c r="M876" s="519">
        <v>1.1070652334744197E-4</v>
      </c>
    </row>
    <row r="877" spans="2:13" ht="15.75" x14ac:dyDescent="0.25">
      <c r="B877" s="212">
        <v>2048</v>
      </c>
      <c r="C877" s="309">
        <v>2044</v>
      </c>
      <c r="D877" s="250" t="s">
        <v>4398</v>
      </c>
      <c r="E877" s="517">
        <v>0.11781318938693161</v>
      </c>
      <c r="F877" s="310">
        <v>1.5627901217761E-2</v>
      </c>
      <c r="G877" s="311">
        <v>2.6012946058306088E-2</v>
      </c>
      <c r="H877" s="311">
        <v>1.5771164042600301</v>
      </c>
      <c r="I877" s="311">
        <v>0.30739334080283481</v>
      </c>
      <c r="J877" s="311">
        <v>1.5146008191491599E-2</v>
      </c>
      <c r="K877" s="311">
        <v>1.0591740815233135E-4</v>
      </c>
      <c r="L877" s="518">
        <v>1.5830843472494999E-2</v>
      </c>
      <c r="M877" s="519">
        <v>1.1070652334744233E-4</v>
      </c>
    </row>
    <row r="878" spans="2:13" ht="15.75" x14ac:dyDescent="0.25">
      <c r="B878" s="277">
        <v>2048</v>
      </c>
      <c r="C878" s="520">
        <v>2045</v>
      </c>
      <c r="D878" s="250" t="s">
        <v>4399</v>
      </c>
      <c r="E878" s="517">
        <v>0.11781318938693157</v>
      </c>
      <c r="F878" s="310">
        <v>1.5023238436883199E-2</v>
      </c>
      <c r="G878" s="311">
        <v>2.6012946058306126E-2</v>
      </c>
      <c r="H878" s="311">
        <v>1.47923093276016</v>
      </c>
      <c r="I878" s="311">
        <v>0.30739334080283592</v>
      </c>
      <c r="J878" s="311">
        <v>1.36706816502079E-2</v>
      </c>
      <c r="K878" s="311">
        <v>1.0591740815233151E-4</v>
      </c>
      <c r="L878" s="518">
        <v>1.42888092116789E-2</v>
      </c>
      <c r="M878" s="519">
        <v>1.1070652334744248E-4</v>
      </c>
    </row>
    <row r="879" spans="2:13" ht="15.75" x14ac:dyDescent="0.25">
      <c r="B879" s="277">
        <v>2048</v>
      </c>
      <c r="C879" s="520">
        <v>2046</v>
      </c>
      <c r="D879" s="250" t="s">
        <v>4400</v>
      </c>
      <c r="E879" s="517">
        <v>0.11781318938693122</v>
      </c>
      <c r="F879" s="310">
        <v>1.44185756560054E-2</v>
      </c>
      <c r="G879" s="311">
        <v>2.6012946058306074E-2</v>
      </c>
      <c r="H879" s="311">
        <v>1.38134546126029</v>
      </c>
      <c r="I879" s="311">
        <v>0.30739334080283465</v>
      </c>
      <c r="J879" s="311">
        <v>1.2195355108924199E-2</v>
      </c>
      <c r="K879" s="311">
        <v>1.0591740815233131E-4</v>
      </c>
      <c r="L879" s="518">
        <v>1.2746774950862899E-2</v>
      </c>
      <c r="M879" s="519">
        <v>1.1070652334744228E-4</v>
      </c>
    </row>
    <row r="880" spans="2:13" ht="15.75" x14ac:dyDescent="0.25">
      <c r="B880" s="277">
        <v>2048</v>
      </c>
      <c r="C880" s="520">
        <v>2047</v>
      </c>
      <c r="D880" s="250" t="s">
        <v>4401</v>
      </c>
      <c r="E880" s="517">
        <v>0.11781318938693157</v>
      </c>
      <c r="F880" s="310">
        <v>1.38139128751276E-2</v>
      </c>
      <c r="G880" s="311">
        <v>2.6012946058306077E-2</v>
      </c>
      <c r="H880" s="311">
        <v>1.28345998976042</v>
      </c>
      <c r="I880" s="311">
        <v>0.30739334080283531</v>
      </c>
      <c r="J880" s="311">
        <v>1.07200285676405E-2</v>
      </c>
      <c r="K880" s="311">
        <v>1.0591740815233131E-4</v>
      </c>
      <c r="L880" s="518">
        <v>1.1204740690046899E-2</v>
      </c>
      <c r="M880" s="519">
        <v>1.1070652334744228E-4</v>
      </c>
    </row>
    <row r="881" spans="2:13" ht="15.75" x14ac:dyDescent="0.25">
      <c r="B881" s="277">
        <v>2048</v>
      </c>
      <c r="C881" s="520">
        <v>2048</v>
      </c>
      <c r="D881" s="250" t="s">
        <v>4402</v>
      </c>
      <c r="E881" s="517">
        <v>0.11781318938693175</v>
      </c>
      <c r="F881" s="310">
        <v>1.3209250094249799E-2</v>
      </c>
      <c r="G881" s="311">
        <v>2.6012946058306164E-2</v>
      </c>
      <c r="H881" s="311">
        <v>1.1855745182605499</v>
      </c>
      <c r="I881" s="311">
        <v>0.30739334080283576</v>
      </c>
      <c r="J881" s="311">
        <v>9.2447020263567697E-3</v>
      </c>
      <c r="K881" s="311">
        <v>1.0591740815233167E-4</v>
      </c>
      <c r="L881" s="518">
        <v>9.6627064292309495E-3</v>
      </c>
      <c r="M881" s="519">
        <v>1.1070652334744266E-4</v>
      </c>
    </row>
    <row r="882" spans="2:13" ht="15.75" x14ac:dyDescent="0.25">
      <c r="B882" s="277">
        <v>2048</v>
      </c>
      <c r="C882" s="520">
        <v>2049</v>
      </c>
      <c r="D882" s="250" t="s">
        <v>4522</v>
      </c>
      <c r="E882" s="517">
        <v>0.12522334544763208</v>
      </c>
      <c r="F882" s="310">
        <v>1.2604587313372001E-2</v>
      </c>
      <c r="G882" s="311">
        <v>6.2431070539934463E-2</v>
      </c>
      <c r="H882" s="311">
        <v>1.0876890467606799</v>
      </c>
      <c r="I882" s="311">
        <v>0.73774401792680344</v>
      </c>
      <c r="J882" s="311">
        <v>7.7693754850730401E-3</v>
      </c>
      <c r="K882" s="311">
        <v>2.5420177956559465E-4</v>
      </c>
      <c r="L882" s="518">
        <v>8.1206721684149302E-3</v>
      </c>
      <c r="M882" s="519">
        <v>2.6569565603386101E-4</v>
      </c>
    </row>
    <row r="883" spans="2:13" ht="15.75" x14ac:dyDescent="0.25">
      <c r="B883" s="277">
        <v>2049</v>
      </c>
      <c r="C883" s="520">
        <v>2017</v>
      </c>
      <c r="D883" s="250" t="s">
        <v>4415</v>
      </c>
      <c r="E883" s="517">
        <v>0.15336257609524015</v>
      </c>
      <c r="F883" s="310">
        <v>2.1147739826159601E-2</v>
      </c>
      <c r="G883" s="311">
        <v>5.4386608107608092E-2</v>
      </c>
      <c r="H883" s="311">
        <v>2.4706920447538399</v>
      </c>
      <c r="I883" s="311">
        <v>0.64268311338745931</v>
      </c>
      <c r="J883" s="311">
        <v>2.86139533110479E-2</v>
      </c>
      <c r="K883" s="311">
        <v>2.2144698858955506E-4</v>
      </c>
      <c r="L883" s="518">
        <v>2.9907749307236199E-2</v>
      </c>
      <c r="M883" s="519">
        <v>2.3145983875711711E-4</v>
      </c>
    </row>
    <row r="884" spans="2:13" ht="15.75" x14ac:dyDescent="0.25">
      <c r="B884" s="277">
        <v>2049</v>
      </c>
      <c r="C884" s="520">
        <v>2018</v>
      </c>
      <c r="D884" s="250" t="s">
        <v>4416</v>
      </c>
      <c r="E884" s="517">
        <v>0.15336257609524012</v>
      </c>
      <c r="F884" s="310">
        <v>2.1147739826159601E-2</v>
      </c>
      <c r="G884" s="311">
        <v>5.4386608107608286E-2</v>
      </c>
      <c r="H884" s="311">
        <v>2.4706920447538399</v>
      </c>
      <c r="I884" s="311">
        <v>0.64268311338746165</v>
      </c>
      <c r="J884" s="311">
        <v>2.86139533110479E-2</v>
      </c>
      <c r="K884" s="311">
        <v>2.2144698858955587E-4</v>
      </c>
      <c r="L884" s="518">
        <v>2.9907749307236199E-2</v>
      </c>
      <c r="M884" s="519">
        <v>2.3145983875711795E-4</v>
      </c>
    </row>
    <row r="885" spans="2:13" ht="15.75" x14ac:dyDescent="0.25">
      <c r="B885" s="277">
        <v>2049</v>
      </c>
      <c r="C885" s="520">
        <v>2019</v>
      </c>
      <c r="D885" s="250" t="s">
        <v>4417</v>
      </c>
      <c r="E885" s="517">
        <v>0.15336257609524029</v>
      </c>
      <c r="F885" s="310">
        <v>2.1147739826159601E-2</v>
      </c>
      <c r="G885" s="311">
        <v>5.4386608107608252E-2</v>
      </c>
      <c r="H885" s="311">
        <v>2.4706920447538399</v>
      </c>
      <c r="I885" s="311">
        <v>0.6426831133874612</v>
      </c>
      <c r="J885" s="311">
        <v>2.86139533110479E-2</v>
      </c>
      <c r="K885" s="311">
        <v>2.2144698858955574E-4</v>
      </c>
      <c r="L885" s="518">
        <v>2.9907749307236199E-2</v>
      </c>
      <c r="M885" s="519">
        <v>2.3145983875711779E-4</v>
      </c>
    </row>
    <row r="886" spans="2:13" ht="15.75" x14ac:dyDescent="0.25">
      <c r="B886" s="277">
        <v>2049</v>
      </c>
      <c r="C886" s="520">
        <v>2020</v>
      </c>
      <c r="D886" s="250" t="s">
        <v>4418</v>
      </c>
      <c r="E886" s="517">
        <v>0.15336257609524048</v>
      </c>
      <c r="F886" s="310">
        <v>2.1147739826159601E-2</v>
      </c>
      <c r="G886" s="311">
        <v>5.4386608107608224E-2</v>
      </c>
      <c r="H886" s="311">
        <v>2.4706920447538399</v>
      </c>
      <c r="I886" s="311">
        <v>0.6426831133874622</v>
      </c>
      <c r="J886" s="311">
        <v>2.86139533110479E-2</v>
      </c>
      <c r="K886" s="311">
        <v>2.2144698858955563E-4</v>
      </c>
      <c r="L886" s="518">
        <v>2.9907749307236199E-2</v>
      </c>
      <c r="M886" s="519">
        <v>2.3145983875711766E-4</v>
      </c>
    </row>
    <row r="887" spans="2:13" ht="15.75" x14ac:dyDescent="0.25">
      <c r="B887" s="277">
        <v>2049</v>
      </c>
      <c r="C887" s="520">
        <v>2021</v>
      </c>
      <c r="D887" s="250" t="s">
        <v>4419</v>
      </c>
      <c r="E887" s="517">
        <v>0.13870014849194465</v>
      </c>
      <c r="F887" s="310">
        <v>2.1147739826159601E-2</v>
      </c>
      <c r="G887" s="311">
        <v>5.4386608107608252E-2</v>
      </c>
      <c r="H887" s="311">
        <v>2.4706920447538399</v>
      </c>
      <c r="I887" s="311">
        <v>0.64268311338746253</v>
      </c>
      <c r="J887" s="311">
        <v>2.86139533110479E-2</v>
      </c>
      <c r="K887" s="311">
        <v>2.2144698858955571E-4</v>
      </c>
      <c r="L887" s="518">
        <v>2.9907749307236199E-2</v>
      </c>
      <c r="M887" s="519">
        <v>2.3145983875711776E-4</v>
      </c>
    </row>
    <row r="888" spans="2:13" ht="15.75" x14ac:dyDescent="0.25">
      <c r="B888" s="277">
        <v>2049</v>
      </c>
      <c r="C888" s="520">
        <v>2022</v>
      </c>
      <c r="D888" s="250" t="s">
        <v>4420</v>
      </c>
      <c r="E888" s="517">
        <v>0.13870014849194487</v>
      </c>
      <c r="F888" s="310">
        <v>2.1147739826159601E-2</v>
      </c>
      <c r="G888" s="311">
        <v>5.4386608107608356E-2</v>
      </c>
      <c r="H888" s="311">
        <v>2.4706920447538399</v>
      </c>
      <c r="I888" s="311">
        <v>0.64268311338746242</v>
      </c>
      <c r="J888" s="311">
        <v>2.86139533110479E-2</v>
      </c>
      <c r="K888" s="311">
        <v>2.2144698858955614E-4</v>
      </c>
      <c r="L888" s="518">
        <v>2.9907749307236199E-2</v>
      </c>
      <c r="M888" s="519">
        <v>2.314598387571182E-4</v>
      </c>
    </row>
    <row r="889" spans="2:13" ht="15.75" x14ac:dyDescent="0.25">
      <c r="B889" s="277">
        <v>2049</v>
      </c>
      <c r="C889" s="520">
        <v>2023</v>
      </c>
      <c r="D889" s="250" t="s">
        <v>4421</v>
      </c>
      <c r="E889" s="517">
        <v>0.13870014849194448</v>
      </c>
      <c r="F889" s="310">
        <v>2.1147739826159601E-2</v>
      </c>
      <c r="G889" s="311">
        <v>5.4386608107608217E-2</v>
      </c>
      <c r="H889" s="311">
        <v>2.4706920447538399</v>
      </c>
      <c r="I889" s="311">
        <v>0.64268311338746209</v>
      </c>
      <c r="J889" s="311">
        <v>2.86139533110479E-2</v>
      </c>
      <c r="K889" s="311">
        <v>2.2144698858955557E-4</v>
      </c>
      <c r="L889" s="518">
        <v>2.9907749307236199E-2</v>
      </c>
      <c r="M889" s="519">
        <v>2.3145983875711763E-4</v>
      </c>
    </row>
    <row r="890" spans="2:13" ht="15.75" x14ac:dyDescent="0.25">
      <c r="B890" s="277">
        <v>2049</v>
      </c>
      <c r="C890" s="520">
        <v>2024</v>
      </c>
      <c r="D890" s="250" t="s">
        <v>4422</v>
      </c>
      <c r="E890" s="517">
        <v>0.12820381296029121</v>
      </c>
      <c r="F890" s="310">
        <v>2.1147739826159601E-2</v>
      </c>
      <c r="G890" s="311">
        <v>5.4386608107608259E-2</v>
      </c>
      <c r="H890" s="311">
        <v>2.4706920447538399</v>
      </c>
      <c r="I890" s="311">
        <v>0.64268311338746131</v>
      </c>
      <c r="J890" s="311">
        <v>2.86139533110479E-2</v>
      </c>
      <c r="K890" s="311">
        <v>2.2144698858955576E-4</v>
      </c>
      <c r="L890" s="518">
        <v>2.9907749307236199E-2</v>
      </c>
      <c r="M890" s="519">
        <v>2.3145983875711782E-4</v>
      </c>
    </row>
    <row r="891" spans="2:13" ht="15.75" x14ac:dyDescent="0.25">
      <c r="B891" s="277">
        <v>2049</v>
      </c>
      <c r="C891" s="520">
        <v>2025</v>
      </c>
      <c r="D891" s="250" t="s">
        <v>4423</v>
      </c>
      <c r="E891" s="517">
        <v>0.1282038129602914</v>
      </c>
      <c r="F891" s="310">
        <v>2.1147739826159601E-2</v>
      </c>
      <c r="G891" s="311">
        <v>5.438660810760837E-2</v>
      </c>
      <c r="H891" s="311">
        <v>2.4706920447538399</v>
      </c>
      <c r="I891" s="311">
        <v>0.64268311338746253</v>
      </c>
      <c r="J891" s="311">
        <v>2.86139533110479E-2</v>
      </c>
      <c r="K891" s="311">
        <v>2.2144698858955617E-4</v>
      </c>
      <c r="L891" s="518">
        <v>2.9907749307236199E-2</v>
      </c>
      <c r="M891" s="519">
        <v>2.3145983875711828E-4</v>
      </c>
    </row>
    <row r="892" spans="2:13" ht="15.75" x14ac:dyDescent="0.25">
      <c r="B892" s="277">
        <v>2049</v>
      </c>
      <c r="C892" s="520">
        <v>2026</v>
      </c>
      <c r="D892" s="250" t="s">
        <v>4424</v>
      </c>
      <c r="E892" s="517">
        <v>0.12820381296029096</v>
      </c>
      <c r="F892" s="310">
        <v>2.1147739826159601E-2</v>
      </c>
      <c r="G892" s="311">
        <v>5.4386608107608141E-2</v>
      </c>
      <c r="H892" s="311">
        <v>2.4706920447538399</v>
      </c>
      <c r="I892" s="311">
        <v>0.64268311338746142</v>
      </c>
      <c r="J892" s="311">
        <v>2.86139533110479E-2</v>
      </c>
      <c r="K892" s="311">
        <v>2.2144698858955585E-4</v>
      </c>
      <c r="L892" s="518">
        <v>2.9907749307236199E-2</v>
      </c>
      <c r="M892" s="519">
        <v>2.314598387571179E-4</v>
      </c>
    </row>
    <row r="893" spans="2:13" ht="15.75" x14ac:dyDescent="0.25">
      <c r="B893" s="277">
        <v>2049</v>
      </c>
      <c r="C893" s="520">
        <v>2027</v>
      </c>
      <c r="D893" s="250" t="s">
        <v>4425</v>
      </c>
      <c r="E893" s="517">
        <v>0.12358650332854337</v>
      </c>
      <c r="F893" s="310">
        <v>2.1147739826159601E-2</v>
      </c>
      <c r="G893" s="311">
        <v>5.4386608107608377E-2</v>
      </c>
      <c r="H893" s="311">
        <v>2.4706920447538399</v>
      </c>
      <c r="I893" s="311">
        <v>0.64268311338746265</v>
      </c>
      <c r="J893" s="311">
        <v>2.86139533110479E-2</v>
      </c>
      <c r="K893" s="311">
        <v>2.2144698858955625E-4</v>
      </c>
      <c r="L893" s="518">
        <v>2.9907749307236199E-2</v>
      </c>
      <c r="M893" s="519">
        <v>2.3145983875711831E-4</v>
      </c>
    </row>
    <row r="894" spans="2:13" ht="15.75" x14ac:dyDescent="0.25">
      <c r="B894" s="277">
        <v>2049</v>
      </c>
      <c r="C894" s="520">
        <v>2028</v>
      </c>
      <c r="D894" s="250" t="s">
        <v>4426</v>
      </c>
      <c r="E894" s="517">
        <v>0.1235865033285434</v>
      </c>
      <c r="F894" s="310">
        <v>2.1147739826159601E-2</v>
      </c>
      <c r="G894" s="311">
        <v>5.4386608107608356E-2</v>
      </c>
      <c r="H894" s="311">
        <v>2.4706920447538399</v>
      </c>
      <c r="I894" s="311">
        <v>0.64268311338746242</v>
      </c>
      <c r="J894" s="311">
        <v>2.86139533110479E-2</v>
      </c>
      <c r="K894" s="311">
        <v>2.2144698858955617E-4</v>
      </c>
      <c r="L894" s="518">
        <v>2.9907749307236199E-2</v>
      </c>
      <c r="M894" s="519">
        <v>2.3145983875711822E-4</v>
      </c>
    </row>
    <row r="895" spans="2:13" ht="15.75" x14ac:dyDescent="0.25">
      <c r="B895" s="277">
        <v>2049</v>
      </c>
      <c r="C895" s="520">
        <v>2029</v>
      </c>
      <c r="D895" s="250" t="s">
        <v>4427</v>
      </c>
      <c r="E895" s="517">
        <v>0.12358650332854339</v>
      </c>
      <c r="F895" s="310">
        <v>2.1147739826159601E-2</v>
      </c>
      <c r="G895" s="311">
        <v>5.4386608107608342E-2</v>
      </c>
      <c r="H895" s="311">
        <v>2.4706920447538399</v>
      </c>
      <c r="I895" s="311">
        <v>0.64268311338746231</v>
      </c>
      <c r="J895" s="311">
        <v>2.86139533110479E-2</v>
      </c>
      <c r="K895" s="311">
        <v>2.2144698858955612E-4</v>
      </c>
      <c r="L895" s="518">
        <v>2.9907749307236199E-2</v>
      </c>
      <c r="M895" s="519">
        <v>2.314598387571182E-4</v>
      </c>
    </row>
    <row r="896" spans="2:13" ht="15.75" x14ac:dyDescent="0.25">
      <c r="B896" s="277">
        <v>2049</v>
      </c>
      <c r="C896" s="520">
        <v>2030</v>
      </c>
      <c r="D896" s="250" t="s">
        <v>4428</v>
      </c>
      <c r="E896" s="517">
        <v>0.12358650332854333</v>
      </c>
      <c r="F896" s="310">
        <v>2.1147739826159601E-2</v>
      </c>
      <c r="G896" s="311">
        <v>5.4386608107608321E-2</v>
      </c>
      <c r="H896" s="311">
        <v>2.4706920447538399</v>
      </c>
      <c r="I896" s="311">
        <v>0.64268311338746198</v>
      </c>
      <c r="J896" s="311">
        <v>2.86139533110479E-2</v>
      </c>
      <c r="K896" s="311">
        <v>2.2144698858955598E-4</v>
      </c>
      <c r="L896" s="518">
        <v>2.9907749307236199E-2</v>
      </c>
      <c r="M896" s="519">
        <v>2.3145983875711806E-4</v>
      </c>
    </row>
    <row r="897" spans="2:13" ht="15.75" x14ac:dyDescent="0.25">
      <c r="B897" s="277">
        <v>2049</v>
      </c>
      <c r="C897" s="520">
        <v>2031</v>
      </c>
      <c r="D897" s="250" t="s">
        <v>4429</v>
      </c>
      <c r="E897" s="517">
        <v>0.12358650332854337</v>
      </c>
      <c r="F897" s="310">
        <v>2.1147739826159601E-2</v>
      </c>
      <c r="G897" s="311">
        <v>5.4386608107608307E-2</v>
      </c>
      <c r="H897" s="311">
        <v>2.4706920447538399</v>
      </c>
      <c r="I897" s="311">
        <v>0.64268311338746176</v>
      </c>
      <c r="J897" s="311">
        <v>2.86139533110479E-2</v>
      </c>
      <c r="K897" s="311">
        <v>2.214469885895559E-4</v>
      </c>
      <c r="L897" s="518">
        <v>2.9907749307236199E-2</v>
      </c>
      <c r="M897" s="519">
        <v>2.3145983875711798E-4</v>
      </c>
    </row>
    <row r="898" spans="2:13" ht="15.75" x14ac:dyDescent="0.25">
      <c r="B898" s="277">
        <v>2049</v>
      </c>
      <c r="C898" s="520">
        <v>2032</v>
      </c>
      <c r="D898" s="250" t="s">
        <v>4430</v>
      </c>
      <c r="E898" s="517">
        <v>0.12358650332854321</v>
      </c>
      <c r="F898" s="310">
        <v>2.1147739826159601E-2</v>
      </c>
      <c r="G898" s="311">
        <v>5.4386608107608238E-2</v>
      </c>
      <c r="H898" s="311">
        <v>2.4706920447538399</v>
      </c>
      <c r="I898" s="311">
        <v>0.64268311338746109</v>
      </c>
      <c r="J898" s="311">
        <v>2.86139533110479E-2</v>
      </c>
      <c r="K898" s="311">
        <v>2.2144698858955568E-4</v>
      </c>
      <c r="L898" s="518">
        <v>2.9907749307236199E-2</v>
      </c>
      <c r="M898" s="519">
        <v>2.3145983875711771E-4</v>
      </c>
    </row>
    <row r="899" spans="2:13" ht="15.75" x14ac:dyDescent="0.25">
      <c r="B899" s="277">
        <v>2049</v>
      </c>
      <c r="C899" s="520">
        <v>2033</v>
      </c>
      <c r="D899" s="250" t="s">
        <v>4431</v>
      </c>
      <c r="E899" s="517">
        <v>0.12358650332854328</v>
      </c>
      <c r="F899" s="310">
        <v>2.1145930210232401E-2</v>
      </c>
      <c r="G899" s="311">
        <v>5.4386608107608252E-2</v>
      </c>
      <c r="H899" s="311">
        <v>2.4703990961776801</v>
      </c>
      <c r="I899" s="311">
        <v>0.64268311338746253</v>
      </c>
      <c r="J899" s="311">
        <v>2.8609537999503502E-2</v>
      </c>
      <c r="K899" s="311">
        <v>2.2144698858955571E-4</v>
      </c>
      <c r="L899" s="518">
        <v>2.9903134354896398E-2</v>
      </c>
      <c r="M899" s="519">
        <v>2.3145983875711776E-4</v>
      </c>
    </row>
    <row r="900" spans="2:13" ht="15.75" x14ac:dyDescent="0.25">
      <c r="B900" s="277">
        <v>2049</v>
      </c>
      <c r="C900" s="520">
        <v>2034</v>
      </c>
      <c r="D900" s="250" t="s">
        <v>4432</v>
      </c>
      <c r="E900" s="517">
        <v>0.12358650332854328</v>
      </c>
      <c r="F900" s="310">
        <v>2.0885642705728499E-2</v>
      </c>
      <c r="G900" s="311">
        <v>5.4386608107607856E-2</v>
      </c>
      <c r="H900" s="311">
        <v>2.4282626114742998</v>
      </c>
      <c r="I900" s="311">
        <v>0.64268311338745787</v>
      </c>
      <c r="J900" s="311">
        <v>2.7974458253445401E-2</v>
      </c>
      <c r="K900" s="311">
        <v>2.2144698858955408E-4</v>
      </c>
      <c r="L900" s="518">
        <v>2.9239339120846201E-2</v>
      </c>
      <c r="M900" s="519">
        <v>2.3145983875711608E-4</v>
      </c>
    </row>
    <row r="901" spans="2:13" ht="15.75" x14ac:dyDescent="0.25">
      <c r="B901" s="277">
        <v>2049</v>
      </c>
      <c r="C901" s="520">
        <v>2035</v>
      </c>
      <c r="D901" s="250" t="s">
        <v>4433</v>
      </c>
      <c r="E901" s="517">
        <v>0.12247987507838985</v>
      </c>
      <c r="F901" s="310">
        <v>2.0596434367390799E-2</v>
      </c>
      <c r="G901" s="311">
        <v>4.8947947296847212E-2</v>
      </c>
      <c r="H901" s="311">
        <v>2.3814442951372099</v>
      </c>
      <c r="I901" s="311">
        <v>0.57841480204871376</v>
      </c>
      <c r="J901" s="311">
        <v>2.7268814091158701E-2</v>
      </c>
      <c r="K901" s="311">
        <v>1.9930228973059929E-4</v>
      </c>
      <c r="L901" s="518">
        <v>2.8501788860790599E-2</v>
      </c>
      <c r="M901" s="519">
        <v>2.083138548814051E-4</v>
      </c>
    </row>
    <row r="902" spans="2:13" ht="15.75" x14ac:dyDescent="0.25">
      <c r="B902" s="277">
        <v>2049</v>
      </c>
      <c r="C902" s="520">
        <v>2036</v>
      </c>
      <c r="D902" s="250" t="s">
        <v>4434</v>
      </c>
      <c r="E902" s="517">
        <v>0.12148390965325254</v>
      </c>
      <c r="F902" s="310">
        <v>2.02750917692377E-2</v>
      </c>
      <c r="G902" s="311">
        <v>4.4053152567162496E-2</v>
      </c>
      <c r="H902" s="311">
        <v>2.3294239436515398</v>
      </c>
      <c r="I902" s="311">
        <v>0.52057332184384253</v>
      </c>
      <c r="J902" s="311">
        <v>2.6484765021951299E-2</v>
      </c>
      <c r="K902" s="311">
        <v>1.793720607575398E-4</v>
      </c>
      <c r="L902" s="518">
        <v>2.76822885718397E-2</v>
      </c>
      <c r="M902" s="519">
        <v>1.8748246939326505E-4</v>
      </c>
    </row>
    <row r="903" spans="2:13" ht="15.75" x14ac:dyDescent="0.25">
      <c r="B903" s="277">
        <v>2049</v>
      </c>
      <c r="C903" s="520">
        <v>2037</v>
      </c>
      <c r="D903" s="250" t="s">
        <v>4435</v>
      </c>
      <c r="E903" s="517">
        <v>0.12058754077062962</v>
      </c>
      <c r="F903" s="310">
        <v>1.9918044437956601E-2</v>
      </c>
      <c r="G903" s="311">
        <v>3.9647837310446715E-2</v>
      </c>
      <c r="H903" s="311">
        <v>2.2716235531119202</v>
      </c>
      <c r="I903" s="311">
        <v>0.46851598965946284</v>
      </c>
      <c r="J903" s="311">
        <v>2.5613599389498601E-2</v>
      </c>
      <c r="K903" s="311">
        <v>1.6143485468178735E-4</v>
      </c>
      <c r="L903" s="518">
        <v>2.6771732695227798E-2</v>
      </c>
      <c r="M903" s="519">
        <v>1.6873422245394014E-4</v>
      </c>
    </row>
    <row r="904" spans="2:13" ht="15.75" x14ac:dyDescent="0.25">
      <c r="B904" s="277">
        <v>2049</v>
      </c>
      <c r="C904" s="520">
        <v>2038</v>
      </c>
      <c r="D904" s="250" t="s">
        <v>4436</v>
      </c>
      <c r="E904" s="517">
        <v>0.1197808087762678</v>
      </c>
      <c r="F904" s="310">
        <v>1.9521325180977499E-2</v>
      </c>
      <c r="G904" s="311">
        <v>3.5683053579401908E-2</v>
      </c>
      <c r="H904" s="311">
        <v>2.20740089695679</v>
      </c>
      <c r="I904" s="311">
        <v>0.42166439069351486</v>
      </c>
      <c r="J904" s="311">
        <v>2.46456375756622E-2</v>
      </c>
      <c r="K904" s="311">
        <v>1.4529136921360807E-4</v>
      </c>
      <c r="L904" s="518">
        <v>2.57600039434367E-2</v>
      </c>
      <c r="M904" s="519">
        <v>1.5186080020854553E-4</v>
      </c>
    </row>
    <row r="905" spans="2:13" ht="15.75" x14ac:dyDescent="0.25">
      <c r="B905" s="277">
        <v>2049</v>
      </c>
      <c r="C905" s="520">
        <v>2039</v>
      </c>
      <c r="D905" s="250" t="s">
        <v>4437</v>
      </c>
      <c r="E905" s="517">
        <v>0.11905474998134204</v>
      </c>
      <c r="F905" s="310">
        <v>1.9080526006556402E-2</v>
      </c>
      <c r="G905" s="311">
        <v>3.2114748221461507E-2</v>
      </c>
      <c r="H905" s="311">
        <v>2.1360423901177499</v>
      </c>
      <c r="I905" s="311">
        <v>0.37949795162416089</v>
      </c>
      <c r="J905" s="311">
        <v>2.3570124449177401E-2</v>
      </c>
      <c r="K905" s="311">
        <v>1.3076223229224637E-4</v>
      </c>
      <c r="L905" s="518">
        <v>2.4635860885890998E-2</v>
      </c>
      <c r="M905" s="519">
        <v>1.3667472018769007E-4</v>
      </c>
    </row>
    <row r="906" spans="2:13" ht="15.75" x14ac:dyDescent="0.25">
      <c r="B906" s="277">
        <v>2049</v>
      </c>
      <c r="C906" s="520">
        <v>2040</v>
      </c>
      <c r="D906" s="250" t="s">
        <v>4438</v>
      </c>
      <c r="E906" s="517">
        <v>0.11840129706590957</v>
      </c>
      <c r="F906" s="310">
        <v>1.8590749146088398E-2</v>
      </c>
      <c r="G906" s="311">
        <v>2.890327339931548E-2</v>
      </c>
      <c r="H906" s="311">
        <v>2.0567551602965999</v>
      </c>
      <c r="I906" s="311">
        <v>0.3415481564617463</v>
      </c>
      <c r="J906" s="311">
        <v>2.23751098641943E-2</v>
      </c>
      <c r="K906" s="311">
        <v>1.1768600906302226E-4</v>
      </c>
      <c r="L906" s="518">
        <v>2.3386813044173602E-2</v>
      </c>
      <c r="M906" s="519">
        <v>1.2300724816892162E-4</v>
      </c>
    </row>
    <row r="907" spans="2:13" ht="15.75" x14ac:dyDescent="0.25">
      <c r="B907" s="277">
        <v>2049</v>
      </c>
      <c r="C907" s="520">
        <v>2041</v>
      </c>
      <c r="D907" s="250" t="s">
        <v>4439</v>
      </c>
      <c r="E907" s="517">
        <v>0.11781318944201964</v>
      </c>
      <c r="F907" s="310">
        <v>1.80465526344574E-2</v>
      </c>
      <c r="G907" s="311">
        <v>2.6012946059383767E-2</v>
      </c>
      <c r="H907" s="311">
        <v>1.9686582382730899</v>
      </c>
      <c r="I907" s="311">
        <v>0.30739334081556968</v>
      </c>
      <c r="J907" s="311">
        <v>2.10473158808797E-2</v>
      </c>
      <c r="K907" s="311">
        <v>1.0591740815671936E-4</v>
      </c>
      <c r="L907" s="518">
        <v>2.19989821089321E-2</v>
      </c>
      <c r="M907" s="519">
        <v>1.1070652335202874E-4</v>
      </c>
    </row>
    <row r="908" spans="2:13" ht="15.75" x14ac:dyDescent="0.25">
      <c r="B908" s="277">
        <v>2049</v>
      </c>
      <c r="C908" s="520">
        <v>2042</v>
      </c>
      <c r="D908" s="250" t="s">
        <v>4440</v>
      </c>
      <c r="E908" s="517">
        <v>0.11781318944202014</v>
      </c>
      <c r="F908" s="310">
        <v>1.7441889843756199E-2</v>
      </c>
      <c r="G908" s="311">
        <v>2.6012946059383903E-2</v>
      </c>
      <c r="H908" s="311">
        <v>1.87077276935808</v>
      </c>
      <c r="I908" s="311">
        <v>0.30739334081557124</v>
      </c>
      <c r="J908" s="311">
        <v>1.9571989232752302E-2</v>
      </c>
      <c r="K908" s="311">
        <v>1.059174081567199E-4</v>
      </c>
      <c r="L908" s="518">
        <v>2.0456947736441401E-2</v>
      </c>
      <c r="M908" s="519">
        <v>1.1070652335202931E-4</v>
      </c>
    </row>
    <row r="909" spans="2:13" ht="15.75" x14ac:dyDescent="0.25">
      <c r="B909" s="277">
        <v>2049</v>
      </c>
      <c r="C909" s="520">
        <v>2043</v>
      </c>
      <c r="D909" s="250" t="s">
        <v>4441</v>
      </c>
      <c r="E909" s="517">
        <v>0.11781318944201943</v>
      </c>
      <c r="F909" s="310">
        <v>1.6837227053055001E-2</v>
      </c>
      <c r="G909" s="311">
        <v>2.601294605938391E-2</v>
      </c>
      <c r="H909" s="311">
        <v>1.7728873004430801</v>
      </c>
      <c r="I909" s="311">
        <v>0.3073933408155714</v>
      </c>
      <c r="J909" s="311">
        <v>1.8096662584625001E-2</v>
      </c>
      <c r="K909" s="311">
        <v>1.0591740815671994E-4</v>
      </c>
      <c r="L909" s="518">
        <v>1.8914913363950799E-2</v>
      </c>
      <c r="M909" s="519">
        <v>1.1070652335202935E-4</v>
      </c>
    </row>
    <row r="910" spans="2:13" ht="15.75" x14ac:dyDescent="0.25">
      <c r="B910" s="277">
        <v>2049</v>
      </c>
      <c r="C910" s="520">
        <v>2044</v>
      </c>
      <c r="D910" s="250" t="s">
        <v>4442</v>
      </c>
      <c r="E910" s="517">
        <v>0.11781318944201989</v>
      </c>
      <c r="F910" s="310">
        <v>1.62325642623539E-2</v>
      </c>
      <c r="G910" s="311">
        <v>2.6012946059383899E-2</v>
      </c>
      <c r="H910" s="311">
        <v>1.6750018315280699</v>
      </c>
      <c r="I910" s="311">
        <v>0.3073933408155719</v>
      </c>
      <c r="J910" s="311">
        <v>1.6621335936497599E-2</v>
      </c>
      <c r="K910" s="311">
        <v>1.0591740815671988E-4</v>
      </c>
      <c r="L910" s="518">
        <v>1.73728789914602E-2</v>
      </c>
      <c r="M910" s="519">
        <v>1.107065233520293E-4</v>
      </c>
    </row>
    <row r="911" spans="2:13" ht="15.75" x14ac:dyDescent="0.25">
      <c r="B911" s="277">
        <v>2049</v>
      </c>
      <c r="C911" s="520">
        <v>2045</v>
      </c>
      <c r="D911" s="250" t="s">
        <v>4443</v>
      </c>
      <c r="E911" s="517">
        <v>0.11781318944201971</v>
      </c>
      <c r="F911" s="310">
        <v>1.5627901471652699E-2</v>
      </c>
      <c r="G911" s="311">
        <v>2.6012946059383837E-2</v>
      </c>
      <c r="H911" s="311">
        <v>1.57711636261307</v>
      </c>
      <c r="I911" s="311">
        <v>0.30739334081557118</v>
      </c>
      <c r="J911" s="311">
        <v>1.51460092883703E-2</v>
      </c>
      <c r="K911" s="311">
        <v>1.0591740815671965E-4</v>
      </c>
      <c r="L911" s="518">
        <v>1.5830844618969601E-2</v>
      </c>
      <c r="M911" s="519">
        <v>1.1070652335202904E-4</v>
      </c>
    </row>
    <row r="912" spans="2:13" ht="15.75" x14ac:dyDescent="0.25">
      <c r="B912" s="277">
        <v>2049</v>
      </c>
      <c r="C912" s="520">
        <v>2046</v>
      </c>
      <c r="D912" s="250" t="s">
        <v>4444</v>
      </c>
      <c r="E912" s="517">
        <v>0.11781318944201966</v>
      </c>
      <c r="F912" s="310">
        <v>1.50232386809515E-2</v>
      </c>
      <c r="G912" s="311">
        <v>2.6012946059383854E-2</v>
      </c>
      <c r="H912" s="311">
        <v>1.47923089369806</v>
      </c>
      <c r="I912" s="311">
        <v>0.30739334081557135</v>
      </c>
      <c r="J912" s="311">
        <v>1.3670682640242999E-2</v>
      </c>
      <c r="K912" s="311">
        <v>1.0591740815671972E-4</v>
      </c>
      <c r="L912" s="518">
        <v>1.4288810246478999E-2</v>
      </c>
      <c r="M912" s="519">
        <v>1.1070652335202912E-4</v>
      </c>
    </row>
    <row r="913" spans="2:13" ht="15.75" x14ac:dyDescent="0.25">
      <c r="B913" s="277">
        <v>2049</v>
      </c>
      <c r="C913" s="520">
        <v>2047</v>
      </c>
      <c r="D913" s="250" t="s">
        <v>4445</v>
      </c>
      <c r="E913" s="517">
        <v>0.11781318944201959</v>
      </c>
      <c r="F913" s="310">
        <v>1.4418575890250401E-2</v>
      </c>
      <c r="G913" s="311">
        <v>2.6012946059383795E-2</v>
      </c>
      <c r="H913" s="311">
        <v>1.3813454247830499</v>
      </c>
      <c r="I913" s="311">
        <v>0.30739334081557079</v>
      </c>
      <c r="J913" s="311">
        <v>1.2195355992115599E-2</v>
      </c>
      <c r="K913" s="311">
        <v>1.0591740815671975E-4</v>
      </c>
      <c r="L913" s="518">
        <v>1.2746775873988399E-2</v>
      </c>
      <c r="M913" s="519">
        <v>1.1070652335202915E-4</v>
      </c>
    </row>
    <row r="914" spans="2:13" ht="15.75" x14ac:dyDescent="0.25">
      <c r="B914" s="277">
        <v>2049</v>
      </c>
      <c r="C914" s="520">
        <v>2048</v>
      </c>
      <c r="D914" s="250" t="s">
        <v>4446</v>
      </c>
      <c r="E914" s="517">
        <v>0.11781318944201991</v>
      </c>
      <c r="F914" s="310">
        <v>1.3813913099549199E-2</v>
      </c>
      <c r="G914" s="311">
        <v>2.6012946059383854E-2</v>
      </c>
      <c r="H914" s="311">
        <v>1.28345995586805</v>
      </c>
      <c r="I914" s="311">
        <v>0.30739334081557068</v>
      </c>
      <c r="J914" s="311">
        <v>1.07200293439883E-2</v>
      </c>
      <c r="K914" s="311">
        <v>1.0591740815671972E-4</v>
      </c>
      <c r="L914" s="518">
        <v>1.1204741501497801E-2</v>
      </c>
      <c r="M914" s="519">
        <v>1.1070652335202913E-4</v>
      </c>
    </row>
    <row r="915" spans="2:13" ht="15.75" x14ac:dyDescent="0.25">
      <c r="B915" s="277">
        <v>2049</v>
      </c>
      <c r="C915" s="520">
        <v>2049</v>
      </c>
      <c r="D915" s="250" t="s">
        <v>4447</v>
      </c>
      <c r="E915" s="517">
        <v>0.11781318944201985</v>
      </c>
      <c r="F915" s="310">
        <v>1.3209250308848E-2</v>
      </c>
      <c r="G915" s="311">
        <v>2.6012946059383854E-2</v>
      </c>
      <c r="H915" s="311">
        <v>1.18557448695304</v>
      </c>
      <c r="I915" s="311">
        <v>0.30739334081557074</v>
      </c>
      <c r="J915" s="311">
        <v>9.2447026958609908E-3</v>
      </c>
      <c r="K915" s="311">
        <v>1.0591740815671972E-4</v>
      </c>
      <c r="L915" s="518">
        <v>9.6627071290071795E-3</v>
      </c>
      <c r="M915" s="519">
        <v>1.1070652335202912E-4</v>
      </c>
    </row>
    <row r="916" spans="2:13" ht="15.75" x14ac:dyDescent="0.25">
      <c r="B916" s="277">
        <v>2049</v>
      </c>
      <c r="C916" s="520">
        <v>2050</v>
      </c>
      <c r="D916" s="250" t="s">
        <v>4523</v>
      </c>
      <c r="E916" s="517">
        <v>0.12522334550302777</v>
      </c>
      <c r="F916" s="310">
        <v>1.26045875181468E-2</v>
      </c>
      <c r="G916" s="311">
        <v>6.2431070542521325E-2</v>
      </c>
      <c r="H916" s="311">
        <v>1.0876890180380401</v>
      </c>
      <c r="I916" s="311">
        <v>0.73774401795737221</v>
      </c>
      <c r="J916" s="311">
        <v>7.7693760477336596E-3</v>
      </c>
      <c r="K916" s="311">
        <v>2.5420177957612762E-4</v>
      </c>
      <c r="L916" s="518">
        <v>8.1206727565165705E-3</v>
      </c>
      <c r="M916" s="519">
        <v>2.6569565604487021E-4</v>
      </c>
    </row>
    <row r="917" spans="2:13" ht="15.75" x14ac:dyDescent="0.25">
      <c r="B917" s="277">
        <v>2050</v>
      </c>
      <c r="C917" s="520">
        <v>2018</v>
      </c>
      <c r="D917" s="250" t="s">
        <v>4460</v>
      </c>
      <c r="E917" s="517">
        <v>0.15336257614434939</v>
      </c>
      <c r="F917" s="310">
        <v>2.1147740060254099E-2</v>
      </c>
      <c r="G917" s="311">
        <v>5.4386608108647302E-2</v>
      </c>
      <c r="H917" s="311">
        <v>2.4706920006275999</v>
      </c>
      <c r="I917" s="311">
        <v>0.6426831133997396</v>
      </c>
      <c r="J917" s="311">
        <v>2.8613954717657999E-2</v>
      </c>
      <c r="K917" s="311">
        <v>2.2144698859378643E-4</v>
      </c>
      <c r="L917" s="518">
        <v>2.9907750777446899E-2</v>
      </c>
      <c r="M917" s="519">
        <v>2.3145983876153982E-4</v>
      </c>
    </row>
    <row r="918" spans="2:13" ht="15.75" x14ac:dyDescent="0.25">
      <c r="B918" s="277">
        <v>2050</v>
      </c>
      <c r="C918" s="520">
        <v>2019</v>
      </c>
      <c r="D918" s="250" t="s">
        <v>4461</v>
      </c>
      <c r="E918" s="517">
        <v>0.15336257614434951</v>
      </c>
      <c r="F918" s="310">
        <v>2.1147740060254099E-2</v>
      </c>
      <c r="G918" s="311">
        <v>5.4386608108647518E-2</v>
      </c>
      <c r="H918" s="311">
        <v>2.4706920006275999</v>
      </c>
      <c r="I918" s="311">
        <v>0.64268311339974371</v>
      </c>
      <c r="J918" s="311">
        <v>2.8613954717657999E-2</v>
      </c>
      <c r="K918" s="311">
        <v>2.2144698859378787E-4</v>
      </c>
      <c r="L918" s="518">
        <v>2.9907750777446899E-2</v>
      </c>
      <c r="M918" s="519">
        <v>2.3145983876154128E-4</v>
      </c>
    </row>
    <row r="919" spans="2:13" ht="15.75" x14ac:dyDescent="0.25">
      <c r="B919" s="277">
        <v>2050</v>
      </c>
      <c r="C919" s="520">
        <v>2020</v>
      </c>
      <c r="D919" s="250" t="s">
        <v>4462</v>
      </c>
      <c r="E919" s="517">
        <v>0.15336257614434881</v>
      </c>
      <c r="F919" s="310">
        <v>2.1147740060254099E-2</v>
      </c>
      <c r="G919" s="311">
        <v>5.4386608108647358E-2</v>
      </c>
      <c r="H919" s="311">
        <v>2.4706920006275999</v>
      </c>
      <c r="I919" s="311">
        <v>0.64268311339974027</v>
      </c>
      <c r="J919" s="311">
        <v>2.8613954717657999E-2</v>
      </c>
      <c r="K919" s="311">
        <v>2.2144698859378667E-4</v>
      </c>
      <c r="L919" s="518">
        <v>2.9907750777446899E-2</v>
      </c>
      <c r="M919" s="519">
        <v>2.3145983876154003E-4</v>
      </c>
    </row>
    <row r="920" spans="2:13" ht="15.75" x14ac:dyDescent="0.25">
      <c r="B920" s="277">
        <v>2050</v>
      </c>
      <c r="C920" s="520">
        <v>2021</v>
      </c>
      <c r="D920" s="250" t="s">
        <v>4463</v>
      </c>
      <c r="E920" s="517">
        <v>0.13870014853635831</v>
      </c>
      <c r="F920" s="310">
        <v>2.1147740060254099E-2</v>
      </c>
      <c r="G920" s="311">
        <v>5.4386608108647386E-2</v>
      </c>
      <c r="H920" s="311">
        <v>2.4706920006275999</v>
      </c>
      <c r="I920" s="311">
        <v>0.6426831133997406</v>
      </c>
      <c r="J920" s="311">
        <v>2.8613954717657999E-2</v>
      </c>
      <c r="K920" s="311">
        <v>2.2144698859378678E-4</v>
      </c>
      <c r="L920" s="518">
        <v>2.9907750777446899E-2</v>
      </c>
      <c r="M920" s="519">
        <v>2.3145983876154014E-4</v>
      </c>
    </row>
    <row r="921" spans="2:13" ht="15.75" x14ac:dyDescent="0.25">
      <c r="B921" s="277">
        <v>2050</v>
      </c>
      <c r="C921" s="520">
        <v>2022</v>
      </c>
      <c r="D921" s="250" t="s">
        <v>4464</v>
      </c>
      <c r="E921" s="517">
        <v>0.13870014853635823</v>
      </c>
      <c r="F921" s="310">
        <v>2.1147740060254099E-2</v>
      </c>
      <c r="G921" s="311">
        <v>5.438660810864749E-2</v>
      </c>
      <c r="H921" s="311">
        <v>2.4706920006275999</v>
      </c>
      <c r="I921" s="311">
        <v>0.64268311339974316</v>
      </c>
      <c r="J921" s="311">
        <v>2.8613954717657999E-2</v>
      </c>
      <c r="K921" s="311">
        <v>2.2144698859378719E-4</v>
      </c>
      <c r="L921" s="518">
        <v>2.9907750777446899E-2</v>
      </c>
      <c r="M921" s="519">
        <v>2.314598387615406E-4</v>
      </c>
    </row>
    <row r="922" spans="2:13" ht="15.75" x14ac:dyDescent="0.25">
      <c r="B922" s="277">
        <v>2050</v>
      </c>
      <c r="C922" s="520">
        <v>2023</v>
      </c>
      <c r="D922" s="250" t="s">
        <v>4465</v>
      </c>
      <c r="E922" s="517">
        <v>0.13870014853635809</v>
      </c>
      <c r="F922" s="310">
        <v>2.1147740060254099E-2</v>
      </c>
      <c r="G922" s="311">
        <v>5.4386608108647434E-2</v>
      </c>
      <c r="H922" s="311">
        <v>2.4706920006275999</v>
      </c>
      <c r="I922" s="311">
        <v>0.64268311339974249</v>
      </c>
      <c r="J922" s="311">
        <v>2.8613954717657999E-2</v>
      </c>
      <c r="K922" s="311">
        <v>2.2144698859378697E-4</v>
      </c>
      <c r="L922" s="518">
        <v>2.9907750777446899E-2</v>
      </c>
      <c r="M922" s="519">
        <v>2.3145983876154033E-4</v>
      </c>
    </row>
    <row r="923" spans="2:13" ht="15.75" x14ac:dyDescent="0.25">
      <c r="B923" s="277">
        <v>2050</v>
      </c>
      <c r="C923" s="520">
        <v>2024</v>
      </c>
      <c r="D923" s="250" t="s">
        <v>4466</v>
      </c>
      <c r="E923" s="517">
        <v>0.12820381300134398</v>
      </c>
      <c r="F923" s="310">
        <v>2.1147740060254099E-2</v>
      </c>
      <c r="G923" s="311">
        <v>5.438660810864758E-2</v>
      </c>
      <c r="H923" s="311">
        <v>2.4706920006275999</v>
      </c>
      <c r="I923" s="311">
        <v>0.64268311339974282</v>
      </c>
      <c r="J923" s="311">
        <v>2.8613954717657999E-2</v>
      </c>
      <c r="K923" s="311">
        <v>2.2144698859378757E-4</v>
      </c>
      <c r="L923" s="518">
        <v>2.9907750777446899E-2</v>
      </c>
      <c r="M923" s="519">
        <v>2.3145983876154098E-4</v>
      </c>
    </row>
    <row r="924" spans="2:13" ht="15.75" x14ac:dyDescent="0.25">
      <c r="B924" s="277">
        <v>2050</v>
      </c>
      <c r="C924" s="520">
        <v>2025</v>
      </c>
      <c r="D924" s="250" t="s">
        <v>4467</v>
      </c>
      <c r="E924" s="517">
        <v>0.1282038130013439</v>
      </c>
      <c r="F924" s="310">
        <v>2.1147740060254099E-2</v>
      </c>
      <c r="G924" s="311">
        <v>5.4386608108647483E-2</v>
      </c>
      <c r="H924" s="311">
        <v>2.4706920006275999</v>
      </c>
      <c r="I924" s="311">
        <v>0.64268311339974327</v>
      </c>
      <c r="J924" s="311">
        <v>2.8613954717657999E-2</v>
      </c>
      <c r="K924" s="311">
        <v>2.214469885937877E-4</v>
      </c>
      <c r="L924" s="518">
        <v>2.9907750777446899E-2</v>
      </c>
      <c r="M924" s="519">
        <v>2.3145983876154112E-4</v>
      </c>
    </row>
    <row r="925" spans="2:13" ht="15.75" x14ac:dyDescent="0.25">
      <c r="B925" s="277">
        <v>2050</v>
      </c>
      <c r="C925" s="520">
        <v>2026</v>
      </c>
      <c r="D925" s="250" t="s">
        <v>4468</v>
      </c>
      <c r="E925" s="517">
        <v>0.12820381300134417</v>
      </c>
      <c r="F925" s="310">
        <v>2.1147740060254099E-2</v>
      </c>
      <c r="G925" s="311">
        <v>5.4386608108647524E-2</v>
      </c>
      <c r="H925" s="311">
        <v>2.4706920006275999</v>
      </c>
      <c r="I925" s="311">
        <v>0.64268311339974382</v>
      </c>
      <c r="J925" s="311">
        <v>2.8613954717657999E-2</v>
      </c>
      <c r="K925" s="311">
        <v>2.2144698859378789E-4</v>
      </c>
      <c r="L925" s="518">
        <v>2.9907750777446899E-2</v>
      </c>
      <c r="M925" s="519">
        <v>2.3145983876154131E-4</v>
      </c>
    </row>
    <row r="926" spans="2:13" ht="15.75" x14ac:dyDescent="0.25">
      <c r="B926" s="277">
        <v>2050</v>
      </c>
      <c r="C926" s="520">
        <v>2027</v>
      </c>
      <c r="D926" s="250" t="s">
        <v>4469</v>
      </c>
      <c r="E926" s="517">
        <v>0.12358650336811706</v>
      </c>
      <c r="F926" s="310">
        <v>2.1147740060254099E-2</v>
      </c>
      <c r="G926" s="311">
        <v>5.4386608108647427E-2</v>
      </c>
      <c r="H926" s="311">
        <v>2.4706920006275999</v>
      </c>
      <c r="I926" s="311">
        <v>0.64268311339974105</v>
      </c>
      <c r="J926" s="311">
        <v>2.8613954717657999E-2</v>
      </c>
      <c r="K926" s="311">
        <v>2.2144698859378692E-4</v>
      </c>
      <c r="L926" s="518">
        <v>2.9907750777446899E-2</v>
      </c>
      <c r="M926" s="519">
        <v>2.3145983876154031E-4</v>
      </c>
    </row>
    <row r="927" spans="2:13" ht="15.75" x14ac:dyDescent="0.25">
      <c r="B927" s="277">
        <v>2050</v>
      </c>
      <c r="C927" s="520">
        <v>2028</v>
      </c>
      <c r="D927" s="250" t="s">
        <v>4470</v>
      </c>
      <c r="E927" s="517">
        <v>0.12358650336811712</v>
      </c>
      <c r="F927" s="310">
        <v>2.1147740060254099E-2</v>
      </c>
      <c r="G927" s="311">
        <v>5.4386608108647455E-2</v>
      </c>
      <c r="H927" s="311">
        <v>2.4706920006275999</v>
      </c>
      <c r="I927" s="311">
        <v>0.64268311339974282</v>
      </c>
      <c r="J927" s="311">
        <v>2.8613954717657999E-2</v>
      </c>
      <c r="K927" s="311">
        <v>2.2144698859378708E-4</v>
      </c>
      <c r="L927" s="518">
        <v>2.9907750777446899E-2</v>
      </c>
      <c r="M927" s="519">
        <v>2.3145983876154044E-4</v>
      </c>
    </row>
    <row r="928" spans="2:13" ht="15.75" x14ac:dyDescent="0.25">
      <c r="B928" s="277">
        <v>2050</v>
      </c>
      <c r="C928" s="520">
        <v>2029</v>
      </c>
      <c r="D928" s="250" t="s">
        <v>4471</v>
      </c>
      <c r="E928" s="517">
        <v>0.12358650336811736</v>
      </c>
      <c r="F928" s="310">
        <v>2.1147740060254099E-2</v>
      </c>
      <c r="G928" s="311">
        <v>5.4386608108647511E-2</v>
      </c>
      <c r="H928" s="311">
        <v>2.4706920006275999</v>
      </c>
      <c r="I928" s="311">
        <v>0.64268311339974216</v>
      </c>
      <c r="J928" s="311">
        <v>2.8613954717657999E-2</v>
      </c>
      <c r="K928" s="311">
        <v>2.2144698859378732E-4</v>
      </c>
      <c r="L928" s="518">
        <v>2.9907750777446899E-2</v>
      </c>
      <c r="M928" s="519">
        <v>2.3145983876154069E-4</v>
      </c>
    </row>
    <row r="929" spans="2:13" ht="15.75" x14ac:dyDescent="0.25">
      <c r="B929" s="277">
        <v>2050</v>
      </c>
      <c r="C929" s="520">
        <v>2030</v>
      </c>
      <c r="D929" s="250" t="s">
        <v>4472</v>
      </c>
      <c r="E929" s="517">
        <v>0.12358650336811743</v>
      </c>
      <c r="F929" s="310">
        <v>2.1147740060254099E-2</v>
      </c>
      <c r="G929" s="311">
        <v>5.4386608108647407E-2</v>
      </c>
      <c r="H929" s="311">
        <v>2.4706920006275999</v>
      </c>
      <c r="I929" s="311">
        <v>0.64268311339974371</v>
      </c>
      <c r="J929" s="311">
        <v>2.8613954717657999E-2</v>
      </c>
      <c r="K929" s="311">
        <v>2.2144698859378741E-4</v>
      </c>
      <c r="L929" s="518">
        <v>2.9907750777446899E-2</v>
      </c>
      <c r="M929" s="519">
        <v>2.3145983876154079E-4</v>
      </c>
    </row>
    <row r="930" spans="2:13" ht="15.75" x14ac:dyDescent="0.25">
      <c r="B930" s="277">
        <v>2050</v>
      </c>
      <c r="C930" s="520">
        <v>2031</v>
      </c>
      <c r="D930" s="250" t="s">
        <v>4473</v>
      </c>
      <c r="E930" s="517">
        <v>0.12358650336811737</v>
      </c>
      <c r="F930" s="310">
        <v>2.1147740060254099E-2</v>
      </c>
      <c r="G930" s="311">
        <v>5.4386608108647545E-2</v>
      </c>
      <c r="H930" s="311">
        <v>2.4706920006275999</v>
      </c>
      <c r="I930" s="311">
        <v>0.64268311339974382</v>
      </c>
      <c r="J930" s="311">
        <v>2.8613954717657999E-2</v>
      </c>
      <c r="K930" s="311">
        <v>2.2144698859378746E-4</v>
      </c>
      <c r="L930" s="518">
        <v>2.9907750777446899E-2</v>
      </c>
      <c r="M930" s="519">
        <v>2.3145983876154085E-4</v>
      </c>
    </row>
    <row r="931" spans="2:13" ht="15.75" x14ac:dyDescent="0.25">
      <c r="B931" s="277">
        <v>2050</v>
      </c>
      <c r="C931" s="520">
        <v>2032</v>
      </c>
      <c r="D931" s="250" t="s">
        <v>4474</v>
      </c>
      <c r="E931" s="517">
        <v>0.12358650336811712</v>
      </c>
      <c r="F931" s="310">
        <v>2.1147740060254099E-2</v>
      </c>
      <c r="G931" s="311">
        <v>5.4386608108647476E-2</v>
      </c>
      <c r="H931" s="311">
        <v>2.4706920006275999</v>
      </c>
      <c r="I931" s="311">
        <v>0.64268311339974293</v>
      </c>
      <c r="J931" s="311">
        <v>2.8613954717657999E-2</v>
      </c>
      <c r="K931" s="311">
        <v>2.2144698859378713E-4</v>
      </c>
      <c r="L931" s="518">
        <v>2.9907750777446899E-2</v>
      </c>
      <c r="M931" s="519">
        <v>2.3145983876154052E-4</v>
      </c>
    </row>
    <row r="932" spans="2:13" ht="15.75" x14ac:dyDescent="0.25">
      <c r="B932" s="277">
        <v>2050</v>
      </c>
      <c r="C932" s="520">
        <v>2033</v>
      </c>
      <c r="D932" s="250" t="s">
        <v>4475</v>
      </c>
      <c r="E932" s="517">
        <v>0.1235865033681173</v>
      </c>
      <c r="F932" s="310">
        <v>2.1147740060254099E-2</v>
      </c>
      <c r="G932" s="311">
        <v>5.438660810864749E-2</v>
      </c>
      <c r="H932" s="311">
        <v>2.4706920006275999</v>
      </c>
      <c r="I932" s="311">
        <v>0.64268311339974316</v>
      </c>
      <c r="J932" s="311">
        <v>2.8613954717657999E-2</v>
      </c>
      <c r="K932" s="311">
        <v>2.2144698859378722E-4</v>
      </c>
      <c r="L932" s="518">
        <v>2.9907750777446899E-2</v>
      </c>
      <c r="M932" s="519">
        <v>2.3145983876154058E-4</v>
      </c>
    </row>
    <row r="933" spans="2:13" ht="15.75" x14ac:dyDescent="0.25">
      <c r="B933" s="277">
        <v>2050</v>
      </c>
      <c r="C933" s="520">
        <v>2034</v>
      </c>
      <c r="D933" s="250" t="s">
        <v>4476</v>
      </c>
      <c r="E933" s="517">
        <v>0.12358650336811737</v>
      </c>
      <c r="F933" s="310">
        <v>2.1145930444306901E-2</v>
      </c>
      <c r="G933" s="311">
        <v>5.4386608108647254E-2</v>
      </c>
      <c r="H933" s="311">
        <v>2.4703990520566701</v>
      </c>
      <c r="I933" s="311">
        <v>0.64268311339973905</v>
      </c>
      <c r="J933" s="311">
        <v>2.86095394058965E-2</v>
      </c>
      <c r="K933" s="311">
        <v>2.2144698859378627E-4</v>
      </c>
      <c r="L933" s="518">
        <v>2.99031358248803E-2</v>
      </c>
      <c r="M933" s="519">
        <v>2.314598387615396E-4</v>
      </c>
    </row>
    <row r="934" spans="2:13" ht="15.75" x14ac:dyDescent="0.25">
      <c r="B934" s="277">
        <v>2050</v>
      </c>
      <c r="C934" s="520">
        <v>2035</v>
      </c>
      <c r="D934" s="250" t="s">
        <v>4477</v>
      </c>
      <c r="E934" s="517">
        <v>0.12358650336811706</v>
      </c>
      <c r="F934" s="310">
        <v>2.0885642936921699E-2</v>
      </c>
      <c r="G934" s="311">
        <v>5.4386608108647025E-2</v>
      </c>
      <c r="H934" s="311">
        <v>2.4282625681058398</v>
      </c>
      <c r="I934" s="311">
        <v>0.64268311339973772</v>
      </c>
      <c r="J934" s="311">
        <v>2.7974459628619101E-2</v>
      </c>
      <c r="K934" s="311">
        <v>2.2144698859378532E-4</v>
      </c>
      <c r="L934" s="518">
        <v>2.9239340558199101E-2</v>
      </c>
      <c r="M934" s="519">
        <v>2.3145983876153863E-4</v>
      </c>
    </row>
    <row r="935" spans="2:13" ht="15.75" x14ac:dyDescent="0.25">
      <c r="B935" s="277">
        <v>2050</v>
      </c>
      <c r="C935" s="520">
        <v>2036</v>
      </c>
      <c r="D935" s="250" t="s">
        <v>4478</v>
      </c>
      <c r="E935" s="517">
        <v>0.12247987511794248</v>
      </c>
      <c r="F935" s="310">
        <v>2.0596434595382601E-2</v>
      </c>
      <c r="G935" s="311">
        <v>4.8947947297782679E-2</v>
      </c>
      <c r="H935" s="311">
        <v>2.3814442526049202</v>
      </c>
      <c r="I935" s="311">
        <v>0.57841480205976692</v>
      </c>
      <c r="J935" s="311">
        <v>2.7268815431644201E-2</v>
      </c>
      <c r="K935" s="311">
        <v>1.9930228973440826E-4</v>
      </c>
      <c r="L935" s="518">
        <v>2.85017902618868E-2</v>
      </c>
      <c r="M935" s="519">
        <v>2.0831385488538629E-4</v>
      </c>
    </row>
    <row r="936" spans="2:13" ht="15.75" x14ac:dyDescent="0.25">
      <c r="B936" s="277">
        <v>2050</v>
      </c>
      <c r="C936" s="520">
        <v>2037</v>
      </c>
      <c r="D936" s="250" t="s">
        <v>4479</v>
      </c>
      <c r="E936" s="517">
        <v>0.12148390969278645</v>
      </c>
      <c r="F936" s="310">
        <v>2.02750919936725E-2</v>
      </c>
      <c r="G936" s="311">
        <v>4.4053152568004475E-2</v>
      </c>
      <c r="H936" s="311">
        <v>2.3294239020483398</v>
      </c>
      <c r="I936" s="311">
        <v>0.5205733218537909</v>
      </c>
      <c r="J936" s="311">
        <v>2.64847663238943E-2</v>
      </c>
      <c r="K936" s="311">
        <v>1.7937206076096767E-4</v>
      </c>
      <c r="L936" s="518">
        <v>2.76822899326509E-2</v>
      </c>
      <c r="M936" s="519">
        <v>1.8748246939684791E-4</v>
      </c>
    </row>
    <row r="937" spans="2:13" ht="15.75" x14ac:dyDescent="0.25">
      <c r="B937" s="277">
        <v>2050</v>
      </c>
      <c r="C937" s="520">
        <v>2038</v>
      </c>
      <c r="D937" s="250" t="s">
        <v>4480</v>
      </c>
      <c r="E937" s="517">
        <v>0.12058754081014586</v>
      </c>
      <c r="F937" s="310">
        <v>1.9918044658439001E-2</v>
      </c>
      <c r="G937" s="311">
        <v>3.9647837311204095E-2</v>
      </c>
      <c r="H937" s="311">
        <v>2.2716235125410198</v>
      </c>
      <c r="I937" s="311">
        <v>0.46851598966841274</v>
      </c>
      <c r="J937" s="311">
        <v>2.5613600648616699E-2</v>
      </c>
      <c r="K937" s="311">
        <v>1.614348546848712E-4</v>
      </c>
      <c r="L937" s="518">
        <v>2.6771734011277599E-2</v>
      </c>
      <c r="M937" s="519">
        <v>1.6873422245716342E-4</v>
      </c>
    </row>
    <row r="938" spans="2:13" ht="15.75" x14ac:dyDescent="0.25">
      <c r="B938" s="277">
        <v>2050</v>
      </c>
      <c r="C938" s="520">
        <v>2039</v>
      </c>
      <c r="D938" s="250" t="s">
        <v>4481</v>
      </c>
      <c r="E938" s="517">
        <v>0.11978080881576868</v>
      </c>
      <c r="F938" s="310">
        <v>1.9521325397068499E-2</v>
      </c>
      <c r="G938" s="311">
        <v>3.5683053580083501E-2</v>
      </c>
      <c r="H938" s="311">
        <v>2.2074008575329001</v>
      </c>
      <c r="I938" s="311">
        <v>0.4216643907015693</v>
      </c>
      <c r="J938" s="311">
        <v>2.46456387871971E-2</v>
      </c>
      <c r="K938" s="311">
        <v>1.4529136921638333E-4</v>
      </c>
      <c r="L938" s="518">
        <v>2.5760005209751798E-2</v>
      </c>
      <c r="M938" s="519">
        <v>1.5186080021144631E-4</v>
      </c>
    </row>
    <row r="939" spans="2:13" ht="15.75" x14ac:dyDescent="0.25">
      <c r="B939" s="277">
        <v>2050</v>
      </c>
      <c r="C939" s="520">
        <v>2040</v>
      </c>
      <c r="D939" s="250" t="s">
        <v>4482</v>
      </c>
      <c r="E939" s="517">
        <v>0.11905475002082948</v>
      </c>
      <c r="F939" s="310">
        <v>1.9080526217767901E-2</v>
      </c>
      <c r="G939" s="311">
        <v>3.2114748222075329E-2</v>
      </c>
      <c r="H939" s="311">
        <v>2.1360423519683098</v>
      </c>
      <c r="I939" s="311">
        <v>0.3794979516314152</v>
      </c>
      <c r="J939" s="311">
        <v>2.3570125607842E-2</v>
      </c>
      <c r="K939" s="311">
        <v>1.307622322947457E-4</v>
      </c>
      <c r="L939" s="518">
        <v>2.46358620969453E-2</v>
      </c>
      <c r="M939" s="519">
        <v>1.366747201903024E-4</v>
      </c>
    </row>
    <row r="940" spans="2:13" ht="15.75" x14ac:dyDescent="0.25">
      <c r="B940" s="277">
        <v>2050</v>
      </c>
      <c r="C940" s="520">
        <v>2041</v>
      </c>
      <c r="D940" s="250" t="s">
        <v>4483</v>
      </c>
      <c r="E940" s="517">
        <v>0.11840129710538419</v>
      </c>
      <c r="F940" s="310">
        <v>1.8590749351878402E-2</v>
      </c>
      <c r="G940" s="311">
        <v>2.8903273399867781E-2</v>
      </c>
      <c r="H940" s="311">
        <v>2.0567551235632102</v>
      </c>
      <c r="I940" s="311">
        <v>0.3415481564682728</v>
      </c>
      <c r="J940" s="311">
        <v>2.2375110964114101E-2</v>
      </c>
      <c r="K940" s="311">
        <v>1.1768600906527106E-4</v>
      </c>
      <c r="L940" s="518">
        <v>2.3386814193826998E-2</v>
      </c>
      <c r="M940" s="519">
        <v>1.2300724817127209E-4</v>
      </c>
    </row>
    <row r="941" spans="2:13" ht="15.75" x14ac:dyDescent="0.25">
      <c r="B941" s="277">
        <v>2050</v>
      </c>
      <c r="C941" s="520">
        <v>2042</v>
      </c>
      <c r="D941" s="250" t="s">
        <v>4484</v>
      </c>
      <c r="E941" s="517">
        <v>0.11781318948148364</v>
      </c>
      <c r="F941" s="310">
        <v>1.8046552834223399E-2</v>
      </c>
      <c r="G941" s="311">
        <v>2.6012946059880901E-2</v>
      </c>
      <c r="H941" s="311">
        <v>1.9686582031131099</v>
      </c>
      <c r="I941" s="311">
        <v>0.30739334082144426</v>
      </c>
      <c r="J941" s="311">
        <v>2.1047316915527602E-2</v>
      </c>
      <c r="K941" s="311">
        <v>1.0591740815874355E-4</v>
      </c>
      <c r="L941" s="518">
        <v>2.1998983190362101E-2</v>
      </c>
      <c r="M941" s="519">
        <v>1.1070652335414447E-4</v>
      </c>
    </row>
    <row r="942" spans="2:13" ht="15.75" x14ac:dyDescent="0.25">
      <c r="B942" s="277">
        <v>2050</v>
      </c>
      <c r="C942" s="520">
        <v>2043</v>
      </c>
      <c r="D942" s="250" t="s">
        <v>4485</v>
      </c>
      <c r="E942" s="517">
        <v>0.11781318948148382</v>
      </c>
      <c r="F942" s="310">
        <v>1.7441890036828899E-2</v>
      </c>
      <c r="G942" s="311">
        <v>2.6012946059880977E-2</v>
      </c>
      <c r="H942" s="311">
        <v>1.87077273594632</v>
      </c>
      <c r="I942" s="311">
        <v>0.3073933408214452</v>
      </c>
      <c r="J942" s="311">
        <v>1.95719901948758E-2</v>
      </c>
      <c r="K942" s="311">
        <v>1.0591740815874386E-4</v>
      </c>
      <c r="L942" s="518">
        <v>2.0456948742067899E-2</v>
      </c>
      <c r="M942" s="519">
        <v>1.1070652335414479E-4</v>
      </c>
    </row>
    <row r="943" spans="2:13" ht="15.75" x14ac:dyDescent="0.25">
      <c r="B943" s="277">
        <v>2050</v>
      </c>
      <c r="C943" s="520">
        <v>2044</v>
      </c>
      <c r="D943" s="250" t="s">
        <v>4486</v>
      </c>
      <c r="E943" s="517">
        <v>0.11781318948148374</v>
      </c>
      <c r="F943" s="310">
        <v>1.6837227239434399E-2</v>
      </c>
      <c r="G943" s="311">
        <v>2.6012946059880977E-2</v>
      </c>
      <c r="H943" s="311">
        <v>1.7728872687795401</v>
      </c>
      <c r="I943" s="311">
        <v>0.3073933408214452</v>
      </c>
      <c r="J943" s="311">
        <v>1.80966634742241E-2</v>
      </c>
      <c r="K943" s="311">
        <v>1.0591740815874386E-4</v>
      </c>
      <c r="L943" s="518">
        <v>1.8914914293773701E-2</v>
      </c>
      <c r="M943" s="519">
        <v>1.1070652335414479E-4</v>
      </c>
    </row>
    <row r="944" spans="2:13" ht="15.75" x14ac:dyDescent="0.25">
      <c r="B944" s="277">
        <v>2050</v>
      </c>
      <c r="C944" s="520">
        <v>2045</v>
      </c>
      <c r="D944" s="250" t="s">
        <v>4487</v>
      </c>
      <c r="E944" s="517">
        <v>0.11781318948148355</v>
      </c>
      <c r="F944" s="310">
        <v>1.6232564442039899E-2</v>
      </c>
      <c r="G944" s="311">
        <v>2.6012946059880984E-2</v>
      </c>
      <c r="H944" s="311">
        <v>1.6750018016127599</v>
      </c>
      <c r="I944" s="311">
        <v>0.30739334082144532</v>
      </c>
      <c r="J944" s="311">
        <v>1.6621336753572399E-2</v>
      </c>
      <c r="K944" s="311">
        <v>1.0591740815874389E-4</v>
      </c>
      <c r="L944" s="518">
        <v>1.73728798454795E-2</v>
      </c>
      <c r="M944" s="519">
        <v>1.1070652335414482E-4</v>
      </c>
    </row>
    <row r="945" spans="2:13" ht="15.75" x14ac:dyDescent="0.25">
      <c r="B945" s="277">
        <v>2050</v>
      </c>
      <c r="C945" s="520">
        <v>2046</v>
      </c>
      <c r="D945" s="250" t="s">
        <v>4488</v>
      </c>
      <c r="E945" s="517">
        <v>0.11781318948148331</v>
      </c>
      <c r="F945" s="310">
        <v>1.56279016446455E-2</v>
      </c>
      <c r="G945" s="311">
        <v>2.6012946059880953E-2</v>
      </c>
      <c r="H945" s="311">
        <v>1.57711633444597</v>
      </c>
      <c r="I945" s="311">
        <v>0.30739334082144493</v>
      </c>
      <c r="J945" s="311">
        <v>1.5146010032920701E-2</v>
      </c>
      <c r="K945" s="311">
        <v>1.0591740815874376E-4</v>
      </c>
      <c r="L945" s="518">
        <v>1.5830845397185201E-2</v>
      </c>
      <c r="M945" s="519">
        <v>1.1070652335414468E-4</v>
      </c>
    </row>
    <row r="946" spans="2:13" ht="15.75" x14ac:dyDescent="0.25">
      <c r="B946" s="277">
        <v>2050</v>
      </c>
      <c r="C946" s="520">
        <v>2047</v>
      </c>
      <c r="D946" s="250" t="s">
        <v>4489</v>
      </c>
      <c r="E946" s="517">
        <v>0.11781318948148353</v>
      </c>
      <c r="F946" s="310">
        <v>1.5023238847251E-2</v>
      </c>
      <c r="G946" s="311">
        <v>2.6012946059880943E-2</v>
      </c>
      <c r="H946" s="311">
        <v>1.4792308672791901</v>
      </c>
      <c r="I946" s="311">
        <v>0.30739334082144482</v>
      </c>
      <c r="J946" s="311">
        <v>1.3670683312268899E-2</v>
      </c>
      <c r="K946" s="311">
        <v>1.0591740815874372E-4</v>
      </c>
      <c r="L946" s="518">
        <v>1.4288810948891E-2</v>
      </c>
      <c r="M946" s="519">
        <v>1.1070652335414464E-4</v>
      </c>
    </row>
    <row r="947" spans="2:13" ht="15.75" x14ac:dyDescent="0.25">
      <c r="B947" s="277">
        <v>2050</v>
      </c>
      <c r="C947" s="520">
        <v>2048</v>
      </c>
      <c r="D947" s="250" t="s">
        <v>4490</v>
      </c>
      <c r="E947" s="517">
        <v>0.11781318948148344</v>
      </c>
      <c r="F947" s="310">
        <v>1.44185760498565E-2</v>
      </c>
      <c r="G947" s="311">
        <v>2.6012946059880956E-2</v>
      </c>
      <c r="H947" s="311">
        <v>1.3813454001123999</v>
      </c>
      <c r="I947" s="311">
        <v>0.30739334082144498</v>
      </c>
      <c r="J947" s="311">
        <v>1.2195356591617201E-2</v>
      </c>
      <c r="K947" s="311">
        <v>1.0591740815874378E-4</v>
      </c>
      <c r="L947" s="518">
        <v>1.27467765005968E-2</v>
      </c>
      <c r="M947" s="519">
        <v>1.107065233541447E-4</v>
      </c>
    </row>
    <row r="948" spans="2:13" ht="15.75" x14ac:dyDescent="0.25">
      <c r="B948" s="277">
        <v>2050</v>
      </c>
      <c r="C948" s="520">
        <v>2049</v>
      </c>
      <c r="D948" s="250" t="s">
        <v>4491</v>
      </c>
      <c r="E948" s="517">
        <v>0.11781318948148363</v>
      </c>
      <c r="F948" s="310">
        <v>1.3813913252462E-2</v>
      </c>
      <c r="G948" s="311">
        <v>2.6012946059880925E-2</v>
      </c>
      <c r="H948" s="311">
        <v>1.28345993294562</v>
      </c>
      <c r="I948" s="311">
        <v>0.30739334082144454</v>
      </c>
      <c r="J948" s="311">
        <v>1.07200298709655E-2</v>
      </c>
      <c r="K948" s="311">
        <v>1.0591740815874366E-4</v>
      </c>
      <c r="L948" s="518">
        <v>1.1204742052302499E-2</v>
      </c>
      <c r="M948" s="519">
        <v>1.1070652335414456E-4</v>
      </c>
    </row>
    <row r="949" spans="2:13" ht="15.75" x14ac:dyDescent="0.25">
      <c r="B949" s="277">
        <v>2050</v>
      </c>
      <c r="C949" s="520">
        <v>2050</v>
      </c>
      <c r="D949" s="250" t="s">
        <v>4492</v>
      </c>
      <c r="E949" s="517">
        <v>0.1178131894814833</v>
      </c>
      <c r="F949" s="310">
        <v>1.32092504550676E-2</v>
      </c>
      <c r="G949" s="311">
        <v>2.6012946059880932E-2</v>
      </c>
      <c r="H949" s="311">
        <v>1.1855744657788301</v>
      </c>
      <c r="I949" s="311">
        <v>0.30739334082144537</v>
      </c>
      <c r="J949" s="311">
        <v>9.2447031503138204E-3</v>
      </c>
      <c r="K949" s="311">
        <v>1.0591740815874391E-4</v>
      </c>
      <c r="L949" s="518">
        <v>9.6627076040083498E-3</v>
      </c>
      <c r="M949" s="519">
        <v>1.1070652335414486E-4</v>
      </c>
    </row>
    <row r="950" spans="2:13" ht="16.5" thickBot="1" x14ac:dyDescent="0.3">
      <c r="B950" s="215">
        <v>2050</v>
      </c>
      <c r="C950" s="235">
        <v>2051</v>
      </c>
      <c r="D950" s="291" t="s">
        <v>4524</v>
      </c>
      <c r="E950" s="521">
        <v>0.17055998459067098</v>
      </c>
      <c r="F950" s="312">
        <v>1.26045876576731E-2</v>
      </c>
      <c r="G950" s="522">
        <v>6.2431070543714141E-2</v>
      </c>
      <c r="H950" s="522">
        <v>1.0876889986120499</v>
      </c>
      <c r="I950" s="522">
        <v>0.73774401797146771</v>
      </c>
      <c r="J950" s="522">
        <v>7.7693764296620999E-3</v>
      </c>
      <c r="K950" s="522">
        <v>2.5420177958098447E-4</v>
      </c>
      <c r="L950" s="523">
        <v>8.1206731557141205E-3</v>
      </c>
      <c r="M950" s="524">
        <v>2.6569565604994661E-4</v>
      </c>
    </row>
  </sheetData>
  <sheetProtection algorithmName="SHA-512" hashValue="qlWwkLynhInT6SS/12ZZ8li5AHBsX1KIWDsjiqvejUHZR/YeiWJOF2N+pH8S6WwvTOiyCF+70EcHWUYv3cMh7w==" saltValue="dKjQOfaDVPgN3YsOKxnblg==" spinCount="100000" sheet="1" objects="1" scenarios="1"/>
  <hyperlinks>
    <hyperlink ref="B22" r:id="rId1" tooltip="Link to EMFAC 2017"/>
  </hyperlinks>
  <pageMargins left="0.7" right="0.7" top="0.98479166666666662" bottom="0.75" header="0.3" footer="0.3"/>
  <pageSetup scale="65" fitToHeight="0" orientation="portrait" r:id="rId2"/>
  <headerFooter>
    <oddFooter>&amp;L&amp;"Avenir LT Std 55 Roman,Regular"&amp;12&amp;K000000FINAL November 1, 2019&amp;C&amp;"Avenir LT Std 55 Roman,Regular"&amp;12Page &amp;P of &amp;N&amp;R&amp;"Avenir LT Std 55 Roman,Regular"&amp;12&amp;K000000&amp;A</oddFoot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79998168889431442"/>
  </sheetPr>
  <dimension ref="B1:U187"/>
  <sheetViews>
    <sheetView showGridLines="0" zoomScaleNormal="100" workbookViewId="0">
      <selection activeCell="E23" sqref="E23"/>
    </sheetView>
  </sheetViews>
  <sheetFormatPr defaultColWidth="9.140625" defaultRowHeight="15" customHeight="1" x14ac:dyDescent="0.25"/>
  <cols>
    <col min="1" max="1" width="2.85546875" style="705" customWidth="1"/>
    <col min="2" max="2" width="8.42578125" style="705" customWidth="1"/>
    <col min="3" max="3" width="35.7109375" style="705" customWidth="1"/>
    <col min="4" max="4" width="12.7109375" style="705" customWidth="1"/>
    <col min="5" max="5" width="59.140625" style="705" customWidth="1"/>
    <col min="6" max="6" width="10.5703125" style="705" customWidth="1"/>
    <col min="7" max="16384" width="9.140625" style="705"/>
  </cols>
  <sheetData>
    <row r="1" spans="2:5" ht="20.100000000000001" customHeight="1" x14ac:dyDescent="0.25">
      <c r="B1" s="626"/>
      <c r="C1" s="626"/>
      <c r="D1" s="626"/>
      <c r="E1" s="626"/>
    </row>
    <row r="3" spans="2:5" ht="20.100000000000001" customHeight="1" x14ac:dyDescent="0.25">
      <c r="B3" s="626"/>
      <c r="C3" s="626"/>
      <c r="D3" s="626"/>
      <c r="E3" s="626"/>
    </row>
    <row r="4" spans="2:5" ht="20.100000000000001" customHeight="1" x14ac:dyDescent="0.25">
      <c r="B4" s="628"/>
      <c r="C4" s="628"/>
      <c r="D4" s="628"/>
      <c r="E4" s="628"/>
    </row>
    <row r="6" spans="2:5" ht="20.100000000000001" customHeight="1" x14ac:dyDescent="0.25">
      <c r="B6" s="626"/>
      <c r="C6" s="626"/>
      <c r="D6" s="626"/>
      <c r="E6" s="626"/>
    </row>
    <row r="8" spans="2:5" ht="15.75" x14ac:dyDescent="0.25">
      <c r="B8" s="626" t="s">
        <v>4825</v>
      </c>
      <c r="C8" s="626"/>
    </row>
    <row r="9" spans="2:5" ht="15.75" x14ac:dyDescent="0.25">
      <c r="B9" s="626"/>
      <c r="C9" s="626"/>
    </row>
    <row r="10" spans="2:5" ht="15.75" x14ac:dyDescent="0.25">
      <c r="B10" s="626"/>
      <c r="C10" s="626"/>
    </row>
    <row r="11" spans="2:5" ht="15" customHeight="1" x14ac:dyDescent="0.25">
      <c r="B11" s="709"/>
      <c r="C11" s="709"/>
      <c r="D11" s="62"/>
      <c r="E11" s="62"/>
    </row>
    <row r="12" spans="2:5" ht="15" customHeight="1" x14ac:dyDescent="0.25">
      <c r="B12" s="710" t="s">
        <v>4586</v>
      </c>
      <c r="C12" s="710"/>
      <c r="D12" s="62"/>
      <c r="E12" s="62"/>
    </row>
    <row r="13" spans="2:5" ht="15" customHeight="1" x14ac:dyDescent="0.25">
      <c r="B13" s="1104" t="s">
        <v>4823</v>
      </c>
      <c r="C13" s="1104"/>
      <c r="D13" s="1104"/>
      <c r="E13" s="1104"/>
    </row>
    <row r="14" spans="2:5" ht="8.25" customHeight="1" x14ac:dyDescent="0.25">
      <c r="B14" s="711"/>
      <c r="C14" s="711"/>
      <c r="D14" s="711"/>
      <c r="E14" s="711"/>
    </row>
    <row r="15" spans="2:5" ht="15" customHeight="1" x14ac:dyDescent="0.25">
      <c r="B15" s="429"/>
      <c r="C15" s="710" t="s">
        <v>4827</v>
      </c>
      <c r="D15" s="712"/>
      <c r="E15" s="713"/>
    </row>
    <row r="16" spans="2:5" ht="15" customHeight="1" x14ac:dyDescent="0.25">
      <c r="B16" s="429"/>
      <c r="C16" s="448" t="s">
        <v>4584</v>
      </c>
      <c r="D16" s="712"/>
      <c r="E16" s="448"/>
    </row>
    <row r="17" spans="2:5" ht="15.75" x14ac:dyDescent="0.25">
      <c r="B17" s="429"/>
      <c r="C17" s="707" t="s">
        <v>4585</v>
      </c>
      <c r="D17" s="712"/>
      <c r="E17" s="448"/>
    </row>
    <row r="18" spans="2:5" ht="6" customHeight="1" x14ac:dyDescent="0.25">
      <c r="B18" s="429"/>
      <c r="C18" s="707"/>
      <c r="D18" s="712"/>
      <c r="E18" s="448"/>
    </row>
    <row r="19" spans="2:5" ht="15.75" customHeight="1" x14ac:dyDescent="0.25">
      <c r="B19" s="1104" t="s">
        <v>4824</v>
      </c>
      <c r="C19" s="1104"/>
      <c r="D19" s="1104"/>
      <c r="E19" s="1104"/>
    </row>
    <row r="20" spans="2:5" ht="8.25" customHeight="1" x14ac:dyDescent="0.25">
      <c r="B20" s="711"/>
      <c r="C20" s="711"/>
      <c r="D20" s="711"/>
      <c r="E20" s="711"/>
    </row>
    <row r="21" spans="2:5" ht="15.75" customHeight="1" x14ac:dyDescent="0.25">
      <c r="B21" s="1104" t="s">
        <v>4822</v>
      </c>
      <c r="C21" s="1105"/>
      <c r="D21" s="1104"/>
      <c r="E21" s="1104"/>
    </row>
    <row r="22" spans="2:5" ht="8.25" customHeight="1" thickBot="1" x14ac:dyDescent="0.3">
      <c r="B22" s="709"/>
      <c r="C22" s="709"/>
      <c r="D22" s="62"/>
      <c r="E22" s="62"/>
    </row>
    <row r="23" spans="2:5" ht="18.75" customHeight="1" x14ac:dyDescent="0.25">
      <c r="B23" s="1093" t="s">
        <v>143</v>
      </c>
      <c r="C23" s="1094"/>
      <c r="D23" s="848"/>
      <c r="E23" s="1097"/>
    </row>
    <row r="24" spans="2:5" ht="18.75" customHeight="1" x14ac:dyDescent="0.25">
      <c r="B24" s="852" t="s">
        <v>4841</v>
      </c>
      <c r="C24" s="853"/>
      <c r="D24" s="847"/>
      <c r="E24" s="1098"/>
    </row>
    <row r="25" spans="2:5" ht="18.75" customHeight="1" x14ac:dyDescent="0.25">
      <c r="B25" s="852" t="s">
        <v>58</v>
      </c>
      <c r="C25" s="853"/>
      <c r="D25" s="847"/>
      <c r="E25" s="1099"/>
    </row>
    <row r="26" spans="2:5" ht="18.75" customHeight="1" x14ac:dyDescent="0.25">
      <c r="B26" s="852" t="s">
        <v>26</v>
      </c>
      <c r="C26" s="853"/>
      <c r="D26" s="847"/>
      <c r="E26" s="1099"/>
    </row>
    <row r="27" spans="2:5" ht="18.75" customHeight="1" x14ac:dyDescent="0.25">
      <c r="B27" s="852" t="s">
        <v>144</v>
      </c>
      <c r="C27" s="853"/>
      <c r="D27" s="847"/>
      <c r="E27" s="1100"/>
    </row>
    <row r="28" spans="2:5" ht="18.75" customHeight="1" x14ac:dyDescent="0.25">
      <c r="B28" s="852" t="s">
        <v>145</v>
      </c>
      <c r="C28" s="853"/>
      <c r="D28" s="847"/>
      <c r="E28" s="1100"/>
    </row>
    <row r="29" spans="2:5" ht="18.75" customHeight="1" x14ac:dyDescent="0.25">
      <c r="B29" s="852" t="s">
        <v>146</v>
      </c>
      <c r="C29" s="853"/>
      <c r="D29" s="847"/>
      <c r="E29" s="1101"/>
    </row>
    <row r="30" spans="2:5" ht="18.75" customHeight="1" x14ac:dyDescent="0.25">
      <c r="B30" s="852" t="s">
        <v>147</v>
      </c>
      <c r="C30" s="853"/>
      <c r="D30" s="847"/>
      <c r="E30" s="1102"/>
    </row>
    <row r="31" spans="2:5" ht="18.75" customHeight="1" x14ac:dyDescent="0.25">
      <c r="B31" s="852" t="s">
        <v>4861</v>
      </c>
      <c r="C31" s="853"/>
      <c r="D31" s="847"/>
      <c r="E31" s="1110"/>
    </row>
    <row r="32" spans="2:5" ht="18.75" customHeight="1" x14ac:dyDescent="0.25">
      <c r="B32" s="852" t="s">
        <v>4843</v>
      </c>
      <c r="C32" s="853"/>
      <c r="D32" s="847"/>
      <c r="E32" s="1095"/>
    </row>
    <row r="33" spans="2:21" ht="18.75" customHeight="1" x14ac:dyDescent="0.25">
      <c r="B33" s="852" t="s">
        <v>4844</v>
      </c>
      <c r="C33" s="853"/>
      <c r="D33" s="847"/>
      <c r="E33" s="1103"/>
    </row>
    <row r="34" spans="2:21" ht="18.75" customHeight="1" thickBot="1" x14ac:dyDescent="0.3">
      <c r="B34" s="849" t="s">
        <v>4808</v>
      </c>
      <c r="C34" s="850"/>
      <c r="D34" s="851"/>
      <c r="E34" s="1096" t="str">
        <f>IF(AHSCFunds+OtherGGRFFunds=0,"",AHSCFunds+OtherGGRFFunds)</f>
        <v/>
      </c>
    </row>
    <row r="35" spans="2:21" ht="15" customHeight="1" x14ac:dyDescent="0.25">
      <c r="B35" s="62"/>
      <c r="C35" s="62"/>
      <c r="D35" s="62"/>
      <c r="E35" s="62"/>
    </row>
    <row r="36" spans="2:21" ht="15" customHeight="1" thickBot="1" x14ac:dyDescent="0.3">
      <c r="B36" s="628" t="s">
        <v>4538</v>
      </c>
      <c r="C36" s="628"/>
      <c r="D36" s="62"/>
      <c r="E36" s="62"/>
    </row>
    <row r="37" spans="2:21" ht="18.75" customHeight="1" x14ac:dyDescent="0.25">
      <c r="B37" s="714" t="s">
        <v>3</v>
      </c>
      <c r="C37" s="715" t="s">
        <v>6</v>
      </c>
      <c r="D37" s="62"/>
      <c r="E37" s="62"/>
    </row>
    <row r="38" spans="2:21" ht="18.75" customHeight="1" x14ac:dyDescent="0.25">
      <c r="B38" s="716" t="s">
        <v>131</v>
      </c>
      <c r="C38" s="717" t="s">
        <v>5</v>
      </c>
      <c r="D38" s="62"/>
      <c r="E38" s="62"/>
      <c r="F38" s="429"/>
      <c r="G38" s="429"/>
      <c r="H38" s="429"/>
      <c r="I38" s="429"/>
      <c r="J38" s="429"/>
      <c r="K38" s="429"/>
      <c r="L38" s="429"/>
      <c r="M38" s="429"/>
      <c r="N38" s="429"/>
      <c r="O38" s="429"/>
      <c r="P38" s="429"/>
      <c r="Q38" s="429"/>
      <c r="R38" s="429"/>
      <c r="S38" s="718"/>
      <c r="T38" s="718"/>
      <c r="U38" s="429"/>
    </row>
    <row r="39" spans="2:21" ht="18.75" customHeight="1" x14ac:dyDescent="0.25">
      <c r="B39" s="719" t="s">
        <v>4</v>
      </c>
      <c r="C39" s="717" t="s">
        <v>8</v>
      </c>
      <c r="D39" s="706"/>
      <c r="E39" s="706"/>
      <c r="F39" s="429"/>
    </row>
    <row r="40" spans="2:21" ht="18.75" customHeight="1" thickBot="1" x14ac:dyDescent="0.3">
      <c r="B40" s="720" t="s">
        <v>11</v>
      </c>
      <c r="C40" s="721" t="s">
        <v>10</v>
      </c>
      <c r="D40" s="706"/>
      <c r="E40" s="706"/>
      <c r="F40" s="429"/>
    </row>
    <row r="41" spans="2:21" ht="15" customHeight="1" x14ac:dyDescent="0.25">
      <c r="B41" s="429"/>
      <c r="C41" s="706"/>
      <c r="D41" s="706"/>
      <c r="E41" s="706"/>
      <c r="F41" s="429"/>
    </row>
    <row r="42" spans="2:21" ht="15" customHeight="1" x14ac:dyDescent="0.25">
      <c r="B42" s="706"/>
      <c r="C42" s="706"/>
      <c r="D42" s="706"/>
      <c r="E42" s="706"/>
      <c r="F42" s="429"/>
    </row>
    <row r="43" spans="2:21" ht="15" customHeight="1" x14ac:dyDescent="0.25">
      <c r="B43" s="706"/>
      <c r="C43" s="706"/>
      <c r="D43" s="706"/>
      <c r="E43" s="706"/>
      <c r="F43" s="429"/>
    </row>
    <row r="44" spans="2:21" ht="15" customHeight="1" x14ac:dyDescent="0.25">
      <c r="B44" s="706"/>
      <c r="C44" s="706"/>
      <c r="D44" s="706"/>
      <c r="E44" s="706"/>
      <c r="F44" s="429"/>
    </row>
    <row r="45" spans="2:21" ht="15" customHeight="1" x14ac:dyDescent="0.25">
      <c r="B45" s="706"/>
      <c r="C45" s="706"/>
      <c r="D45" s="706"/>
      <c r="E45" s="706"/>
      <c r="F45" s="429"/>
    </row>
    <row r="46" spans="2:21" ht="15" customHeight="1" x14ac:dyDescent="0.25">
      <c r="B46" s="706"/>
      <c r="C46" s="706"/>
      <c r="D46" s="706"/>
      <c r="E46" s="706"/>
      <c r="F46" s="429"/>
    </row>
    <row r="47" spans="2:21" ht="15" customHeight="1" x14ac:dyDescent="0.25">
      <c r="B47" s="706"/>
      <c r="C47" s="706"/>
      <c r="D47" s="706"/>
      <c r="E47" s="706"/>
      <c r="F47" s="429"/>
    </row>
    <row r="48" spans="2:21" ht="15" customHeight="1" x14ac:dyDescent="0.25">
      <c r="B48" s="706"/>
      <c r="C48" s="706"/>
      <c r="D48" s="706"/>
      <c r="E48" s="706"/>
      <c r="F48" s="429"/>
    </row>
    <row r="49" spans="2:6" ht="15" customHeight="1" x14ac:dyDescent="0.25">
      <c r="B49" s="706"/>
      <c r="C49" s="706"/>
      <c r="D49" s="706"/>
      <c r="E49" s="706"/>
      <c r="F49" s="429"/>
    </row>
    <row r="50" spans="2:6" ht="15" customHeight="1" x14ac:dyDescent="0.25">
      <c r="B50" s="706"/>
      <c r="C50" s="706"/>
      <c r="D50" s="706"/>
      <c r="E50" s="706"/>
      <c r="F50" s="429"/>
    </row>
    <row r="51" spans="2:6" ht="15" customHeight="1" x14ac:dyDescent="0.25">
      <c r="B51" s="706"/>
      <c r="C51" s="706"/>
      <c r="D51" s="706"/>
      <c r="E51" s="706"/>
      <c r="F51" s="429"/>
    </row>
    <row r="52" spans="2:6" ht="15" customHeight="1" x14ac:dyDescent="0.25">
      <c r="B52" s="706"/>
      <c r="C52" s="706"/>
      <c r="D52" s="706"/>
      <c r="E52" s="706"/>
      <c r="F52" s="429"/>
    </row>
    <row r="53" spans="2:6" ht="15" customHeight="1" x14ac:dyDescent="0.25">
      <c r="B53" s="706"/>
      <c r="C53" s="706"/>
      <c r="D53" s="706"/>
      <c r="E53" s="706"/>
      <c r="F53" s="429"/>
    </row>
    <row r="54" spans="2:6" ht="15" customHeight="1" x14ac:dyDescent="0.25">
      <c r="B54" s="706"/>
      <c r="C54" s="706"/>
      <c r="D54" s="706"/>
      <c r="E54" s="706"/>
      <c r="F54" s="429"/>
    </row>
    <row r="55" spans="2:6" ht="15" customHeight="1" x14ac:dyDescent="0.25">
      <c r="B55" s="706"/>
      <c r="C55" s="706"/>
      <c r="D55" s="706"/>
      <c r="E55" s="706"/>
      <c r="F55" s="429"/>
    </row>
    <row r="56" spans="2:6" ht="15" customHeight="1" x14ac:dyDescent="0.25">
      <c r="B56" s="706"/>
      <c r="C56" s="706"/>
      <c r="D56" s="706"/>
      <c r="E56" s="706"/>
      <c r="F56" s="429"/>
    </row>
    <row r="57" spans="2:6" ht="15" customHeight="1" x14ac:dyDescent="0.25">
      <c r="B57" s="706"/>
      <c r="C57" s="706"/>
      <c r="D57" s="706"/>
      <c r="E57" s="706"/>
      <c r="F57" s="429"/>
    </row>
    <row r="58" spans="2:6" ht="15" customHeight="1" x14ac:dyDescent="0.25">
      <c r="B58" s="706"/>
      <c r="C58" s="706"/>
      <c r="D58" s="706"/>
      <c r="E58" s="706"/>
      <c r="F58" s="429"/>
    </row>
    <row r="59" spans="2:6" ht="15" customHeight="1" x14ac:dyDescent="0.25">
      <c r="B59" s="706"/>
      <c r="C59" s="706"/>
      <c r="D59" s="706"/>
      <c r="E59" s="706"/>
      <c r="F59" s="429"/>
    </row>
    <row r="60" spans="2:6" ht="15" customHeight="1" x14ac:dyDescent="0.25">
      <c r="B60" s="706"/>
      <c r="C60" s="706"/>
      <c r="D60" s="706"/>
      <c r="E60" s="706"/>
      <c r="F60" s="429"/>
    </row>
    <row r="61" spans="2:6" ht="15" customHeight="1" x14ac:dyDescent="0.25">
      <c r="B61" s="706"/>
      <c r="C61" s="706"/>
      <c r="D61" s="706"/>
      <c r="E61" s="706"/>
      <c r="F61" s="429"/>
    </row>
    <row r="62" spans="2:6" ht="15" customHeight="1" x14ac:dyDescent="0.25">
      <c r="B62" s="706"/>
      <c r="C62" s="706"/>
      <c r="D62" s="706"/>
      <c r="E62" s="706"/>
      <c r="F62" s="429"/>
    </row>
    <row r="63" spans="2:6" ht="15" customHeight="1" x14ac:dyDescent="0.25">
      <c r="B63" s="706"/>
      <c r="C63" s="706"/>
      <c r="D63" s="706"/>
      <c r="E63" s="706"/>
      <c r="F63" s="429"/>
    </row>
    <row r="64" spans="2:6" ht="15" customHeight="1" x14ac:dyDescent="0.25">
      <c r="D64" s="706"/>
      <c r="E64" s="706"/>
      <c r="F64" s="429"/>
    </row>
    <row r="65" spans="2:6" ht="15" customHeight="1" x14ac:dyDescent="0.25">
      <c r="B65" s="722"/>
      <c r="C65" s="722"/>
      <c r="F65" s="429"/>
    </row>
    <row r="66" spans="2:6" ht="15" customHeight="1" x14ac:dyDescent="0.25">
      <c r="B66" s="723"/>
      <c r="C66" s="723"/>
      <c r="F66" s="429"/>
    </row>
    <row r="67" spans="2:6" ht="15" customHeight="1" x14ac:dyDescent="0.25">
      <c r="F67" s="429"/>
    </row>
    <row r="68" spans="2:6" ht="15" customHeight="1" x14ac:dyDescent="0.25">
      <c r="F68" s="429"/>
    </row>
    <row r="69" spans="2:6" ht="15" customHeight="1" x14ac:dyDescent="0.25">
      <c r="F69" s="429"/>
    </row>
    <row r="70" spans="2:6" ht="15" customHeight="1" x14ac:dyDescent="0.25">
      <c r="F70" s="429"/>
    </row>
    <row r="71" spans="2:6" ht="15" customHeight="1" x14ac:dyDescent="0.25">
      <c r="F71" s="429"/>
    </row>
    <row r="72" spans="2:6" ht="15" customHeight="1" x14ac:dyDescent="0.25">
      <c r="F72" s="429"/>
    </row>
    <row r="73" spans="2:6" ht="15" customHeight="1" x14ac:dyDescent="0.25">
      <c r="F73" s="429"/>
    </row>
    <row r="74" spans="2:6" ht="15" customHeight="1" x14ac:dyDescent="0.25">
      <c r="F74" s="429"/>
    </row>
    <row r="75" spans="2:6" ht="15" customHeight="1" x14ac:dyDescent="0.25">
      <c r="F75" s="429"/>
    </row>
    <row r="76" spans="2:6" ht="15" customHeight="1" x14ac:dyDescent="0.25">
      <c r="F76" s="429"/>
    </row>
    <row r="77" spans="2:6" ht="15" customHeight="1" x14ac:dyDescent="0.25">
      <c r="F77" s="429"/>
    </row>
    <row r="78" spans="2:6" ht="15" customHeight="1" x14ac:dyDescent="0.25">
      <c r="F78" s="429"/>
    </row>
    <row r="79" spans="2:6" ht="15" customHeight="1" x14ac:dyDescent="0.25">
      <c r="F79" s="429"/>
    </row>
    <row r="80" spans="2:6" ht="15" customHeight="1" x14ac:dyDescent="0.25">
      <c r="F80" s="429"/>
    </row>
    <row r="81" spans="6:6" ht="15" customHeight="1" x14ac:dyDescent="0.25">
      <c r="F81" s="429"/>
    </row>
    <row r="82" spans="6:6" ht="15" customHeight="1" x14ac:dyDescent="0.25">
      <c r="F82" s="429"/>
    </row>
    <row r="83" spans="6:6" ht="15" customHeight="1" x14ac:dyDescent="0.25">
      <c r="F83" s="429"/>
    </row>
    <row r="84" spans="6:6" ht="15" customHeight="1" x14ac:dyDescent="0.25">
      <c r="F84" s="429"/>
    </row>
    <row r="85" spans="6:6" ht="15" customHeight="1" x14ac:dyDescent="0.25">
      <c r="F85" s="429"/>
    </row>
    <row r="86" spans="6:6" ht="15" customHeight="1" x14ac:dyDescent="0.25">
      <c r="F86" s="429"/>
    </row>
    <row r="87" spans="6:6" ht="15" customHeight="1" x14ac:dyDescent="0.25">
      <c r="F87" s="429"/>
    </row>
    <row r="88" spans="6:6" ht="15" customHeight="1" x14ac:dyDescent="0.25">
      <c r="F88" s="429"/>
    </row>
    <row r="89" spans="6:6" ht="15" customHeight="1" x14ac:dyDescent="0.25">
      <c r="F89" s="429"/>
    </row>
    <row r="90" spans="6:6" ht="15" customHeight="1" x14ac:dyDescent="0.25">
      <c r="F90" s="429"/>
    </row>
    <row r="91" spans="6:6" ht="15" customHeight="1" x14ac:dyDescent="0.25">
      <c r="F91" s="429"/>
    </row>
    <row r="92" spans="6:6" ht="15" customHeight="1" x14ac:dyDescent="0.25">
      <c r="F92" s="429"/>
    </row>
    <row r="93" spans="6:6" ht="15" customHeight="1" x14ac:dyDescent="0.25">
      <c r="F93" s="429"/>
    </row>
    <row r="94" spans="6:6" ht="15" customHeight="1" x14ac:dyDescent="0.25">
      <c r="F94" s="429"/>
    </row>
    <row r="95" spans="6:6" ht="15" customHeight="1" x14ac:dyDescent="0.25">
      <c r="F95" s="429"/>
    </row>
    <row r="96" spans="6:6" ht="15" customHeight="1" x14ac:dyDescent="0.25">
      <c r="F96" s="429"/>
    </row>
    <row r="97" spans="6:6" ht="15" customHeight="1" x14ac:dyDescent="0.25">
      <c r="F97" s="429"/>
    </row>
    <row r="98" spans="6:6" ht="15" customHeight="1" x14ac:dyDescent="0.25">
      <c r="F98" s="429"/>
    </row>
    <row r="99" spans="6:6" ht="15" customHeight="1" x14ac:dyDescent="0.25">
      <c r="F99" s="429"/>
    </row>
    <row r="100" spans="6:6" ht="15" customHeight="1" x14ac:dyDescent="0.25">
      <c r="F100" s="429"/>
    </row>
    <row r="101" spans="6:6" ht="15" customHeight="1" x14ac:dyDescent="0.25">
      <c r="F101" s="429"/>
    </row>
    <row r="102" spans="6:6" ht="15" customHeight="1" x14ac:dyDescent="0.25">
      <c r="F102" s="429"/>
    </row>
    <row r="103" spans="6:6" ht="15" customHeight="1" x14ac:dyDescent="0.25">
      <c r="F103" s="429"/>
    </row>
    <row r="104" spans="6:6" ht="15" customHeight="1" x14ac:dyDescent="0.25">
      <c r="F104" s="429"/>
    </row>
    <row r="105" spans="6:6" ht="15" customHeight="1" x14ac:dyDescent="0.25">
      <c r="F105" s="429"/>
    </row>
    <row r="106" spans="6:6" ht="15" customHeight="1" x14ac:dyDescent="0.25">
      <c r="F106" s="429"/>
    </row>
    <row r="107" spans="6:6" ht="15" customHeight="1" x14ac:dyDescent="0.25">
      <c r="F107" s="429"/>
    </row>
    <row r="108" spans="6:6" ht="15" customHeight="1" x14ac:dyDescent="0.25">
      <c r="F108" s="429"/>
    </row>
    <row r="109" spans="6:6" ht="15" customHeight="1" x14ac:dyDescent="0.25">
      <c r="F109" s="429"/>
    </row>
    <row r="110" spans="6:6" ht="15" customHeight="1" x14ac:dyDescent="0.25">
      <c r="F110" s="429"/>
    </row>
    <row r="111" spans="6:6" ht="15" customHeight="1" x14ac:dyDescent="0.25">
      <c r="F111" s="429"/>
    </row>
    <row r="112" spans="6:6" ht="15" customHeight="1" x14ac:dyDescent="0.25">
      <c r="F112" s="429"/>
    </row>
    <row r="113" spans="6:6" ht="15" customHeight="1" x14ac:dyDescent="0.25">
      <c r="F113" s="429"/>
    </row>
    <row r="114" spans="6:6" ht="15" customHeight="1" x14ac:dyDescent="0.25">
      <c r="F114" s="429"/>
    </row>
    <row r="115" spans="6:6" ht="15" customHeight="1" x14ac:dyDescent="0.25">
      <c r="F115" s="429"/>
    </row>
    <row r="116" spans="6:6" ht="15" customHeight="1" x14ac:dyDescent="0.25">
      <c r="F116" s="429"/>
    </row>
    <row r="117" spans="6:6" ht="15" customHeight="1" x14ac:dyDescent="0.25">
      <c r="F117" s="429"/>
    </row>
    <row r="118" spans="6:6" ht="15" customHeight="1" x14ac:dyDescent="0.25">
      <c r="F118" s="429"/>
    </row>
    <row r="119" spans="6:6" ht="15" customHeight="1" x14ac:dyDescent="0.25">
      <c r="F119" s="429"/>
    </row>
    <row r="120" spans="6:6" ht="15" customHeight="1" x14ac:dyDescent="0.25">
      <c r="F120" s="429"/>
    </row>
    <row r="121" spans="6:6" ht="15" customHeight="1" x14ac:dyDescent="0.25">
      <c r="F121" s="429"/>
    </row>
    <row r="122" spans="6:6" ht="15" customHeight="1" x14ac:dyDescent="0.25">
      <c r="F122" s="429"/>
    </row>
    <row r="123" spans="6:6" ht="15" customHeight="1" x14ac:dyDescent="0.25">
      <c r="F123" s="429"/>
    </row>
    <row r="124" spans="6:6" ht="15" customHeight="1" x14ac:dyDescent="0.25">
      <c r="F124" s="429"/>
    </row>
    <row r="125" spans="6:6" ht="15" customHeight="1" x14ac:dyDescent="0.25">
      <c r="F125" s="429"/>
    </row>
    <row r="126" spans="6:6" ht="15" customHeight="1" x14ac:dyDescent="0.25">
      <c r="F126" s="429"/>
    </row>
    <row r="127" spans="6:6" ht="15" customHeight="1" x14ac:dyDescent="0.25">
      <c r="F127" s="429"/>
    </row>
    <row r="128" spans="6:6" ht="15" customHeight="1" x14ac:dyDescent="0.25">
      <c r="F128" s="429"/>
    </row>
    <row r="129" spans="6:6" ht="15" customHeight="1" x14ac:dyDescent="0.25">
      <c r="F129" s="429"/>
    </row>
    <row r="130" spans="6:6" ht="15" customHeight="1" x14ac:dyDescent="0.25">
      <c r="F130" s="429"/>
    </row>
    <row r="131" spans="6:6" ht="15" customHeight="1" x14ac:dyDescent="0.25">
      <c r="F131" s="429"/>
    </row>
    <row r="132" spans="6:6" ht="15" customHeight="1" x14ac:dyDescent="0.25">
      <c r="F132" s="429"/>
    </row>
    <row r="133" spans="6:6" ht="15" customHeight="1" x14ac:dyDescent="0.25">
      <c r="F133" s="429"/>
    </row>
    <row r="134" spans="6:6" ht="15" customHeight="1" x14ac:dyDescent="0.25">
      <c r="F134" s="429"/>
    </row>
    <row r="135" spans="6:6" ht="15" customHeight="1" x14ac:dyDescent="0.25">
      <c r="F135" s="429"/>
    </row>
    <row r="136" spans="6:6" ht="15" customHeight="1" x14ac:dyDescent="0.25">
      <c r="F136" s="429"/>
    </row>
    <row r="137" spans="6:6" ht="15" customHeight="1" x14ac:dyDescent="0.25">
      <c r="F137" s="429"/>
    </row>
    <row r="138" spans="6:6" ht="15" customHeight="1" x14ac:dyDescent="0.25">
      <c r="F138" s="429"/>
    </row>
    <row r="139" spans="6:6" ht="15" customHeight="1" x14ac:dyDescent="0.25">
      <c r="F139" s="429"/>
    </row>
    <row r="140" spans="6:6" ht="15" customHeight="1" x14ac:dyDescent="0.25">
      <c r="F140" s="429"/>
    </row>
    <row r="141" spans="6:6" ht="15" customHeight="1" x14ac:dyDescent="0.25">
      <c r="F141" s="429"/>
    </row>
    <row r="142" spans="6:6" ht="15" customHeight="1" x14ac:dyDescent="0.25">
      <c r="F142" s="429"/>
    </row>
    <row r="143" spans="6:6" ht="15" customHeight="1" x14ac:dyDescent="0.25">
      <c r="F143" s="429"/>
    </row>
    <row r="144" spans="6:6" ht="15" customHeight="1" x14ac:dyDescent="0.25">
      <c r="F144" s="429"/>
    </row>
    <row r="145" spans="6:6" ht="15" customHeight="1" x14ac:dyDescent="0.25">
      <c r="F145" s="429"/>
    </row>
    <row r="146" spans="6:6" ht="15" customHeight="1" x14ac:dyDescent="0.25">
      <c r="F146" s="429"/>
    </row>
    <row r="147" spans="6:6" ht="15" customHeight="1" x14ac:dyDescent="0.25">
      <c r="F147" s="429"/>
    </row>
    <row r="148" spans="6:6" ht="15" customHeight="1" x14ac:dyDescent="0.25">
      <c r="F148" s="429"/>
    </row>
    <row r="149" spans="6:6" ht="15" customHeight="1" x14ac:dyDescent="0.25">
      <c r="F149" s="429"/>
    </row>
    <row r="150" spans="6:6" ht="15" customHeight="1" x14ac:dyDescent="0.25">
      <c r="F150" s="429"/>
    </row>
    <row r="151" spans="6:6" ht="15" customHeight="1" x14ac:dyDescent="0.25">
      <c r="F151" s="429"/>
    </row>
    <row r="152" spans="6:6" ht="15" customHeight="1" x14ac:dyDescent="0.25">
      <c r="F152" s="429"/>
    </row>
    <row r="153" spans="6:6" ht="15" customHeight="1" x14ac:dyDescent="0.25">
      <c r="F153" s="429"/>
    </row>
    <row r="154" spans="6:6" ht="15" customHeight="1" x14ac:dyDescent="0.25">
      <c r="F154" s="429"/>
    </row>
    <row r="155" spans="6:6" ht="15" customHeight="1" x14ac:dyDescent="0.25">
      <c r="F155" s="429"/>
    </row>
    <row r="156" spans="6:6" ht="15" customHeight="1" x14ac:dyDescent="0.25">
      <c r="F156" s="429"/>
    </row>
    <row r="157" spans="6:6" ht="15" customHeight="1" x14ac:dyDescent="0.25">
      <c r="F157" s="429"/>
    </row>
    <row r="158" spans="6:6" ht="15" customHeight="1" x14ac:dyDescent="0.25">
      <c r="F158" s="429"/>
    </row>
    <row r="159" spans="6:6" ht="15" customHeight="1" x14ac:dyDescent="0.25">
      <c r="F159" s="429"/>
    </row>
    <row r="160" spans="6:6" ht="15" customHeight="1" x14ac:dyDescent="0.25">
      <c r="F160" s="429"/>
    </row>
    <row r="161" spans="6:6" ht="15" customHeight="1" x14ac:dyDescent="0.25">
      <c r="F161" s="429"/>
    </row>
    <row r="162" spans="6:6" ht="15" customHeight="1" x14ac:dyDescent="0.25">
      <c r="F162" s="429"/>
    </row>
    <row r="163" spans="6:6" ht="15" customHeight="1" x14ac:dyDescent="0.25">
      <c r="F163" s="429"/>
    </row>
    <row r="164" spans="6:6" ht="15" customHeight="1" x14ac:dyDescent="0.25">
      <c r="F164" s="429"/>
    </row>
    <row r="165" spans="6:6" ht="15" customHeight="1" x14ac:dyDescent="0.25">
      <c r="F165" s="429"/>
    </row>
    <row r="166" spans="6:6" ht="15" customHeight="1" x14ac:dyDescent="0.25">
      <c r="F166" s="429"/>
    </row>
    <row r="167" spans="6:6" ht="15" customHeight="1" x14ac:dyDescent="0.25">
      <c r="F167" s="429"/>
    </row>
    <row r="168" spans="6:6" ht="15" customHeight="1" x14ac:dyDescent="0.25">
      <c r="F168" s="429"/>
    </row>
    <row r="169" spans="6:6" ht="15" customHeight="1" x14ac:dyDescent="0.25">
      <c r="F169" s="429"/>
    </row>
    <row r="170" spans="6:6" ht="15" customHeight="1" x14ac:dyDescent="0.25">
      <c r="F170" s="429"/>
    </row>
    <row r="171" spans="6:6" ht="15" customHeight="1" x14ac:dyDescent="0.25">
      <c r="F171" s="429"/>
    </row>
    <row r="172" spans="6:6" ht="15" customHeight="1" x14ac:dyDescent="0.25">
      <c r="F172" s="429"/>
    </row>
    <row r="173" spans="6:6" ht="15" customHeight="1" x14ac:dyDescent="0.25">
      <c r="F173" s="429"/>
    </row>
    <row r="174" spans="6:6" ht="15" customHeight="1" x14ac:dyDescent="0.25">
      <c r="F174" s="429"/>
    </row>
    <row r="175" spans="6:6" ht="15" customHeight="1" x14ac:dyDescent="0.25">
      <c r="F175" s="429"/>
    </row>
    <row r="176" spans="6:6" ht="15" customHeight="1" x14ac:dyDescent="0.25">
      <c r="F176" s="429"/>
    </row>
    <row r="177" spans="6:6" ht="15" customHeight="1" x14ac:dyDescent="0.25">
      <c r="F177" s="429"/>
    </row>
    <row r="178" spans="6:6" ht="15" customHeight="1" x14ac:dyDescent="0.25">
      <c r="F178" s="429"/>
    </row>
    <row r="179" spans="6:6" ht="15" customHeight="1" x14ac:dyDescent="0.25">
      <c r="F179" s="429"/>
    </row>
    <row r="180" spans="6:6" ht="15" customHeight="1" x14ac:dyDescent="0.25">
      <c r="F180" s="429"/>
    </row>
    <row r="181" spans="6:6" ht="15" customHeight="1" x14ac:dyDescent="0.25">
      <c r="F181" s="429"/>
    </row>
    <row r="182" spans="6:6" ht="15" customHeight="1" x14ac:dyDescent="0.25">
      <c r="F182" s="429"/>
    </row>
    <row r="183" spans="6:6" ht="15" customHeight="1" x14ac:dyDescent="0.25">
      <c r="F183" s="429"/>
    </row>
    <row r="184" spans="6:6" ht="15" customHeight="1" x14ac:dyDescent="0.25">
      <c r="F184" s="429"/>
    </row>
    <row r="185" spans="6:6" ht="15" customHeight="1" x14ac:dyDescent="0.25">
      <c r="F185" s="429"/>
    </row>
    <row r="186" spans="6:6" ht="15" customHeight="1" x14ac:dyDescent="0.25">
      <c r="F186" s="429"/>
    </row>
    <row r="187" spans="6:6" ht="15" customHeight="1" x14ac:dyDescent="0.25">
      <c r="F187" s="429"/>
    </row>
  </sheetData>
  <sheetProtection algorithmName="SHA-512" hashValue="8zPoMrbcOSf1mOWVSBOfk/AW4EdACUu1+HD1WOk6rkbsiJyGXt4dej2eHCtju6r0Q9hXBwtd7ouWKSd5dDdPUg==" saltValue="WOCG8TX1O2W9gmItyRSOJQ==" spinCount="100000" sheet="1" objects="1" scenarios="1"/>
  <conditionalFormatting sqref="E33">
    <cfRule type="expression" dxfId="408" priority="1">
      <formula>OR($E$32=0)</formula>
    </cfRule>
  </conditionalFormatting>
  <dataValidations count="7">
    <dataValidation type="list" allowBlank="1" showInputMessage="1" showErrorMessage="1" prompt="Defined per the AHSC Guidelines" sqref="E26">
      <formula1>"TOD, ICP, RIPA"</formula1>
    </dataValidation>
    <dataValidation type="list" allowBlank="1" showInputMessage="1" showErrorMessage="1" sqref="E25">
      <formula1>Counties</formula1>
    </dataValidation>
    <dataValidation type="date" operator="greaterThanOrEqual" allowBlank="1" showInputMessage="1" showErrorMessage="1" sqref="E30">
      <formula1>43700</formula1>
    </dataValidation>
    <dataValidation allowBlank="1" showInputMessage="1" showErrorMessage="1" prompt="Assigned by FAAST" sqref="E24"/>
    <dataValidation type="decimal" allowBlank="1" showInputMessage="1" showErrorMessage="1" prompt="Total GGRF funds requested from AHSC in this solicitation" sqref="E31">
      <formula1>0</formula1>
      <formula2>30000000</formula2>
    </dataValidation>
    <dataValidation type="decimal" operator="greaterThanOrEqual" allowBlank="1" showInputMessage="1" showErrorMessage="1" prompt="Total GGRF funds received, requested, or anticipated from other California Climate Investments programs" sqref="E32">
      <formula1>0</formula1>
    </dataValidation>
    <dataValidation allowBlank="1" showInputMessage="1" showErrorMessage="1" prompt="Other California Climate Investments programs from which GGRF funds are received, requested, or anticipated" sqref="E33"/>
  </dataValidations>
  <hyperlinks>
    <hyperlink ref="C17" r:id="rId1"/>
  </hyperlinks>
  <pageMargins left="0.7" right="0.7" top="0.98479166666666662" bottom="0.75" header="0.3" footer="0.3"/>
  <pageSetup scale="65" fitToHeight="0" orientation="landscape" r:id="rId2"/>
  <headerFooter>
    <oddFooter>&amp;L&amp;"Avenir LT Std 55 Roman,Regular"&amp;12&amp;K000000FINAL November 1, 2019&amp;C&amp;"Avenir LT Std 55 Roman,Regular"&amp;12Page &amp;P of &amp;N&amp;R&amp;"Avenir LT Std 55 Roman,Regular"&amp;12&amp;K000000&amp;A</oddFooter>
  </headerFooter>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R1594"/>
  <sheetViews>
    <sheetView showGridLines="0" zoomScaleNormal="100" workbookViewId="0"/>
  </sheetViews>
  <sheetFormatPr defaultColWidth="10.28515625" defaultRowHeight="15" x14ac:dyDescent="0.25"/>
  <cols>
    <col min="1" max="1" width="3.140625" style="526" customWidth="1"/>
    <col min="2" max="2" width="11.140625" style="526" customWidth="1"/>
    <col min="3" max="3" width="11" style="526" bestFit="1" customWidth="1"/>
    <col min="4" max="4" width="15.140625" style="526" customWidth="1"/>
    <col min="5" max="5" width="10.28515625" style="567"/>
    <col min="6" max="7" width="12" style="567" bestFit="1" customWidth="1"/>
    <col min="8" max="8" width="12.85546875" style="567" bestFit="1" customWidth="1"/>
    <col min="9" max="9" width="14" style="567" bestFit="1" customWidth="1"/>
    <col min="10" max="10" width="12" style="567" bestFit="1" customWidth="1"/>
    <col min="11" max="11" width="14.5703125" style="567" customWidth="1"/>
    <col min="12" max="12" width="10.28515625" style="526"/>
    <col min="13" max="13" width="12.5703125" style="526" customWidth="1"/>
    <col min="14" max="16384" width="10.28515625" style="526"/>
  </cols>
  <sheetData>
    <row r="1" spans="2:13" s="71" customFormat="1" x14ac:dyDescent="0.25">
      <c r="E1" s="302"/>
      <c r="F1" s="302"/>
      <c r="G1" s="302"/>
      <c r="H1" s="302"/>
      <c r="I1" s="302"/>
      <c r="J1" s="302"/>
      <c r="K1" s="302"/>
    </row>
    <row r="2" spans="2:13" s="71" customFormat="1" ht="18.75" x14ac:dyDescent="0.3">
      <c r="E2" s="302"/>
      <c r="F2" s="302"/>
      <c r="G2" s="302"/>
      <c r="H2" s="72"/>
      <c r="I2" s="302"/>
      <c r="J2" s="302"/>
      <c r="K2" s="302"/>
    </row>
    <row r="3" spans="2:13" s="71" customFormat="1" ht="18.75" x14ac:dyDescent="0.3">
      <c r="E3" s="302"/>
      <c r="F3" s="302"/>
      <c r="G3" s="302"/>
      <c r="H3" s="73"/>
      <c r="I3" s="302"/>
      <c r="J3" s="302"/>
      <c r="K3" s="302"/>
    </row>
    <row r="4" spans="2:13" s="71" customFormat="1" ht="18.75" x14ac:dyDescent="0.3">
      <c r="E4" s="302"/>
      <c r="F4" s="302"/>
      <c r="G4" s="302"/>
      <c r="H4" s="74"/>
      <c r="I4" s="302"/>
      <c r="J4" s="302"/>
      <c r="K4" s="302"/>
    </row>
    <row r="5" spans="2:13" s="71" customFormat="1" x14ac:dyDescent="0.25">
      <c r="E5" s="302"/>
      <c r="F5" s="302"/>
      <c r="G5" s="302"/>
      <c r="H5" s="302"/>
      <c r="I5" s="302"/>
      <c r="J5" s="302"/>
      <c r="K5" s="302"/>
    </row>
    <row r="6" spans="2:13" s="71" customFormat="1" x14ac:dyDescent="0.25">
      <c r="E6" s="302"/>
      <c r="F6" s="302"/>
      <c r="G6" s="302"/>
      <c r="H6" s="302"/>
      <c r="I6" s="302"/>
      <c r="J6" s="302"/>
      <c r="K6" s="302"/>
    </row>
    <row r="7" spans="2:13" s="71" customFormat="1" ht="15.75" thickBot="1" x14ac:dyDescent="0.3">
      <c r="E7" s="302"/>
      <c r="F7" s="302"/>
      <c r="G7" s="302"/>
      <c r="H7" s="302"/>
      <c r="I7" s="302"/>
      <c r="J7" s="302"/>
      <c r="K7" s="302"/>
    </row>
    <row r="8" spans="2:13" s="71" customFormat="1" ht="15.95" customHeight="1" x14ac:dyDescent="0.25">
      <c r="B8" s="899" t="s">
        <v>4713</v>
      </c>
      <c r="C8" s="900"/>
      <c r="D8" s="900"/>
      <c r="E8" s="900"/>
      <c r="F8" s="900"/>
      <c r="G8" s="900"/>
      <c r="H8" s="900"/>
      <c r="I8" s="900"/>
      <c r="J8" s="900"/>
      <c r="K8" s="900"/>
      <c r="L8" s="900"/>
      <c r="M8" s="901"/>
    </row>
    <row r="9" spans="2:13" s="71" customFormat="1" ht="15.75" x14ac:dyDescent="0.25">
      <c r="B9" s="161" t="s">
        <v>182</v>
      </c>
      <c r="C9" s="162"/>
      <c r="D9" s="162"/>
      <c r="E9" s="162"/>
      <c r="F9" s="162"/>
      <c r="G9" s="162"/>
      <c r="H9" s="162"/>
      <c r="I9" s="162"/>
      <c r="J9" s="162"/>
      <c r="K9" s="162"/>
      <c r="L9" s="162"/>
      <c r="M9" s="163"/>
    </row>
    <row r="10" spans="2:13" s="71" customFormat="1" ht="15.75" x14ac:dyDescent="0.25">
      <c r="B10" s="149" t="s">
        <v>4591</v>
      </c>
      <c r="C10" s="64"/>
      <c r="D10" s="64"/>
      <c r="E10" s="64"/>
      <c r="F10" s="64"/>
      <c r="G10" s="64"/>
      <c r="H10" s="64"/>
      <c r="I10" s="64"/>
      <c r="J10" s="64"/>
      <c r="K10" s="64"/>
      <c r="L10" s="64"/>
      <c r="M10" s="148"/>
    </row>
    <row r="11" spans="2:13" s="71" customFormat="1" ht="15.75" x14ac:dyDescent="0.25">
      <c r="B11" s="149" t="s">
        <v>506</v>
      </c>
      <c r="C11" s="64"/>
      <c r="D11" s="64"/>
      <c r="E11" s="64"/>
      <c r="F11" s="64"/>
      <c r="G11" s="64"/>
      <c r="H11" s="64"/>
      <c r="I11" s="64"/>
      <c r="J11" s="64"/>
      <c r="K11" s="64"/>
      <c r="L11" s="64"/>
      <c r="M11" s="148"/>
    </row>
    <row r="12" spans="2:13" s="71" customFormat="1" ht="15.75" x14ac:dyDescent="0.25">
      <c r="B12" s="149" t="s">
        <v>184</v>
      </c>
      <c r="C12" s="64"/>
      <c r="D12" s="64"/>
      <c r="E12" s="64"/>
      <c r="F12" s="64"/>
      <c r="G12" s="64"/>
      <c r="H12" s="64"/>
      <c r="I12" s="64"/>
      <c r="J12" s="64"/>
      <c r="K12" s="64"/>
      <c r="L12" s="64"/>
      <c r="M12" s="148"/>
    </row>
    <row r="13" spans="2:13" s="71" customFormat="1" ht="15.75" customHeight="1" x14ac:dyDescent="0.25">
      <c r="B13" s="911" t="s">
        <v>5099</v>
      </c>
      <c r="C13" s="909"/>
      <c r="D13" s="909"/>
      <c r="E13" s="909"/>
      <c r="F13" s="909"/>
      <c r="G13" s="909"/>
      <c r="H13" s="909"/>
      <c r="I13" s="909"/>
      <c r="J13" s="909"/>
      <c r="K13" s="909"/>
      <c r="L13" s="909"/>
      <c r="M13" s="910"/>
    </row>
    <row r="14" spans="2:13" s="71" customFormat="1" ht="15.75" customHeight="1" x14ac:dyDescent="0.25">
      <c r="B14" s="911" t="s">
        <v>5100</v>
      </c>
      <c r="C14" s="909"/>
      <c r="D14" s="909"/>
      <c r="E14" s="909"/>
      <c r="F14" s="909"/>
      <c r="G14" s="909"/>
      <c r="H14" s="909"/>
      <c r="I14" s="909"/>
      <c r="J14" s="909"/>
      <c r="K14" s="909"/>
      <c r="L14" s="909"/>
      <c r="M14" s="910"/>
    </row>
    <row r="15" spans="2:13" s="71" customFormat="1" ht="15.75" x14ac:dyDescent="0.25">
      <c r="B15" s="149" t="s">
        <v>185</v>
      </c>
      <c r="C15" s="64"/>
      <c r="D15" s="64"/>
      <c r="E15" s="64"/>
      <c r="F15" s="64"/>
      <c r="G15" s="64"/>
      <c r="H15" s="64"/>
      <c r="I15" s="64"/>
      <c r="J15" s="64"/>
      <c r="K15" s="64"/>
      <c r="L15" s="64"/>
      <c r="M15" s="148"/>
    </row>
    <row r="16" spans="2:13" s="71" customFormat="1" ht="15.75" x14ac:dyDescent="0.25">
      <c r="B16" s="149" t="s">
        <v>4757</v>
      </c>
      <c r="C16" s="64"/>
      <c r="D16" s="64"/>
      <c r="E16" s="64"/>
      <c r="F16" s="64"/>
      <c r="G16" s="64"/>
      <c r="H16" s="64"/>
      <c r="I16" s="64"/>
      <c r="J16" s="64"/>
      <c r="K16" s="64"/>
      <c r="L16" s="64"/>
      <c r="M16" s="148"/>
    </row>
    <row r="17" spans="2:18" s="71" customFormat="1" ht="15.75" x14ac:dyDescent="0.25">
      <c r="B17" s="149" t="s">
        <v>186</v>
      </c>
      <c r="C17" s="64"/>
      <c r="D17" s="64"/>
      <c r="E17" s="64"/>
      <c r="F17" s="64"/>
      <c r="G17" s="64"/>
      <c r="H17" s="64"/>
      <c r="I17" s="64"/>
      <c r="J17" s="64"/>
      <c r="K17" s="64"/>
      <c r="L17" s="64"/>
      <c r="M17" s="148"/>
    </row>
    <row r="18" spans="2:18" s="71" customFormat="1" ht="15.75" x14ac:dyDescent="0.25">
      <c r="B18" s="149" t="s">
        <v>187</v>
      </c>
      <c r="C18" s="64"/>
      <c r="D18" s="64"/>
      <c r="E18" s="64"/>
      <c r="F18" s="64"/>
      <c r="G18" s="64"/>
      <c r="H18" s="64"/>
      <c r="I18" s="64"/>
      <c r="J18" s="64"/>
      <c r="K18" s="64"/>
      <c r="L18" s="64"/>
      <c r="M18" s="148"/>
    </row>
    <row r="19" spans="2:18" s="71" customFormat="1" ht="15.75" x14ac:dyDescent="0.25">
      <c r="B19" s="149" t="s">
        <v>188</v>
      </c>
      <c r="C19" s="64"/>
      <c r="D19" s="64"/>
      <c r="E19" s="64"/>
      <c r="F19" s="64"/>
      <c r="G19" s="64"/>
      <c r="H19" s="64"/>
      <c r="I19" s="64"/>
      <c r="J19" s="64"/>
      <c r="K19" s="64"/>
      <c r="L19" s="64"/>
      <c r="M19" s="148"/>
    </row>
    <row r="20" spans="2:18" s="71" customFormat="1" ht="15.75" x14ac:dyDescent="0.25">
      <c r="B20" s="149" t="s">
        <v>507</v>
      </c>
      <c r="C20" s="64"/>
      <c r="D20" s="64"/>
      <c r="E20" s="64"/>
      <c r="F20" s="64"/>
      <c r="G20" s="64"/>
      <c r="H20" s="64"/>
      <c r="I20" s="64"/>
      <c r="J20" s="64"/>
      <c r="K20" s="64"/>
      <c r="L20" s="64"/>
      <c r="M20" s="148"/>
    </row>
    <row r="21" spans="2:18" s="71" customFormat="1" ht="15.75" x14ac:dyDescent="0.25">
      <c r="B21" s="149" t="s">
        <v>332</v>
      </c>
      <c r="C21" s="64"/>
      <c r="D21" s="64"/>
      <c r="E21" s="64"/>
      <c r="F21" s="64"/>
      <c r="G21" s="64"/>
      <c r="H21" s="64"/>
      <c r="I21" s="64"/>
      <c r="J21" s="64"/>
      <c r="K21" s="64"/>
      <c r="L21" s="64"/>
      <c r="M21" s="148"/>
    </row>
    <row r="22" spans="2:18" s="71" customFormat="1" ht="15.75" customHeight="1" x14ac:dyDescent="0.25">
      <c r="B22" s="905" t="s">
        <v>190</v>
      </c>
      <c r="C22" s="27"/>
      <c r="D22" s="27"/>
      <c r="E22" s="27"/>
      <c r="F22" s="27"/>
      <c r="G22" s="27"/>
      <c r="H22" s="27"/>
      <c r="I22" s="27"/>
      <c r="J22" s="64"/>
      <c r="K22" s="64"/>
      <c r="L22" s="64"/>
      <c r="M22" s="148"/>
    </row>
    <row r="23" spans="2:18" s="71" customFormat="1" ht="16.5" thickBot="1" x14ac:dyDescent="0.3">
      <c r="B23" s="1137" t="s">
        <v>4590</v>
      </c>
      <c r="C23" s="165"/>
      <c r="D23" s="159"/>
      <c r="E23" s="159"/>
      <c r="F23" s="159"/>
      <c r="G23" s="159"/>
      <c r="H23" s="159"/>
      <c r="I23" s="159"/>
      <c r="J23" s="159"/>
      <c r="K23" s="159"/>
      <c r="L23" s="159"/>
      <c r="M23" s="160"/>
    </row>
    <row r="24" spans="2:18" s="71" customFormat="1" ht="15.75" x14ac:dyDescent="0.25">
      <c r="B24" s="498"/>
      <c r="C24" s="18"/>
      <c r="D24" s="17"/>
      <c r="E24" s="17"/>
      <c r="F24" s="17"/>
      <c r="G24" s="17"/>
      <c r="H24" s="17"/>
      <c r="I24" s="17"/>
      <c r="J24" s="17"/>
      <c r="K24" s="17"/>
      <c r="L24" s="17"/>
      <c r="M24" s="17"/>
    </row>
    <row r="25" spans="2:18" s="71" customFormat="1" ht="18.75" customHeight="1" x14ac:dyDescent="0.25">
      <c r="B25" s="930" t="s">
        <v>4710</v>
      </c>
      <c r="C25" s="930"/>
      <c r="D25" s="930"/>
      <c r="E25" s="930"/>
      <c r="F25" s="930"/>
      <c r="G25" s="930"/>
      <c r="H25" s="930"/>
      <c r="I25" s="930"/>
      <c r="J25" s="930"/>
      <c r="K25" s="930"/>
      <c r="L25" s="930"/>
      <c r="M25" s="930"/>
      <c r="N25" s="930"/>
      <c r="O25" s="930"/>
      <c r="P25" s="930"/>
    </row>
    <row r="26" spans="2:18" s="71" customFormat="1" ht="16.5" thickBot="1" x14ac:dyDescent="0.3">
      <c r="B26" s="17"/>
      <c r="C26" s="17"/>
      <c r="D26" s="17"/>
      <c r="E26" s="17"/>
      <c r="F26" s="17"/>
      <c r="G26" s="17"/>
      <c r="H26" s="17"/>
      <c r="I26" s="17"/>
      <c r="J26" s="17"/>
      <c r="K26" s="17"/>
      <c r="L26" s="17"/>
      <c r="M26" s="17"/>
    </row>
    <row r="27" spans="2:18" ht="16.5" thickBot="1" x14ac:dyDescent="0.3">
      <c r="B27" s="28"/>
      <c r="C27" s="28"/>
      <c r="D27" s="28"/>
      <c r="E27" s="526"/>
      <c r="F27" s="526"/>
      <c r="G27" s="1021" t="s">
        <v>484</v>
      </c>
      <c r="H27" s="1022"/>
      <c r="I27" s="1022"/>
      <c r="J27" s="1022"/>
      <c r="K27" s="1022"/>
      <c r="L27" s="1023"/>
      <c r="M27" s="527" t="s">
        <v>518</v>
      </c>
      <c r="O27" s="940" t="s">
        <v>4847</v>
      </c>
      <c r="P27" s="1024"/>
      <c r="Q27" s="1024"/>
      <c r="R27" s="941"/>
    </row>
    <row r="28" spans="2:18" ht="35.25" customHeight="1" thickBot="1" x14ac:dyDescent="0.3">
      <c r="B28" s="528"/>
      <c r="C28" s="528"/>
      <c r="D28" s="528"/>
      <c r="E28" s="1025" t="s">
        <v>4592</v>
      </c>
      <c r="F28" s="1020"/>
      <c r="G28" s="1016" t="s">
        <v>508</v>
      </c>
      <c r="H28" s="1018"/>
      <c r="I28" s="1018" t="s">
        <v>4711</v>
      </c>
      <c r="J28" s="1018"/>
      <c r="K28" s="1018" t="s">
        <v>4565</v>
      </c>
      <c r="L28" s="1017"/>
      <c r="M28" s="168" t="s">
        <v>4548</v>
      </c>
      <c r="O28" s="1016" t="s">
        <v>4707</v>
      </c>
      <c r="P28" s="1017"/>
      <c r="Q28" s="1018" t="s">
        <v>4708</v>
      </c>
      <c r="R28" s="1019"/>
    </row>
    <row r="29" spans="2:18" ht="16.5" thickBot="1" x14ac:dyDescent="0.3">
      <c r="B29" s="529" t="s">
        <v>192</v>
      </c>
      <c r="C29" s="530" t="s">
        <v>512</v>
      </c>
      <c r="D29" s="531" t="s">
        <v>516</v>
      </c>
      <c r="E29" s="532" t="s">
        <v>155</v>
      </c>
      <c r="F29" s="533" t="s">
        <v>514</v>
      </c>
      <c r="G29" s="534" t="s">
        <v>155</v>
      </c>
      <c r="H29" s="535" t="s">
        <v>514</v>
      </c>
      <c r="I29" s="535" t="s">
        <v>155</v>
      </c>
      <c r="J29" s="535" t="s">
        <v>514</v>
      </c>
      <c r="K29" s="535" t="s">
        <v>155</v>
      </c>
      <c r="L29" s="536" t="s">
        <v>514</v>
      </c>
      <c r="M29" s="537" t="s">
        <v>155</v>
      </c>
      <c r="O29" s="534" t="s">
        <v>155</v>
      </c>
      <c r="P29" s="536" t="s">
        <v>514</v>
      </c>
      <c r="Q29" s="535" t="s">
        <v>155</v>
      </c>
      <c r="R29" s="695" t="s">
        <v>514</v>
      </c>
    </row>
    <row r="30" spans="2:18" ht="16.5" thickBot="1" x14ac:dyDescent="0.3">
      <c r="B30" s="538">
        <v>2015</v>
      </c>
      <c r="C30" s="539">
        <v>1971</v>
      </c>
      <c r="D30" s="540" t="s">
        <v>4593</v>
      </c>
      <c r="E30" s="541">
        <v>6.73535629698193E-2</v>
      </c>
      <c r="F30" s="542">
        <v>0.14341465439534001</v>
      </c>
      <c r="G30" s="543">
        <v>1.3052341914457199</v>
      </c>
      <c r="H30" s="544">
        <v>4.2368773831295501</v>
      </c>
      <c r="I30" s="545">
        <v>6.1615673347059401</v>
      </c>
      <c r="J30" s="545">
        <v>3.7007400739744201</v>
      </c>
      <c r="K30" s="545">
        <v>0.77633696023101695</v>
      </c>
      <c r="L30" s="545">
        <v>3.5962402847324201E-2</v>
      </c>
      <c r="M30" s="546">
        <v>0.81143947262842397</v>
      </c>
      <c r="O30" s="696">
        <v>3.0000008598028201E-3</v>
      </c>
      <c r="P30" s="697">
        <v>2.0000005732018801E-3</v>
      </c>
      <c r="Q30" s="697">
        <v>3.8220010953887898E-2</v>
      </c>
      <c r="R30" s="698">
        <v>3.8220010953887898E-2</v>
      </c>
    </row>
    <row r="31" spans="2:18" ht="15.75" x14ac:dyDescent="0.25">
      <c r="B31" s="538">
        <v>2015</v>
      </c>
      <c r="C31" s="539">
        <v>1972</v>
      </c>
      <c r="D31" s="540" t="s">
        <v>4594</v>
      </c>
      <c r="E31" s="547">
        <v>5.683178364724454E-2</v>
      </c>
      <c r="F31" s="548">
        <v>0.1436286173527013</v>
      </c>
      <c r="G31" s="549">
        <v>0.93519050451636798</v>
      </c>
      <c r="H31" s="550">
        <v>4.1728398130967204</v>
      </c>
      <c r="I31" s="551">
        <v>7.1620906594990998</v>
      </c>
      <c r="J31" s="551">
        <v>3.9138508112230701</v>
      </c>
      <c r="K31" s="551">
        <v>0.55588876461419801</v>
      </c>
      <c r="L31" s="551">
        <v>3.4968933502309903E-2</v>
      </c>
      <c r="M31" s="552">
        <v>0.58102358783019203</v>
      </c>
    </row>
    <row r="32" spans="2:18" ht="15.75" x14ac:dyDescent="0.25">
      <c r="B32" s="538">
        <v>2015</v>
      </c>
      <c r="C32" s="539">
        <v>1973</v>
      </c>
      <c r="D32" s="540" t="s">
        <v>4595</v>
      </c>
      <c r="E32" s="547">
        <v>5.7412831476447691E-2</v>
      </c>
      <c r="F32" s="548">
        <v>0.15134545046291006</v>
      </c>
      <c r="G32" s="549">
        <v>0.94980129272402103</v>
      </c>
      <c r="H32" s="550">
        <v>4.8786512910707103</v>
      </c>
      <c r="I32" s="551">
        <v>6.9819162282521798</v>
      </c>
      <c r="J32" s="551">
        <v>3.67959473622905</v>
      </c>
      <c r="K32" s="551">
        <v>0.56424257674809997</v>
      </c>
      <c r="L32" s="551">
        <v>3.9982997609314598E-2</v>
      </c>
      <c r="M32" s="552">
        <v>0.58975512227929705</v>
      </c>
    </row>
    <row r="33" spans="2:13" ht="15.75" x14ac:dyDescent="0.25">
      <c r="B33" s="538">
        <v>2015</v>
      </c>
      <c r="C33" s="539">
        <v>1974</v>
      </c>
      <c r="D33" s="540" t="s">
        <v>4596</v>
      </c>
      <c r="E33" s="547">
        <v>6.1440237933238578E-2</v>
      </c>
      <c r="F33" s="548">
        <v>0.15740142079956654</v>
      </c>
      <c r="G33" s="549">
        <v>1.1545560390997001</v>
      </c>
      <c r="H33" s="550">
        <v>5.2031010086474199</v>
      </c>
      <c r="I33" s="551">
        <v>7.0853945727936303</v>
      </c>
      <c r="J33" s="551">
        <v>3.7243240996319402</v>
      </c>
      <c r="K33" s="551">
        <v>0.68550067250250901</v>
      </c>
      <c r="L33" s="551">
        <v>4.2656195284919998E-2</v>
      </c>
      <c r="M33" s="552">
        <v>0.71649597104888896</v>
      </c>
    </row>
    <row r="34" spans="2:13" ht="15.75" x14ac:dyDescent="0.25">
      <c r="B34" s="538">
        <v>2015</v>
      </c>
      <c r="C34" s="539">
        <v>1975</v>
      </c>
      <c r="D34" s="540" t="s">
        <v>4597</v>
      </c>
      <c r="E34" s="547">
        <v>6.7391797549388704E-2</v>
      </c>
      <c r="F34" s="548">
        <v>0.15621998196914336</v>
      </c>
      <c r="G34" s="549">
        <v>1.3037718298715999</v>
      </c>
      <c r="H34" s="550">
        <v>5.0743004166153902</v>
      </c>
      <c r="I34" s="551">
        <v>6.1216648516280303</v>
      </c>
      <c r="J34" s="551">
        <v>3.7147707317426999</v>
      </c>
      <c r="K34" s="551">
        <v>0.77368524997631205</v>
      </c>
      <c r="L34" s="551">
        <v>4.2333321743527802E-2</v>
      </c>
      <c r="M34" s="552">
        <v>0.80866786380279099</v>
      </c>
    </row>
    <row r="35" spans="2:13" ht="15.75" x14ac:dyDescent="0.25">
      <c r="B35" s="538">
        <v>2015</v>
      </c>
      <c r="C35" s="539">
        <v>1976</v>
      </c>
      <c r="D35" s="540" t="s">
        <v>4598</v>
      </c>
      <c r="E35" s="547">
        <v>6.7093901110606757E-2</v>
      </c>
      <c r="F35" s="548">
        <v>0.17397420863253518</v>
      </c>
      <c r="G35" s="549">
        <v>0.24761974315187599</v>
      </c>
      <c r="H35" s="550">
        <v>5.4630187920246804</v>
      </c>
      <c r="I35" s="551">
        <v>4.8783928932941798</v>
      </c>
      <c r="J35" s="551">
        <v>2.2543779609250398</v>
      </c>
      <c r="K35" s="551">
        <v>0.186639646389376</v>
      </c>
      <c r="L35" s="551">
        <v>5.1690582344052299E-2</v>
      </c>
      <c r="M35" s="552">
        <v>0.195078662997939</v>
      </c>
    </row>
    <row r="36" spans="2:13" ht="15.75" x14ac:dyDescent="0.25">
      <c r="B36" s="538">
        <v>2015</v>
      </c>
      <c r="C36" s="539">
        <v>1977</v>
      </c>
      <c r="D36" s="540" t="s">
        <v>4599</v>
      </c>
      <c r="E36" s="547">
        <v>6.2120212565440536E-2</v>
      </c>
      <c r="F36" s="548">
        <v>0.13951384619850596</v>
      </c>
      <c r="G36" s="549">
        <v>0.21516181534825701</v>
      </c>
      <c r="H36" s="550">
        <v>2.5409904104579799</v>
      </c>
      <c r="I36" s="551">
        <v>5.1821496733009198</v>
      </c>
      <c r="J36" s="551">
        <v>4.2338858654366902</v>
      </c>
      <c r="K36" s="551">
        <v>0.162174972891659</v>
      </c>
      <c r="L36" s="551">
        <v>1.5043441713814399E-2</v>
      </c>
      <c r="M36" s="552">
        <v>0.169507805525035</v>
      </c>
    </row>
    <row r="37" spans="2:13" ht="15.75" x14ac:dyDescent="0.25">
      <c r="B37" s="538">
        <v>2015</v>
      </c>
      <c r="C37" s="539">
        <v>1978</v>
      </c>
      <c r="D37" s="540" t="s">
        <v>4600</v>
      </c>
      <c r="E37" s="547">
        <v>6.4381206928844428E-2</v>
      </c>
      <c r="F37" s="548">
        <v>0.14213942424215431</v>
      </c>
      <c r="G37" s="549">
        <v>0.23060085440352901</v>
      </c>
      <c r="H37" s="550">
        <v>2.60117357213359</v>
      </c>
      <c r="I37" s="551">
        <v>5.0299830949022102</v>
      </c>
      <c r="J37" s="551">
        <v>4.2207720810394598</v>
      </c>
      <c r="K37" s="551">
        <v>0.17381191570239499</v>
      </c>
      <c r="L37" s="551">
        <v>1.5589531254536999E-2</v>
      </c>
      <c r="M37" s="552">
        <v>0.181670919251505</v>
      </c>
    </row>
    <row r="38" spans="2:13" ht="15.75" x14ac:dyDescent="0.25">
      <c r="B38" s="538">
        <v>2015</v>
      </c>
      <c r="C38" s="539">
        <v>1979</v>
      </c>
      <c r="D38" s="540" t="s">
        <v>4601</v>
      </c>
      <c r="E38" s="547">
        <v>6.7302127591854735E-2</v>
      </c>
      <c r="F38" s="548">
        <v>0.13836447148867947</v>
      </c>
      <c r="G38" s="549">
        <v>0.25049987683511399</v>
      </c>
      <c r="H38" s="550">
        <v>2.4704140009106199</v>
      </c>
      <c r="I38" s="551">
        <v>4.8273979721045501</v>
      </c>
      <c r="J38" s="551">
        <v>4.2146984482841896</v>
      </c>
      <c r="K38" s="551">
        <v>0.188810503710167</v>
      </c>
      <c r="L38" s="551">
        <v>1.48786183975552E-2</v>
      </c>
      <c r="M38" s="552">
        <v>0.19734767685374</v>
      </c>
    </row>
    <row r="39" spans="2:13" ht="15.75" x14ac:dyDescent="0.25">
      <c r="B39" s="538">
        <v>2015</v>
      </c>
      <c r="C39" s="539">
        <v>1980</v>
      </c>
      <c r="D39" s="540" t="s">
        <v>4602</v>
      </c>
      <c r="E39" s="547">
        <v>6.0725281700720828E-2</v>
      </c>
      <c r="F39" s="548">
        <v>0.14247187763681216</v>
      </c>
      <c r="G39" s="549">
        <v>0.205941938520008</v>
      </c>
      <c r="H39" s="550">
        <v>2.6058014503199001</v>
      </c>
      <c r="I39" s="551">
        <v>5.2807025610554401</v>
      </c>
      <c r="J39" s="551">
        <v>4.0803384234800797</v>
      </c>
      <c r="K39" s="551">
        <v>0.155225629801828</v>
      </c>
      <c r="L39" s="551">
        <v>1.5714214311626201E-2</v>
      </c>
      <c r="M39" s="552">
        <v>0.16224424397793599</v>
      </c>
    </row>
    <row r="40" spans="2:13" ht="15.75" x14ac:dyDescent="0.25">
      <c r="B40" s="538">
        <v>2015</v>
      </c>
      <c r="C40" s="539">
        <v>1981</v>
      </c>
      <c r="D40" s="540" t="s">
        <v>4603</v>
      </c>
      <c r="E40" s="547">
        <v>6.4238843755498432E-2</v>
      </c>
      <c r="F40" s="548">
        <v>0.14128435620141602</v>
      </c>
      <c r="G40" s="549">
        <v>0.22988056947388</v>
      </c>
      <c r="H40" s="550">
        <v>2.5414643549630802</v>
      </c>
      <c r="I40" s="553">
        <v>5.0637051911953597</v>
      </c>
      <c r="J40" s="553">
        <v>4.0635731039535896</v>
      </c>
      <c r="K40" s="553">
        <v>0.17326901180120399</v>
      </c>
      <c r="L40" s="553">
        <v>1.55012055026561E-2</v>
      </c>
      <c r="M40" s="554">
        <v>0.18110346764500199</v>
      </c>
    </row>
    <row r="41" spans="2:13" ht="15.75" x14ac:dyDescent="0.25">
      <c r="B41" s="538">
        <v>2015</v>
      </c>
      <c r="C41" s="539">
        <v>1982</v>
      </c>
      <c r="D41" s="540" t="s">
        <v>4604</v>
      </c>
      <c r="E41" s="547">
        <v>6.4238843755498432E-2</v>
      </c>
      <c r="F41" s="548">
        <v>0.14085353698647671</v>
      </c>
      <c r="G41" s="549">
        <v>0.22988056947388</v>
      </c>
      <c r="H41" s="550">
        <v>2.5021697681915498</v>
      </c>
      <c r="I41" s="551">
        <v>5.0637051911953597</v>
      </c>
      <c r="J41" s="551">
        <v>4.0503733368871497</v>
      </c>
      <c r="K41" s="551">
        <v>0.17326901180120399</v>
      </c>
      <c r="L41" s="551">
        <v>1.5443050090890101E-2</v>
      </c>
      <c r="M41" s="552">
        <v>0.18110346764500199</v>
      </c>
    </row>
    <row r="42" spans="2:13" ht="15.75" x14ac:dyDescent="0.25">
      <c r="B42" s="538">
        <v>2015</v>
      </c>
      <c r="C42" s="539">
        <v>1983</v>
      </c>
      <c r="D42" s="540" t="s">
        <v>4605</v>
      </c>
      <c r="E42" s="547">
        <v>6.2366630408999389E-2</v>
      </c>
      <c r="F42" s="548">
        <v>0.1445882248839773</v>
      </c>
      <c r="G42" s="549">
        <v>0.217225687166999</v>
      </c>
      <c r="H42" s="550">
        <v>2.59777155708914</v>
      </c>
      <c r="I42" s="551">
        <v>5.1687513961533904</v>
      </c>
      <c r="J42" s="551">
        <v>4.0450499403136</v>
      </c>
      <c r="K42" s="551">
        <v>0.1637305851443</v>
      </c>
      <c r="L42" s="551">
        <v>1.62273430975848E-2</v>
      </c>
      <c r="M42" s="552">
        <v>0.17113375566081401</v>
      </c>
    </row>
    <row r="43" spans="2:13" ht="15.75" x14ac:dyDescent="0.25">
      <c r="B43" s="538">
        <v>2015</v>
      </c>
      <c r="C43" s="539">
        <v>1984</v>
      </c>
      <c r="D43" s="540" t="s">
        <v>4606</v>
      </c>
      <c r="E43" s="547">
        <v>6.2248137682882551E-2</v>
      </c>
      <c r="F43" s="548">
        <v>0.14355536654477757</v>
      </c>
      <c r="G43" s="549">
        <v>0.217009829686969</v>
      </c>
      <c r="H43" s="550">
        <v>1.9062127594042899</v>
      </c>
      <c r="I43" s="551">
        <v>5.1944645615904097</v>
      </c>
      <c r="J43" s="551">
        <v>4.0622060827612998</v>
      </c>
      <c r="K43" s="551">
        <v>0.16356788582464801</v>
      </c>
      <c r="L43" s="551">
        <v>1.5939797966811099E-2</v>
      </c>
      <c r="M43" s="552">
        <v>0.17096369979989501</v>
      </c>
    </row>
    <row r="44" spans="2:13" ht="15.75" x14ac:dyDescent="0.25">
      <c r="B44" s="538">
        <v>2015</v>
      </c>
      <c r="C44" s="539">
        <v>1985</v>
      </c>
      <c r="D44" s="540" t="s">
        <v>4607</v>
      </c>
      <c r="E44" s="547">
        <v>6.4021335646161387E-2</v>
      </c>
      <c r="F44" s="548">
        <v>0.141481216065898</v>
      </c>
      <c r="G44" s="549">
        <v>0.228544766278686</v>
      </c>
      <c r="H44" s="550">
        <v>1.8422368150045401</v>
      </c>
      <c r="I44" s="551">
        <v>5.0637249590925304</v>
      </c>
      <c r="J44" s="551">
        <v>4.1112650317913504</v>
      </c>
      <c r="K44" s="551">
        <v>0.17226217029162399</v>
      </c>
      <c r="L44" s="551">
        <v>1.5585306203621399E-2</v>
      </c>
      <c r="M44" s="552">
        <v>0.180051101230152</v>
      </c>
    </row>
    <row r="45" spans="2:13" ht="15.75" x14ac:dyDescent="0.25">
      <c r="B45" s="538">
        <v>2015</v>
      </c>
      <c r="C45" s="539">
        <v>1986</v>
      </c>
      <c r="D45" s="540" t="s">
        <v>4608</v>
      </c>
      <c r="E45" s="547">
        <v>6.3408205371584689E-2</v>
      </c>
      <c r="F45" s="548">
        <v>0.14107879748069341</v>
      </c>
      <c r="G45" s="549">
        <v>0.22516423506132199</v>
      </c>
      <c r="H45" s="550">
        <v>1.82359492642215</v>
      </c>
      <c r="I45" s="551">
        <v>5.1205848757673902</v>
      </c>
      <c r="J45" s="551">
        <v>3.8819926198180599</v>
      </c>
      <c r="K45" s="551">
        <v>0.16971414587731001</v>
      </c>
      <c r="L45" s="551">
        <v>1.5525901963389601E-2</v>
      </c>
      <c r="M45" s="552">
        <v>0.17738786645851301</v>
      </c>
    </row>
    <row r="46" spans="2:13" ht="15.75" x14ac:dyDescent="0.25">
      <c r="B46" s="538">
        <v>2015</v>
      </c>
      <c r="C46" s="539">
        <v>1987</v>
      </c>
      <c r="D46" s="540" t="s">
        <v>4609</v>
      </c>
      <c r="E46" s="547">
        <v>6.3344357638033533E-2</v>
      </c>
      <c r="F46" s="548">
        <v>0.13959574687067175</v>
      </c>
      <c r="G46" s="549">
        <v>0.28248868141394301</v>
      </c>
      <c r="H46" s="550">
        <v>1.7826994755203001</v>
      </c>
      <c r="I46" s="551">
        <v>5.21476888640988</v>
      </c>
      <c r="J46" s="551">
        <v>3.96166820601738</v>
      </c>
      <c r="K46" s="551">
        <v>0.19238539494983101</v>
      </c>
      <c r="L46" s="551">
        <v>1.52707733109308E-2</v>
      </c>
      <c r="M46" s="552">
        <v>0.20108420881191499</v>
      </c>
    </row>
    <row r="47" spans="2:13" ht="15.75" x14ac:dyDescent="0.25">
      <c r="B47" s="538">
        <v>2015</v>
      </c>
      <c r="C47" s="539">
        <v>1988</v>
      </c>
      <c r="D47" s="540" t="s">
        <v>4610</v>
      </c>
      <c r="E47" s="547">
        <v>6.2732564079454059E-2</v>
      </c>
      <c r="F47" s="548">
        <v>0.13281141133517879</v>
      </c>
      <c r="G47" s="549">
        <v>0.27730175521589201</v>
      </c>
      <c r="H47" s="550">
        <v>0.43769072863495501</v>
      </c>
      <c r="I47" s="551">
        <v>5.2565180829268296</v>
      </c>
      <c r="J47" s="551">
        <v>1.6822581389034701</v>
      </c>
      <c r="K47" s="551">
        <v>0.18885290352329701</v>
      </c>
      <c r="L47" s="551">
        <v>1.40992488486021E-2</v>
      </c>
      <c r="M47" s="552">
        <v>0.19739199379827199</v>
      </c>
    </row>
    <row r="48" spans="2:13" ht="15.75" x14ac:dyDescent="0.25">
      <c r="B48" s="538">
        <v>2015</v>
      </c>
      <c r="C48" s="539">
        <v>1989</v>
      </c>
      <c r="D48" s="540" t="s">
        <v>4611</v>
      </c>
      <c r="E48" s="547">
        <v>6.2372161525501048E-2</v>
      </c>
      <c r="F48" s="548">
        <v>0.13138248090414212</v>
      </c>
      <c r="G48" s="549">
        <v>0.27481539695333401</v>
      </c>
      <c r="H48" s="550">
        <v>0.42387815411561403</v>
      </c>
      <c r="I48" s="551">
        <v>5.2904964501332996</v>
      </c>
      <c r="J48" s="551">
        <v>1.66218469636859</v>
      </c>
      <c r="K48" s="551">
        <v>0.18715960022372799</v>
      </c>
      <c r="L48" s="551">
        <v>1.37167094521675E-2</v>
      </c>
      <c r="M48" s="552">
        <v>0.195622126837419</v>
      </c>
    </row>
    <row r="49" spans="2:13" ht="15.75" x14ac:dyDescent="0.25">
      <c r="B49" s="538">
        <v>2015</v>
      </c>
      <c r="C49" s="539">
        <v>1990</v>
      </c>
      <c r="D49" s="540" t="s">
        <v>4612</v>
      </c>
      <c r="E49" s="547">
        <v>6.2387747138679651E-2</v>
      </c>
      <c r="F49" s="548">
        <v>0.13304491895844789</v>
      </c>
      <c r="G49" s="549">
        <v>0.27537723358708299</v>
      </c>
      <c r="H49" s="550">
        <v>0.43598184296087</v>
      </c>
      <c r="I49" s="551">
        <v>5.2962722632616703</v>
      </c>
      <c r="J49" s="551">
        <v>1.6795455472876399</v>
      </c>
      <c r="K49" s="551">
        <v>0.187542232059241</v>
      </c>
      <c r="L49" s="551">
        <v>1.41977870365112E-2</v>
      </c>
      <c r="M49" s="552">
        <v>0.19602205958662999</v>
      </c>
    </row>
    <row r="50" spans="2:13" ht="15.75" x14ac:dyDescent="0.25">
      <c r="B50" s="538">
        <v>2015</v>
      </c>
      <c r="C50" s="539">
        <v>1991</v>
      </c>
      <c r="D50" s="540" t="s">
        <v>4613</v>
      </c>
      <c r="E50" s="547">
        <v>6.3239590030986226E-2</v>
      </c>
      <c r="F50" s="548">
        <v>0.13306405412512717</v>
      </c>
      <c r="G50" s="549">
        <v>0.36252443933672501</v>
      </c>
      <c r="H50" s="550">
        <v>0.48704002610547598</v>
      </c>
      <c r="I50" s="551">
        <v>9.2527840527621894</v>
      </c>
      <c r="J50" s="551">
        <v>2.9344818542982001</v>
      </c>
      <c r="K50" s="551">
        <v>5.1378155810033702E-2</v>
      </c>
      <c r="L50" s="551">
        <v>7.8127531232336008E-3</v>
      </c>
      <c r="M50" s="552">
        <v>5.3701248028573602E-2</v>
      </c>
    </row>
    <row r="51" spans="2:13" ht="15.75" x14ac:dyDescent="0.25">
      <c r="B51" s="538">
        <v>2015</v>
      </c>
      <c r="C51" s="539">
        <v>1992</v>
      </c>
      <c r="D51" s="540" t="s">
        <v>4614</v>
      </c>
      <c r="E51" s="547">
        <v>6.3476770308825592E-2</v>
      </c>
      <c r="F51" s="548">
        <v>0.13308030661715523</v>
      </c>
      <c r="G51" s="549">
        <v>0.36486840977028601</v>
      </c>
      <c r="H51" s="550">
        <v>0.48623033538805299</v>
      </c>
      <c r="I51" s="551">
        <v>9.2198224549571002</v>
      </c>
      <c r="J51" s="551">
        <v>2.9464782017056899</v>
      </c>
      <c r="K51" s="551">
        <v>5.1744116687243297E-2</v>
      </c>
      <c r="L51" s="551">
        <v>7.8301762884438793E-3</v>
      </c>
      <c r="M51" s="552">
        <v>5.40837560327233E-2</v>
      </c>
    </row>
    <row r="52" spans="2:13" ht="15.75" x14ac:dyDescent="0.25">
      <c r="B52" s="538">
        <v>2015</v>
      </c>
      <c r="C52" s="539">
        <v>1993</v>
      </c>
      <c r="D52" s="540" t="s">
        <v>4615</v>
      </c>
      <c r="E52" s="547">
        <v>6.371002747798768E-2</v>
      </c>
      <c r="F52" s="548">
        <v>0.13256928309694935</v>
      </c>
      <c r="G52" s="549">
        <v>0.36611301642782401</v>
      </c>
      <c r="H52" s="550">
        <v>0.48047989334067098</v>
      </c>
      <c r="I52" s="551">
        <v>9.1754677985478601</v>
      </c>
      <c r="J52" s="551">
        <v>2.9373137875281299</v>
      </c>
      <c r="K52" s="551">
        <v>5.1996203780846802E-2</v>
      </c>
      <c r="L52" s="551">
        <v>7.76266452874719E-3</v>
      </c>
      <c r="M52" s="552">
        <v>5.4347241386079603E-2</v>
      </c>
    </row>
    <row r="53" spans="2:13" ht="15.75" x14ac:dyDescent="0.25">
      <c r="B53" s="538">
        <v>2015</v>
      </c>
      <c r="C53" s="539">
        <v>1994</v>
      </c>
      <c r="D53" s="540" t="s">
        <v>4616</v>
      </c>
      <c r="E53" s="547">
        <v>6.308168294271975E-2</v>
      </c>
      <c r="F53" s="548">
        <v>0.13169436895605591</v>
      </c>
      <c r="G53" s="549">
        <v>0.35529840753653202</v>
      </c>
      <c r="H53" s="550">
        <v>0.47121372539448803</v>
      </c>
      <c r="I53" s="551">
        <v>9.2676004188666106</v>
      </c>
      <c r="J53" s="551">
        <v>2.9221924785222901</v>
      </c>
      <c r="K53" s="551">
        <v>5.1051665220083101E-2</v>
      </c>
      <c r="L53" s="551">
        <v>7.63816344049817E-3</v>
      </c>
      <c r="M53" s="552">
        <v>5.3359994982925901E-2</v>
      </c>
    </row>
    <row r="54" spans="2:13" ht="15.75" x14ac:dyDescent="0.25">
      <c r="B54" s="538">
        <v>2015</v>
      </c>
      <c r="C54" s="539">
        <v>1995</v>
      </c>
      <c r="D54" s="540" t="s">
        <v>4617</v>
      </c>
      <c r="E54" s="547">
        <v>6.3629838974140776E-2</v>
      </c>
      <c r="F54" s="548">
        <v>0.13118037410691699</v>
      </c>
      <c r="G54" s="549">
        <v>0.35837667906310799</v>
      </c>
      <c r="H54" s="550">
        <v>0.248917339068914</v>
      </c>
      <c r="I54" s="551">
        <v>9.2130759485248301</v>
      </c>
      <c r="J54" s="551">
        <v>1.6647342609290099</v>
      </c>
      <c r="K54" s="551">
        <v>5.1621601604875701E-2</v>
      </c>
      <c r="L54" s="551">
        <v>5.0002698428453004E-3</v>
      </c>
      <c r="M54" s="552">
        <v>5.3955701361983702E-2</v>
      </c>
    </row>
    <row r="55" spans="2:13" ht="15.75" x14ac:dyDescent="0.25">
      <c r="B55" s="538">
        <v>2015</v>
      </c>
      <c r="C55" s="539">
        <v>1996</v>
      </c>
      <c r="D55" s="540" t="s">
        <v>4618</v>
      </c>
      <c r="E55" s="547">
        <v>6.3576835056735184E-2</v>
      </c>
      <c r="F55" s="548">
        <v>0.12975350983651537</v>
      </c>
      <c r="G55" s="549">
        <v>0.35384363501089</v>
      </c>
      <c r="H55" s="550">
        <v>2.2984026027391299E-2</v>
      </c>
      <c r="I55" s="551">
        <v>9.2098565194283406</v>
      </c>
      <c r="J55" s="551">
        <v>0.38857071776815499</v>
      </c>
      <c r="K55" s="551">
        <v>5.1130859526036403E-2</v>
      </c>
      <c r="L55" s="551">
        <v>2.2199134484976301E-3</v>
      </c>
      <c r="M55" s="552">
        <v>5.3442770103975003E-2</v>
      </c>
    </row>
    <row r="56" spans="2:13" ht="15.75" x14ac:dyDescent="0.25">
      <c r="B56" s="538">
        <v>2015</v>
      </c>
      <c r="C56" s="539">
        <v>1997</v>
      </c>
      <c r="D56" s="540" t="s">
        <v>4619</v>
      </c>
      <c r="E56" s="547">
        <v>6.375071759844908E-2</v>
      </c>
      <c r="F56" s="548">
        <v>0.12817808990641172</v>
      </c>
      <c r="G56" s="549">
        <v>0.35089952647514799</v>
      </c>
      <c r="H56" s="550">
        <v>2.2188632913115298E-2</v>
      </c>
      <c r="I56" s="551">
        <v>9.1687914271710707</v>
      </c>
      <c r="J56" s="551">
        <v>0.380028081887064</v>
      </c>
      <c r="K56" s="551">
        <v>5.0904557798955301E-2</v>
      </c>
      <c r="L56" s="551">
        <v>2.1506942046368499E-3</v>
      </c>
      <c r="M56" s="552">
        <v>5.3206236016994299E-2</v>
      </c>
    </row>
    <row r="57" spans="2:13" ht="15.75" x14ac:dyDescent="0.25">
      <c r="B57" s="538">
        <v>2015</v>
      </c>
      <c r="C57" s="539">
        <v>1998</v>
      </c>
      <c r="D57" s="540" t="s">
        <v>4620</v>
      </c>
      <c r="E57" s="547">
        <v>6.359182852780533E-2</v>
      </c>
      <c r="F57" s="548">
        <v>0.12881394377585953</v>
      </c>
      <c r="G57" s="549">
        <v>0.34414023813289502</v>
      </c>
      <c r="H57" s="550">
        <v>2.2347431374724301E-2</v>
      </c>
      <c r="I57" s="551">
        <v>9.1854267538107397</v>
      </c>
      <c r="J57" s="551">
        <v>0.37615177269976902</v>
      </c>
      <c r="K57" s="551">
        <v>5.0159799788597297E-2</v>
      </c>
      <c r="L57" s="551">
        <v>2.18151552854177E-3</v>
      </c>
      <c r="M57" s="552">
        <v>5.2427803354222598E-2</v>
      </c>
    </row>
    <row r="58" spans="2:13" ht="15.75" x14ac:dyDescent="0.25">
      <c r="B58" s="538">
        <v>2015</v>
      </c>
      <c r="C58" s="539">
        <v>1999</v>
      </c>
      <c r="D58" s="540" t="s">
        <v>4621</v>
      </c>
      <c r="E58" s="547">
        <v>6.3605934925743526E-2</v>
      </c>
      <c r="F58" s="548">
        <v>0.1288488029296728</v>
      </c>
      <c r="G58" s="549">
        <v>0.337967276102902</v>
      </c>
      <c r="H58" s="550">
        <v>2.1804988009796002E-2</v>
      </c>
      <c r="I58" s="551">
        <v>9.1636245306395701</v>
      </c>
      <c r="J58" s="551">
        <v>0.36916743225213999</v>
      </c>
      <c r="K58" s="551">
        <v>4.9535126097727498E-2</v>
      </c>
      <c r="L58" s="551">
        <v>2.1833254902452301E-3</v>
      </c>
      <c r="M58" s="552">
        <v>5.1774884691000202E-2</v>
      </c>
    </row>
    <row r="59" spans="2:13" ht="15.75" x14ac:dyDescent="0.25">
      <c r="B59" s="538">
        <v>2015</v>
      </c>
      <c r="C59" s="539">
        <v>2000</v>
      </c>
      <c r="D59" s="540" t="s">
        <v>4622</v>
      </c>
      <c r="E59" s="547">
        <v>6.3308176338116709E-2</v>
      </c>
      <c r="F59" s="548">
        <v>0.1293431775871296</v>
      </c>
      <c r="G59" s="549">
        <v>0.32806668824597002</v>
      </c>
      <c r="H59" s="550">
        <v>2.1748981791161401E-2</v>
      </c>
      <c r="I59" s="551">
        <v>9.1840124688829494</v>
      </c>
      <c r="J59" s="551">
        <v>0.361600662330678</v>
      </c>
      <c r="K59" s="551">
        <v>4.8397721979203299E-2</v>
      </c>
      <c r="L59" s="551">
        <v>2.2085455248857799E-3</v>
      </c>
      <c r="M59" s="552">
        <v>5.05860522053923E-2</v>
      </c>
    </row>
    <row r="60" spans="2:13" ht="15.75" x14ac:dyDescent="0.25">
      <c r="B60" s="538">
        <v>2015</v>
      </c>
      <c r="C60" s="539">
        <v>2001</v>
      </c>
      <c r="D60" s="540" t="s">
        <v>4623</v>
      </c>
      <c r="E60" s="547">
        <v>6.3566071557241102E-2</v>
      </c>
      <c r="F60" s="548">
        <v>0.12933912184724405</v>
      </c>
      <c r="G60" s="549">
        <v>0.32247180687773602</v>
      </c>
      <c r="H60" s="550">
        <v>2.1413395425899501E-2</v>
      </c>
      <c r="I60" s="551">
        <v>9.1247112415932499</v>
      </c>
      <c r="J60" s="551">
        <v>0.35073097164849198</v>
      </c>
      <c r="K60" s="551">
        <v>4.7932098308615202E-2</v>
      </c>
      <c r="L60" s="551">
        <v>2.2120981392392E-3</v>
      </c>
      <c r="M60" s="552">
        <v>5.0099375098594703E-2</v>
      </c>
    </row>
    <row r="61" spans="2:13" ht="15.75" x14ac:dyDescent="0.25">
      <c r="B61" s="538">
        <v>2015</v>
      </c>
      <c r="C61" s="539">
        <v>2002</v>
      </c>
      <c r="D61" s="540" t="s">
        <v>4624</v>
      </c>
      <c r="E61" s="547">
        <v>6.3403233618955959E-2</v>
      </c>
      <c r="F61" s="548">
        <v>0.12900669119983776</v>
      </c>
      <c r="G61" s="549">
        <v>0.25250690584985602</v>
      </c>
      <c r="H61" s="550">
        <v>2.0851472568312199E-2</v>
      </c>
      <c r="I61" s="551">
        <v>7.0502906021234102</v>
      </c>
      <c r="J61" s="551">
        <v>0.26611475687021702</v>
      </c>
      <c r="K61" s="551">
        <v>4.92299242611305E-2</v>
      </c>
      <c r="L61" s="551">
        <v>2.20000552821417E-3</v>
      </c>
      <c r="M61" s="552">
        <v>5.1455882981665299E-2</v>
      </c>
    </row>
    <row r="62" spans="2:13" ht="15.75" x14ac:dyDescent="0.25">
      <c r="B62" s="538">
        <v>2015</v>
      </c>
      <c r="C62" s="539">
        <v>2003</v>
      </c>
      <c r="D62" s="540" t="s">
        <v>4625</v>
      </c>
      <c r="E62" s="547">
        <v>6.3047427051543453E-2</v>
      </c>
      <c r="F62" s="548">
        <v>0.12870657921389972</v>
      </c>
      <c r="G62" s="549">
        <v>0.244496920170132</v>
      </c>
      <c r="H62" s="550">
        <v>2.0231980175656701E-2</v>
      </c>
      <c r="I62" s="551">
        <v>7.0711374136529299</v>
      </c>
      <c r="J62" s="551">
        <v>0.25359603353947802</v>
      </c>
      <c r="K62" s="551">
        <v>4.81120500601218E-2</v>
      </c>
      <c r="L62" s="551">
        <v>2.1892934400771398E-3</v>
      </c>
      <c r="M62" s="552">
        <v>5.02874634697804E-2</v>
      </c>
    </row>
    <row r="63" spans="2:13" ht="15.75" x14ac:dyDescent="0.25">
      <c r="B63" s="538">
        <v>2015</v>
      </c>
      <c r="C63" s="539">
        <v>2004</v>
      </c>
      <c r="D63" s="540" t="s">
        <v>4626</v>
      </c>
      <c r="E63" s="547">
        <v>6.286042303360119E-2</v>
      </c>
      <c r="F63" s="548">
        <v>0.12765179956798939</v>
      </c>
      <c r="G63" s="549">
        <v>0.19715532778139699</v>
      </c>
      <c r="H63" s="550">
        <v>1.36482561388178E-2</v>
      </c>
      <c r="I63" s="551">
        <v>5.9003115861832498</v>
      </c>
      <c r="J63" s="551">
        <v>0.20546863792980899</v>
      </c>
      <c r="K63" s="551">
        <v>4.7205897686495801E-2</v>
      </c>
      <c r="L63" s="551">
        <v>1.42556860875758E-4</v>
      </c>
      <c r="M63" s="552">
        <v>4.9340338906810499E-2</v>
      </c>
    </row>
    <row r="64" spans="2:13" ht="15.75" x14ac:dyDescent="0.25">
      <c r="B64" s="538">
        <v>2015</v>
      </c>
      <c r="C64" s="539">
        <v>2005</v>
      </c>
      <c r="D64" s="540" t="s">
        <v>4627</v>
      </c>
      <c r="E64" s="547">
        <v>6.2907481758387479E-2</v>
      </c>
      <c r="F64" s="548">
        <v>0.12805573627086694</v>
      </c>
      <c r="G64" s="549">
        <v>0.192006967777891</v>
      </c>
      <c r="H64" s="550">
        <v>1.3671064442465601E-2</v>
      </c>
      <c r="I64" s="551">
        <v>5.8784900640651996</v>
      </c>
      <c r="J64" s="551">
        <v>0.195244027851108</v>
      </c>
      <c r="K64" s="551">
        <v>4.6511055571615799E-2</v>
      </c>
      <c r="L64" s="551">
        <v>1.4405106775102001E-4</v>
      </c>
      <c r="M64" s="552">
        <v>4.8614079114811901E-2</v>
      </c>
    </row>
    <row r="65" spans="2:13" ht="15.75" x14ac:dyDescent="0.25">
      <c r="B65" s="538">
        <v>2015</v>
      </c>
      <c r="C65" s="539">
        <v>2006</v>
      </c>
      <c r="D65" s="540" t="s">
        <v>4628</v>
      </c>
      <c r="E65" s="547">
        <v>6.2748076526501328E-2</v>
      </c>
      <c r="F65" s="548">
        <v>0.12842385448323901</v>
      </c>
      <c r="G65" s="549">
        <v>0.185389859141566</v>
      </c>
      <c r="H65" s="550">
        <v>1.3376062178976999E-2</v>
      </c>
      <c r="I65" s="551">
        <v>5.8717087163183299</v>
      </c>
      <c r="J65" s="551">
        <v>0.185501749846127</v>
      </c>
      <c r="K65" s="551">
        <v>4.5498673949794302E-2</v>
      </c>
      <c r="L65" s="551">
        <v>1.4530453410467001E-4</v>
      </c>
      <c r="M65" s="552">
        <v>4.7555922088428501E-2</v>
      </c>
    </row>
    <row r="66" spans="2:13" ht="15.75" x14ac:dyDescent="0.25">
      <c r="B66" s="538">
        <v>2015</v>
      </c>
      <c r="C66" s="539">
        <v>2007</v>
      </c>
      <c r="D66" s="540" t="s">
        <v>4629</v>
      </c>
      <c r="E66" s="547">
        <v>6.2900921456753245E-2</v>
      </c>
      <c r="F66" s="548">
        <v>0.12860620555294514</v>
      </c>
      <c r="G66" s="549">
        <v>0.136011178517429</v>
      </c>
      <c r="H66" s="550">
        <v>1.2933726352014899E-2</v>
      </c>
      <c r="I66" s="551">
        <v>3.030890385612</v>
      </c>
      <c r="J66" s="551">
        <v>0.17500452101413599</v>
      </c>
      <c r="K66" s="551">
        <v>2.9966428775487799E-2</v>
      </c>
      <c r="L66" s="551">
        <v>1.4616237404881799E-4</v>
      </c>
      <c r="M66" s="552">
        <v>3.13213777106571E-2</v>
      </c>
    </row>
    <row r="67" spans="2:13" ht="15.75" x14ac:dyDescent="0.25">
      <c r="B67" s="538">
        <v>2015</v>
      </c>
      <c r="C67" s="539">
        <v>2008</v>
      </c>
      <c r="D67" s="540" t="s">
        <v>4630</v>
      </c>
      <c r="E67" s="547">
        <v>6.3141417618245238E-2</v>
      </c>
      <c r="F67" s="548">
        <v>0.12899949468489899</v>
      </c>
      <c r="G67" s="549">
        <v>0.13358183740937599</v>
      </c>
      <c r="H67" s="550">
        <v>1.0740547994444301E-2</v>
      </c>
      <c r="I67" s="551">
        <v>3.00403171023452</v>
      </c>
      <c r="J67" s="551">
        <v>0.13145809884125401</v>
      </c>
      <c r="K67" s="551">
        <v>2.9203786160538901E-2</v>
      </c>
      <c r="L67" s="551">
        <v>1.6841903723384101E-4</v>
      </c>
      <c r="M67" s="552">
        <v>3.05242517808367E-2</v>
      </c>
    </row>
    <row r="68" spans="2:13" ht="15.75" x14ac:dyDescent="0.25">
      <c r="B68" s="538">
        <v>2015</v>
      </c>
      <c r="C68" s="539">
        <v>2009</v>
      </c>
      <c r="D68" s="540" t="s">
        <v>4631</v>
      </c>
      <c r="E68" s="547">
        <v>6.3046180750324532E-2</v>
      </c>
      <c r="F68" s="548">
        <v>0.12793632862052751</v>
      </c>
      <c r="G68" s="549">
        <v>0.128592522666958</v>
      </c>
      <c r="H68" s="550">
        <v>8.7669879324717703E-3</v>
      </c>
      <c r="I68" s="551">
        <v>2.99207222533001</v>
      </c>
      <c r="J68" s="551">
        <v>9.6633107428837697E-2</v>
      </c>
      <c r="K68" s="551">
        <v>2.8088134533508499E-2</v>
      </c>
      <c r="L68" s="551">
        <v>1.85364429146264E-4</v>
      </c>
      <c r="M68" s="552">
        <v>2.93581553378627E-2</v>
      </c>
    </row>
    <row r="69" spans="2:13" ht="15.75" x14ac:dyDescent="0.25">
      <c r="B69" s="538">
        <v>2015</v>
      </c>
      <c r="C69" s="539">
        <v>2010</v>
      </c>
      <c r="D69" s="540" t="s">
        <v>4632</v>
      </c>
      <c r="E69" s="547">
        <v>6.3079886426743823E-2</v>
      </c>
      <c r="F69" s="548">
        <v>0.12627590417339518</v>
      </c>
      <c r="G69" s="549">
        <v>8.8434758578097405E-2</v>
      </c>
      <c r="H69" s="550">
        <v>8.5082746322729108E-3</v>
      </c>
      <c r="I69" s="551">
        <v>0.19179022695527201</v>
      </c>
      <c r="J69" s="551">
        <v>9.5001383326012795E-2</v>
      </c>
      <c r="K69" s="551">
        <v>1.18970662890538E-2</v>
      </c>
      <c r="L69" s="551">
        <v>2.18040191659207E-4</v>
      </c>
      <c r="M69" s="552">
        <v>1.2434998834195E-2</v>
      </c>
    </row>
    <row r="70" spans="2:13" ht="15.75" x14ac:dyDescent="0.25">
      <c r="B70" s="538">
        <v>2015</v>
      </c>
      <c r="C70" s="539">
        <v>2011</v>
      </c>
      <c r="D70" s="540" t="s">
        <v>4633</v>
      </c>
      <c r="E70" s="547">
        <v>6.3087121371980331E-2</v>
      </c>
      <c r="F70" s="548">
        <v>0.12818123397196965</v>
      </c>
      <c r="G70" s="549">
        <v>8.6630966404817003E-2</v>
      </c>
      <c r="H70" s="550">
        <v>9.0950658489922804E-3</v>
      </c>
      <c r="I70" s="551">
        <v>0.18263563744334901</v>
      </c>
      <c r="J70" s="551">
        <v>9.8282234909001995E-2</v>
      </c>
      <c r="K70" s="551">
        <v>1.0689705642259999E-2</v>
      </c>
      <c r="L70" s="551">
        <v>3.0933633016437301E-4</v>
      </c>
      <c r="M70" s="552">
        <v>1.1173046696536701E-2</v>
      </c>
    </row>
    <row r="71" spans="2:13" ht="15.75" x14ac:dyDescent="0.25">
      <c r="B71" s="538">
        <v>2015</v>
      </c>
      <c r="C71" s="539">
        <v>2012</v>
      </c>
      <c r="D71" s="540" t="s">
        <v>4634</v>
      </c>
      <c r="E71" s="547">
        <v>6.3211686511684254E-2</v>
      </c>
      <c r="F71" s="548">
        <v>0.1289221197573526</v>
      </c>
      <c r="G71" s="549">
        <v>8.5632690700642194E-2</v>
      </c>
      <c r="H71" s="550">
        <v>9.8754015115353599E-3</v>
      </c>
      <c r="I71" s="551">
        <v>0.17405390731617801</v>
      </c>
      <c r="J71" s="551">
        <v>0.10540627884683799</v>
      </c>
      <c r="K71" s="551">
        <v>9.4537461847890199E-3</v>
      </c>
      <c r="L71" s="551">
        <v>4.6049944699248698E-4</v>
      </c>
      <c r="M71" s="552">
        <v>9.8812026368877807E-3</v>
      </c>
    </row>
    <row r="72" spans="2:13" ht="15.75" x14ac:dyDescent="0.25">
      <c r="B72" s="538">
        <v>2015</v>
      </c>
      <c r="C72" s="539">
        <v>2013</v>
      </c>
      <c r="D72" s="540" t="s">
        <v>4635</v>
      </c>
      <c r="E72" s="547">
        <v>6.3171945571830396E-2</v>
      </c>
      <c r="F72" s="548">
        <v>0.12921907222801413</v>
      </c>
      <c r="G72" s="549">
        <v>8.3269715029048799E-2</v>
      </c>
      <c r="H72" s="550">
        <v>1.1007796206080301E-2</v>
      </c>
      <c r="I72" s="551">
        <v>0.16351199689520099</v>
      </c>
      <c r="J72" s="551">
        <v>0.117346206061358</v>
      </c>
      <c r="K72" s="551">
        <v>8.1091299937789199E-3</v>
      </c>
      <c r="L72" s="551">
        <v>6.9412170049500403E-4</v>
      </c>
      <c r="M72" s="552">
        <v>8.4757888683661894E-3</v>
      </c>
    </row>
    <row r="73" spans="2:13" ht="15.75" x14ac:dyDescent="0.25">
      <c r="B73" s="538">
        <v>2015</v>
      </c>
      <c r="C73" s="539">
        <v>2014</v>
      </c>
      <c r="D73" s="540" t="s">
        <v>4636</v>
      </c>
      <c r="E73" s="547">
        <v>6.146996694676754E-2</v>
      </c>
      <c r="F73" s="548">
        <v>0.12683642404696241</v>
      </c>
      <c r="G73" s="549">
        <v>7.9215883486232097E-2</v>
      </c>
      <c r="H73" s="550">
        <v>1.19718394460086E-2</v>
      </c>
      <c r="I73" s="551">
        <v>0.15067082056155501</v>
      </c>
      <c r="J73" s="551">
        <v>0.1292479441829</v>
      </c>
      <c r="K73" s="551">
        <v>6.6524298927658999E-3</v>
      </c>
      <c r="L73" s="551">
        <v>9.5844148452689396E-4</v>
      </c>
      <c r="M73" s="552">
        <v>6.9532232527963296E-3</v>
      </c>
    </row>
    <row r="74" spans="2:13" ht="15.75" x14ac:dyDescent="0.25">
      <c r="B74" s="538">
        <v>2015</v>
      </c>
      <c r="C74" s="539">
        <v>2015</v>
      </c>
      <c r="D74" s="540" t="s">
        <v>4637</v>
      </c>
      <c r="E74" s="547">
        <v>6.1092581588953421E-2</v>
      </c>
      <c r="F74" s="548">
        <v>0.12692921518763703</v>
      </c>
      <c r="G74" s="549">
        <v>7.7518029946127706E-2</v>
      </c>
      <c r="H74" s="550">
        <v>1.1877411507343401E-2</v>
      </c>
      <c r="I74" s="551">
        <v>0.14012164940525501</v>
      </c>
      <c r="J74" s="551">
        <v>0.12401495100969299</v>
      </c>
      <c r="K74" s="551">
        <v>5.2064844242751002E-3</v>
      </c>
      <c r="L74" s="551">
        <v>1.2314694399209901E-3</v>
      </c>
      <c r="M74" s="552">
        <v>5.44189854650836E-3</v>
      </c>
    </row>
    <row r="75" spans="2:13" ht="15.75" x14ac:dyDescent="0.25">
      <c r="B75" s="538">
        <v>2016</v>
      </c>
      <c r="C75" s="539">
        <v>1982</v>
      </c>
      <c r="D75" s="540" t="s">
        <v>4646</v>
      </c>
      <c r="E75" s="547">
        <v>6.4123001236043684E-2</v>
      </c>
      <c r="F75" s="548">
        <v>0.13949652711841212</v>
      </c>
      <c r="G75" s="549">
        <v>0.229051529941213</v>
      </c>
      <c r="H75" s="550">
        <v>2.4649080460162902</v>
      </c>
      <c r="I75" s="551">
        <v>5.0668519158098997</v>
      </c>
      <c r="J75" s="551">
        <v>4.0647762494334296</v>
      </c>
      <c r="K75" s="551">
        <v>0.17264413575840401</v>
      </c>
      <c r="L75" s="551">
        <v>1.51668054743728E-2</v>
      </c>
      <c r="M75" s="552">
        <v>0.18045033748039299</v>
      </c>
    </row>
    <row r="76" spans="2:13" ht="15.75" x14ac:dyDescent="0.25">
      <c r="B76" s="538">
        <v>2016</v>
      </c>
      <c r="C76" s="539">
        <v>1983</v>
      </c>
      <c r="D76" s="540" t="s">
        <v>4647</v>
      </c>
      <c r="E76" s="547">
        <v>6.1750026681251263E-2</v>
      </c>
      <c r="F76" s="548">
        <v>0.14438270956334751</v>
      </c>
      <c r="G76" s="549">
        <v>0.21299889209176701</v>
      </c>
      <c r="H76" s="550">
        <v>2.58879059092469</v>
      </c>
      <c r="I76" s="551">
        <v>5.2128637530924804</v>
      </c>
      <c r="J76" s="551">
        <v>4.0630825821296304</v>
      </c>
      <c r="K76" s="551">
        <v>0.160544702111872</v>
      </c>
      <c r="L76" s="551">
        <v>1.6174122081023801E-2</v>
      </c>
      <c r="M76" s="552">
        <v>0.16780382113480699</v>
      </c>
    </row>
    <row r="77" spans="2:13" ht="15.75" x14ac:dyDescent="0.25">
      <c r="B77" s="538">
        <v>2016</v>
      </c>
      <c r="C77" s="539">
        <v>1984</v>
      </c>
      <c r="D77" s="540" t="s">
        <v>4648</v>
      </c>
      <c r="E77" s="547">
        <v>6.2265159985173874E-2</v>
      </c>
      <c r="F77" s="548">
        <v>0.14314514165776632</v>
      </c>
      <c r="G77" s="549">
        <v>0.217082274059962</v>
      </c>
      <c r="H77" s="550">
        <v>1.89735248815847</v>
      </c>
      <c r="I77" s="551">
        <v>5.19385444714203</v>
      </c>
      <c r="J77" s="551">
        <v>4.0639238825416601</v>
      </c>
      <c r="K77" s="551">
        <v>0.163622489678065</v>
      </c>
      <c r="L77" s="551">
        <v>1.58540028120451E-2</v>
      </c>
      <c r="M77" s="552">
        <v>0.171020772597263</v>
      </c>
    </row>
    <row r="78" spans="2:13" ht="15.75" x14ac:dyDescent="0.25">
      <c r="B78" s="538">
        <v>2016</v>
      </c>
      <c r="C78" s="539">
        <v>1985</v>
      </c>
      <c r="D78" s="540" t="s">
        <v>4649</v>
      </c>
      <c r="E78" s="547">
        <v>6.4329414176618485E-2</v>
      </c>
      <c r="F78" s="548">
        <v>0.14129307780880523</v>
      </c>
      <c r="G78" s="549">
        <v>0.23056342269432401</v>
      </c>
      <c r="H78" s="550">
        <v>1.83724413469939</v>
      </c>
      <c r="I78" s="551">
        <v>5.0421620712320898</v>
      </c>
      <c r="J78" s="551">
        <v>4.1129182543954501</v>
      </c>
      <c r="K78" s="551">
        <v>0.17378370211618899</v>
      </c>
      <c r="L78" s="551">
        <v>1.55444339132969E-2</v>
      </c>
      <c r="M78" s="552">
        <v>0.18164142997212701</v>
      </c>
    </row>
    <row r="79" spans="2:13" ht="15.75" x14ac:dyDescent="0.25">
      <c r="B79" s="538">
        <v>2016</v>
      </c>
      <c r="C79" s="539">
        <v>1986</v>
      </c>
      <c r="D79" s="540" t="s">
        <v>4650</v>
      </c>
      <c r="E79" s="547">
        <v>6.3524731106691879E-2</v>
      </c>
      <c r="F79" s="548">
        <v>0.14132726805944162</v>
      </c>
      <c r="G79" s="549">
        <v>0.22589860651691701</v>
      </c>
      <c r="H79" s="550">
        <v>1.82967987547983</v>
      </c>
      <c r="I79" s="551">
        <v>5.1117531971729404</v>
      </c>
      <c r="J79" s="551">
        <v>3.87624479599662</v>
      </c>
      <c r="K79" s="551">
        <v>0.17026766728495701</v>
      </c>
      <c r="L79" s="551">
        <v>1.55712279987622E-2</v>
      </c>
      <c r="M79" s="552">
        <v>0.177966415648</v>
      </c>
    </row>
    <row r="80" spans="2:13" ht="15.75" x14ac:dyDescent="0.25">
      <c r="B80" s="538">
        <v>2016</v>
      </c>
      <c r="C80" s="539">
        <v>1987</v>
      </c>
      <c r="D80" s="540" t="s">
        <v>4651</v>
      </c>
      <c r="E80" s="547">
        <v>6.3281266174020454E-2</v>
      </c>
      <c r="F80" s="548">
        <v>0.13937427544136022</v>
      </c>
      <c r="G80" s="549">
        <v>0.281940810312172</v>
      </c>
      <c r="H80" s="550">
        <v>1.7778038599832799</v>
      </c>
      <c r="I80" s="551">
        <v>5.2213451171468703</v>
      </c>
      <c r="J80" s="551">
        <v>3.9641534039841799</v>
      </c>
      <c r="K80" s="551">
        <v>0.19201227416577599</v>
      </c>
      <c r="L80" s="551">
        <v>1.52201346050167E-2</v>
      </c>
      <c r="M80" s="552">
        <v>0.20069421716170499</v>
      </c>
    </row>
    <row r="81" spans="2:13" ht="15.75" x14ac:dyDescent="0.25">
      <c r="B81" s="538">
        <v>2016</v>
      </c>
      <c r="C81" s="539">
        <v>1988</v>
      </c>
      <c r="D81" s="540" t="s">
        <v>4652</v>
      </c>
      <c r="E81" s="547">
        <v>6.2662564440125509E-2</v>
      </c>
      <c r="F81" s="548">
        <v>0.13276929289562153</v>
      </c>
      <c r="G81" s="549">
        <v>0.27695944223219399</v>
      </c>
      <c r="H81" s="550">
        <v>0.43724434068998203</v>
      </c>
      <c r="I81" s="551">
        <v>5.2665102162837103</v>
      </c>
      <c r="J81" s="551">
        <v>1.6814438042175299</v>
      </c>
      <c r="K81" s="551">
        <v>0.18861977553305101</v>
      </c>
      <c r="L81" s="551">
        <v>1.40853486919906E-2</v>
      </c>
      <c r="M81" s="552">
        <v>0.19714832479479799</v>
      </c>
    </row>
    <row r="82" spans="2:13" ht="15.75" x14ac:dyDescent="0.25">
      <c r="B82" s="538">
        <v>2016</v>
      </c>
      <c r="C82" s="539">
        <v>1989</v>
      </c>
      <c r="D82" s="540" t="s">
        <v>4653</v>
      </c>
      <c r="E82" s="547">
        <v>6.2429324783787474E-2</v>
      </c>
      <c r="F82" s="548">
        <v>0.13216325561802378</v>
      </c>
      <c r="G82" s="549">
        <v>0.275340331578943</v>
      </c>
      <c r="H82" s="550">
        <v>0.43038467575068301</v>
      </c>
      <c r="I82" s="551">
        <v>5.2895005386509197</v>
      </c>
      <c r="J82" s="551">
        <v>1.6720427691537301</v>
      </c>
      <c r="K82" s="551">
        <v>0.18751710040662101</v>
      </c>
      <c r="L82" s="551">
        <v>1.3934422010862001E-2</v>
      </c>
      <c r="M82" s="552">
        <v>0.19599579159219899</v>
      </c>
    </row>
    <row r="83" spans="2:13" ht="15.75" x14ac:dyDescent="0.25">
      <c r="B83" s="538">
        <v>2016</v>
      </c>
      <c r="C83" s="539">
        <v>1990</v>
      </c>
      <c r="D83" s="540" t="s">
        <v>4654</v>
      </c>
      <c r="E83" s="547">
        <v>6.2442614272028185E-2</v>
      </c>
      <c r="F83" s="548">
        <v>0.13309832721308062</v>
      </c>
      <c r="G83" s="549">
        <v>0.27579016501025599</v>
      </c>
      <c r="H83" s="550">
        <v>0.43639388233322801</v>
      </c>
      <c r="I83" s="551">
        <v>5.2925765195420897</v>
      </c>
      <c r="J83" s="551">
        <v>1.67990001709393</v>
      </c>
      <c r="K83" s="551">
        <v>0.18782345385735599</v>
      </c>
      <c r="L83" s="551">
        <v>1.4210792630800899E-2</v>
      </c>
      <c r="M83" s="552">
        <v>0.196315996986553</v>
      </c>
    </row>
    <row r="84" spans="2:13" ht="15.75" x14ac:dyDescent="0.25">
      <c r="B84" s="538">
        <v>2016</v>
      </c>
      <c r="C84" s="539">
        <v>1991</v>
      </c>
      <c r="D84" s="540" t="s">
        <v>4655</v>
      </c>
      <c r="E84" s="547">
        <v>6.3366136877962886E-2</v>
      </c>
      <c r="F84" s="548">
        <v>0.13254566211844726</v>
      </c>
      <c r="G84" s="549">
        <v>0.363816699302563</v>
      </c>
      <c r="H84" s="550">
        <v>0.48157105736240602</v>
      </c>
      <c r="I84" s="551">
        <v>9.2349955241169592</v>
      </c>
      <c r="J84" s="551">
        <v>2.9245763022004501</v>
      </c>
      <c r="K84" s="551">
        <v>5.1561299142365603E-2</v>
      </c>
      <c r="L84" s="551">
        <v>7.7252122683035898E-3</v>
      </c>
      <c r="M84" s="552">
        <v>5.3892672289706997E-2</v>
      </c>
    </row>
    <row r="85" spans="2:13" ht="15.75" x14ac:dyDescent="0.25">
      <c r="B85" s="538">
        <v>2016</v>
      </c>
      <c r="C85" s="539">
        <v>1992</v>
      </c>
      <c r="D85" s="540" t="s">
        <v>4656</v>
      </c>
      <c r="E85" s="547">
        <v>6.3595706785463862E-2</v>
      </c>
      <c r="F85" s="548">
        <v>0.13342348251541675</v>
      </c>
      <c r="G85" s="549">
        <v>0.366570676547952</v>
      </c>
      <c r="H85" s="550">
        <v>0.48944246482758003</v>
      </c>
      <c r="I85" s="551">
        <v>9.2024588702573205</v>
      </c>
      <c r="J85" s="551">
        <v>2.9486304295606498</v>
      </c>
      <c r="K85" s="551">
        <v>5.19516018548387E-2</v>
      </c>
      <c r="L85" s="551">
        <v>7.8850244033013498E-3</v>
      </c>
      <c r="M85" s="552">
        <v>5.4300622758895599E-2</v>
      </c>
    </row>
    <row r="86" spans="2:13" ht="15.75" x14ac:dyDescent="0.25">
      <c r="B86" s="538">
        <v>2016</v>
      </c>
      <c r="C86" s="539">
        <v>1993</v>
      </c>
      <c r="D86" s="540" t="s">
        <v>4657</v>
      </c>
      <c r="E86" s="547">
        <v>6.3664833530465925E-2</v>
      </c>
      <c r="F86" s="548">
        <v>0.13269620590268288</v>
      </c>
      <c r="G86" s="549">
        <v>0.367038374161062</v>
      </c>
      <c r="H86" s="550">
        <v>0.481079963655906</v>
      </c>
      <c r="I86" s="551">
        <v>9.1934440442112795</v>
      </c>
      <c r="J86" s="551">
        <v>2.9324183270910398</v>
      </c>
      <c r="K86" s="551">
        <v>5.2051851990264297E-2</v>
      </c>
      <c r="L86" s="551">
        <v>7.7771556411453703E-3</v>
      </c>
      <c r="M86" s="552">
        <v>5.4405405760591698E-2</v>
      </c>
    </row>
    <row r="87" spans="2:13" ht="15.75" x14ac:dyDescent="0.25">
      <c r="B87" s="538">
        <v>2016</v>
      </c>
      <c r="C87" s="539">
        <v>1994</v>
      </c>
      <c r="D87" s="540" t="s">
        <v>4658</v>
      </c>
      <c r="E87" s="547">
        <v>6.3259741254323154E-2</v>
      </c>
      <c r="F87" s="548">
        <v>0.13175422889927765</v>
      </c>
      <c r="G87" s="549">
        <v>0.35933528857255898</v>
      </c>
      <c r="H87" s="550">
        <v>0.47138519110798999</v>
      </c>
      <c r="I87" s="551">
        <v>9.2505676906553305</v>
      </c>
      <c r="J87" s="551">
        <v>2.9158752143487798</v>
      </c>
      <c r="K87" s="551">
        <v>5.1538666644141903E-2</v>
      </c>
      <c r="L87" s="551">
        <v>7.6422557476782602E-3</v>
      </c>
      <c r="M87" s="552">
        <v>5.38690164503439E-2</v>
      </c>
    </row>
    <row r="88" spans="2:13" ht="15.75" x14ac:dyDescent="0.25">
      <c r="B88" s="538">
        <v>2016</v>
      </c>
      <c r="C88" s="539">
        <v>1995</v>
      </c>
      <c r="D88" s="540" t="s">
        <v>4659</v>
      </c>
      <c r="E88" s="547">
        <v>6.3588594624353803E-2</v>
      </c>
      <c r="F88" s="548">
        <v>0.13115869139880221</v>
      </c>
      <c r="G88" s="549">
        <v>0.36099073094951301</v>
      </c>
      <c r="H88" s="550">
        <v>0.24996536095341601</v>
      </c>
      <c r="I88" s="551">
        <v>9.2282894558061006</v>
      </c>
      <c r="J88" s="551">
        <v>1.66308262002552</v>
      </c>
      <c r="K88" s="551">
        <v>5.18695765392439E-2</v>
      </c>
      <c r="L88" s="551">
        <v>4.9948664150066503E-3</v>
      </c>
      <c r="M88" s="552">
        <v>5.4214888622511503E-2</v>
      </c>
    </row>
    <row r="89" spans="2:13" ht="15.75" x14ac:dyDescent="0.25">
      <c r="B89" s="538">
        <v>2016</v>
      </c>
      <c r="C89" s="539">
        <v>1996</v>
      </c>
      <c r="D89" s="540" t="s">
        <v>4660</v>
      </c>
      <c r="E89" s="547">
        <v>6.3607447005603945E-2</v>
      </c>
      <c r="F89" s="548">
        <v>0.12974840816852451</v>
      </c>
      <c r="G89" s="549">
        <v>0.35806843356449197</v>
      </c>
      <c r="H89" s="550">
        <v>2.2913075646709899E-2</v>
      </c>
      <c r="I89" s="551">
        <v>9.2150812667235904</v>
      </c>
      <c r="J89" s="551">
        <v>0.39085829222556101</v>
      </c>
      <c r="K89" s="551">
        <v>5.1577201041849097E-2</v>
      </c>
      <c r="L89" s="551">
        <v>2.21835460848067E-3</v>
      </c>
      <c r="M89" s="552">
        <v>5.3909293202521601E-2</v>
      </c>
    </row>
    <row r="90" spans="2:13" ht="15.75" x14ac:dyDescent="0.25">
      <c r="B90" s="538">
        <v>2016</v>
      </c>
      <c r="C90" s="539">
        <v>1997</v>
      </c>
      <c r="D90" s="540" t="s">
        <v>4661</v>
      </c>
      <c r="E90" s="547">
        <v>6.3870411570235153E-2</v>
      </c>
      <c r="F90" s="548">
        <v>0.12838584373492548</v>
      </c>
      <c r="G90" s="549">
        <v>0.35691426016058297</v>
      </c>
      <c r="H90" s="550">
        <v>2.22697237368919E-2</v>
      </c>
      <c r="I90" s="551">
        <v>9.1632187164971395</v>
      </c>
      <c r="J90" s="551">
        <v>0.38377328315251102</v>
      </c>
      <c r="K90" s="551">
        <v>5.1574568802257303E-2</v>
      </c>
      <c r="L90" s="551">
        <v>2.1600572573534402E-3</v>
      </c>
      <c r="M90" s="552">
        <v>5.3906541944735799E-2</v>
      </c>
    </row>
    <row r="91" spans="2:13" ht="15.75" x14ac:dyDescent="0.25">
      <c r="B91" s="538">
        <v>2016</v>
      </c>
      <c r="C91" s="539">
        <v>1998</v>
      </c>
      <c r="D91" s="540" t="s">
        <v>4662</v>
      </c>
      <c r="E91" s="547">
        <v>6.3671313444079877E-2</v>
      </c>
      <c r="F91" s="548">
        <v>0.12892841791547968</v>
      </c>
      <c r="G91" s="549">
        <v>0.35061837819693897</v>
      </c>
      <c r="H91" s="550">
        <v>2.24337535641604E-2</v>
      </c>
      <c r="I91" s="551">
        <v>9.1912769278634592</v>
      </c>
      <c r="J91" s="551">
        <v>0.380854261427574</v>
      </c>
      <c r="K91" s="551">
        <v>5.0863771967974099E-2</v>
      </c>
      <c r="L91" s="551">
        <v>2.1867806690678599E-3</v>
      </c>
      <c r="M91" s="552">
        <v>5.3163606031720601E-2</v>
      </c>
    </row>
    <row r="92" spans="2:13" ht="15.75" x14ac:dyDescent="0.25">
      <c r="B92" s="538">
        <v>2016</v>
      </c>
      <c r="C92" s="539">
        <v>1999</v>
      </c>
      <c r="D92" s="540" t="s">
        <v>4663</v>
      </c>
      <c r="E92" s="547">
        <v>6.3594639680809126E-2</v>
      </c>
      <c r="F92" s="548">
        <v>0.12881131531925097</v>
      </c>
      <c r="G92" s="549">
        <v>0.34432768281672999</v>
      </c>
      <c r="H92" s="550">
        <v>2.1930634875257302E-2</v>
      </c>
      <c r="I92" s="551">
        <v>9.1830938763536896</v>
      </c>
      <c r="J92" s="551">
        <v>0.37465787818561003</v>
      </c>
      <c r="K92" s="551">
        <v>5.0187120592068597E-2</v>
      </c>
      <c r="L92" s="551">
        <v>2.1807641443517601E-3</v>
      </c>
      <c r="M92" s="552">
        <v>5.2456359483192598E-2</v>
      </c>
    </row>
    <row r="93" spans="2:13" ht="15.75" x14ac:dyDescent="0.25">
      <c r="B93" s="538">
        <v>2016</v>
      </c>
      <c r="C93" s="539">
        <v>2000</v>
      </c>
      <c r="D93" s="540" t="s">
        <v>4664</v>
      </c>
      <c r="E93" s="547">
        <v>6.3345096273310433E-2</v>
      </c>
      <c r="F93" s="548">
        <v>0.12929055543411716</v>
      </c>
      <c r="G93" s="549">
        <v>0.33563085026796502</v>
      </c>
      <c r="H93" s="550">
        <v>2.1914870032591301E-2</v>
      </c>
      <c r="I93" s="551">
        <v>9.1990131641069404</v>
      </c>
      <c r="J93" s="551">
        <v>0.368460973802545</v>
      </c>
      <c r="K93" s="551">
        <v>4.9192681261984401E-2</v>
      </c>
      <c r="L93" s="551">
        <v>2.20487977598211E-3</v>
      </c>
      <c r="M93" s="552">
        <v>5.14169560193612E-2</v>
      </c>
    </row>
    <row r="94" spans="2:13" ht="15.75" x14ac:dyDescent="0.25">
      <c r="B94" s="538">
        <v>2016</v>
      </c>
      <c r="C94" s="539">
        <v>2001</v>
      </c>
      <c r="D94" s="540" t="s">
        <v>4665</v>
      </c>
      <c r="E94" s="547">
        <v>6.3573754896800172E-2</v>
      </c>
      <c r="F94" s="548">
        <v>0.1294562667890379</v>
      </c>
      <c r="G94" s="549">
        <v>0.33066028148040399</v>
      </c>
      <c r="H94" s="550">
        <v>2.1710886154492601E-2</v>
      </c>
      <c r="I94" s="551">
        <v>9.1467486941359404</v>
      </c>
      <c r="J94" s="551">
        <v>0.35959044347782898</v>
      </c>
      <c r="K94" s="551">
        <v>4.8780339321300499E-2</v>
      </c>
      <c r="L94" s="551">
        <v>2.21635114111002E-3</v>
      </c>
      <c r="M94" s="552">
        <v>5.0985969805859802E-2</v>
      </c>
    </row>
    <row r="95" spans="2:13" ht="15.75" x14ac:dyDescent="0.25">
      <c r="B95" s="538">
        <v>2016</v>
      </c>
      <c r="C95" s="539">
        <v>2002</v>
      </c>
      <c r="D95" s="540" t="s">
        <v>4666</v>
      </c>
      <c r="E95" s="547">
        <v>6.3418016633039809E-2</v>
      </c>
      <c r="F95" s="548">
        <v>0.12930192987227074</v>
      </c>
      <c r="G95" s="549">
        <v>0.257777797086364</v>
      </c>
      <c r="H95" s="550">
        <v>2.12824612040424E-2</v>
      </c>
      <c r="I95" s="551">
        <v>7.0632437924918996</v>
      </c>
      <c r="J95" s="551">
        <v>0.27441103472394501</v>
      </c>
      <c r="K95" s="551">
        <v>4.9847325408196697E-2</v>
      </c>
      <c r="L95" s="551">
        <v>2.21238386876485E-3</v>
      </c>
      <c r="M95" s="552">
        <v>5.2101200268924799E-2</v>
      </c>
    </row>
    <row r="96" spans="2:13" ht="15.75" x14ac:dyDescent="0.25">
      <c r="B96" s="538">
        <v>2016</v>
      </c>
      <c r="C96" s="539">
        <v>2003</v>
      </c>
      <c r="D96" s="540" t="s">
        <v>4667</v>
      </c>
      <c r="E96" s="547">
        <v>6.3114736983180889E-2</v>
      </c>
      <c r="F96" s="548">
        <v>0.12872333559819971</v>
      </c>
      <c r="G96" s="549">
        <v>0.25056110908789903</v>
      </c>
      <c r="H96" s="550">
        <v>2.0607100200014699E-2</v>
      </c>
      <c r="I96" s="551">
        <v>7.07824720174587</v>
      </c>
      <c r="J96" s="551">
        <v>0.26207565154647899</v>
      </c>
      <c r="K96" s="551">
        <v>4.8850562647647797E-2</v>
      </c>
      <c r="L96" s="551">
        <v>2.1891732528368101E-3</v>
      </c>
      <c r="M96" s="552">
        <v>5.1059368319413198E-2</v>
      </c>
    </row>
    <row r="97" spans="2:13" ht="15.75" x14ac:dyDescent="0.25">
      <c r="B97" s="538">
        <v>2016</v>
      </c>
      <c r="C97" s="539">
        <v>2004</v>
      </c>
      <c r="D97" s="540" t="s">
        <v>4668</v>
      </c>
      <c r="E97" s="547">
        <v>6.2883142452216392E-2</v>
      </c>
      <c r="F97" s="548">
        <v>0.12764696939042933</v>
      </c>
      <c r="G97" s="549">
        <v>0.202239651614356</v>
      </c>
      <c r="H97" s="550">
        <v>1.38199496798897E-2</v>
      </c>
      <c r="I97" s="551">
        <v>5.9113075487743298</v>
      </c>
      <c r="J97" s="551">
        <v>0.21263433318180799</v>
      </c>
      <c r="K97" s="551">
        <v>4.7924878598946598E-2</v>
      </c>
      <c r="L97" s="551">
        <v>1.4242238516006401E-4</v>
      </c>
      <c r="M97" s="552">
        <v>5.0091828945691898E-2</v>
      </c>
    </row>
    <row r="98" spans="2:13" ht="15.75" x14ac:dyDescent="0.25">
      <c r="B98" s="538">
        <v>2016</v>
      </c>
      <c r="C98" s="539">
        <v>2005</v>
      </c>
      <c r="D98" s="540" t="s">
        <v>4669</v>
      </c>
      <c r="E98" s="547">
        <v>6.2929316502290014E-2</v>
      </c>
      <c r="F98" s="548">
        <v>0.12804145859898272</v>
      </c>
      <c r="G98" s="549">
        <v>0.19748867281907101</v>
      </c>
      <c r="H98" s="550">
        <v>1.3883923013724301E-2</v>
      </c>
      <c r="I98" s="551">
        <v>5.8899546314162503</v>
      </c>
      <c r="J98" s="551">
        <v>0.20265857444753599</v>
      </c>
      <c r="K98" s="551">
        <v>4.7285712175506998E-2</v>
      </c>
      <c r="L98" s="551">
        <v>1.4386516832043999E-4</v>
      </c>
      <c r="M98" s="552">
        <v>4.9423762252843298E-2</v>
      </c>
    </row>
    <row r="99" spans="2:13" ht="15.75" x14ac:dyDescent="0.25">
      <c r="B99" s="538">
        <v>2016</v>
      </c>
      <c r="C99" s="539">
        <v>2006</v>
      </c>
      <c r="D99" s="540" t="s">
        <v>4670</v>
      </c>
      <c r="E99" s="547">
        <v>6.2752908968519441E-2</v>
      </c>
      <c r="F99" s="548">
        <v>0.12834960914685925</v>
      </c>
      <c r="G99" s="549">
        <v>0.19113331737889699</v>
      </c>
      <c r="H99" s="550">
        <v>1.36693493803957E-2</v>
      </c>
      <c r="I99" s="551">
        <v>5.88616693946312</v>
      </c>
      <c r="J99" s="551">
        <v>0.19294276826888301</v>
      </c>
      <c r="K99" s="551">
        <v>4.6299425740011099E-2</v>
      </c>
      <c r="L99" s="551">
        <v>1.4496368912031001E-4</v>
      </c>
      <c r="M99" s="552">
        <v>4.8392880321315501E-2</v>
      </c>
    </row>
    <row r="100" spans="2:13" ht="15.75" x14ac:dyDescent="0.25">
      <c r="B100" s="538">
        <v>2016</v>
      </c>
      <c r="C100" s="539">
        <v>2007</v>
      </c>
      <c r="D100" s="540" t="s">
        <v>4671</v>
      </c>
      <c r="E100" s="547">
        <v>6.2924883203155965E-2</v>
      </c>
      <c r="F100" s="548">
        <v>0.12876284690526957</v>
      </c>
      <c r="G100" s="549">
        <v>0.140013333145695</v>
      </c>
      <c r="H100" s="550">
        <v>1.33912496693467E-2</v>
      </c>
      <c r="I100" s="551">
        <v>3.0412092114324101</v>
      </c>
      <c r="J100" s="551">
        <v>0.18516985083029799</v>
      </c>
      <c r="K100" s="551">
        <v>3.0895213532238699E-2</v>
      </c>
      <c r="L100" s="551">
        <v>1.46575093847201E-4</v>
      </c>
      <c r="M100" s="552">
        <v>3.22921579926869E-2</v>
      </c>
    </row>
    <row r="101" spans="2:13" ht="15.75" x14ac:dyDescent="0.25">
      <c r="B101" s="538">
        <v>2016</v>
      </c>
      <c r="C101" s="539">
        <v>2008</v>
      </c>
      <c r="D101" s="540" t="s">
        <v>4672</v>
      </c>
      <c r="E101" s="547">
        <v>6.3174982743591387E-2</v>
      </c>
      <c r="F101" s="548">
        <v>0.12922530286252801</v>
      </c>
      <c r="G101" s="549">
        <v>0.13793516840768399</v>
      </c>
      <c r="H101" s="550">
        <v>1.10431983683883E-2</v>
      </c>
      <c r="I101" s="551">
        <v>3.0150694584307098</v>
      </c>
      <c r="J101" s="551">
        <v>0.137252238308087</v>
      </c>
      <c r="K101" s="551">
        <v>3.0204801629388399E-2</v>
      </c>
      <c r="L101" s="551">
        <v>1.6908915332018701E-4</v>
      </c>
      <c r="M101" s="552">
        <v>3.15705287272472E-2</v>
      </c>
    </row>
    <row r="102" spans="2:13" ht="15.75" x14ac:dyDescent="0.25">
      <c r="B102" s="538">
        <v>2016</v>
      </c>
      <c r="C102" s="539">
        <v>2009</v>
      </c>
      <c r="D102" s="540" t="s">
        <v>4673</v>
      </c>
      <c r="E102" s="547">
        <v>6.3174468501990183E-2</v>
      </c>
      <c r="F102" s="548">
        <v>0.12801630126486557</v>
      </c>
      <c r="G102" s="549">
        <v>0.13384098341276399</v>
      </c>
      <c r="H102" s="550">
        <v>8.7513706446138793E-3</v>
      </c>
      <c r="I102" s="551">
        <v>3.0007345852285598</v>
      </c>
      <c r="J102" s="551">
        <v>9.7377216776948702E-2</v>
      </c>
      <c r="K102" s="551">
        <v>2.9233841197358099E-2</v>
      </c>
      <c r="L102" s="551">
        <v>1.8544024060793E-4</v>
      </c>
      <c r="M102" s="552">
        <v>3.05556657730536E-2</v>
      </c>
    </row>
    <row r="103" spans="2:13" ht="15.75" x14ac:dyDescent="0.25">
      <c r="B103" s="538">
        <v>2016</v>
      </c>
      <c r="C103" s="539">
        <v>2010</v>
      </c>
      <c r="D103" s="540" t="s">
        <v>4674</v>
      </c>
      <c r="E103" s="547">
        <v>6.3183874008959987E-2</v>
      </c>
      <c r="F103" s="548">
        <v>0.12686830889250728</v>
      </c>
      <c r="G103" s="549">
        <v>9.1161474017149802E-2</v>
      </c>
      <c r="H103" s="550">
        <v>8.5562108511993799E-3</v>
      </c>
      <c r="I103" s="551">
        <v>0.20176079710471301</v>
      </c>
      <c r="J103" s="551">
        <v>9.4930568931143794E-2</v>
      </c>
      <c r="K103" s="551">
        <v>1.3088046152035199E-2</v>
      </c>
      <c r="L103" s="551">
        <v>2.20615584879721E-4</v>
      </c>
      <c r="M103" s="552">
        <v>1.36798295216856E-2</v>
      </c>
    </row>
    <row r="104" spans="2:13" ht="15.75" x14ac:dyDescent="0.25">
      <c r="B104" s="538">
        <v>2016</v>
      </c>
      <c r="C104" s="539">
        <v>2011</v>
      </c>
      <c r="D104" s="540" t="s">
        <v>4675</v>
      </c>
      <c r="E104" s="547">
        <v>6.3119965216278967E-2</v>
      </c>
      <c r="F104" s="548">
        <v>0.12858534360516122</v>
      </c>
      <c r="G104" s="549">
        <v>8.8838611148116406E-2</v>
      </c>
      <c r="H104" s="550">
        <v>8.8795521078933095E-3</v>
      </c>
      <c r="I104" s="551">
        <v>0.19226884465146299</v>
      </c>
      <c r="J104" s="551">
        <v>9.5349603751162304E-2</v>
      </c>
      <c r="K104" s="551">
        <v>1.1912119561530999E-2</v>
      </c>
      <c r="L104" s="551">
        <v>3.1175379878621399E-4</v>
      </c>
      <c r="M104" s="552">
        <v>1.24507327488557E-2</v>
      </c>
    </row>
    <row r="105" spans="2:13" ht="15.75" x14ac:dyDescent="0.25">
      <c r="B105" s="538">
        <v>2016</v>
      </c>
      <c r="C105" s="539">
        <v>2012</v>
      </c>
      <c r="D105" s="540" t="s">
        <v>4676</v>
      </c>
      <c r="E105" s="547">
        <v>6.3241461423280354E-2</v>
      </c>
      <c r="F105" s="548">
        <v>0.12897346454005193</v>
      </c>
      <c r="G105" s="549">
        <v>8.7932164683567002E-2</v>
      </c>
      <c r="H105" s="550">
        <v>9.1940974724911001E-3</v>
      </c>
      <c r="I105" s="551">
        <v>0.18418694880341699</v>
      </c>
      <c r="J105" s="551">
        <v>9.7604665263414395E-2</v>
      </c>
      <c r="K105" s="551">
        <v>1.0740500652570701E-2</v>
      </c>
      <c r="L105" s="551">
        <v>4.6047662995625998E-4</v>
      </c>
      <c r="M105" s="552">
        <v>1.12261384318141E-2</v>
      </c>
    </row>
    <row r="106" spans="2:13" ht="15.75" x14ac:dyDescent="0.25">
      <c r="B106" s="538">
        <v>2016</v>
      </c>
      <c r="C106" s="539">
        <v>2013</v>
      </c>
      <c r="D106" s="540" t="s">
        <v>4677</v>
      </c>
      <c r="E106" s="547">
        <v>6.3098431742601269E-2</v>
      </c>
      <c r="F106" s="548">
        <v>0.12898891423371708</v>
      </c>
      <c r="G106" s="549">
        <v>8.4835560270368801E-2</v>
      </c>
      <c r="H106" s="550">
        <v>9.8496488243225207E-3</v>
      </c>
      <c r="I106" s="551">
        <v>0.17315945755710699</v>
      </c>
      <c r="J106" s="551">
        <v>0.104336996328213</v>
      </c>
      <c r="K106" s="551">
        <v>9.4294381073892295E-3</v>
      </c>
      <c r="L106" s="551">
        <v>6.8998223136658096E-4</v>
      </c>
      <c r="M106" s="552">
        <v>9.8557954560934795E-3</v>
      </c>
    </row>
    <row r="107" spans="2:13" ht="15.75" x14ac:dyDescent="0.25">
      <c r="B107" s="538">
        <v>2016</v>
      </c>
      <c r="C107" s="539">
        <v>2014</v>
      </c>
      <c r="D107" s="540" t="s">
        <v>4678</v>
      </c>
      <c r="E107" s="547">
        <v>6.1553318366073785E-2</v>
      </c>
      <c r="F107" s="548">
        <v>0.12685247115460771</v>
      </c>
      <c r="G107" s="549">
        <v>8.2018930757902606E-2</v>
      </c>
      <c r="H107" s="550">
        <v>1.0886495940021401E-2</v>
      </c>
      <c r="I107" s="551">
        <v>0.162045033759212</v>
      </c>
      <c r="J107" s="551">
        <v>0.11670821032548701</v>
      </c>
      <c r="K107" s="551">
        <v>8.0664868512253397E-3</v>
      </c>
      <c r="L107" s="551">
        <v>9.5722814192357301E-4</v>
      </c>
      <c r="M107" s="552">
        <v>8.4312175921324797E-3</v>
      </c>
    </row>
    <row r="108" spans="2:13" ht="15.75" x14ac:dyDescent="0.25">
      <c r="B108" s="538">
        <v>2016</v>
      </c>
      <c r="C108" s="539">
        <v>2015</v>
      </c>
      <c r="D108" s="540" t="s">
        <v>4679</v>
      </c>
      <c r="E108" s="547">
        <v>6.1014150900461951E-2</v>
      </c>
      <c r="F108" s="548">
        <v>0.12681182624430329</v>
      </c>
      <c r="G108" s="549">
        <v>7.9122005106517193E-2</v>
      </c>
      <c r="H108" s="550">
        <v>1.213753780374E-2</v>
      </c>
      <c r="I108" s="551">
        <v>0.150571700573147</v>
      </c>
      <c r="J108" s="551">
        <v>0.13010916501113401</v>
      </c>
      <c r="K108" s="551">
        <v>6.6488156222744999E-3</v>
      </c>
      <c r="L108" s="551">
        <v>1.22458407305735E-3</v>
      </c>
      <c r="M108" s="552">
        <v>6.94944556103139E-3</v>
      </c>
    </row>
    <row r="109" spans="2:13" ht="15.75" x14ac:dyDescent="0.25">
      <c r="B109" s="538">
        <v>2016</v>
      </c>
      <c r="C109" s="539">
        <v>2016</v>
      </c>
      <c r="D109" s="540" t="s">
        <v>4680</v>
      </c>
      <c r="E109" s="547">
        <v>5.9001275436966767E-2</v>
      </c>
      <c r="F109" s="548">
        <v>0.12284031170410276</v>
      </c>
      <c r="G109" s="549">
        <v>7.6035390624196494E-2</v>
      </c>
      <c r="H109" s="550">
        <v>1.0765226827558301E-2</v>
      </c>
      <c r="I109" s="551">
        <v>0.1214715246718</v>
      </c>
      <c r="J109" s="551">
        <v>0.107775244498812</v>
      </c>
      <c r="K109" s="551">
        <v>5.1729328203525497E-3</v>
      </c>
      <c r="L109" s="551">
        <v>1.37793377191066E-3</v>
      </c>
      <c r="M109" s="552">
        <v>5.4068298879394704E-3</v>
      </c>
    </row>
    <row r="110" spans="2:13" ht="15.75" x14ac:dyDescent="0.25">
      <c r="B110" s="538">
        <v>2017</v>
      </c>
      <c r="C110" s="539">
        <v>1982</v>
      </c>
      <c r="D110" s="540" t="s">
        <v>2972</v>
      </c>
      <c r="E110" s="547">
        <v>6.4150135413736889E-2</v>
      </c>
      <c r="F110" s="548">
        <v>0.13953297384164035</v>
      </c>
      <c r="G110" s="549">
        <v>0.229078979809822</v>
      </c>
      <c r="H110" s="550">
        <v>2.4640851666540899</v>
      </c>
      <c r="I110" s="551">
        <v>5.0659421671311096</v>
      </c>
      <c r="J110" s="551">
        <v>4.0647462359714597</v>
      </c>
      <c r="K110" s="551">
        <v>0.17266482568282401</v>
      </c>
      <c r="L110" s="551">
        <v>1.5163478540539699E-2</v>
      </c>
      <c r="M110" s="552">
        <v>0.18047196291138501</v>
      </c>
    </row>
    <row r="111" spans="2:13" ht="15.75" x14ac:dyDescent="0.25">
      <c r="B111" s="538">
        <v>2017</v>
      </c>
      <c r="C111" s="539">
        <v>1983</v>
      </c>
      <c r="D111" s="540" t="s">
        <v>2973</v>
      </c>
      <c r="E111" s="547">
        <v>6.1735855088589087E-2</v>
      </c>
      <c r="F111" s="548">
        <v>0.14443829906564762</v>
      </c>
      <c r="G111" s="549">
        <v>0.21276347074920601</v>
      </c>
      <c r="H111" s="550">
        <v>2.5884002834593298</v>
      </c>
      <c r="I111" s="551">
        <v>5.2153174619653804</v>
      </c>
      <c r="J111" s="551">
        <v>4.0633726217327997</v>
      </c>
      <c r="K111" s="551">
        <v>0.160367256825932</v>
      </c>
      <c r="L111" s="551">
        <v>1.6174579919168701E-2</v>
      </c>
      <c r="M111" s="552">
        <v>0.167618352560438</v>
      </c>
    </row>
    <row r="112" spans="2:13" ht="15.75" x14ac:dyDescent="0.25">
      <c r="B112" s="538">
        <v>2017</v>
      </c>
      <c r="C112" s="539">
        <v>1984</v>
      </c>
      <c r="D112" s="540" t="s">
        <v>2974</v>
      </c>
      <c r="E112" s="547">
        <v>6.2265686510903542E-2</v>
      </c>
      <c r="F112" s="548">
        <v>0.14322943175920586</v>
      </c>
      <c r="G112" s="549">
        <v>0.21695310806058299</v>
      </c>
      <c r="H112" s="550">
        <v>1.8974143116092701</v>
      </c>
      <c r="I112" s="551">
        <v>5.1950194488322303</v>
      </c>
      <c r="J112" s="551">
        <v>4.0633158955184703</v>
      </c>
      <c r="K112" s="551">
        <v>0.16352513275432901</v>
      </c>
      <c r="L112" s="551">
        <v>1.5854787954569901E-2</v>
      </c>
      <c r="M112" s="552">
        <v>0.17091901362545001</v>
      </c>
    </row>
    <row r="113" spans="2:13" ht="15.75" x14ac:dyDescent="0.25">
      <c r="B113" s="538">
        <v>2017</v>
      </c>
      <c r="C113" s="539">
        <v>1985</v>
      </c>
      <c r="D113" s="540" t="s">
        <v>2975</v>
      </c>
      <c r="E113" s="547">
        <v>6.4338588458420165E-2</v>
      </c>
      <c r="F113" s="548">
        <v>0.14136604669787833</v>
      </c>
      <c r="G113" s="549">
        <v>0.230466674938272</v>
      </c>
      <c r="H113" s="550">
        <v>1.8371730104355</v>
      </c>
      <c r="I113" s="551">
        <v>5.0430791813643303</v>
      </c>
      <c r="J113" s="551">
        <v>4.1127684292880398</v>
      </c>
      <c r="K113" s="551">
        <v>0.17371077995437501</v>
      </c>
      <c r="L113" s="551">
        <v>1.5544835012224501E-2</v>
      </c>
      <c r="M113" s="552">
        <v>0.181565210593743</v>
      </c>
    </row>
    <row r="114" spans="2:13" ht="15.75" x14ac:dyDescent="0.25">
      <c r="B114" s="538">
        <v>2017</v>
      </c>
      <c r="C114" s="539">
        <v>1986</v>
      </c>
      <c r="D114" s="540" t="s">
        <v>2976</v>
      </c>
      <c r="E114" s="547">
        <v>6.3545987214778013E-2</v>
      </c>
      <c r="F114" s="548">
        <v>0.14139458695236928</v>
      </c>
      <c r="G114" s="549">
        <v>0.22588679871390699</v>
      </c>
      <c r="H114" s="550">
        <v>1.82949815565142</v>
      </c>
      <c r="I114" s="551">
        <v>5.1112010279276801</v>
      </c>
      <c r="J114" s="551">
        <v>3.87585290305416</v>
      </c>
      <c r="K114" s="551">
        <v>0.17025876733154399</v>
      </c>
      <c r="L114" s="551">
        <v>1.55701404814422E-2</v>
      </c>
      <c r="M114" s="552">
        <v>0.177957113278185</v>
      </c>
    </row>
    <row r="115" spans="2:13" ht="15.75" x14ac:dyDescent="0.25">
      <c r="B115" s="538">
        <v>2017</v>
      </c>
      <c r="C115" s="539">
        <v>1987</v>
      </c>
      <c r="D115" s="540" t="s">
        <v>2977</v>
      </c>
      <c r="E115" s="547">
        <v>6.3287312385444147E-2</v>
      </c>
      <c r="F115" s="548">
        <v>0.13942557181882667</v>
      </c>
      <c r="G115" s="549">
        <v>0.28180734290590598</v>
      </c>
      <c r="H115" s="550">
        <v>1.7772285059769399</v>
      </c>
      <c r="I115" s="551">
        <v>5.2220449763447201</v>
      </c>
      <c r="J115" s="551">
        <v>3.96407367246209</v>
      </c>
      <c r="K115" s="551">
        <v>0.191921377852553</v>
      </c>
      <c r="L115" s="551">
        <v>1.5215379263689099E-2</v>
      </c>
      <c r="M115" s="552">
        <v>0.200599210920545</v>
      </c>
    </row>
    <row r="116" spans="2:13" ht="15.75" x14ac:dyDescent="0.25">
      <c r="B116" s="538">
        <v>2017</v>
      </c>
      <c r="C116" s="539">
        <v>1988</v>
      </c>
      <c r="D116" s="540" t="s">
        <v>2978</v>
      </c>
      <c r="E116" s="547">
        <v>6.2670086212071957E-2</v>
      </c>
      <c r="F116" s="548">
        <v>0.13282138032346033</v>
      </c>
      <c r="G116" s="549">
        <v>0.27683294766230099</v>
      </c>
      <c r="H116" s="550">
        <v>0.437169468106408</v>
      </c>
      <c r="I116" s="551">
        <v>5.2669015172796403</v>
      </c>
      <c r="J116" s="551">
        <v>1.68158272454655</v>
      </c>
      <c r="K116" s="551">
        <v>0.18853362798311701</v>
      </c>
      <c r="L116" s="551">
        <v>1.4083711423763299E-2</v>
      </c>
      <c r="M116" s="552">
        <v>0.19705828203493</v>
      </c>
    </row>
    <row r="117" spans="2:13" ht="15.75" x14ac:dyDescent="0.25">
      <c r="B117" s="538">
        <v>2017</v>
      </c>
      <c r="C117" s="539">
        <v>1989</v>
      </c>
      <c r="D117" s="540" t="s">
        <v>2979</v>
      </c>
      <c r="E117" s="547">
        <v>6.2445926344298262E-2</v>
      </c>
      <c r="F117" s="548">
        <v>0.13220779573461</v>
      </c>
      <c r="G117" s="549">
        <v>0.27529056932595403</v>
      </c>
      <c r="H117" s="550">
        <v>0.43025605859842803</v>
      </c>
      <c r="I117" s="551">
        <v>5.2889823185093698</v>
      </c>
      <c r="J117" s="551">
        <v>1.6720684111983</v>
      </c>
      <c r="K117" s="551">
        <v>0.18748321044456301</v>
      </c>
      <c r="L117" s="551">
        <v>1.3930859934527799E-2</v>
      </c>
      <c r="M117" s="552">
        <v>0.195960369276441</v>
      </c>
    </row>
    <row r="118" spans="2:13" ht="15.75" x14ac:dyDescent="0.25">
      <c r="B118" s="538">
        <v>2017</v>
      </c>
      <c r="C118" s="539">
        <v>1990</v>
      </c>
      <c r="D118" s="540" t="s">
        <v>2980</v>
      </c>
      <c r="E118" s="547">
        <v>6.2460713959703443E-2</v>
      </c>
      <c r="F118" s="548">
        <v>0.13314047697710207</v>
      </c>
      <c r="G118" s="549">
        <v>0.27574858671883201</v>
      </c>
      <c r="H118" s="550">
        <v>0.43624780157444298</v>
      </c>
      <c r="I118" s="551">
        <v>5.29190325766083</v>
      </c>
      <c r="J118" s="551">
        <v>1.6799092106153199</v>
      </c>
      <c r="K118" s="551">
        <v>0.1877951374803</v>
      </c>
      <c r="L118" s="551">
        <v>1.4206654608874301E-2</v>
      </c>
      <c r="M118" s="552">
        <v>0.19628640026857899</v>
      </c>
    </row>
    <row r="119" spans="2:13" ht="15.75" x14ac:dyDescent="0.25">
      <c r="B119" s="538">
        <v>2017</v>
      </c>
      <c r="C119" s="539">
        <v>1991</v>
      </c>
      <c r="D119" s="540" t="s">
        <v>2981</v>
      </c>
      <c r="E119" s="547">
        <v>6.3396455540098956E-2</v>
      </c>
      <c r="F119" s="548">
        <v>0.13258371695041751</v>
      </c>
      <c r="G119" s="549">
        <v>0.36389504110837401</v>
      </c>
      <c r="H119" s="550">
        <v>0.48125825372862702</v>
      </c>
      <c r="I119" s="551">
        <v>9.2323466980785707</v>
      </c>
      <c r="J119" s="551">
        <v>2.9242713051999401</v>
      </c>
      <c r="K119" s="551">
        <v>5.1572402000735103E-2</v>
      </c>
      <c r="L119" s="551">
        <v>7.72049693290281E-3</v>
      </c>
      <c r="M119" s="552">
        <v>5.3904277170063797E-2</v>
      </c>
    </row>
    <row r="120" spans="2:13" ht="15.75" x14ac:dyDescent="0.25">
      <c r="B120" s="538">
        <v>2017</v>
      </c>
      <c r="C120" s="539">
        <v>1992</v>
      </c>
      <c r="D120" s="540" t="s">
        <v>2982</v>
      </c>
      <c r="E120" s="547">
        <v>6.3619222539531131E-2</v>
      </c>
      <c r="F120" s="548">
        <v>0.13345093193816601</v>
      </c>
      <c r="G120" s="549">
        <v>0.36657980051570899</v>
      </c>
      <c r="H120" s="550">
        <v>0.48902968264688901</v>
      </c>
      <c r="I120" s="551">
        <v>9.2010053986127094</v>
      </c>
      <c r="J120" s="551">
        <v>2.9480922376769501</v>
      </c>
      <c r="K120" s="551">
        <v>5.19528949335561E-2</v>
      </c>
      <c r="L120" s="551">
        <v>7.8786155416566191E-3</v>
      </c>
      <c r="M120" s="552">
        <v>5.4301974304894599E-2</v>
      </c>
    </row>
    <row r="121" spans="2:13" ht="15.75" x14ac:dyDescent="0.25">
      <c r="B121" s="538">
        <v>2017</v>
      </c>
      <c r="C121" s="539">
        <v>1993</v>
      </c>
      <c r="D121" s="540" t="s">
        <v>2983</v>
      </c>
      <c r="E121" s="547">
        <v>6.3688380590176938E-2</v>
      </c>
      <c r="F121" s="548">
        <v>0.13275077966389895</v>
      </c>
      <c r="G121" s="549">
        <v>0.36762514983240402</v>
      </c>
      <c r="H121" s="550">
        <v>0.48080149675843398</v>
      </c>
      <c r="I121" s="551">
        <v>9.1940203084808001</v>
      </c>
      <c r="J121" s="551">
        <v>2.9293166451966899</v>
      </c>
      <c r="K121" s="551">
        <v>5.21010452766539E-2</v>
      </c>
      <c r="L121" s="551">
        <v>7.7753385436142904E-3</v>
      </c>
      <c r="M121" s="552">
        <v>5.4456823349099799E-2</v>
      </c>
    </row>
    <row r="122" spans="2:13" ht="15.75" x14ac:dyDescent="0.25">
      <c r="B122" s="538">
        <v>2017</v>
      </c>
      <c r="C122" s="539">
        <v>1994</v>
      </c>
      <c r="D122" s="540" t="s">
        <v>2984</v>
      </c>
      <c r="E122" s="547">
        <v>6.3281444078155877E-2</v>
      </c>
      <c r="F122" s="548">
        <v>0.13179259336613355</v>
      </c>
      <c r="G122" s="549">
        <v>0.36078548826687101</v>
      </c>
      <c r="H122" s="550">
        <v>0.47094026543110101</v>
      </c>
      <c r="I122" s="551">
        <v>9.2531292986144091</v>
      </c>
      <c r="J122" s="551">
        <v>2.9105322406407801</v>
      </c>
      <c r="K122" s="551">
        <v>5.1687005979790902E-2</v>
      </c>
      <c r="L122" s="551">
        <v>7.6373402619101397E-3</v>
      </c>
      <c r="M122" s="552">
        <v>5.4024063032504899E-2</v>
      </c>
    </row>
    <row r="123" spans="2:13" ht="15.75" x14ac:dyDescent="0.25">
      <c r="B123" s="538">
        <v>2017</v>
      </c>
      <c r="C123" s="539">
        <v>1995</v>
      </c>
      <c r="D123" s="540" t="s">
        <v>2985</v>
      </c>
      <c r="E123" s="547">
        <v>6.3625255182528609E-2</v>
      </c>
      <c r="F123" s="548">
        <v>0.13119224696789489</v>
      </c>
      <c r="G123" s="549">
        <v>0.36343170255280099</v>
      </c>
      <c r="H123" s="550">
        <v>0.250727499084132</v>
      </c>
      <c r="I123" s="551">
        <v>9.2303093735052801</v>
      </c>
      <c r="J123" s="551">
        <v>1.66163463952651</v>
      </c>
      <c r="K123" s="551">
        <v>5.2126206252074002E-2</v>
      </c>
      <c r="L123" s="551">
        <v>4.99169577504121E-3</v>
      </c>
      <c r="M123" s="552">
        <v>5.44831219921783E-2</v>
      </c>
    </row>
    <row r="124" spans="2:13" ht="15.75" x14ac:dyDescent="0.25">
      <c r="B124" s="538">
        <v>2017</v>
      </c>
      <c r="C124" s="539">
        <v>1996</v>
      </c>
      <c r="D124" s="540" t="s">
        <v>2986</v>
      </c>
      <c r="E124" s="547">
        <v>6.3643500562467842E-2</v>
      </c>
      <c r="F124" s="548">
        <v>0.12978493021576379</v>
      </c>
      <c r="G124" s="549">
        <v>0.36132860598965499</v>
      </c>
      <c r="H124" s="550">
        <v>2.2852832230847199E-2</v>
      </c>
      <c r="I124" s="551">
        <v>9.2191187509275494</v>
      </c>
      <c r="J124" s="551">
        <v>0.39258379722926201</v>
      </c>
      <c r="K124" s="551">
        <v>5.19181246978331E-2</v>
      </c>
      <c r="L124" s="551">
        <v>2.21780527746035E-3</v>
      </c>
      <c r="M124" s="552">
        <v>5.4265631913402897E-2</v>
      </c>
    </row>
    <row r="125" spans="2:13" ht="15.75" x14ac:dyDescent="0.25">
      <c r="B125" s="538">
        <v>2017</v>
      </c>
      <c r="C125" s="539">
        <v>1997</v>
      </c>
      <c r="D125" s="540" t="s">
        <v>2987</v>
      </c>
      <c r="E125" s="547">
        <v>6.3903997061651258E-2</v>
      </c>
      <c r="F125" s="548">
        <v>0.1284099851893265</v>
      </c>
      <c r="G125" s="549">
        <v>0.36101878746272298</v>
      </c>
      <c r="H125" s="550">
        <v>2.22283317552571E-2</v>
      </c>
      <c r="I125" s="551">
        <v>9.1695782781266306</v>
      </c>
      <c r="J125" s="551">
        <v>0.38627726853466499</v>
      </c>
      <c r="K125" s="551">
        <v>5.20021784536773E-2</v>
      </c>
      <c r="L125" s="551">
        <v>2.15891418020991E-3</v>
      </c>
      <c r="M125" s="552">
        <v>5.4353486207103299E-2</v>
      </c>
    </row>
    <row r="126" spans="2:13" ht="15.75" x14ac:dyDescent="0.25">
      <c r="B126" s="538">
        <v>2017</v>
      </c>
      <c r="C126" s="539">
        <v>1998</v>
      </c>
      <c r="D126" s="540" t="s">
        <v>2988</v>
      </c>
      <c r="E126" s="547">
        <v>6.3708908207998571E-2</v>
      </c>
      <c r="F126" s="548">
        <v>0.12895634481923091</v>
      </c>
      <c r="G126" s="549">
        <v>0.35557601094333002</v>
      </c>
      <c r="H126" s="550">
        <v>2.2430888050355698E-2</v>
      </c>
      <c r="I126" s="551">
        <v>9.1988051900182306</v>
      </c>
      <c r="J126" s="551">
        <v>0.38440444150660702</v>
      </c>
      <c r="K126" s="551">
        <v>5.1381190072310498E-2</v>
      </c>
      <c r="L126" s="551">
        <v>2.1857710528326098E-3</v>
      </c>
      <c r="M126" s="552">
        <v>5.3704419486726197E-2</v>
      </c>
    </row>
    <row r="127" spans="2:13" ht="15.75" x14ac:dyDescent="0.25">
      <c r="B127" s="538">
        <v>2017</v>
      </c>
      <c r="C127" s="539">
        <v>1999</v>
      </c>
      <c r="D127" s="540" t="s">
        <v>2989</v>
      </c>
      <c r="E127" s="547">
        <v>6.3632127237960523E-2</v>
      </c>
      <c r="F127" s="548">
        <v>0.1288524031409187</v>
      </c>
      <c r="G127" s="549">
        <v>0.35008763691649097</v>
      </c>
      <c r="H127" s="550">
        <v>2.2047769218113699E-2</v>
      </c>
      <c r="I127" s="551">
        <v>9.1924157889282796</v>
      </c>
      <c r="J127" s="551">
        <v>0.37945693017156001</v>
      </c>
      <c r="K127" s="551">
        <v>5.07867779906431E-2</v>
      </c>
      <c r="L127" s="551">
        <v>2.18041159021479E-3</v>
      </c>
      <c r="M127" s="552">
        <v>5.3083130728390403E-2</v>
      </c>
    </row>
    <row r="128" spans="2:13" ht="15.75" x14ac:dyDescent="0.25">
      <c r="B128" s="555">
        <v>2017</v>
      </c>
      <c r="C128" s="556">
        <v>2000</v>
      </c>
      <c r="D128" s="557" t="s">
        <v>2990</v>
      </c>
      <c r="E128" s="547">
        <v>6.3382273346596088E-2</v>
      </c>
      <c r="F128" s="548">
        <v>0.12932589536009564</v>
      </c>
      <c r="G128" s="549">
        <v>0.34216840447201202</v>
      </c>
      <c r="H128" s="550">
        <v>2.20729295393251E-2</v>
      </c>
      <c r="I128" s="551">
        <v>9.2102996375238302</v>
      </c>
      <c r="J128" s="551">
        <v>0.37461854997440103</v>
      </c>
      <c r="K128" s="551">
        <v>4.9872397239616402E-2</v>
      </c>
      <c r="L128" s="551">
        <v>2.2041683404286899E-3</v>
      </c>
      <c r="M128" s="552">
        <v>5.2127405737306703E-2</v>
      </c>
    </row>
    <row r="129" spans="2:13" ht="15.75" x14ac:dyDescent="0.25">
      <c r="B129" s="555">
        <v>2017</v>
      </c>
      <c r="C129" s="556">
        <v>2001</v>
      </c>
      <c r="D129" s="557" t="s">
        <v>2991</v>
      </c>
      <c r="E129" s="547">
        <v>6.3612851811416279E-2</v>
      </c>
      <c r="F129" s="548">
        <v>0.12948585994028752</v>
      </c>
      <c r="G129" s="549">
        <v>0.33809268287848598</v>
      </c>
      <c r="H129" s="550">
        <v>2.1917089541874501E-2</v>
      </c>
      <c r="I129" s="551">
        <v>9.15972216182114</v>
      </c>
      <c r="J129" s="551">
        <v>0.36721552239628902</v>
      </c>
      <c r="K129" s="551">
        <v>4.9553506695144203E-2</v>
      </c>
      <c r="L129" s="551">
        <v>2.21533351775387E-3</v>
      </c>
      <c r="M129" s="552">
        <v>5.1794096377469297E-2</v>
      </c>
    </row>
    <row r="130" spans="2:13" ht="15.75" x14ac:dyDescent="0.25">
      <c r="B130" s="555">
        <v>2017</v>
      </c>
      <c r="C130" s="556">
        <v>2002</v>
      </c>
      <c r="D130" s="557" t="s">
        <v>2992</v>
      </c>
      <c r="E130" s="547">
        <v>6.3457987059217166E-2</v>
      </c>
      <c r="F130" s="548">
        <v>0.12934147580270478</v>
      </c>
      <c r="G130" s="549">
        <v>0.26259650538472601</v>
      </c>
      <c r="H130" s="550">
        <v>2.15494463934125E-2</v>
      </c>
      <c r="I130" s="551">
        <v>7.0710419073369701</v>
      </c>
      <c r="J130" s="551">
        <v>0.28177073417536802</v>
      </c>
      <c r="K130" s="551">
        <v>5.0414182357087403E-2</v>
      </c>
      <c r="L130" s="551">
        <v>2.2118816886409899E-3</v>
      </c>
      <c r="M130" s="552">
        <v>5.2693687973654001E-2</v>
      </c>
    </row>
    <row r="131" spans="2:13" ht="15.75" x14ac:dyDescent="0.25">
      <c r="B131" s="555">
        <v>2017</v>
      </c>
      <c r="C131" s="556">
        <v>2003</v>
      </c>
      <c r="D131" s="557" t="s">
        <v>2993</v>
      </c>
      <c r="E131" s="547">
        <v>6.3151677641097803E-2</v>
      </c>
      <c r="F131" s="548">
        <v>0.12875131971202874</v>
      </c>
      <c r="G131" s="549">
        <v>0.25579506500183202</v>
      </c>
      <c r="H131" s="550">
        <v>2.0926515125251201E-2</v>
      </c>
      <c r="I131" s="551">
        <v>7.0874673070054897</v>
      </c>
      <c r="J131" s="551">
        <v>0.270219971296838</v>
      </c>
      <c r="K131" s="551">
        <v>4.9463918099529901E-2</v>
      </c>
      <c r="L131" s="551">
        <v>2.1880905713981898E-3</v>
      </c>
      <c r="M131" s="552">
        <v>5.1700456983104902E-2</v>
      </c>
    </row>
    <row r="132" spans="2:13" ht="15.75" x14ac:dyDescent="0.25">
      <c r="B132" s="555">
        <v>2017</v>
      </c>
      <c r="C132" s="556">
        <v>2004</v>
      </c>
      <c r="D132" s="557" t="s">
        <v>2994</v>
      </c>
      <c r="E132" s="547">
        <v>6.292261300072037E-2</v>
      </c>
      <c r="F132" s="548">
        <v>0.12768296049875272</v>
      </c>
      <c r="G132" s="549">
        <v>0.20694613584982599</v>
      </c>
      <c r="H132" s="550">
        <v>1.3973614223254599E-2</v>
      </c>
      <c r="I132" s="551">
        <v>5.9196877681847697</v>
      </c>
      <c r="J132" s="551">
        <v>0.21974376171403701</v>
      </c>
      <c r="K132" s="551">
        <v>4.8591933858479798E-2</v>
      </c>
      <c r="L132" s="551">
        <v>1.42369241665867E-4</v>
      </c>
      <c r="M132" s="552">
        <v>5.0789045484047203E-2</v>
      </c>
    </row>
    <row r="133" spans="2:13" ht="15.75" x14ac:dyDescent="0.25">
      <c r="B133" s="555">
        <v>2017</v>
      </c>
      <c r="C133" s="556">
        <v>2005</v>
      </c>
      <c r="D133" s="557" t="s">
        <v>2995</v>
      </c>
      <c r="E133" s="547">
        <v>6.2969777296238857E-2</v>
      </c>
      <c r="F133" s="548">
        <v>0.12807984564175051</v>
      </c>
      <c r="G133" s="549">
        <v>0.20260108140406799</v>
      </c>
      <c r="H133" s="550">
        <v>1.4014751500501899E-2</v>
      </c>
      <c r="I133" s="551">
        <v>5.8991909039664598</v>
      </c>
      <c r="J133" s="551">
        <v>0.21015294805658</v>
      </c>
      <c r="K133" s="551">
        <v>4.8010526881346903E-2</v>
      </c>
      <c r="L133" s="551">
        <v>1.4381672909395099E-4</v>
      </c>
      <c r="M133" s="552">
        <v>5.0181349863363603E-2</v>
      </c>
    </row>
    <row r="134" spans="2:13" ht="15.75" x14ac:dyDescent="0.25">
      <c r="B134" s="555">
        <v>2017</v>
      </c>
      <c r="C134" s="556">
        <v>2006</v>
      </c>
      <c r="D134" s="557" t="s">
        <v>2996</v>
      </c>
      <c r="E134" s="547">
        <v>6.2791344936146173E-2</v>
      </c>
      <c r="F134" s="548">
        <v>0.12838878553995944</v>
      </c>
      <c r="G134" s="549">
        <v>0.19659478727726401</v>
      </c>
      <c r="H134" s="550">
        <v>1.3877908169016E-2</v>
      </c>
      <c r="I134" s="551">
        <v>5.8965404185560804</v>
      </c>
      <c r="J134" s="551">
        <v>0.20059464189152099</v>
      </c>
      <c r="K134" s="551">
        <v>4.7071684637398803E-2</v>
      </c>
      <c r="L134" s="551">
        <v>1.44916175920316E-4</v>
      </c>
      <c r="M134" s="552">
        <v>4.9200057339194997E-2</v>
      </c>
    </row>
    <row r="135" spans="2:13" ht="15.75" x14ac:dyDescent="0.25">
      <c r="B135" s="555">
        <v>2017</v>
      </c>
      <c r="C135" s="556">
        <v>2007</v>
      </c>
      <c r="D135" s="557" t="s">
        <v>2997</v>
      </c>
      <c r="E135" s="547">
        <v>6.2966236868336911E-2</v>
      </c>
      <c r="F135" s="548">
        <v>0.12878264962135838</v>
      </c>
      <c r="G135" s="549">
        <v>0.14381422301779001</v>
      </c>
      <c r="H135" s="550">
        <v>1.36980203348711E-2</v>
      </c>
      <c r="I135" s="551">
        <v>3.05036067221253</v>
      </c>
      <c r="J135" s="551">
        <v>0.19489689446539499</v>
      </c>
      <c r="K135" s="551">
        <v>3.1771147235837301E-2</v>
      </c>
      <c r="L135" s="551">
        <v>1.4645729622417901E-4</v>
      </c>
      <c r="M135" s="552">
        <v>3.3207697531463999E-2</v>
      </c>
    </row>
    <row r="136" spans="2:13" ht="15.75" x14ac:dyDescent="0.25">
      <c r="B136" s="555">
        <v>2017</v>
      </c>
      <c r="C136" s="556">
        <v>2008</v>
      </c>
      <c r="D136" s="557" t="s">
        <v>2998</v>
      </c>
      <c r="E136" s="547">
        <v>6.321022697630678E-2</v>
      </c>
      <c r="F136" s="548">
        <v>0.12925656654839107</v>
      </c>
      <c r="G136" s="549">
        <v>0.14197615303407701</v>
      </c>
      <c r="H136" s="550">
        <v>1.1262951936374299E-2</v>
      </c>
      <c r="I136" s="551">
        <v>3.0252573006830401</v>
      </c>
      <c r="J136" s="551">
        <v>0.14265993885813499</v>
      </c>
      <c r="K136" s="551">
        <v>3.11397707735987E-2</v>
      </c>
      <c r="L136" s="551">
        <v>1.68989270101777E-4</v>
      </c>
      <c r="M136" s="552">
        <v>3.2547773027294502E-2</v>
      </c>
    </row>
    <row r="137" spans="2:13" ht="15.75" x14ac:dyDescent="0.25">
      <c r="B137" s="555">
        <v>2017</v>
      </c>
      <c r="C137" s="556">
        <v>2009</v>
      </c>
      <c r="D137" s="557" t="s">
        <v>2999</v>
      </c>
      <c r="E137" s="547">
        <v>6.3207919717120142E-2</v>
      </c>
      <c r="F137" s="548">
        <v>0.12801642228116647</v>
      </c>
      <c r="G137" s="549">
        <v>0.13812183750434101</v>
      </c>
      <c r="H137" s="550">
        <v>8.7767243488682204E-3</v>
      </c>
      <c r="I137" s="551">
        <v>3.0117108106144501</v>
      </c>
      <c r="J137" s="551">
        <v>9.84353477616563E-2</v>
      </c>
      <c r="K137" s="551">
        <v>3.0226217678120601E-2</v>
      </c>
      <c r="L137" s="551">
        <v>1.85202042727749E-4</v>
      </c>
      <c r="M137" s="552">
        <v>3.1592913114670697E-2</v>
      </c>
    </row>
    <row r="138" spans="2:13" ht="15.75" x14ac:dyDescent="0.25">
      <c r="B138" s="555">
        <v>2017</v>
      </c>
      <c r="C138" s="556">
        <v>2010</v>
      </c>
      <c r="D138" s="557" t="s">
        <v>3000</v>
      </c>
      <c r="E138" s="547">
        <v>6.3222715804143695E-2</v>
      </c>
      <c r="F138" s="548">
        <v>0.12690270314439023</v>
      </c>
      <c r="G138" s="549">
        <v>9.3177197069402501E-2</v>
      </c>
      <c r="H138" s="550">
        <v>8.5905150716511693E-3</v>
      </c>
      <c r="I138" s="551">
        <v>0.21052271936097</v>
      </c>
      <c r="J138" s="551">
        <v>9.5909882035596597E-2</v>
      </c>
      <c r="K138" s="551">
        <v>1.41936128771605E-2</v>
      </c>
      <c r="L138" s="551">
        <v>2.2049642614544999E-4</v>
      </c>
      <c r="M138" s="552">
        <v>1.4835385068241299E-2</v>
      </c>
    </row>
    <row r="139" spans="2:13" ht="15.75" x14ac:dyDescent="0.25">
      <c r="B139" s="555">
        <v>2017</v>
      </c>
      <c r="C139" s="556">
        <v>2011</v>
      </c>
      <c r="D139" s="557" t="s">
        <v>3001</v>
      </c>
      <c r="E139" s="547">
        <v>6.3163177408895224E-2</v>
      </c>
      <c r="F139" s="548">
        <v>0.12860783932721162</v>
      </c>
      <c r="G139" s="549">
        <v>9.0977202487847797E-2</v>
      </c>
      <c r="H139" s="550">
        <v>8.8228276809664899E-3</v>
      </c>
      <c r="I139" s="551">
        <v>0.20151939555922699</v>
      </c>
      <c r="J139" s="551">
        <v>9.5171635446346797E-2</v>
      </c>
      <c r="K139" s="551">
        <v>1.3078491127485201E-2</v>
      </c>
      <c r="L139" s="551">
        <v>3.1148543033336699E-4</v>
      </c>
      <c r="M139" s="552">
        <v>1.36698424613252E-2</v>
      </c>
    </row>
    <row r="140" spans="2:13" ht="15.75" x14ac:dyDescent="0.25">
      <c r="B140" s="555">
        <v>2017</v>
      </c>
      <c r="C140" s="556">
        <v>2012</v>
      </c>
      <c r="D140" s="557" t="s">
        <v>3002</v>
      </c>
      <c r="E140" s="547">
        <v>6.3285513361085885E-2</v>
      </c>
      <c r="F140" s="548">
        <v>0.12899627142363784</v>
      </c>
      <c r="G140" s="549">
        <v>9.0198859665096498E-2</v>
      </c>
      <c r="H140" s="550">
        <v>8.8927016074027299E-3</v>
      </c>
      <c r="I140" s="551">
        <v>0.193978825927413</v>
      </c>
      <c r="J140" s="551">
        <v>9.4508732600789694E-2</v>
      </c>
      <c r="K140" s="551">
        <v>1.19728893369094E-2</v>
      </c>
      <c r="L140" s="551">
        <v>4.60050596154276E-4</v>
      </c>
      <c r="M140" s="552">
        <v>1.25142502638149E-2</v>
      </c>
    </row>
    <row r="141" spans="2:13" ht="15.75" x14ac:dyDescent="0.25">
      <c r="B141" s="555">
        <v>2017</v>
      </c>
      <c r="C141" s="556">
        <v>2013</v>
      </c>
      <c r="D141" s="557" t="s">
        <v>3003</v>
      </c>
      <c r="E141" s="547">
        <v>6.3137097302981018E-2</v>
      </c>
      <c r="F141" s="548">
        <v>0.12902526689817501</v>
      </c>
      <c r="G141" s="549">
        <v>8.7120201787689006E-2</v>
      </c>
      <c r="H141" s="550">
        <v>9.1440724800852594E-3</v>
      </c>
      <c r="I141" s="551">
        <v>0.183292761655063</v>
      </c>
      <c r="J141" s="551">
        <v>9.6333494184349902E-2</v>
      </c>
      <c r="K141" s="551">
        <v>1.07168895228698E-2</v>
      </c>
      <c r="L141" s="551">
        <v>6.8950653632767205E-4</v>
      </c>
      <c r="M141" s="552">
        <v>1.1201459711601001E-2</v>
      </c>
    </row>
    <row r="142" spans="2:13" ht="15.75" x14ac:dyDescent="0.25">
      <c r="B142" s="555">
        <v>2017</v>
      </c>
      <c r="C142" s="556">
        <v>2014</v>
      </c>
      <c r="D142" s="557" t="s">
        <v>3004</v>
      </c>
      <c r="E142" s="547">
        <v>6.159831606367689E-2</v>
      </c>
      <c r="F142" s="548">
        <v>0.12690776540218343</v>
      </c>
      <c r="G142" s="549">
        <v>8.4428416021098102E-2</v>
      </c>
      <c r="H142" s="550">
        <v>9.7752501175194899E-3</v>
      </c>
      <c r="I142" s="551">
        <v>0.172658603882129</v>
      </c>
      <c r="J142" s="551">
        <v>0.10350274427158</v>
      </c>
      <c r="K142" s="551">
        <v>9.4135828831954406E-3</v>
      </c>
      <c r="L142" s="551">
        <v>9.5685701687828499E-4</v>
      </c>
      <c r="M142" s="552">
        <v>9.8392233290181593E-3</v>
      </c>
    </row>
    <row r="143" spans="2:13" ht="15.75" x14ac:dyDescent="0.25">
      <c r="B143" s="555">
        <v>2017</v>
      </c>
      <c r="C143" s="556">
        <v>2015</v>
      </c>
      <c r="D143" s="557" t="s">
        <v>3005</v>
      </c>
      <c r="E143" s="547">
        <v>6.1065198213835901E-2</v>
      </c>
      <c r="F143" s="548">
        <v>0.1268832558990225</v>
      </c>
      <c r="G143" s="549">
        <v>8.1627919888096506E-2</v>
      </c>
      <c r="H143" s="550">
        <v>1.10331751450213E-2</v>
      </c>
      <c r="I143" s="551">
        <v>0.161628883827172</v>
      </c>
      <c r="J143" s="551">
        <v>0.117052176636482</v>
      </c>
      <c r="K143" s="551">
        <v>8.0541371548320893E-3</v>
      </c>
      <c r="L143" s="551">
        <v>1.22414046946217E-3</v>
      </c>
      <c r="M143" s="552">
        <v>8.4183094972692905E-3</v>
      </c>
    </row>
    <row r="144" spans="2:13" ht="15.75" x14ac:dyDescent="0.25">
      <c r="B144" s="555">
        <v>2017</v>
      </c>
      <c r="C144" s="556">
        <v>2016</v>
      </c>
      <c r="D144" s="557" t="s">
        <v>3006</v>
      </c>
      <c r="E144" s="547">
        <v>5.9061746849375173E-2</v>
      </c>
      <c r="F144" s="548">
        <v>0.12292362484507109</v>
      </c>
      <c r="G144" s="549">
        <v>7.86166647652881E-2</v>
      </c>
      <c r="H144" s="550">
        <v>1.10810961425187E-2</v>
      </c>
      <c r="I144" s="551">
        <v>0.13152578286945299</v>
      </c>
      <c r="J144" s="551">
        <v>0.11358535094899901</v>
      </c>
      <c r="K144" s="551">
        <v>6.6349962647517203E-3</v>
      </c>
      <c r="L144" s="551">
        <v>1.37659572824973E-3</v>
      </c>
      <c r="M144" s="552">
        <v>6.9350013534839198E-3</v>
      </c>
    </row>
    <row r="145" spans="2:13" ht="15.75" x14ac:dyDescent="0.25">
      <c r="B145" s="555">
        <v>2017</v>
      </c>
      <c r="C145" s="556">
        <v>2017</v>
      </c>
      <c r="D145" s="557" t="s">
        <v>3007</v>
      </c>
      <c r="E145" s="547">
        <v>5.5534553557232469E-2</v>
      </c>
      <c r="F145" s="548">
        <v>0.11908654505270913</v>
      </c>
      <c r="G145" s="549">
        <v>6.3576852614272802E-2</v>
      </c>
      <c r="H145" s="550">
        <v>9.7145465373176306E-3</v>
      </c>
      <c r="I145" s="551">
        <v>9.4915585272055097E-2</v>
      </c>
      <c r="J145" s="551">
        <v>9.1956799686545201E-2</v>
      </c>
      <c r="K145" s="551">
        <v>4.9214608683808697E-3</v>
      </c>
      <c r="L145" s="551">
        <v>1.43867140505451E-3</v>
      </c>
      <c r="M145" s="552">
        <v>5.14398749018988E-3</v>
      </c>
    </row>
    <row r="146" spans="2:13" ht="15.75" x14ac:dyDescent="0.25">
      <c r="B146" s="555">
        <v>2018</v>
      </c>
      <c r="C146" s="556">
        <v>1982</v>
      </c>
      <c r="D146" s="557" t="s">
        <v>3016</v>
      </c>
      <c r="E146" s="547">
        <v>6.4201152001332806E-2</v>
      </c>
      <c r="F146" s="548">
        <v>0.13968196742510194</v>
      </c>
      <c r="G146" s="549">
        <v>0.229194468083362</v>
      </c>
      <c r="H146" s="550">
        <v>2.46568089104764</v>
      </c>
      <c r="I146" s="551">
        <v>5.0646680234323203</v>
      </c>
      <c r="J146" s="551">
        <v>4.0638217773507899</v>
      </c>
      <c r="K146" s="551">
        <v>0.17275187322701899</v>
      </c>
      <c r="L146" s="551">
        <v>1.51723191258372E-2</v>
      </c>
      <c r="M146" s="552">
        <v>0.18056294635926101</v>
      </c>
    </row>
    <row r="147" spans="2:13" ht="15.75" x14ac:dyDescent="0.25">
      <c r="B147" s="555">
        <v>2018</v>
      </c>
      <c r="C147" s="556">
        <v>1983</v>
      </c>
      <c r="D147" s="557" t="s">
        <v>3017</v>
      </c>
      <c r="E147" s="547">
        <v>6.1783905506231335E-2</v>
      </c>
      <c r="F147" s="548">
        <v>0.14457356813389691</v>
      </c>
      <c r="G147" s="549">
        <v>0.21285472609464501</v>
      </c>
      <c r="H147" s="550">
        <v>2.58963285700719</v>
      </c>
      <c r="I147" s="551">
        <v>5.2144418746564796</v>
      </c>
      <c r="J147" s="551">
        <v>4.0629277410405296</v>
      </c>
      <c r="K147" s="551">
        <v>0.160436039166092</v>
      </c>
      <c r="L147" s="551">
        <v>1.6182639464904398E-2</v>
      </c>
      <c r="M147" s="552">
        <v>0.16769024493280299</v>
      </c>
    </row>
    <row r="148" spans="2:13" ht="15.75" x14ac:dyDescent="0.25">
      <c r="B148" s="555">
        <v>2018</v>
      </c>
      <c r="C148" s="556">
        <v>1984</v>
      </c>
      <c r="D148" s="557" t="s">
        <v>3018</v>
      </c>
      <c r="E148" s="547">
        <v>6.2312241863117096E-2</v>
      </c>
      <c r="F148" s="548">
        <v>0.14340921612507621</v>
      </c>
      <c r="G148" s="549">
        <v>0.21704213268818601</v>
      </c>
      <c r="H148" s="550">
        <v>1.8988048779751101</v>
      </c>
      <c r="I148" s="551">
        <v>5.1942561157294502</v>
      </c>
      <c r="J148" s="551">
        <v>4.0619954655682697</v>
      </c>
      <c r="K148" s="551">
        <v>0.16359223372456799</v>
      </c>
      <c r="L148" s="551">
        <v>1.58643670204009E-2</v>
      </c>
      <c r="M148" s="552">
        <v>0.17098914860380701</v>
      </c>
    </row>
    <row r="149" spans="2:13" ht="15.75" x14ac:dyDescent="0.25">
      <c r="B149" s="555">
        <v>2018</v>
      </c>
      <c r="C149" s="556">
        <v>1985</v>
      </c>
      <c r="D149" s="557" t="s">
        <v>3019</v>
      </c>
      <c r="E149" s="547">
        <v>6.4381611033836508E-2</v>
      </c>
      <c r="F149" s="548">
        <v>0.14153668896433388</v>
      </c>
      <c r="G149" s="549">
        <v>0.230544121209182</v>
      </c>
      <c r="H149" s="550">
        <v>1.8381705322262001</v>
      </c>
      <c r="I149" s="551">
        <v>5.04227848738888</v>
      </c>
      <c r="J149" s="551">
        <v>4.1122415467901803</v>
      </c>
      <c r="K149" s="551">
        <v>0.17376915391290099</v>
      </c>
      <c r="L149" s="551">
        <v>1.5553307846903E-2</v>
      </c>
      <c r="M149" s="552">
        <v>0.181626223963642</v>
      </c>
    </row>
    <row r="150" spans="2:13" ht="15.75" x14ac:dyDescent="0.25">
      <c r="B150" s="555">
        <v>2018</v>
      </c>
      <c r="C150" s="556">
        <v>1986</v>
      </c>
      <c r="D150" s="557" t="s">
        <v>3020</v>
      </c>
      <c r="E150" s="547">
        <v>6.3591754163890818E-2</v>
      </c>
      <c r="F150" s="548">
        <v>0.14156805155742594</v>
      </c>
      <c r="G150" s="549">
        <v>0.225982272817293</v>
      </c>
      <c r="H150" s="550">
        <v>1.8306446082251899</v>
      </c>
      <c r="I150" s="551">
        <v>5.1102633077009099</v>
      </c>
      <c r="J150" s="551">
        <v>3.8751572787411099</v>
      </c>
      <c r="K150" s="551">
        <v>0.170330729496872</v>
      </c>
      <c r="L150" s="551">
        <v>1.5579513862634699E-2</v>
      </c>
      <c r="M150" s="552">
        <v>0.17803232925330301</v>
      </c>
    </row>
    <row r="151" spans="2:13" ht="15.75" x14ac:dyDescent="0.25">
      <c r="B151" s="555">
        <v>2018</v>
      </c>
      <c r="C151" s="556">
        <v>1987</v>
      </c>
      <c r="D151" s="557" t="s">
        <v>3021</v>
      </c>
      <c r="E151" s="547">
        <v>6.3330224888929143E-2</v>
      </c>
      <c r="F151" s="548">
        <v>0.13959704830851197</v>
      </c>
      <c r="G151" s="549">
        <v>0.28190648807048302</v>
      </c>
      <c r="H151" s="550">
        <v>1.77831155389151</v>
      </c>
      <c r="I151" s="551">
        <v>5.2213289217412804</v>
      </c>
      <c r="J151" s="551">
        <v>3.9634391553136799</v>
      </c>
      <c r="K151" s="551">
        <v>0.191988899430937</v>
      </c>
      <c r="L151" s="551">
        <v>1.52245269398078E-2</v>
      </c>
      <c r="M151" s="552">
        <v>0.20066978552508</v>
      </c>
    </row>
    <row r="152" spans="2:13" ht="15.75" x14ac:dyDescent="0.25">
      <c r="B152" s="555">
        <v>2018</v>
      </c>
      <c r="C152" s="556">
        <v>1988</v>
      </c>
      <c r="D152" s="557" t="s">
        <v>3022</v>
      </c>
      <c r="E152" s="547">
        <v>6.2713153389476584E-2</v>
      </c>
      <c r="F152" s="548">
        <v>0.13295039626927338</v>
      </c>
      <c r="G152" s="549">
        <v>0.27693144686127102</v>
      </c>
      <c r="H152" s="550">
        <v>0.43744519355926997</v>
      </c>
      <c r="I152" s="551">
        <v>5.2661919124724204</v>
      </c>
      <c r="J152" s="551">
        <v>1.68200323553092</v>
      </c>
      <c r="K152" s="551">
        <v>0.18860070963467601</v>
      </c>
      <c r="L152" s="551">
        <v>1.40927995819404E-2</v>
      </c>
      <c r="M152" s="552">
        <v>0.197128396821102</v>
      </c>
    </row>
    <row r="153" spans="2:13" ht="15.75" x14ac:dyDescent="0.25">
      <c r="B153" s="555">
        <v>2018</v>
      </c>
      <c r="C153" s="556">
        <v>1989</v>
      </c>
      <c r="D153" s="557" t="s">
        <v>3023</v>
      </c>
      <c r="E153" s="547">
        <v>6.248988591864639E-2</v>
      </c>
      <c r="F153" s="548">
        <v>0.13234013764591904</v>
      </c>
      <c r="G153" s="549">
        <v>0.27540626835549398</v>
      </c>
      <c r="H153" s="550">
        <v>0.43058537329864599</v>
      </c>
      <c r="I153" s="551">
        <v>5.2881298703072801</v>
      </c>
      <c r="J153" s="551">
        <v>1.67254836217569</v>
      </c>
      <c r="K153" s="551">
        <v>0.18756200582631699</v>
      </c>
      <c r="L153" s="551">
        <v>1.39417642739931E-2</v>
      </c>
      <c r="M153" s="552">
        <v>0.196042727435709</v>
      </c>
    </row>
    <row r="154" spans="2:13" ht="15.75" x14ac:dyDescent="0.25">
      <c r="B154" s="555">
        <v>2018</v>
      </c>
      <c r="C154" s="556">
        <v>1990</v>
      </c>
      <c r="D154" s="557" t="s">
        <v>3024</v>
      </c>
      <c r="E154" s="547">
        <v>6.2503655056441704E-2</v>
      </c>
      <c r="F154" s="548">
        <v>0.13326583817932569</v>
      </c>
      <c r="G154" s="549">
        <v>0.27585993270914699</v>
      </c>
      <c r="H154" s="550">
        <v>0.43653124305256402</v>
      </c>
      <c r="I154" s="551">
        <v>5.2910972343592801</v>
      </c>
      <c r="J154" s="551">
        <v>1.68032654277783</v>
      </c>
      <c r="K154" s="551">
        <v>0.187870968278956</v>
      </c>
      <c r="L154" s="551">
        <v>1.4216059233260501E-2</v>
      </c>
      <c r="M154" s="552">
        <v>0.196365659799455</v>
      </c>
    </row>
    <row r="155" spans="2:13" ht="15.75" x14ac:dyDescent="0.25">
      <c r="B155" s="555">
        <v>2018</v>
      </c>
      <c r="C155" s="556">
        <v>1991</v>
      </c>
      <c r="D155" s="557" t="s">
        <v>3025</v>
      </c>
      <c r="E155" s="547">
        <v>6.343943569389339E-2</v>
      </c>
      <c r="F155" s="548">
        <v>0.13272966114311777</v>
      </c>
      <c r="G155" s="549">
        <v>0.36402916265294799</v>
      </c>
      <c r="H155" s="550">
        <v>0.48159988419054101</v>
      </c>
      <c r="I155" s="551">
        <v>9.2309207292715598</v>
      </c>
      <c r="J155" s="551">
        <v>2.9250583040414799</v>
      </c>
      <c r="K155" s="551">
        <v>5.159141014713E-2</v>
      </c>
      <c r="L155" s="551">
        <v>7.7261135798697596E-3</v>
      </c>
      <c r="M155" s="552">
        <v>5.39241447804912E-2</v>
      </c>
    </row>
    <row r="156" spans="2:13" ht="15.75" x14ac:dyDescent="0.25">
      <c r="B156" s="555">
        <v>2018</v>
      </c>
      <c r="C156" s="556">
        <v>1992</v>
      </c>
      <c r="D156" s="557" t="s">
        <v>3026</v>
      </c>
      <c r="E156" s="547">
        <v>6.3662306603719757E-2</v>
      </c>
      <c r="F156" s="548">
        <v>0.13358924031999495</v>
      </c>
      <c r="G156" s="549">
        <v>0.36672490411471798</v>
      </c>
      <c r="H156" s="550">
        <v>0.48930979445258699</v>
      </c>
      <c r="I156" s="551">
        <v>9.1994287795823908</v>
      </c>
      <c r="J156" s="551">
        <v>2.9487208273062899</v>
      </c>
      <c r="K156" s="551">
        <v>5.1973459492822997E-2</v>
      </c>
      <c r="L156" s="551">
        <v>7.8831845556307199E-3</v>
      </c>
      <c r="M156" s="552">
        <v>5.4323468702277701E-2</v>
      </c>
    </row>
    <row r="157" spans="2:13" ht="15.75" x14ac:dyDescent="0.25">
      <c r="B157" s="555">
        <v>2018</v>
      </c>
      <c r="C157" s="556">
        <v>1993</v>
      </c>
      <c r="D157" s="557" t="s">
        <v>3027</v>
      </c>
      <c r="E157" s="547">
        <v>6.3729173187661595E-2</v>
      </c>
      <c r="F157" s="548">
        <v>0.13289224631020038</v>
      </c>
      <c r="G157" s="549">
        <v>0.36774907960764502</v>
      </c>
      <c r="H157" s="550">
        <v>0.48113462037698002</v>
      </c>
      <c r="I157" s="551">
        <v>9.1926654979092302</v>
      </c>
      <c r="J157" s="551">
        <v>2.9300598200335299</v>
      </c>
      <c r="K157" s="551">
        <v>5.2118609011980101E-2</v>
      </c>
      <c r="L157" s="551">
        <v>7.7808183358361602E-3</v>
      </c>
      <c r="M157" s="552">
        <v>5.4475181238599603E-2</v>
      </c>
    </row>
    <row r="158" spans="2:13" ht="15.75" x14ac:dyDescent="0.25">
      <c r="B158" s="555">
        <v>2018</v>
      </c>
      <c r="C158" s="556">
        <v>1994</v>
      </c>
      <c r="D158" s="557" t="s">
        <v>3028</v>
      </c>
      <c r="E158" s="547">
        <v>6.3326513295892367E-2</v>
      </c>
      <c r="F158" s="548">
        <v>0.13193405277063558</v>
      </c>
      <c r="G158" s="549">
        <v>0.36158501194611697</v>
      </c>
      <c r="H158" s="550">
        <v>0.471181610999304</v>
      </c>
      <c r="I158" s="551">
        <v>9.2533194717354608</v>
      </c>
      <c r="J158" s="551">
        <v>2.9088565437745499</v>
      </c>
      <c r="K158" s="551">
        <v>5.1774768366620302E-2</v>
      </c>
      <c r="L158" s="551">
        <v>7.6426399864958604E-3</v>
      </c>
      <c r="M158" s="552">
        <v>5.4115793645026798E-2</v>
      </c>
    </row>
    <row r="159" spans="2:13" ht="15.75" x14ac:dyDescent="0.25">
      <c r="B159" s="555">
        <v>2018</v>
      </c>
      <c r="C159" s="556">
        <v>1995</v>
      </c>
      <c r="D159" s="557" t="s">
        <v>3029</v>
      </c>
      <c r="E159" s="547">
        <v>6.3670261121857308E-2</v>
      </c>
      <c r="F159" s="548">
        <v>0.13131900754357967</v>
      </c>
      <c r="G159" s="549">
        <v>0.36507286644717701</v>
      </c>
      <c r="H159" s="550">
        <v>0.25146521870807698</v>
      </c>
      <c r="I159" s="551">
        <v>9.2321312830290996</v>
      </c>
      <c r="J159" s="551">
        <v>1.6609841809288199</v>
      </c>
      <c r="K159" s="551">
        <v>5.2301226198868102E-2</v>
      </c>
      <c r="L159" s="551">
        <v>4.99476732426793E-3</v>
      </c>
      <c r="M159" s="552">
        <v>5.4666055564326903E-2</v>
      </c>
    </row>
    <row r="160" spans="2:13" ht="15.75" x14ac:dyDescent="0.25">
      <c r="B160" s="555">
        <v>2018</v>
      </c>
      <c r="C160" s="556">
        <v>1996</v>
      </c>
      <c r="D160" s="557" t="s">
        <v>3030</v>
      </c>
      <c r="E160" s="547">
        <v>6.3689222431725201E-2</v>
      </c>
      <c r="F160" s="548">
        <v>0.12990072047012688</v>
      </c>
      <c r="G160" s="549">
        <v>0.36380344153442801</v>
      </c>
      <c r="H160" s="550">
        <v>2.2822194828719299E-2</v>
      </c>
      <c r="I160" s="551">
        <v>9.2227125972043709</v>
      </c>
      <c r="J160" s="551">
        <v>0.393912831347977</v>
      </c>
      <c r="K160" s="551">
        <v>5.21795239530123E-2</v>
      </c>
      <c r="L160" s="551">
        <v>2.2194699646516098E-3</v>
      </c>
      <c r="M160" s="552">
        <v>5.4538850482959297E-2</v>
      </c>
    </row>
    <row r="161" spans="2:13" ht="15.75" x14ac:dyDescent="0.25">
      <c r="B161" s="555">
        <v>2018</v>
      </c>
      <c r="C161" s="556">
        <v>1997</v>
      </c>
      <c r="D161" s="557" t="s">
        <v>3031</v>
      </c>
      <c r="E161" s="547">
        <v>6.3947828658994357E-2</v>
      </c>
      <c r="F161" s="548">
        <v>0.12852422733397767</v>
      </c>
      <c r="G161" s="549">
        <v>0.36432648323491401</v>
      </c>
      <c r="H161" s="550">
        <v>2.2209231321336498E-2</v>
      </c>
      <c r="I161" s="551">
        <v>9.1752403808480896</v>
      </c>
      <c r="J161" s="551">
        <v>0.38832748660625499</v>
      </c>
      <c r="K161" s="551">
        <v>5.2348879866585402E-2</v>
      </c>
      <c r="L161" s="551">
        <v>2.16048838435413E-3</v>
      </c>
      <c r="M161" s="552">
        <v>5.4715863919438397E-2</v>
      </c>
    </row>
    <row r="162" spans="2:13" ht="15.75" x14ac:dyDescent="0.25">
      <c r="B162" s="555">
        <v>2018</v>
      </c>
      <c r="C162" s="556">
        <v>1998</v>
      </c>
      <c r="D162" s="557" t="s">
        <v>3032</v>
      </c>
      <c r="E162" s="547">
        <v>6.3753357877423478E-2</v>
      </c>
      <c r="F162" s="548">
        <v>0.1290718026875548</v>
      </c>
      <c r="G162" s="549">
        <v>0.35971364274249801</v>
      </c>
      <c r="H162" s="550">
        <v>2.2438257349730002E-2</v>
      </c>
      <c r="I162" s="551">
        <v>9.2061759535383096</v>
      </c>
      <c r="J162" s="551">
        <v>0.38739387241108503</v>
      </c>
      <c r="K162" s="551">
        <v>5.1814181676207702E-2</v>
      </c>
      <c r="L162" s="551">
        <v>2.18745642946619E-3</v>
      </c>
      <c r="M162" s="552">
        <v>5.4156989049579801E-2</v>
      </c>
    </row>
    <row r="163" spans="2:13" ht="15.75" x14ac:dyDescent="0.25">
      <c r="B163" s="555">
        <v>2018</v>
      </c>
      <c r="C163" s="556">
        <v>1999</v>
      </c>
      <c r="D163" s="557" t="s">
        <v>3033</v>
      </c>
      <c r="E163" s="547">
        <v>6.3675745516566823E-2</v>
      </c>
      <c r="F163" s="548">
        <v>0.12896502499995052</v>
      </c>
      <c r="G163" s="549">
        <v>0.35503865907480803</v>
      </c>
      <c r="H163" s="550">
        <v>2.21597914702381E-2</v>
      </c>
      <c r="I163" s="551">
        <v>9.2016939218950498</v>
      </c>
      <c r="J163" s="551">
        <v>0.38354551713955398</v>
      </c>
      <c r="K163" s="551">
        <v>5.1303542037452902E-2</v>
      </c>
      <c r="L163" s="551">
        <v>2.1819963120245302E-3</v>
      </c>
      <c r="M163" s="552">
        <v>5.3623260552290497E-2</v>
      </c>
    </row>
    <row r="164" spans="2:13" ht="15.75" x14ac:dyDescent="0.25">
      <c r="B164" s="555">
        <v>2018</v>
      </c>
      <c r="C164" s="556">
        <v>2000</v>
      </c>
      <c r="D164" s="557" t="s">
        <v>3034</v>
      </c>
      <c r="E164" s="547">
        <v>6.3426388434236328E-2</v>
      </c>
      <c r="F164" s="548">
        <v>0.1294337438898118</v>
      </c>
      <c r="G164" s="549">
        <v>0.347914863279844</v>
      </c>
      <c r="H164" s="550">
        <v>2.22219590147608E-2</v>
      </c>
      <c r="I164" s="551">
        <v>9.2214272137538593</v>
      </c>
      <c r="J164" s="551">
        <v>0.37997907071758902</v>
      </c>
      <c r="K164" s="551">
        <v>5.04715764220297E-2</v>
      </c>
      <c r="L164" s="551">
        <v>2.2055386771424302E-3</v>
      </c>
      <c r="M164" s="552">
        <v>5.2753677143530499E-2</v>
      </c>
    </row>
    <row r="165" spans="2:13" ht="15.75" x14ac:dyDescent="0.25">
      <c r="B165" s="555">
        <v>2018</v>
      </c>
      <c r="C165" s="556">
        <v>2001</v>
      </c>
      <c r="D165" s="557" t="s">
        <v>3035</v>
      </c>
      <c r="E165" s="547">
        <v>6.3656507100924117E-2</v>
      </c>
      <c r="F165" s="548">
        <v>0.12959858420440262</v>
      </c>
      <c r="G165" s="549">
        <v>0.34470420518108802</v>
      </c>
      <c r="H165" s="550">
        <v>2.21146342993821E-2</v>
      </c>
      <c r="I165" s="551">
        <v>9.1726733761837398</v>
      </c>
      <c r="J165" s="551">
        <v>0.37400405388235203</v>
      </c>
      <c r="K165" s="551">
        <v>5.0242000214732303E-2</v>
      </c>
      <c r="L165" s="551">
        <v>2.2169761209823399E-3</v>
      </c>
      <c r="M165" s="552">
        <v>5.2513720518868399E-2</v>
      </c>
    </row>
    <row r="166" spans="2:13" ht="15.75" x14ac:dyDescent="0.25">
      <c r="B166" s="555">
        <v>2018</v>
      </c>
      <c r="C166" s="556">
        <v>2002</v>
      </c>
      <c r="D166" s="557" t="s">
        <v>3036</v>
      </c>
      <c r="E166" s="547">
        <v>6.3501147638548944E-2</v>
      </c>
      <c r="F166" s="548">
        <v>0.12945448118155239</v>
      </c>
      <c r="G166" s="549">
        <v>0.26693404313921099</v>
      </c>
      <c r="H166" s="550">
        <v>2.1799007317406801E-2</v>
      </c>
      <c r="I166" s="551">
        <v>7.0793784693992698</v>
      </c>
      <c r="J166" s="551">
        <v>0.28873788927065203</v>
      </c>
      <c r="K166" s="551">
        <v>5.0924903398661001E-2</v>
      </c>
      <c r="L166" s="551">
        <v>2.2136101834962598E-3</v>
      </c>
      <c r="M166" s="552">
        <v>5.3227501554436403E-2</v>
      </c>
    </row>
    <row r="167" spans="2:13" ht="15.75" x14ac:dyDescent="0.25">
      <c r="B167" s="555">
        <v>2018</v>
      </c>
      <c r="C167" s="556">
        <v>2003</v>
      </c>
      <c r="D167" s="557" t="s">
        <v>3037</v>
      </c>
      <c r="E167" s="547">
        <v>6.3195589951721587E-2</v>
      </c>
      <c r="F167" s="548">
        <v>0.12886191818175757</v>
      </c>
      <c r="G167" s="549">
        <v>0.26058067334690999</v>
      </c>
      <c r="H167" s="550">
        <v>2.12291678780379E-2</v>
      </c>
      <c r="I167" s="551">
        <v>7.0968855813773501</v>
      </c>
      <c r="J167" s="551">
        <v>0.27812173459629203</v>
      </c>
      <c r="K167" s="551">
        <v>5.00271759732559E-2</v>
      </c>
      <c r="L167" s="551">
        <v>2.1897366610472398E-3</v>
      </c>
      <c r="M167" s="552">
        <v>5.2289182878461002E-2</v>
      </c>
    </row>
    <row r="168" spans="2:13" ht="15.75" x14ac:dyDescent="0.25">
      <c r="B168" s="555">
        <v>2018</v>
      </c>
      <c r="C168" s="556">
        <v>2004</v>
      </c>
      <c r="D168" s="557" t="s">
        <v>3038</v>
      </c>
      <c r="E168" s="547">
        <v>6.2966814763045234E-2</v>
      </c>
      <c r="F168" s="548">
        <v>0.12779554161219814</v>
      </c>
      <c r="G168" s="549">
        <v>0.211276559521095</v>
      </c>
      <c r="H168" s="550">
        <v>1.4119654997245001E-2</v>
      </c>
      <c r="I168" s="551">
        <v>5.9284606937841398</v>
      </c>
      <c r="J168" s="551">
        <v>0.22677944309533199</v>
      </c>
      <c r="K168" s="551">
        <v>4.9207444548779303E-2</v>
      </c>
      <c r="L168" s="551">
        <v>1.42471208249773E-4</v>
      </c>
      <c r="M168" s="552">
        <v>5.1432386836473901E-2</v>
      </c>
    </row>
    <row r="169" spans="2:13" ht="15.75" x14ac:dyDescent="0.25">
      <c r="B169" s="555">
        <v>2018</v>
      </c>
      <c r="C169" s="556">
        <v>2005</v>
      </c>
      <c r="D169" s="557" t="s">
        <v>3039</v>
      </c>
      <c r="E169" s="547">
        <v>6.3014250701536823E-2</v>
      </c>
      <c r="F169" s="548">
        <v>0.12819223503776811</v>
      </c>
      <c r="G169" s="549">
        <v>0.20733094995204501</v>
      </c>
      <c r="H169" s="550">
        <v>1.40873285138287E-2</v>
      </c>
      <c r="I169" s="551">
        <v>5.9088183425887104</v>
      </c>
      <c r="J169" s="551">
        <v>0.21770608077081099</v>
      </c>
      <c r="K169" s="551">
        <v>4.8682290034139097E-2</v>
      </c>
      <c r="L169" s="551">
        <v>1.4391925516508801E-4</v>
      </c>
      <c r="M169" s="552">
        <v>5.0883487165020301E-2</v>
      </c>
    </row>
    <row r="170" spans="2:13" ht="15.75" x14ac:dyDescent="0.25">
      <c r="B170" s="555">
        <v>2018</v>
      </c>
      <c r="C170" s="556">
        <v>2006</v>
      </c>
      <c r="D170" s="557" t="s">
        <v>3040</v>
      </c>
      <c r="E170" s="547">
        <v>6.2836478614986049E-2</v>
      </c>
      <c r="F170" s="548">
        <v>0.1285018369427656</v>
      </c>
      <c r="G170" s="549">
        <v>0.20169372114204301</v>
      </c>
      <c r="H170" s="550">
        <v>1.40000747888875E-2</v>
      </c>
      <c r="I170" s="551">
        <v>5.90707496155831</v>
      </c>
      <c r="J170" s="551">
        <v>0.20840571527749699</v>
      </c>
      <c r="K170" s="551">
        <v>4.77955090544471E-2</v>
      </c>
      <c r="L170" s="551">
        <v>1.45022246494849E-4</v>
      </c>
      <c r="M170" s="552">
        <v>4.9956609884458901E-2</v>
      </c>
    </row>
    <row r="171" spans="2:13" ht="15.75" x14ac:dyDescent="0.25">
      <c r="B171" s="555">
        <v>2018</v>
      </c>
      <c r="C171" s="556">
        <v>2007</v>
      </c>
      <c r="D171" s="557" t="s">
        <v>3041</v>
      </c>
      <c r="E171" s="547">
        <v>6.3010753675939515E-2</v>
      </c>
      <c r="F171" s="548">
        <v>0.12889147525564423</v>
      </c>
      <c r="G171" s="549">
        <v>0.14735527359987699</v>
      </c>
      <c r="H171" s="550">
        <v>1.39059435007295E-2</v>
      </c>
      <c r="I171" s="551">
        <v>3.0594507428142999</v>
      </c>
      <c r="J171" s="551">
        <v>0.20440999589793901</v>
      </c>
      <c r="K171" s="551">
        <v>3.2587702689530797E-2</v>
      </c>
      <c r="L171" s="551">
        <v>1.4654824147858399E-4</v>
      </c>
      <c r="M171" s="552">
        <v>3.4061173999362399E-2</v>
      </c>
    </row>
    <row r="172" spans="2:13" ht="15.75" x14ac:dyDescent="0.25">
      <c r="B172" s="555">
        <v>2018</v>
      </c>
      <c r="C172" s="556">
        <v>2008</v>
      </c>
      <c r="D172" s="557" t="s">
        <v>3042</v>
      </c>
      <c r="E172" s="547">
        <v>6.3253802730976777E-2</v>
      </c>
      <c r="F172" s="548">
        <v>0.12936760155521349</v>
      </c>
      <c r="G172" s="549">
        <v>0.14579360673580599</v>
      </c>
      <c r="H172" s="550">
        <v>1.14179840150472E-2</v>
      </c>
      <c r="I172" s="551">
        <v>3.0350992722838699</v>
      </c>
      <c r="J172" s="551">
        <v>0.147751451771165</v>
      </c>
      <c r="K172" s="551">
        <v>3.2019876144629901E-2</v>
      </c>
      <c r="L172" s="551">
        <v>1.69100578887933E-4</v>
      </c>
      <c r="M172" s="552">
        <v>3.3467672857794097E-2</v>
      </c>
    </row>
    <row r="173" spans="2:13" ht="15.75" x14ac:dyDescent="0.25">
      <c r="B173" s="555">
        <v>2018</v>
      </c>
      <c r="C173" s="556">
        <v>2009</v>
      </c>
      <c r="D173" s="557" t="s">
        <v>3043</v>
      </c>
      <c r="E173" s="547">
        <v>6.3251858346241377E-2</v>
      </c>
      <c r="F173" s="548">
        <v>0.12813000668611213</v>
      </c>
      <c r="G173" s="549">
        <v>0.14219256470908101</v>
      </c>
      <c r="H173" s="550">
        <v>8.8117689033515405E-3</v>
      </c>
      <c r="I173" s="551">
        <v>3.02224352434988</v>
      </c>
      <c r="J173" s="551">
        <v>9.9224490636106402E-2</v>
      </c>
      <c r="K173" s="551">
        <v>3.1165434896076E-2</v>
      </c>
      <c r="L173" s="551">
        <v>1.85334279216042E-4</v>
      </c>
      <c r="M173" s="552">
        <v>3.2574597567507503E-2</v>
      </c>
    </row>
    <row r="174" spans="2:13" ht="15.75" x14ac:dyDescent="0.25">
      <c r="B174" s="555">
        <v>2018</v>
      </c>
      <c r="C174" s="556">
        <v>2010</v>
      </c>
      <c r="D174" s="557" t="s">
        <v>3044</v>
      </c>
      <c r="E174" s="547">
        <v>6.3266966661596924E-2</v>
      </c>
      <c r="F174" s="548">
        <v>0.12702363633475416</v>
      </c>
      <c r="G174" s="549">
        <v>9.5091570136175405E-2</v>
      </c>
      <c r="H174" s="550">
        <v>8.62582376985894E-3</v>
      </c>
      <c r="I174" s="551">
        <v>0.21879115720772899</v>
      </c>
      <c r="J174" s="551">
        <v>9.7193036331857094E-2</v>
      </c>
      <c r="K174" s="551">
        <v>1.5236609907933E-2</v>
      </c>
      <c r="L174" s="551">
        <v>2.2069012052428199E-4</v>
      </c>
      <c r="M174" s="552">
        <v>1.5925541796514599E-2</v>
      </c>
    </row>
    <row r="175" spans="2:13" ht="15.75" x14ac:dyDescent="0.25">
      <c r="B175" s="555">
        <v>2018</v>
      </c>
      <c r="C175" s="556">
        <v>2011</v>
      </c>
      <c r="D175" s="557" t="s">
        <v>3045</v>
      </c>
      <c r="E175" s="547">
        <v>6.3208487132845062E-2</v>
      </c>
      <c r="F175" s="548">
        <v>0.12872096034016534</v>
      </c>
      <c r="G175" s="549">
        <v>9.2993868296697799E-2</v>
      </c>
      <c r="H175" s="550">
        <v>8.8632490448359198E-3</v>
      </c>
      <c r="I175" s="551">
        <v>0.21025213810545099</v>
      </c>
      <c r="J175" s="551">
        <v>9.6448024506301799E-2</v>
      </c>
      <c r="K175" s="551">
        <v>1.4181572328518501E-2</v>
      </c>
      <c r="L175" s="551">
        <v>3.1169489754248901E-4</v>
      </c>
      <c r="M175" s="552">
        <v>1.4822800099418901E-2</v>
      </c>
    </row>
    <row r="176" spans="2:13" ht="15.75" x14ac:dyDescent="0.25">
      <c r="B176" s="555">
        <v>2018</v>
      </c>
      <c r="C176" s="556">
        <v>2012</v>
      </c>
      <c r="D176" s="557" t="s">
        <v>3046</v>
      </c>
      <c r="E176" s="547">
        <v>6.3330890535231568E-2</v>
      </c>
      <c r="F176" s="548">
        <v>0.12911322047686594</v>
      </c>
      <c r="G176" s="549">
        <v>9.2341326416754299E-2</v>
      </c>
      <c r="H176" s="550">
        <v>8.8410372869423808E-3</v>
      </c>
      <c r="I176" s="551">
        <v>0.20325073869146801</v>
      </c>
      <c r="J176" s="551">
        <v>9.4625681765424394E-2</v>
      </c>
      <c r="K176" s="551">
        <v>1.31419893999054E-2</v>
      </c>
      <c r="L176" s="551">
        <v>4.60371618504688E-4</v>
      </c>
      <c r="M176" s="552">
        <v>1.3736211843854901E-2</v>
      </c>
    </row>
    <row r="177" spans="2:13" ht="15.75" x14ac:dyDescent="0.25">
      <c r="B177" s="555">
        <v>2018</v>
      </c>
      <c r="C177" s="556">
        <v>2013</v>
      </c>
      <c r="D177" s="557" t="s">
        <v>3047</v>
      </c>
      <c r="E177" s="547">
        <v>6.3183477088199658E-2</v>
      </c>
      <c r="F177" s="548">
        <v>0.12913905230136752</v>
      </c>
      <c r="G177" s="549">
        <v>8.9341009555268094E-2</v>
      </c>
      <c r="H177" s="550">
        <v>8.8370295285786007E-3</v>
      </c>
      <c r="I177" s="551">
        <v>0.19298201016535099</v>
      </c>
      <c r="J177" s="551">
        <v>9.3367731945923793E-2</v>
      </c>
      <c r="K177" s="551">
        <v>1.19437297130315E-2</v>
      </c>
      <c r="L177" s="551">
        <v>6.8992371864646997E-4</v>
      </c>
      <c r="M177" s="552">
        <v>1.24837721711391E-2</v>
      </c>
    </row>
    <row r="178" spans="2:13" ht="15.75" x14ac:dyDescent="0.25">
      <c r="B178" s="555">
        <v>2018</v>
      </c>
      <c r="C178" s="556">
        <v>2014</v>
      </c>
      <c r="D178" s="557" t="s">
        <v>3048</v>
      </c>
      <c r="E178" s="547">
        <v>6.1645730685627238E-2</v>
      </c>
      <c r="F178" s="548">
        <v>0.12702406613675085</v>
      </c>
      <c r="G178" s="549">
        <v>8.6743148461161698E-2</v>
      </c>
      <c r="H178" s="550">
        <v>9.0584415304032998E-3</v>
      </c>
      <c r="I178" s="551">
        <v>0.18279239498609701</v>
      </c>
      <c r="J178" s="551">
        <v>9.5430847858749904E-2</v>
      </c>
      <c r="K178" s="551">
        <v>1.0699146130666101E-2</v>
      </c>
      <c r="L178" s="551">
        <v>9.5749667986831698E-4</v>
      </c>
      <c r="M178" s="552">
        <v>1.1182914041936999E-2</v>
      </c>
    </row>
    <row r="179" spans="2:13" ht="15.75" x14ac:dyDescent="0.25">
      <c r="B179" s="555">
        <v>2018</v>
      </c>
      <c r="C179" s="556">
        <v>2015</v>
      </c>
      <c r="D179" s="557" t="s">
        <v>3049</v>
      </c>
      <c r="E179" s="547">
        <v>6.1115683888341571E-2</v>
      </c>
      <c r="F179" s="548">
        <v>0.1270049346392543</v>
      </c>
      <c r="G179" s="549">
        <v>8.4036714724196396E-2</v>
      </c>
      <c r="H179" s="550">
        <v>9.8851036115937992E-3</v>
      </c>
      <c r="I179" s="551">
        <v>0.17220651302915499</v>
      </c>
      <c r="J179" s="551">
        <v>0.103431231164917</v>
      </c>
      <c r="K179" s="551">
        <v>9.3982112274263903E-3</v>
      </c>
      <c r="L179" s="551">
        <v>1.22497165900609E-3</v>
      </c>
      <c r="M179" s="552">
        <v>9.8231566351859399E-3</v>
      </c>
    </row>
    <row r="180" spans="2:13" ht="15.75" x14ac:dyDescent="0.25">
      <c r="B180" s="555">
        <v>2018</v>
      </c>
      <c r="C180" s="556">
        <v>2016</v>
      </c>
      <c r="D180" s="557" t="s">
        <v>3050</v>
      </c>
      <c r="E180" s="547">
        <v>5.911618611422876E-2</v>
      </c>
      <c r="F180" s="548">
        <v>0.12306424167173864</v>
      </c>
      <c r="G180" s="549">
        <v>8.1112663226661802E-2</v>
      </c>
      <c r="H180" s="550">
        <v>1.0053930597583201E-2</v>
      </c>
      <c r="I180" s="551">
        <v>0.141173140119251</v>
      </c>
      <c r="J180" s="551">
        <v>0.101957131610829</v>
      </c>
      <c r="K180" s="551">
        <v>8.0364569350876106E-3</v>
      </c>
      <c r="L180" s="551">
        <v>1.37775621575362E-3</v>
      </c>
      <c r="M180" s="552">
        <v>8.3998298564427892E-3</v>
      </c>
    </row>
    <row r="181" spans="2:13" ht="15.75" x14ac:dyDescent="0.25">
      <c r="B181" s="555">
        <v>2018</v>
      </c>
      <c r="C181" s="556">
        <v>2017</v>
      </c>
      <c r="D181" s="557" t="s">
        <v>3051</v>
      </c>
      <c r="E181" s="547">
        <v>5.5594215753667749E-2</v>
      </c>
      <c r="F181" s="548">
        <v>0.11924575939874457</v>
      </c>
      <c r="G181" s="549">
        <v>6.5717191636921093E-2</v>
      </c>
      <c r="H181" s="550">
        <v>1.0058154524022599E-2</v>
      </c>
      <c r="I181" s="551">
        <v>0.10273798134413201</v>
      </c>
      <c r="J181" s="551">
        <v>9.7281404316953396E-2</v>
      </c>
      <c r="K181" s="551">
        <v>6.3106764287593703E-3</v>
      </c>
      <c r="L181" s="551">
        <v>1.43927373738057E-3</v>
      </c>
      <c r="M181" s="552">
        <v>6.5960172136559497E-3</v>
      </c>
    </row>
    <row r="182" spans="2:13" ht="15.75" x14ac:dyDescent="0.25">
      <c r="B182" s="555">
        <v>2018</v>
      </c>
      <c r="C182" s="556">
        <v>2018</v>
      </c>
      <c r="D182" s="557" t="s">
        <v>3052</v>
      </c>
      <c r="E182" s="547">
        <v>5.1887548512243795E-2</v>
      </c>
      <c r="F182" s="548">
        <v>0.11406563197878099</v>
      </c>
      <c r="G182" s="549">
        <v>6.3664034950247E-2</v>
      </c>
      <c r="H182" s="550">
        <v>8.7465090303197792E-3</v>
      </c>
      <c r="I182" s="551">
        <v>7.7596163908789498E-2</v>
      </c>
      <c r="J182" s="551">
        <v>7.5800192703453395E-2</v>
      </c>
      <c r="K182" s="551">
        <v>4.9231375416746697E-3</v>
      </c>
      <c r="L182" s="551">
        <v>1.49960155012643E-3</v>
      </c>
      <c r="M182" s="552">
        <v>5.1457399752099101E-3</v>
      </c>
    </row>
    <row r="183" spans="2:13" ht="15.75" x14ac:dyDescent="0.25">
      <c r="B183" s="555">
        <v>2019</v>
      </c>
      <c r="C183" s="556">
        <v>1982</v>
      </c>
      <c r="D183" s="557" t="s">
        <v>3060</v>
      </c>
      <c r="E183" s="547">
        <v>6.4236722895306186E-2</v>
      </c>
      <c r="F183" s="548">
        <v>0.13968435341558164</v>
      </c>
      <c r="G183" s="549">
        <v>0.22908876081103599</v>
      </c>
      <c r="H183" s="550">
        <v>2.4607978701751998</v>
      </c>
      <c r="I183" s="551">
        <v>5.0684216969679401</v>
      </c>
      <c r="J183" s="551">
        <v>4.0704037219481304</v>
      </c>
      <c r="K183" s="551">
        <v>0.172672197964955</v>
      </c>
      <c r="L183" s="551">
        <v>1.5141771704821399E-2</v>
      </c>
      <c r="M183" s="552">
        <v>0.18047966853540001</v>
      </c>
    </row>
    <row r="184" spans="2:13" ht="15.75" x14ac:dyDescent="0.25">
      <c r="B184" s="555">
        <v>2019</v>
      </c>
      <c r="C184" s="556">
        <v>1983</v>
      </c>
      <c r="D184" s="557" t="s">
        <v>3061</v>
      </c>
      <c r="E184" s="547">
        <v>6.1819116785739626E-2</v>
      </c>
      <c r="F184" s="548">
        <v>0.14462228760486198</v>
      </c>
      <c r="G184" s="549">
        <v>0.212603130966113</v>
      </c>
      <c r="H184" s="550">
        <v>2.5868205374078999</v>
      </c>
      <c r="I184" s="551">
        <v>5.2207722448180096</v>
      </c>
      <c r="J184" s="551">
        <v>4.0679014650927998</v>
      </c>
      <c r="K184" s="551">
        <v>0.16024640313293601</v>
      </c>
      <c r="L184" s="551">
        <v>1.61658224243422E-2</v>
      </c>
      <c r="M184" s="552">
        <v>0.16749203439972499</v>
      </c>
    </row>
    <row r="185" spans="2:13" ht="15.75" x14ac:dyDescent="0.25">
      <c r="B185" s="555">
        <v>2019</v>
      </c>
      <c r="C185" s="556">
        <v>1984</v>
      </c>
      <c r="D185" s="557" t="s">
        <v>3062</v>
      </c>
      <c r="E185" s="547">
        <v>6.2345468100744622E-2</v>
      </c>
      <c r="F185" s="548">
        <v>0.14348495835146413</v>
      </c>
      <c r="G185" s="549">
        <v>0.21681817543297999</v>
      </c>
      <c r="H185" s="550">
        <v>1.8965445550850999</v>
      </c>
      <c r="I185" s="551">
        <v>5.2001303886533403</v>
      </c>
      <c r="J185" s="551">
        <v>4.0668371895398803</v>
      </c>
      <c r="K185" s="551">
        <v>0.16342342932155099</v>
      </c>
      <c r="L185" s="551">
        <v>1.5843598040977101E-2</v>
      </c>
      <c r="M185" s="552">
        <v>0.17081271161474401</v>
      </c>
    </row>
    <row r="186" spans="2:13" ht="15.75" x14ac:dyDescent="0.25">
      <c r="B186" s="555">
        <v>2019</v>
      </c>
      <c r="C186" s="556">
        <v>1985</v>
      </c>
      <c r="D186" s="557" t="s">
        <v>3063</v>
      </c>
      <c r="E186" s="547">
        <v>6.4410366844719666E-2</v>
      </c>
      <c r="F186" s="548">
        <v>0.14161144037392237</v>
      </c>
      <c r="G186" s="549">
        <v>0.230436560876148</v>
      </c>
      <c r="H186" s="550">
        <v>1.8358164977096201</v>
      </c>
      <c r="I186" s="551">
        <v>5.0465283830543797</v>
      </c>
      <c r="J186" s="551">
        <v>4.1176926735942097</v>
      </c>
      <c r="K186" s="551">
        <v>0.17368808193427901</v>
      </c>
      <c r="L186" s="551">
        <v>1.5533601193766801E-2</v>
      </c>
      <c r="M186" s="552">
        <v>0.18154148626989899</v>
      </c>
    </row>
    <row r="187" spans="2:13" ht="15.75" x14ac:dyDescent="0.25">
      <c r="B187" s="555">
        <v>2019</v>
      </c>
      <c r="C187" s="556">
        <v>1986</v>
      </c>
      <c r="D187" s="557" t="s">
        <v>3064</v>
      </c>
      <c r="E187" s="547">
        <v>6.3633903381955362E-2</v>
      </c>
      <c r="F187" s="548">
        <v>0.14162167131053291</v>
      </c>
      <c r="G187" s="549">
        <v>0.225877127831389</v>
      </c>
      <c r="H187" s="550">
        <v>1.8278094385425001</v>
      </c>
      <c r="I187" s="551">
        <v>5.1126204269959503</v>
      </c>
      <c r="J187" s="551">
        <v>3.8807600499214399</v>
      </c>
      <c r="K187" s="551">
        <v>0.17025147804971799</v>
      </c>
      <c r="L187" s="551">
        <v>1.55552339000806E-2</v>
      </c>
      <c r="M187" s="552">
        <v>0.177949494407381</v>
      </c>
    </row>
    <row r="188" spans="2:13" ht="15.75" x14ac:dyDescent="0.25">
      <c r="B188" s="555">
        <v>2019</v>
      </c>
      <c r="C188" s="556">
        <v>1987</v>
      </c>
      <c r="D188" s="557" t="s">
        <v>3065</v>
      </c>
      <c r="E188" s="547">
        <v>6.3364858174688177E-2</v>
      </c>
      <c r="F188" s="548">
        <v>0.13964204121817803</v>
      </c>
      <c r="G188" s="549">
        <v>0.28172313773976199</v>
      </c>
      <c r="H188" s="550">
        <v>1.7751245905353401</v>
      </c>
      <c r="I188" s="551">
        <v>5.2251750782586601</v>
      </c>
      <c r="J188" s="551">
        <v>3.9703257502031701</v>
      </c>
      <c r="K188" s="551">
        <v>0.19186403097386001</v>
      </c>
      <c r="L188" s="551">
        <v>1.5197346614359401E-2</v>
      </c>
      <c r="M188" s="552">
        <v>0.20053927107047001</v>
      </c>
    </row>
    <row r="189" spans="2:13" ht="15.75" x14ac:dyDescent="0.25">
      <c r="B189" s="555">
        <v>2019</v>
      </c>
      <c r="C189" s="556">
        <v>1988</v>
      </c>
      <c r="D189" s="557" t="s">
        <v>3066</v>
      </c>
      <c r="E189" s="547">
        <v>6.275054953491116E-2</v>
      </c>
      <c r="F189" s="548">
        <v>0.1329841771621027</v>
      </c>
      <c r="G189" s="549">
        <v>0.27671476818476898</v>
      </c>
      <c r="H189" s="550">
        <v>0.43665140984198603</v>
      </c>
      <c r="I189" s="551">
        <v>5.2699260823330301</v>
      </c>
      <c r="J189" s="551">
        <v>1.6804922926250401</v>
      </c>
      <c r="K189" s="551">
        <v>0.188453143323178</v>
      </c>
      <c r="L189" s="551">
        <v>1.4067675857778199E-2</v>
      </c>
      <c r="M189" s="552">
        <v>0.19697415821581399</v>
      </c>
    </row>
    <row r="190" spans="2:13" ht="15.75" x14ac:dyDescent="0.25">
      <c r="B190" s="555">
        <v>2019</v>
      </c>
      <c r="C190" s="556">
        <v>1989</v>
      </c>
      <c r="D190" s="557" t="s">
        <v>3067</v>
      </c>
      <c r="E190" s="547">
        <v>6.2528234614044179E-2</v>
      </c>
      <c r="F190" s="548">
        <v>0.13236614318700327</v>
      </c>
      <c r="G190" s="549">
        <v>0.27521428748367399</v>
      </c>
      <c r="H190" s="550">
        <v>0.429708036883377</v>
      </c>
      <c r="I190" s="551">
        <v>5.2917602818827598</v>
      </c>
      <c r="J190" s="551">
        <v>1.6708835029561799</v>
      </c>
      <c r="K190" s="551">
        <v>0.18743125964681401</v>
      </c>
      <c r="L190" s="551">
        <v>1.39138478953725E-2</v>
      </c>
      <c r="M190" s="552">
        <v>0.19590606949414599</v>
      </c>
    </row>
    <row r="191" spans="2:13" ht="15.75" x14ac:dyDescent="0.25">
      <c r="B191" s="555">
        <v>2019</v>
      </c>
      <c r="C191" s="556">
        <v>1990</v>
      </c>
      <c r="D191" s="557" t="s">
        <v>3068</v>
      </c>
      <c r="E191" s="547">
        <v>6.2541347764226984E-2</v>
      </c>
      <c r="F191" s="548">
        <v>0.13329872138651688</v>
      </c>
      <c r="G191" s="549">
        <v>0.27566397421877498</v>
      </c>
      <c r="H191" s="550">
        <v>0.43580270947213401</v>
      </c>
      <c r="I191" s="551">
        <v>5.29450146781278</v>
      </c>
      <c r="J191" s="551">
        <v>1.67891753609772</v>
      </c>
      <c r="K191" s="551">
        <v>0.187737513191923</v>
      </c>
      <c r="L191" s="551">
        <v>1.4192718259252101E-2</v>
      </c>
      <c r="M191" s="552">
        <v>0.19622617046558499</v>
      </c>
    </row>
    <row r="192" spans="2:13" ht="15.75" x14ac:dyDescent="0.25">
      <c r="B192" s="555">
        <v>2019</v>
      </c>
      <c r="C192" s="556">
        <v>1991</v>
      </c>
      <c r="D192" s="557" t="s">
        <v>3069</v>
      </c>
      <c r="E192" s="547">
        <v>6.3476565050952033E-2</v>
      </c>
      <c r="F192" s="548">
        <v>0.13276143126884957</v>
      </c>
      <c r="G192" s="549">
        <v>0.36387537284796101</v>
      </c>
      <c r="H192" s="550">
        <v>0.48053873425854499</v>
      </c>
      <c r="I192" s="551">
        <v>9.2357904445480301</v>
      </c>
      <c r="J192" s="551">
        <v>2.9219992615939501</v>
      </c>
      <c r="K192" s="551">
        <v>5.1569614550184502E-2</v>
      </c>
      <c r="L192" s="551">
        <v>7.7093785426461002E-3</v>
      </c>
      <c r="M192" s="552">
        <v>5.3901363683368397E-2</v>
      </c>
    </row>
    <row r="193" spans="2:13" ht="15.75" x14ac:dyDescent="0.25">
      <c r="B193" s="555">
        <v>2019</v>
      </c>
      <c r="C193" s="556">
        <v>1992</v>
      </c>
      <c r="D193" s="557" t="s">
        <v>3070</v>
      </c>
      <c r="E193" s="547">
        <v>6.3700066790209675E-2</v>
      </c>
      <c r="F193" s="548">
        <v>0.13362021849521119</v>
      </c>
      <c r="G193" s="549">
        <v>0.366588789812542</v>
      </c>
      <c r="H193" s="550">
        <v>0.48826515452771801</v>
      </c>
      <c r="I193" s="551">
        <v>9.2037314729450195</v>
      </c>
      <c r="J193" s="551">
        <v>2.9456981199952499</v>
      </c>
      <c r="K193" s="551">
        <v>5.19541689262671E-2</v>
      </c>
      <c r="L193" s="551">
        <v>7.8665514609954305E-3</v>
      </c>
      <c r="M193" s="552">
        <v>5.4303305901902701E-2</v>
      </c>
    </row>
    <row r="194" spans="2:13" ht="15.75" x14ac:dyDescent="0.25">
      <c r="B194" s="555">
        <v>2019</v>
      </c>
      <c r="C194" s="556">
        <v>1993</v>
      </c>
      <c r="D194" s="557" t="s">
        <v>3071</v>
      </c>
      <c r="E194" s="547">
        <v>6.3765379279309128E-2</v>
      </c>
      <c r="F194" s="548">
        <v>0.13293980165362504</v>
      </c>
      <c r="G194" s="549">
        <v>0.36761489344416598</v>
      </c>
      <c r="H194" s="550">
        <v>0.48037651121298602</v>
      </c>
      <c r="I194" s="551">
        <v>9.19657687695444</v>
      </c>
      <c r="J194" s="551">
        <v>2.9275556083367098</v>
      </c>
      <c r="K194" s="551">
        <v>5.2099591707581598E-2</v>
      </c>
      <c r="L194" s="551">
        <v>7.7687449647595302E-3</v>
      </c>
      <c r="M194" s="552">
        <v>5.4455304056084203E-2</v>
      </c>
    </row>
    <row r="195" spans="2:13" ht="15.75" x14ac:dyDescent="0.25">
      <c r="B195" s="555">
        <v>2019</v>
      </c>
      <c r="C195" s="556">
        <v>1994</v>
      </c>
      <c r="D195" s="557" t="s">
        <v>3072</v>
      </c>
      <c r="E195" s="547">
        <v>6.3366226981485516E-2</v>
      </c>
      <c r="F195" s="548">
        <v>0.13195625494345736</v>
      </c>
      <c r="G195" s="549">
        <v>0.36140604996418502</v>
      </c>
      <c r="H195" s="550">
        <v>0.47008324318807099</v>
      </c>
      <c r="I195" s="551">
        <v>9.2586420122914799</v>
      </c>
      <c r="J195" s="551">
        <v>2.9055867458204698</v>
      </c>
      <c r="K195" s="551">
        <v>5.17491430921901E-2</v>
      </c>
      <c r="L195" s="551">
        <v>7.6250314944814402E-3</v>
      </c>
      <c r="M195" s="552">
        <v>5.4089009709397499E-2</v>
      </c>
    </row>
    <row r="196" spans="2:13" ht="15.75" x14ac:dyDescent="0.25">
      <c r="B196" s="555">
        <v>2019</v>
      </c>
      <c r="C196" s="556">
        <v>1995</v>
      </c>
      <c r="D196" s="557" t="s">
        <v>3073</v>
      </c>
      <c r="E196" s="547">
        <v>6.3711008508387998E-2</v>
      </c>
      <c r="F196" s="548">
        <v>0.13135039736256229</v>
      </c>
      <c r="G196" s="549">
        <v>0.36562862882898101</v>
      </c>
      <c r="H196" s="550">
        <v>0.251294176003792</v>
      </c>
      <c r="I196" s="551">
        <v>9.2370183244135209</v>
      </c>
      <c r="J196" s="551">
        <v>1.6589732370749799</v>
      </c>
      <c r="K196" s="551">
        <v>5.2353767275747698E-2</v>
      </c>
      <c r="L196" s="551">
        <v>4.9863230260603899E-3</v>
      </c>
      <c r="M196" s="552">
        <v>5.4720972315555498E-2</v>
      </c>
    </row>
    <row r="197" spans="2:13" ht="15.75" x14ac:dyDescent="0.25">
      <c r="B197" s="555">
        <v>2019</v>
      </c>
      <c r="C197" s="556">
        <v>1996</v>
      </c>
      <c r="D197" s="557" t="s">
        <v>3074</v>
      </c>
      <c r="E197" s="547">
        <v>6.3731807275317603E-2</v>
      </c>
      <c r="F197" s="548">
        <v>0.12991462458777148</v>
      </c>
      <c r="G197" s="549">
        <v>0.365216277010038</v>
      </c>
      <c r="H197" s="550">
        <v>2.27438750730116E-2</v>
      </c>
      <c r="I197" s="551">
        <v>9.2291244623100308</v>
      </c>
      <c r="J197" s="551">
        <v>0.39430769823470102</v>
      </c>
      <c r="K197" s="551">
        <v>5.2321771544679298E-2</v>
      </c>
      <c r="L197" s="551">
        <v>2.21525648971517E-3</v>
      </c>
      <c r="M197" s="552">
        <v>5.4687529879507202E-2</v>
      </c>
    </row>
    <row r="198" spans="2:13" ht="15.75" x14ac:dyDescent="0.25">
      <c r="B198" s="555">
        <v>2019</v>
      </c>
      <c r="C198" s="556">
        <v>1997</v>
      </c>
      <c r="D198" s="557" t="s">
        <v>3075</v>
      </c>
      <c r="E198" s="547">
        <v>6.3987662885323579E-2</v>
      </c>
      <c r="F198" s="548">
        <v>0.12853313378701703</v>
      </c>
      <c r="G198" s="549">
        <v>0.366569942468363</v>
      </c>
      <c r="H198" s="550">
        <v>2.2131812638907799E-2</v>
      </c>
      <c r="I198" s="551">
        <v>9.1838473979539401</v>
      </c>
      <c r="J198" s="551">
        <v>0.38932799813642599</v>
      </c>
      <c r="K198" s="551">
        <v>5.2576317070579998E-2</v>
      </c>
      <c r="L198" s="551">
        <v>2.1562019821189499E-3</v>
      </c>
      <c r="M198" s="552">
        <v>5.4953584824560003E-2</v>
      </c>
    </row>
    <row r="199" spans="2:13" ht="15.75" x14ac:dyDescent="0.25">
      <c r="B199" s="555">
        <v>2019</v>
      </c>
      <c r="C199" s="556">
        <v>1998</v>
      </c>
      <c r="D199" s="557" t="s">
        <v>3076</v>
      </c>
      <c r="E199" s="547">
        <v>6.3794485423939867E-2</v>
      </c>
      <c r="F199" s="548">
        <v>0.12908110974231754</v>
      </c>
      <c r="G199" s="549">
        <v>0.36280488713032</v>
      </c>
      <c r="H199" s="550">
        <v>2.2373572151618702E-2</v>
      </c>
      <c r="I199" s="551">
        <v>9.2162851335601204</v>
      </c>
      <c r="J199" s="551">
        <v>0.38922669457056103</v>
      </c>
      <c r="K199" s="551">
        <v>5.2130246702788E-2</v>
      </c>
      <c r="L199" s="551">
        <v>2.1830024419175801E-3</v>
      </c>
      <c r="M199" s="552">
        <v>5.4487345134144299E-2</v>
      </c>
    </row>
    <row r="200" spans="2:13" ht="15.75" x14ac:dyDescent="0.25">
      <c r="B200" s="555">
        <v>2019</v>
      </c>
      <c r="C200" s="556">
        <v>1999</v>
      </c>
      <c r="D200" s="557" t="s">
        <v>3077</v>
      </c>
      <c r="E200" s="547">
        <v>6.3717134582576676E-2</v>
      </c>
      <c r="F200" s="548">
        <v>0.12898570021042668</v>
      </c>
      <c r="G200" s="549">
        <v>0.35894593633905703</v>
      </c>
      <c r="H200" s="550">
        <v>2.2198571439052898E-2</v>
      </c>
      <c r="I200" s="551">
        <v>9.2131489039879195</v>
      </c>
      <c r="J200" s="551">
        <v>0.38644375908680101</v>
      </c>
      <c r="K200" s="551">
        <v>5.1703599050654102E-2</v>
      </c>
      <c r="L200" s="551">
        <v>2.1785381682449499E-3</v>
      </c>
      <c r="M200" s="552">
        <v>5.4041406368401899E-2</v>
      </c>
    </row>
    <row r="201" spans="2:13" ht="15.75" x14ac:dyDescent="0.25">
      <c r="B201" s="555">
        <v>2019</v>
      </c>
      <c r="C201" s="556">
        <v>2000</v>
      </c>
      <c r="D201" s="557" t="s">
        <v>3078</v>
      </c>
      <c r="E201" s="547">
        <v>6.3467902102882154E-2</v>
      </c>
      <c r="F201" s="548">
        <v>0.1294423343443396</v>
      </c>
      <c r="G201" s="549">
        <v>0.35261241312370301</v>
      </c>
      <c r="H201" s="550">
        <v>2.2286729154041E-2</v>
      </c>
      <c r="I201" s="551">
        <v>9.2351660692848103</v>
      </c>
      <c r="J201" s="551">
        <v>0.38403264806368997</v>
      </c>
      <c r="K201" s="551">
        <v>5.0952946382686597E-2</v>
      </c>
      <c r="L201" s="551">
        <v>2.2012410306207798E-3</v>
      </c>
      <c r="M201" s="552">
        <v>5.3256812517760703E-2</v>
      </c>
    </row>
    <row r="202" spans="2:13" ht="15.75" x14ac:dyDescent="0.25">
      <c r="B202" s="555">
        <v>2019</v>
      </c>
      <c r="C202" s="556">
        <v>2001</v>
      </c>
      <c r="D202" s="557" t="s">
        <v>3079</v>
      </c>
      <c r="E202" s="547">
        <v>6.3697453743772683E-2</v>
      </c>
      <c r="F202" s="548">
        <v>0.12961892237715378</v>
      </c>
      <c r="G202" s="549">
        <v>0.35028287633470501</v>
      </c>
      <c r="H202" s="550">
        <v>2.2229144406528699E-2</v>
      </c>
      <c r="I202" s="551">
        <v>9.1880818034434792</v>
      </c>
      <c r="J202" s="551">
        <v>0.37944355033795202</v>
      </c>
      <c r="K202" s="551">
        <v>5.0815101130172402E-2</v>
      </c>
      <c r="L202" s="551">
        <v>2.2134926334398202E-3</v>
      </c>
      <c r="M202" s="552">
        <v>5.3112734514607102E-2</v>
      </c>
    </row>
    <row r="203" spans="2:13" ht="15.75" x14ac:dyDescent="0.25">
      <c r="B203" s="555">
        <v>2019</v>
      </c>
      <c r="C203" s="556">
        <v>2002</v>
      </c>
      <c r="D203" s="557" t="s">
        <v>3080</v>
      </c>
      <c r="E203" s="547">
        <v>6.3544647193857592E-2</v>
      </c>
      <c r="F203" s="548">
        <v>0.12947776349268339</v>
      </c>
      <c r="G203" s="549">
        <v>0.27064076492436201</v>
      </c>
      <c r="H203" s="550">
        <v>2.1963550595376299E-2</v>
      </c>
      <c r="I203" s="551">
        <v>7.0891625638687996</v>
      </c>
      <c r="J203" s="551">
        <v>0.29485233509743403</v>
      </c>
      <c r="K203" s="551">
        <v>5.1351147713059098E-2</v>
      </c>
      <c r="L203" s="551">
        <v>2.2103904897124902E-3</v>
      </c>
      <c r="M203" s="552">
        <v>5.3673018745300498E-2</v>
      </c>
    </row>
    <row r="204" spans="2:13" ht="15.75" x14ac:dyDescent="0.25">
      <c r="B204" s="555">
        <v>2019</v>
      </c>
      <c r="C204" s="556">
        <v>2003</v>
      </c>
      <c r="D204" s="557" t="s">
        <v>3081</v>
      </c>
      <c r="E204" s="547">
        <v>6.3236835582426862E-2</v>
      </c>
      <c r="F204" s="548">
        <v>0.12887905890395171</v>
      </c>
      <c r="G204" s="549">
        <v>0.26471585559046701</v>
      </c>
      <c r="H204" s="550">
        <v>2.1440985018494601E-2</v>
      </c>
      <c r="I204" s="551">
        <v>7.1089463700764801</v>
      </c>
      <c r="J204" s="551">
        <v>0.28527838596909</v>
      </c>
      <c r="K204" s="551">
        <v>5.0501724004562598E-2</v>
      </c>
      <c r="L204" s="551">
        <v>2.1861346642473101E-3</v>
      </c>
      <c r="M204" s="552">
        <v>5.2785187865967698E-2</v>
      </c>
    </row>
    <row r="205" spans="2:13" ht="15.75" x14ac:dyDescent="0.25">
      <c r="B205" s="555">
        <v>2019</v>
      </c>
      <c r="C205" s="556">
        <v>2004</v>
      </c>
      <c r="D205" s="557" t="s">
        <v>3082</v>
      </c>
      <c r="E205" s="547">
        <v>6.3008644226357727E-2</v>
      </c>
      <c r="F205" s="548">
        <v>0.12780392024260837</v>
      </c>
      <c r="G205" s="549">
        <v>0.21506941824593401</v>
      </c>
      <c r="H205" s="550">
        <v>1.4206407143275399E-2</v>
      </c>
      <c r="I205" s="551">
        <v>5.9392943261720799</v>
      </c>
      <c r="J205" s="551">
        <v>0.23331422133505</v>
      </c>
      <c r="K205" s="551">
        <v>4.9734035447994901E-2</v>
      </c>
      <c r="L205" s="551">
        <v>1.4218834248374499E-4</v>
      </c>
      <c r="M205" s="552">
        <v>5.1982787839439402E-2</v>
      </c>
    </row>
    <row r="206" spans="2:13" ht="15.75" x14ac:dyDescent="0.25">
      <c r="B206" s="555">
        <v>2019</v>
      </c>
      <c r="C206" s="556">
        <v>2005</v>
      </c>
      <c r="D206" s="557" t="s">
        <v>3083</v>
      </c>
      <c r="E206" s="547">
        <v>6.305606408318834E-2</v>
      </c>
      <c r="F206" s="548">
        <v>0.12821070417079161</v>
      </c>
      <c r="G206" s="549">
        <v>0.21152377540107201</v>
      </c>
      <c r="H206" s="550">
        <v>1.4083047114208699E-2</v>
      </c>
      <c r="I206" s="551">
        <v>5.9205418454621102</v>
      </c>
      <c r="J206" s="551">
        <v>0.22493036384915499</v>
      </c>
      <c r="K206" s="551">
        <v>4.9265022453934097E-2</v>
      </c>
      <c r="L206" s="551">
        <v>1.4368585992370999E-4</v>
      </c>
      <c r="M206" s="552">
        <v>5.1492568159001599E-2</v>
      </c>
    </row>
    <row r="207" spans="2:13" ht="15.75" x14ac:dyDescent="0.25">
      <c r="B207" s="555">
        <v>2019</v>
      </c>
      <c r="C207" s="556">
        <v>2006</v>
      </c>
      <c r="D207" s="557" t="s">
        <v>3084</v>
      </c>
      <c r="E207" s="547">
        <v>6.2878875012314803E-2</v>
      </c>
      <c r="F207" s="548">
        <v>0.12851852292203883</v>
      </c>
      <c r="G207" s="549">
        <v>0.206248375616227</v>
      </c>
      <c r="H207" s="550">
        <v>1.4014626477435E-2</v>
      </c>
      <c r="I207" s="551">
        <v>5.9199522742157598</v>
      </c>
      <c r="J207" s="551">
        <v>0.21601982724185001</v>
      </c>
      <c r="K207" s="551">
        <v>4.8428096447450698E-2</v>
      </c>
      <c r="L207" s="551">
        <v>1.4478291974725E-4</v>
      </c>
      <c r="M207" s="552">
        <v>5.0617800072309198E-2</v>
      </c>
    </row>
    <row r="208" spans="2:13" ht="15.75" x14ac:dyDescent="0.25">
      <c r="B208" s="555">
        <v>2019</v>
      </c>
      <c r="C208" s="556">
        <v>2007</v>
      </c>
      <c r="D208" s="557" t="s">
        <v>3085</v>
      </c>
      <c r="E208" s="547">
        <v>6.3051534272018137E-2</v>
      </c>
      <c r="F208" s="548">
        <v>0.12891207471944402</v>
      </c>
      <c r="G208" s="549">
        <v>0.15055584580223499</v>
      </c>
      <c r="H208" s="550">
        <v>1.3979442171696501E-2</v>
      </c>
      <c r="I208" s="551">
        <v>3.0693584861666401</v>
      </c>
      <c r="J208" s="551">
        <v>0.213322632023245</v>
      </c>
      <c r="K208" s="551">
        <v>3.3319884022493897E-2</v>
      </c>
      <c r="L208" s="551">
        <v>1.4632641809315901E-4</v>
      </c>
      <c r="M208" s="552">
        <v>3.4826461323195501E-2</v>
      </c>
    </row>
    <row r="209" spans="2:13" ht="15.75" x14ac:dyDescent="0.25">
      <c r="B209" s="555">
        <v>2019</v>
      </c>
      <c r="C209" s="556">
        <v>2008</v>
      </c>
      <c r="D209" s="557" t="s">
        <v>3086</v>
      </c>
      <c r="E209" s="547">
        <v>6.329472783449018E-2</v>
      </c>
      <c r="F209" s="548">
        <v>0.12938141096921593</v>
      </c>
      <c r="G209" s="549">
        <v>0.149282221783055</v>
      </c>
      <c r="H209" s="550">
        <v>1.1452282937753799E-2</v>
      </c>
      <c r="I209" s="551">
        <v>3.0456595804505202</v>
      </c>
      <c r="J209" s="551">
        <v>0.152248838678469</v>
      </c>
      <c r="K209" s="551">
        <v>3.2817701034958097E-2</v>
      </c>
      <c r="L209" s="551">
        <v>1.6878992853870599E-4</v>
      </c>
      <c r="M209" s="552">
        <v>3.4301571849367399E-2</v>
      </c>
    </row>
    <row r="210" spans="2:13" ht="15.75" x14ac:dyDescent="0.25">
      <c r="B210" s="555">
        <v>2019</v>
      </c>
      <c r="C210" s="556">
        <v>2009</v>
      </c>
      <c r="D210" s="557" t="s">
        <v>3087</v>
      </c>
      <c r="E210" s="547">
        <v>6.3293877611524593E-2</v>
      </c>
      <c r="F210" s="548">
        <v>0.12814044773667657</v>
      </c>
      <c r="G210" s="549">
        <v>0.14594199567951799</v>
      </c>
      <c r="H210" s="550">
        <v>8.7778414238526802E-3</v>
      </c>
      <c r="I210" s="551">
        <v>3.03344638823835</v>
      </c>
      <c r="J210" s="551">
        <v>9.92902383356431E-2</v>
      </c>
      <c r="K210" s="551">
        <v>3.2023560633136702E-2</v>
      </c>
      <c r="L210" s="551">
        <v>1.8499985853590901E-4</v>
      </c>
      <c r="M210" s="552">
        <v>3.3471523942521501E-2</v>
      </c>
    </row>
    <row r="211" spans="2:13" ht="15.75" x14ac:dyDescent="0.25">
      <c r="B211" s="555">
        <v>2019</v>
      </c>
      <c r="C211" s="556">
        <v>2010</v>
      </c>
      <c r="D211" s="557" t="s">
        <v>3088</v>
      </c>
      <c r="E211" s="547">
        <v>6.3310363585281429E-2</v>
      </c>
      <c r="F211" s="548">
        <v>0.127043441742973</v>
      </c>
      <c r="G211" s="549">
        <v>9.6892231757065295E-2</v>
      </c>
      <c r="H211" s="550">
        <v>8.5787534546785896E-3</v>
      </c>
      <c r="I211" s="551">
        <v>0.22641807575695599</v>
      </c>
      <c r="J211" s="551">
        <v>9.7942683345941806E-2</v>
      </c>
      <c r="K211" s="551">
        <v>1.6205496923127099E-2</v>
      </c>
      <c r="L211" s="551">
        <v>2.2034106977272599E-4</v>
      </c>
      <c r="M211" s="552">
        <v>1.6938237583163401E-2</v>
      </c>
    </row>
    <row r="212" spans="2:13" ht="15.75" x14ac:dyDescent="0.25">
      <c r="B212" s="555">
        <v>2019</v>
      </c>
      <c r="C212" s="556">
        <v>2011</v>
      </c>
      <c r="D212" s="557" t="s">
        <v>3089</v>
      </c>
      <c r="E212" s="547">
        <v>6.3252685077935467E-2</v>
      </c>
      <c r="F212" s="548">
        <v>0.12877301272483779</v>
      </c>
      <c r="G212" s="549">
        <v>9.4898418608680896E-2</v>
      </c>
      <c r="H212" s="550">
        <v>8.8712590936938698E-3</v>
      </c>
      <c r="I212" s="551">
        <v>0.21835167907047601</v>
      </c>
      <c r="J212" s="551">
        <v>9.7810042479446205E-2</v>
      </c>
      <c r="K212" s="551">
        <v>1.5211502589455301E-2</v>
      </c>
      <c r="L212" s="551">
        <v>3.1149334884357201E-4</v>
      </c>
      <c r="M212" s="552">
        <v>1.5899299236507399E-2</v>
      </c>
    </row>
    <row r="213" spans="2:13" ht="15.75" x14ac:dyDescent="0.25">
      <c r="B213" s="555">
        <v>2019</v>
      </c>
      <c r="C213" s="556">
        <v>2012</v>
      </c>
      <c r="D213" s="557" t="s">
        <v>3090</v>
      </c>
      <c r="E213" s="547">
        <v>6.3375824907610706E-2</v>
      </c>
      <c r="F213" s="548">
        <v>0.12915211663488685</v>
      </c>
      <c r="G213" s="549">
        <v>9.4379329214524299E-2</v>
      </c>
      <c r="H213" s="550">
        <v>8.8532846423183299E-3</v>
      </c>
      <c r="I213" s="551">
        <v>0.21191380573594601</v>
      </c>
      <c r="J213" s="551">
        <v>9.6026391203452105E-2</v>
      </c>
      <c r="K213" s="551">
        <v>1.42398069196982E-2</v>
      </c>
      <c r="L213" s="551">
        <v>4.5986972187986601E-4</v>
      </c>
      <c r="M213" s="552">
        <v>1.48836678003996E-2</v>
      </c>
    </row>
    <row r="214" spans="2:13" ht="15.75" x14ac:dyDescent="0.25">
      <c r="B214" s="555">
        <v>2019</v>
      </c>
      <c r="C214" s="556">
        <v>2013</v>
      </c>
      <c r="D214" s="557" t="s">
        <v>3091</v>
      </c>
      <c r="E214" s="547">
        <v>6.3232244883735703E-2</v>
      </c>
      <c r="F214" s="548">
        <v>0.12918836834119435</v>
      </c>
      <c r="G214" s="549">
        <v>9.1491915130889903E-2</v>
      </c>
      <c r="H214" s="550">
        <v>8.7534058823386003E-3</v>
      </c>
      <c r="I214" s="551">
        <v>0.202101126203454</v>
      </c>
      <c r="J214" s="551">
        <v>9.3575992617501005E-2</v>
      </c>
      <c r="K214" s="551">
        <v>1.31011138215543E-2</v>
      </c>
      <c r="L214" s="551">
        <v>6.8938205444436405E-4</v>
      </c>
      <c r="M214" s="552">
        <v>1.3693488053233499E-2</v>
      </c>
    </row>
    <row r="215" spans="2:13" ht="15.75" x14ac:dyDescent="0.25">
      <c r="B215" s="555">
        <v>2019</v>
      </c>
      <c r="C215" s="556">
        <v>2014</v>
      </c>
      <c r="D215" s="557" t="s">
        <v>3092</v>
      </c>
      <c r="E215" s="547">
        <v>6.169215479668743E-2</v>
      </c>
      <c r="F215" s="548">
        <v>0.12707155359452577</v>
      </c>
      <c r="G215" s="549">
        <v>8.8961469182971195E-2</v>
      </c>
      <c r="H215" s="550">
        <v>8.7112246861174407E-3</v>
      </c>
      <c r="I215" s="551">
        <v>0.19232780907609001</v>
      </c>
      <c r="J215" s="551">
        <v>9.2476907099629593E-2</v>
      </c>
      <c r="K215" s="551">
        <v>1.19147539601184E-2</v>
      </c>
      <c r="L215" s="551">
        <v>9.5663996149878002E-4</v>
      </c>
      <c r="M215" s="552">
        <v>1.2453486263257299E-2</v>
      </c>
    </row>
    <row r="216" spans="2:13" ht="15.75" x14ac:dyDescent="0.25">
      <c r="B216" s="555">
        <v>2019</v>
      </c>
      <c r="C216" s="556">
        <v>2015</v>
      </c>
      <c r="D216" s="557" t="s">
        <v>3093</v>
      </c>
      <c r="E216" s="547">
        <v>6.1163217471878341E-2</v>
      </c>
      <c r="F216" s="548">
        <v>0.12705894520062869</v>
      </c>
      <c r="G216" s="549">
        <v>8.6342794288109301E-2</v>
      </c>
      <c r="H216" s="550">
        <v>9.1081868821243899E-3</v>
      </c>
      <c r="I216" s="551">
        <v>0.18218214381145301</v>
      </c>
      <c r="J216" s="551">
        <v>9.5095754881980202E-2</v>
      </c>
      <c r="K216" s="551">
        <v>1.06728926174525E-2</v>
      </c>
      <c r="L216" s="551">
        <v>1.2241035258529799E-3</v>
      </c>
      <c r="M216" s="552">
        <v>1.11554734613542E-2</v>
      </c>
    </row>
    <row r="217" spans="2:13" ht="15.75" x14ac:dyDescent="0.25">
      <c r="B217" s="555">
        <v>2019</v>
      </c>
      <c r="C217" s="556">
        <v>2016</v>
      </c>
      <c r="D217" s="557" t="s">
        <v>3094</v>
      </c>
      <c r="E217" s="547">
        <v>5.9167516128245563E-2</v>
      </c>
      <c r="F217" s="548">
        <v>0.12311447517232244</v>
      </c>
      <c r="G217" s="549">
        <v>8.3527605671059393E-2</v>
      </c>
      <c r="H217" s="550">
        <v>8.9447669570416194E-3</v>
      </c>
      <c r="I217" s="551">
        <v>0.15032355699623201</v>
      </c>
      <c r="J217" s="551">
        <v>8.9736563758618798E-2</v>
      </c>
      <c r="K217" s="551">
        <v>9.3707011619417503E-3</v>
      </c>
      <c r="L217" s="551">
        <v>1.3765349820323001E-3</v>
      </c>
      <c r="M217" s="552">
        <v>9.7944026866142002E-3</v>
      </c>
    </row>
    <row r="218" spans="2:13" ht="15.75" x14ac:dyDescent="0.25">
      <c r="B218" s="555">
        <v>2019</v>
      </c>
      <c r="C218" s="556">
        <v>2017</v>
      </c>
      <c r="D218" s="557" t="s">
        <v>3095</v>
      </c>
      <c r="E218" s="547">
        <v>5.5636280414061802E-2</v>
      </c>
      <c r="F218" s="548">
        <v>0.11925586463447425</v>
      </c>
      <c r="G218" s="549">
        <v>6.7702280848563307E-2</v>
      </c>
      <c r="H218" s="550">
        <v>9.0425818864566902E-3</v>
      </c>
      <c r="I218" s="551">
        <v>0.10999959466089899</v>
      </c>
      <c r="J218" s="551">
        <v>8.7007456683294598E-2</v>
      </c>
      <c r="K218" s="551">
        <v>7.6262495208885396E-3</v>
      </c>
      <c r="L218" s="551">
        <v>1.4355943037876501E-3</v>
      </c>
      <c r="M218" s="552">
        <v>7.9710746832420704E-3</v>
      </c>
    </row>
    <row r="219" spans="2:13" ht="15.75" x14ac:dyDescent="0.25">
      <c r="B219" s="555">
        <v>2019</v>
      </c>
      <c r="C219" s="556">
        <v>2018</v>
      </c>
      <c r="D219" s="557" t="s">
        <v>3096</v>
      </c>
      <c r="E219" s="547">
        <v>5.193750147504303E-2</v>
      </c>
      <c r="F219" s="548">
        <v>0.1141144502916622</v>
      </c>
      <c r="G219" s="549">
        <v>6.5738995255629998E-2</v>
      </c>
      <c r="H219" s="550">
        <v>9.0554470674580993E-3</v>
      </c>
      <c r="I219" s="551">
        <v>8.3808620683053295E-2</v>
      </c>
      <c r="J219" s="551">
        <v>8.0296341509682304E-2</v>
      </c>
      <c r="K219" s="551">
        <v>6.2997327940879496E-3</v>
      </c>
      <c r="L219" s="551">
        <v>1.49577782571811E-3</v>
      </c>
      <c r="M219" s="552">
        <v>6.58457875638635E-3</v>
      </c>
    </row>
    <row r="220" spans="2:13" ht="15.75" x14ac:dyDescent="0.25">
      <c r="B220" s="555">
        <v>2019</v>
      </c>
      <c r="C220" s="556">
        <v>2019</v>
      </c>
      <c r="D220" s="557" t="s">
        <v>3097</v>
      </c>
      <c r="E220" s="547">
        <v>5.1895743721256327E-2</v>
      </c>
      <c r="F220" s="548">
        <v>0.1140018094104359</v>
      </c>
      <c r="G220" s="549">
        <v>6.3686222925002201E-2</v>
      </c>
      <c r="H220" s="550">
        <v>7.8869304248766099E-3</v>
      </c>
      <c r="I220" s="551">
        <v>6.6762462760230595E-2</v>
      </c>
      <c r="J220" s="551">
        <v>6.5318278084717796E-2</v>
      </c>
      <c r="K220" s="551">
        <v>4.9146366908901402E-3</v>
      </c>
      <c r="L220" s="551">
        <v>1.53609866582416E-3</v>
      </c>
      <c r="M220" s="552">
        <v>5.1368547536748696E-3</v>
      </c>
    </row>
    <row r="221" spans="2:13" ht="15.75" x14ac:dyDescent="0.25">
      <c r="B221" s="555">
        <v>2020</v>
      </c>
      <c r="C221" s="556">
        <v>1982</v>
      </c>
      <c r="D221" s="557" t="s">
        <v>3104</v>
      </c>
      <c r="E221" s="547">
        <v>6.4285574610295701E-2</v>
      </c>
      <c r="F221" s="548">
        <v>0.13982860181118226</v>
      </c>
      <c r="G221" s="549">
        <v>0.229184828958931</v>
      </c>
      <c r="H221" s="550">
        <v>2.4621856284800199</v>
      </c>
      <c r="I221" s="551">
        <v>5.0673731720238004</v>
      </c>
      <c r="J221" s="551">
        <v>4.0695936469711702</v>
      </c>
      <c r="K221" s="551">
        <v>0.172744607882373</v>
      </c>
      <c r="L221" s="551">
        <v>1.51493282339526E-2</v>
      </c>
      <c r="M221" s="552">
        <v>0.180555352507969</v>
      </c>
    </row>
    <row r="222" spans="2:13" ht="15.75" x14ac:dyDescent="0.25">
      <c r="B222" s="555">
        <v>2020</v>
      </c>
      <c r="C222" s="556">
        <v>1983</v>
      </c>
      <c r="D222" s="557" t="s">
        <v>3105</v>
      </c>
      <c r="E222" s="547">
        <v>6.1864270946930568E-2</v>
      </c>
      <c r="F222" s="548">
        <v>0.14475059942622187</v>
      </c>
      <c r="G222" s="549">
        <v>0.21266822076837599</v>
      </c>
      <c r="H222" s="550">
        <v>2.5877574828191099</v>
      </c>
      <c r="I222" s="551">
        <v>5.22014469376004</v>
      </c>
      <c r="J222" s="551">
        <v>4.0675744936186904</v>
      </c>
      <c r="K222" s="551">
        <v>0.16029546358960001</v>
      </c>
      <c r="L222" s="551">
        <v>1.6171872627596801E-2</v>
      </c>
      <c r="M222" s="552">
        <v>0.16754331315253601</v>
      </c>
    </row>
    <row r="223" spans="2:13" ht="15.75" x14ac:dyDescent="0.25">
      <c r="B223" s="555">
        <v>2020</v>
      </c>
      <c r="C223" s="556">
        <v>1984</v>
      </c>
      <c r="D223" s="557" t="s">
        <v>3106</v>
      </c>
      <c r="E223" s="547">
        <v>6.2389632821203168E-2</v>
      </c>
      <c r="F223" s="548">
        <v>0.14365738041345458</v>
      </c>
      <c r="G223" s="549">
        <v>0.21688549979362801</v>
      </c>
      <c r="H223" s="550">
        <v>1.89766765577094</v>
      </c>
      <c r="I223" s="551">
        <v>5.19957911934147</v>
      </c>
      <c r="J223" s="551">
        <v>4.06574017369178</v>
      </c>
      <c r="K223" s="551">
        <v>0.163474174042892</v>
      </c>
      <c r="L223" s="551">
        <v>1.5851095620949E-2</v>
      </c>
      <c r="M223" s="552">
        <v>0.170865750787207</v>
      </c>
    </row>
    <row r="224" spans="2:13" ht="15.75" x14ac:dyDescent="0.25">
      <c r="B224" s="555">
        <v>2020</v>
      </c>
      <c r="C224" s="556">
        <v>1985</v>
      </c>
      <c r="D224" s="557" t="s">
        <v>3107</v>
      </c>
      <c r="E224" s="547">
        <v>6.4451079228800875E-2</v>
      </c>
      <c r="F224" s="548">
        <v>0.14177398957800125</v>
      </c>
      <c r="G224" s="549">
        <v>0.230491258282054</v>
      </c>
      <c r="H224" s="550">
        <v>1.8365447683211</v>
      </c>
      <c r="I224" s="551">
        <v>5.0459618702653204</v>
      </c>
      <c r="J224" s="551">
        <v>4.1173294489896799</v>
      </c>
      <c r="K224" s="551">
        <v>0.17372930927894401</v>
      </c>
      <c r="L224" s="551">
        <v>1.55397306455754E-2</v>
      </c>
      <c r="M224" s="552">
        <v>0.18158457773214601</v>
      </c>
    </row>
    <row r="225" spans="2:13" ht="15.75" x14ac:dyDescent="0.25">
      <c r="B225" s="555">
        <v>2020</v>
      </c>
      <c r="C225" s="556">
        <v>1986</v>
      </c>
      <c r="D225" s="557" t="s">
        <v>3108</v>
      </c>
      <c r="E225" s="547">
        <v>6.3676736928125935E-2</v>
      </c>
      <c r="F225" s="548">
        <v>0.14178772516199759</v>
      </c>
      <c r="G225" s="549">
        <v>0.22594752848914401</v>
      </c>
      <c r="H225" s="550">
        <v>1.8287025392719101</v>
      </c>
      <c r="I225" s="551">
        <v>5.1119605188689503</v>
      </c>
      <c r="J225" s="551">
        <v>3.8802278357757398</v>
      </c>
      <c r="K225" s="551">
        <v>0.170304541483601</v>
      </c>
      <c r="L225" s="551">
        <v>1.55624450534406E-2</v>
      </c>
      <c r="M225" s="552">
        <v>0.178004957134279</v>
      </c>
    </row>
    <row r="226" spans="2:13" ht="15.75" x14ac:dyDescent="0.25">
      <c r="B226" s="555">
        <v>2020</v>
      </c>
      <c r="C226" s="556">
        <v>1987</v>
      </c>
      <c r="D226" s="557" t="s">
        <v>3109</v>
      </c>
      <c r="E226" s="547">
        <v>6.3405594349835545E-2</v>
      </c>
      <c r="F226" s="548">
        <v>0.13980575139461723</v>
      </c>
      <c r="G226" s="549">
        <v>0.28179761435158901</v>
      </c>
      <c r="H226" s="550">
        <v>1.7759643021512701</v>
      </c>
      <c r="I226" s="551">
        <v>5.2246693752551998</v>
      </c>
      <c r="J226" s="551">
        <v>3.9698457092243902</v>
      </c>
      <c r="K226" s="551">
        <v>0.19191475234191299</v>
      </c>
      <c r="L226" s="551">
        <v>1.52043973168296E-2</v>
      </c>
      <c r="M226" s="552">
        <v>0.200592285833714</v>
      </c>
    </row>
    <row r="227" spans="2:13" ht="15.75" x14ac:dyDescent="0.25">
      <c r="B227" s="555">
        <v>2020</v>
      </c>
      <c r="C227" s="556">
        <v>1988</v>
      </c>
      <c r="D227" s="557" t="s">
        <v>3110</v>
      </c>
      <c r="E227" s="547">
        <v>6.2791408124455828E-2</v>
      </c>
      <c r="F227" s="548">
        <v>0.13310643975793607</v>
      </c>
      <c r="G227" s="549">
        <v>0.27678924613211497</v>
      </c>
      <c r="H227" s="550">
        <v>0.43685008282691501</v>
      </c>
      <c r="I227" s="551">
        <v>5.2694243883535297</v>
      </c>
      <c r="J227" s="551">
        <v>1.68080154116684</v>
      </c>
      <c r="K227" s="551">
        <v>0.18850386560077101</v>
      </c>
      <c r="L227" s="551">
        <v>1.40742290103451E-2</v>
      </c>
      <c r="M227" s="552">
        <v>0.19702717392972199</v>
      </c>
    </row>
    <row r="228" spans="2:13" ht="15.75" x14ac:dyDescent="0.25">
      <c r="B228" s="555">
        <v>2020</v>
      </c>
      <c r="C228" s="556">
        <v>1989</v>
      </c>
      <c r="D228" s="557" t="s">
        <v>3111</v>
      </c>
      <c r="E228" s="547">
        <v>6.2569163451914364E-2</v>
      </c>
      <c r="F228" s="548">
        <v>0.13248982182236782</v>
      </c>
      <c r="G228" s="549">
        <v>0.27529955029299702</v>
      </c>
      <c r="H228" s="550">
        <v>0.42994342633282401</v>
      </c>
      <c r="I228" s="551">
        <v>5.2911816540402103</v>
      </c>
      <c r="J228" s="551">
        <v>1.6712292231238099</v>
      </c>
      <c r="K228" s="551">
        <v>0.18748932682020999</v>
      </c>
      <c r="L228" s="551">
        <v>1.39216335132603E-2</v>
      </c>
      <c r="M228" s="552">
        <v>0.19596676220745399</v>
      </c>
    </row>
    <row r="229" spans="2:13" ht="15.75" x14ac:dyDescent="0.25">
      <c r="B229" s="555">
        <v>2020</v>
      </c>
      <c r="C229" s="556">
        <v>1990</v>
      </c>
      <c r="D229" s="557" t="s">
        <v>3112</v>
      </c>
      <c r="E229" s="547">
        <v>6.2581263211067203E-2</v>
      </c>
      <c r="F229" s="548">
        <v>0.13341688947447858</v>
      </c>
      <c r="G229" s="549">
        <v>0.275745164297728</v>
      </c>
      <c r="H229" s="550">
        <v>0.43600530003716897</v>
      </c>
      <c r="I229" s="551">
        <v>5.2939695630675097</v>
      </c>
      <c r="J229" s="551">
        <v>1.6792204878011701</v>
      </c>
      <c r="K229" s="551">
        <v>0.187792806683071</v>
      </c>
      <c r="L229" s="551">
        <v>1.4199435822473599E-2</v>
      </c>
      <c r="M229" s="552">
        <v>0.196283964083042</v>
      </c>
    </row>
    <row r="230" spans="2:13" ht="15.75" x14ac:dyDescent="0.25">
      <c r="B230" s="555">
        <v>2020</v>
      </c>
      <c r="C230" s="556">
        <v>1991</v>
      </c>
      <c r="D230" s="557" t="s">
        <v>3113</v>
      </c>
      <c r="E230" s="547">
        <v>6.3516511856595403E-2</v>
      </c>
      <c r="F230" s="548">
        <v>0.13290092237508344</v>
      </c>
      <c r="G230" s="549">
        <v>0.36396964162587297</v>
      </c>
      <c r="H230" s="550">
        <v>0.48079465312267999</v>
      </c>
      <c r="I230" s="551">
        <v>9.2348741870453797</v>
      </c>
      <c r="J230" s="551">
        <v>2.9225954255250799</v>
      </c>
      <c r="K230" s="551">
        <v>5.15829746314206E-2</v>
      </c>
      <c r="L230" s="551">
        <v>7.7135835912554703E-3</v>
      </c>
      <c r="M230" s="552">
        <v>5.3915327848193598E-2</v>
      </c>
    </row>
    <row r="231" spans="2:13" ht="15.75" x14ac:dyDescent="0.25">
      <c r="B231" s="555">
        <v>2020</v>
      </c>
      <c r="C231" s="556">
        <v>1992</v>
      </c>
      <c r="D231" s="557" t="s">
        <v>3114</v>
      </c>
      <c r="E231" s="547">
        <v>6.3740097918394772E-2</v>
      </c>
      <c r="F231" s="548">
        <v>0.1337527206932263</v>
      </c>
      <c r="G231" s="549">
        <v>0.36669398529016001</v>
      </c>
      <c r="H231" s="550">
        <v>0.48846530082567602</v>
      </c>
      <c r="I231" s="551">
        <v>9.20267102539548</v>
      </c>
      <c r="J231" s="551">
        <v>2.9461487958617099</v>
      </c>
      <c r="K231" s="551">
        <v>5.1969077575321203E-2</v>
      </c>
      <c r="L231" s="551">
        <v>7.8698038527503008E-3</v>
      </c>
      <c r="M231" s="552">
        <v>5.43188886539109E-2</v>
      </c>
    </row>
    <row r="232" spans="2:13" ht="15.75" x14ac:dyDescent="0.25">
      <c r="B232" s="555">
        <v>2020</v>
      </c>
      <c r="C232" s="556">
        <v>1993</v>
      </c>
      <c r="D232" s="557" t="s">
        <v>3115</v>
      </c>
      <c r="E232" s="547">
        <v>6.3803351099541439E-2</v>
      </c>
      <c r="F232" s="548">
        <v>0.13307354645020567</v>
      </c>
      <c r="G232" s="549">
        <v>0.36770171827200698</v>
      </c>
      <c r="H232" s="550">
        <v>0.48061173956355902</v>
      </c>
      <c r="I232" s="551">
        <v>9.1957174224150595</v>
      </c>
      <c r="J232" s="551">
        <v>2.9280831417792301</v>
      </c>
      <c r="K232" s="551">
        <v>5.2111896807731997E-2</v>
      </c>
      <c r="L232" s="551">
        <v>7.7726066519605303E-3</v>
      </c>
      <c r="M232" s="552">
        <v>5.4468165538260303E-2</v>
      </c>
    </row>
    <row r="233" spans="2:13" ht="15.75" x14ac:dyDescent="0.25">
      <c r="B233" s="555">
        <v>2020</v>
      </c>
      <c r="C233" s="556">
        <v>1994</v>
      </c>
      <c r="D233" s="557" t="s">
        <v>3116</v>
      </c>
      <c r="E233" s="547">
        <v>6.3408416090728684E-2</v>
      </c>
      <c r="F233" s="548">
        <v>0.13208952603379179</v>
      </c>
      <c r="G233" s="549">
        <v>0.361497058208746</v>
      </c>
      <c r="H233" s="550">
        <v>0.47031808620251098</v>
      </c>
      <c r="I233" s="551">
        <v>9.2577930557778902</v>
      </c>
      <c r="J233" s="551">
        <v>2.90609775259338</v>
      </c>
      <c r="K233" s="551">
        <v>5.1762174414357598E-2</v>
      </c>
      <c r="L233" s="551">
        <v>7.6288831522966401E-3</v>
      </c>
      <c r="M233" s="552">
        <v>5.4102630250127702E-2</v>
      </c>
    </row>
    <row r="234" spans="2:13" ht="15.75" x14ac:dyDescent="0.25">
      <c r="B234" s="555">
        <v>2020</v>
      </c>
      <c r="C234" s="556">
        <v>1995</v>
      </c>
      <c r="D234" s="557" t="s">
        <v>3117</v>
      </c>
      <c r="E234" s="547">
        <v>6.3752676638039213E-2</v>
      </c>
      <c r="F234" s="548">
        <v>0.13146736924062058</v>
      </c>
      <c r="G234" s="549">
        <v>0.365723495456314</v>
      </c>
      <c r="H234" s="550">
        <v>0.251400631994392</v>
      </c>
      <c r="I234" s="551">
        <v>9.2360390653912798</v>
      </c>
      <c r="J234" s="551">
        <v>1.65924265332215</v>
      </c>
      <c r="K234" s="551">
        <v>5.2367351073454103E-2</v>
      </c>
      <c r="L234" s="551">
        <v>4.9884764955529697E-3</v>
      </c>
      <c r="M234" s="552">
        <v>5.4735170312316797E-2</v>
      </c>
    </row>
    <row r="235" spans="2:13" ht="15.75" x14ac:dyDescent="0.25">
      <c r="B235" s="555">
        <v>2020</v>
      </c>
      <c r="C235" s="556">
        <v>1996</v>
      </c>
      <c r="D235" s="557" t="s">
        <v>3118</v>
      </c>
      <c r="E235" s="547">
        <v>6.3774144861520346E-2</v>
      </c>
      <c r="F235" s="548">
        <v>0.13002353869998567</v>
      </c>
      <c r="G235" s="549">
        <v>0.36599584942213698</v>
      </c>
      <c r="H235" s="550">
        <v>2.2739864379902299E-2</v>
      </c>
      <c r="I235" s="551">
        <v>9.2295848726705803</v>
      </c>
      <c r="J235" s="551">
        <v>0.39473057502508502</v>
      </c>
      <c r="K235" s="551">
        <v>5.2406348993800103E-2</v>
      </c>
      <c r="L235" s="551">
        <v>2.2164883194408002E-3</v>
      </c>
      <c r="M235" s="552">
        <v>5.47759315455702E-2</v>
      </c>
    </row>
    <row r="236" spans="2:13" ht="15.75" x14ac:dyDescent="0.25">
      <c r="B236" s="555">
        <v>2020</v>
      </c>
      <c r="C236" s="556">
        <v>1997</v>
      </c>
      <c r="D236" s="557" t="s">
        <v>3119</v>
      </c>
      <c r="E236" s="547">
        <v>6.4028584332941882E-2</v>
      </c>
      <c r="F236" s="548">
        <v>0.12864033456476207</v>
      </c>
      <c r="G236" s="549">
        <v>0.36817482959166598</v>
      </c>
      <c r="H236" s="550">
        <v>2.21192181127806E-2</v>
      </c>
      <c r="I236" s="551">
        <v>9.1863172698011795</v>
      </c>
      <c r="J236" s="551">
        <v>0.390292877012613</v>
      </c>
      <c r="K236" s="551">
        <v>5.2745620978626201E-2</v>
      </c>
      <c r="L236" s="551">
        <v>2.1573673110538601E-3</v>
      </c>
      <c r="M236" s="552">
        <v>5.5130543904053003E-2</v>
      </c>
    </row>
    <row r="237" spans="2:13" ht="15.75" x14ac:dyDescent="0.25">
      <c r="B237" s="555">
        <v>2020</v>
      </c>
      <c r="C237" s="556">
        <v>1998</v>
      </c>
      <c r="D237" s="557" t="s">
        <v>3120</v>
      </c>
      <c r="E237" s="547">
        <v>6.3835619888510192E-2</v>
      </c>
      <c r="F237" s="548">
        <v>0.12918828066348928</v>
      </c>
      <c r="G237" s="549">
        <v>0.36524454162904602</v>
      </c>
      <c r="H237" s="550">
        <v>2.2366212790470501E-2</v>
      </c>
      <c r="I237" s="551">
        <v>9.2205060130084906</v>
      </c>
      <c r="J237" s="551">
        <v>0.39092155267908801</v>
      </c>
      <c r="K237" s="551">
        <v>5.23862177560964E-2</v>
      </c>
      <c r="L237" s="551">
        <v>2.1842342425426398E-3</v>
      </c>
      <c r="M237" s="552">
        <v>5.4754890062628597E-2</v>
      </c>
    </row>
    <row r="238" spans="2:13" ht="15.75" x14ac:dyDescent="0.25">
      <c r="B238" s="555">
        <v>2020</v>
      </c>
      <c r="C238" s="556">
        <v>1999</v>
      </c>
      <c r="D238" s="557" t="s">
        <v>3121</v>
      </c>
      <c r="E238" s="547">
        <v>6.3757359669592284E-2</v>
      </c>
      <c r="F238" s="548">
        <v>0.12908965724574667</v>
      </c>
      <c r="G238" s="549">
        <v>0.36220232031145699</v>
      </c>
      <c r="H238" s="550">
        <v>2.22655595263033E-2</v>
      </c>
      <c r="I238" s="551">
        <v>9.2192829030067607</v>
      </c>
      <c r="J238" s="551">
        <v>0.38903610600326199</v>
      </c>
      <c r="K238" s="551">
        <v>5.2043665848900703E-2</v>
      </c>
      <c r="L238" s="551">
        <v>2.1796663541542101E-3</v>
      </c>
      <c r="M238" s="552">
        <v>5.4396849478241097E-2</v>
      </c>
    </row>
    <row r="239" spans="2:13" ht="15.75" x14ac:dyDescent="0.25">
      <c r="B239" s="555">
        <v>2020</v>
      </c>
      <c r="C239" s="556">
        <v>2000</v>
      </c>
      <c r="D239" s="557" t="s">
        <v>3122</v>
      </c>
      <c r="E239" s="547">
        <v>6.3508418567281719E-2</v>
      </c>
      <c r="F239" s="548">
        <v>0.1295422394501628</v>
      </c>
      <c r="G239" s="549">
        <v>0.35667495627770301</v>
      </c>
      <c r="H239" s="550">
        <v>2.23815676955821E-2</v>
      </c>
      <c r="I239" s="551">
        <v>9.2431529361660605</v>
      </c>
      <c r="J239" s="551">
        <v>0.38770512123829998</v>
      </c>
      <c r="K239" s="551">
        <v>5.1376480588910797E-2</v>
      </c>
      <c r="L239" s="551">
        <v>2.2022012533257202E-3</v>
      </c>
      <c r="M239" s="552">
        <v>5.3699497061385201E-2</v>
      </c>
    </row>
    <row r="240" spans="2:13" ht="15.75" x14ac:dyDescent="0.25">
      <c r="B240" s="555">
        <v>2020</v>
      </c>
      <c r="C240" s="556">
        <v>2001</v>
      </c>
      <c r="D240" s="557" t="s">
        <v>3123</v>
      </c>
      <c r="E240" s="547">
        <v>6.3737397426191972E-2</v>
      </c>
      <c r="F240" s="548">
        <v>0.12972275018678694</v>
      </c>
      <c r="G240" s="549">
        <v>0.355198865863246</v>
      </c>
      <c r="H240" s="550">
        <v>2.2362716104493301E-2</v>
      </c>
      <c r="I240" s="551">
        <v>9.1979221122797199</v>
      </c>
      <c r="J240" s="551">
        <v>0.38437871824355002</v>
      </c>
      <c r="K240" s="551">
        <v>5.1326692124056897E-2</v>
      </c>
      <c r="L240" s="551">
        <v>2.21468601547456E-3</v>
      </c>
      <c r="M240" s="552">
        <v>5.3647457383083699E-2</v>
      </c>
    </row>
    <row r="241" spans="2:13" ht="15.75" x14ac:dyDescent="0.25">
      <c r="B241" s="555">
        <v>2020</v>
      </c>
      <c r="C241" s="556">
        <v>2002</v>
      </c>
      <c r="D241" s="557" t="s">
        <v>3124</v>
      </c>
      <c r="E241" s="547">
        <v>6.3584066351685897E-2</v>
      </c>
      <c r="F241" s="548">
        <v>0.12958088196956813</v>
      </c>
      <c r="G241" s="549">
        <v>0.27398804054525699</v>
      </c>
      <c r="H241" s="550">
        <v>2.21400354910265E-2</v>
      </c>
      <c r="I241" s="551">
        <v>7.09579689721504</v>
      </c>
      <c r="J241" s="551">
        <v>0.30065655971524102</v>
      </c>
      <c r="K241" s="551">
        <v>5.1744608555385499E-2</v>
      </c>
      <c r="L241" s="551">
        <v>2.2116248421442599E-3</v>
      </c>
      <c r="M241" s="552">
        <v>5.4084270140960303E-2</v>
      </c>
    </row>
    <row r="242" spans="2:13" ht="15.75" x14ac:dyDescent="0.25">
      <c r="B242" s="555">
        <v>2020</v>
      </c>
      <c r="C242" s="556">
        <v>2003</v>
      </c>
      <c r="D242" s="557" t="s">
        <v>3125</v>
      </c>
      <c r="E242" s="547">
        <v>6.3276838895101509E-2</v>
      </c>
      <c r="F242" s="548">
        <v>0.12897996852761942</v>
      </c>
      <c r="G242" s="549">
        <v>0.26851897966623101</v>
      </c>
      <c r="H242" s="550">
        <v>2.16634153348539E-2</v>
      </c>
      <c r="I242" s="551">
        <v>7.1166573587497899</v>
      </c>
      <c r="J242" s="551">
        <v>0.292229407453581</v>
      </c>
      <c r="K242" s="551">
        <v>5.0948561989374301E-2</v>
      </c>
      <c r="L242" s="551">
        <v>2.18729571084029E-3</v>
      </c>
      <c r="M242" s="552">
        <v>5.3252229881638302E-2</v>
      </c>
    </row>
    <row r="243" spans="2:13" ht="15.75" x14ac:dyDescent="0.25">
      <c r="B243" s="555">
        <v>2020</v>
      </c>
      <c r="C243" s="556">
        <v>2004</v>
      </c>
      <c r="D243" s="557" t="s">
        <v>3126</v>
      </c>
      <c r="E243" s="547">
        <v>6.3048724424184313E-2</v>
      </c>
      <c r="F243" s="548">
        <v>0.12790791851824404</v>
      </c>
      <c r="G243" s="549">
        <v>0.218591543035629</v>
      </c>
      <c r="H243" s="550">
        <v>1.4310238173725599E-2</v>
      </c>
      <c r="I243" s="551">
        <v>5.9466482645911602</v>
      </c>
      <c r="J243" s="551">
        <v>0.23983254977687801</v>
      </c>
      <c r="K243" s="551">
        <v>5.0233710675958498E-2</v>
      </c>
      <c r="L243" s="551">
        <v>1.4226205033724001E-4</v>
      </c>
      <c r="M243" s="552">
        <v>5.2505056163935603E-2</v>
      </c>
    </row>
    <row r="244" spans="2:13" ht="15.75" x14ac:dyDescent="0.25">
      <c r="B244" s="555">
        <v>2020</v>
      </c>
      <c r="C244" s="556">
        <v>2005</v>
      </c>
      <c r="D244" s="557" t="s">
        <v>3127</v>
      </c>
      <c r="E244" s="547">
        <v>6.3096216972123212E-2</v>
      </c>
      <c r="F244" s="548">
        <v>0.12831349709154957</v>
      </c>
      <c r="G244" s="549">
        <v>0.21544416990173801</v>
      </c>
      <c r="H244" s="550">
        <v>1.40948948581242E-2</v>
      </c>
      <c r="I244" s="551">
        <v>5.9287626234266897</v>
      </c>
      <c r="J244" s="551">
        <v>0.23222558935929599</v>
      </c>
      <c r="K244" s="551">
        <v>4.98206954310179E-2</v>
      </c>
      <c r="L244" s="551">
        <v>1.4375729066274301E-4</v>
      </c>
      <c r="M244" s="552">
        <v>5.2073366202346802E-2</v>
      </c>
    </row>
    <row r="245" spans="2:13" ht="15.75" x14ac:dyDescent="0.25">
      <c r="B245" s="555">
        <v>2020</v>
      </c>
      <c r="C245" s="556">
        <v>2006</v>
      </c>
      <c r="D245" s="557" t="s">
        <v>3128</v>
      </c>
      <c r="E245" s="547">
        <v>6.2919663090537731E-2</v>
      </c>
      <c r="F245" s="548">
        <v>0.12862211849107708</v>
      </c>
      <c r="G245" s="549">
        <v>0.21054313149510001</v>
      </c>
      <c r="H245" s="550">
        <v>1.40207631234262E-2</v>
      </c>
      <c r="I245" s="551">
        <v>5.9290618653485403</v>
      </c>
      <c r="J245" s="551">
        <v>0.22383154379859599</v>
      </c>
      <c r="K245" s="551">
        <v>4.9036625225511797E-2</v>
      </c>
      <c r="L245" s="551">
        <v>1.44858903881183E-4</v>
      </c>
      <c r="M245" s="552">
        <v>5.1253843821407699E-2</v>
      </c>
    </row>
    <row r="246" spans="2:13" ht="15.75" x14ac:dyDescent="0.25">
      <c r="B246" s="555">
        <v>2020</v>
      </c>
      <c r="C246" s="556">
        <v>2007</v>
      </c>
      <c r="D246" s="557" t="s">
        <v>3129</v>
      </c>
      <c r="E246" s="547">
        <v>6.3091596747424442E-2</v>
      </c>
      <c r="F246" s="548">
        <v>0.12901158402961163</v>
      </c>
      <c r="G246" s="549">
        <v>0.15357079955726299</v>
      </c>
      <c r="H246" s="550">
        <v>1.4007295612035399E-2</v>
      </c>
      <c r="I246" s="551">
        <v>3.0772407064622902</v>
      </c>
      <c r="J246" s="551">
        <v>0.22200285656874999</v>
      </c>
      <c r="K246" s="551">
        <v>3.4016390874972401E-2</v>
      </c>
      <c r="L246" s="551">
        <v>1.4639100786380401E-4</v>
      </c>
      <c r="M246" s="552">
        <v>3.5554461124839697E-2</v>
      </c>
    </row>
    <row r="247" spans="2:13" ht="15.75" x14ac:dyDescent="0.25">
      <c r="B247" s="555">
        <v>2020</v>
      </c>
      <c r="C247" s="556">
        <v>2008</v>
      </c>
      <c r="D247" s="557" t="s">
        <v>3130</v>
      </c>
      <c r="E247" s="547">
        <v>6.3334144453562974E-2</v>
      </c>
      <c r="F247" s="548">
        <v>0.1294817129191847</v>
      </c>
      <c r="G247" s="549">
        <v>0.15257196765508399</v>
      </c>
      <c r="H247" s="550">
        <v>1.1432716934143401E-2</v>
      </c>
      <c r="I247" s="551">
        <v>3.05427281978998</v>
      </c>
      <c r="J247" s="551">
        <v>0.15655146176615201</v>
      </c>
      <c r="K247" s="551">
        <v>3.3577285538091903E-2</v>
      </c>
      <c r="L247" s="551">
        <v>1.6886801157298001E-4</v>
      </c>
      <c r="M247" s="552">
        <v>3.5095501393126602E-2</v>
      </c>
    </row>
    <row r="248" spans="2:13" ht="15.75" x14ac:dyDescent="0.25">
      <c r="B248" s="555">
        <v>2020</v>
      </c>
      <c r="C248" s="556">
        <v>2009</v>
      </c>
      <c r="D248" s="557" t="s">
        <v>3131</v>
      </c>
      <c r="E248" s="547">
        <v>6.3333554283134169E-2</v>
      </c>
      <c r="F248" s="548">
        <v>0.12824429322157405</v>
      </c>
      <c r="G248" s="549">
        <v>0.14948631277763799</v>
      </c>
      <c r="H248" s="550">
        <v>8.70470504632153E-3</v>
      </c>
      <c r="I248" s="551">
        <v>3.0427454007913899</v>
      </c>
      <c r="J248" s="551">
        <v>9.8914619794338896E-2</v>
      </c>
      <c r="K248" s="551">
        <v>3.2842396064982203E-2</v>
      </c>
      <c r="L248" s="551">
        <v>1.85100783405574E-4</v>
      </c>
      <c r="M248" s="552">
        <v>3.4327383479066602E-2</v>
      </c>
    </row>
    <row r="249" spans="2:13" ht="15.75" x14ac:dyDescent="0.25">
      <c r="B249" s="555">
        <v>2020</v>
      </c>
      <c r="C249" s="556">
        <v>2010</v>
      </c>
      <c r="D249" s="557" t="s">
        <v>3132</v>
      </c>
      <c r="E249" s="547">
        <v>6.3349925173624977E-2</v>
      </c>
      <c r="F249" s="548">
        <v>0.12715217274414881</v>
      </c>
      <c r="G249" s="549">
        <v>9.8562184076718004E-2</v>
      </c>
      <c r="H249" s="550">
        <v>8.4825677163561097E-3</v>
      </c>
      <c r="I249" s="551">
        <v>0.23368373540562501</v>
      </c>
      <c r="J249" s="551">
        <v>9.8169627440094401E-2</v>
      </c>
      <c r="K249" s="551">
        <v>1.7123676950880001E-2</v>
      </c>
      <c r="L249" s="551">
        <v>2.20484075192577E-4</v>
      </c>
      <c r="M249" s="552">
        <v>1.7897933637407701E-2</v>
      </c>
    </row>
    <row r="250" spans="2:13" ht="15.75" x14ac:dyDescent="0.25">
      <c r="B250" s="555">
        <v>2020</v>
      </c>
      <c r="C250" s="556">
        <v>2011</v>
      </c>
      <c r="D250" s="557" t="s">
        <v>3133</v>
      </c>
      <c r="E250" s="547">
        <v>6.3292817261860035E-2</v>
      </c>
      <c r="F250" s="548">
        <v>0.12887597343782947</v>
      </c>
      <c r="G250" s="549">
        <v>9.6671296213392294E-2</v>
      </c>
      <c r="H250" s="550">
        <v>8.8222550429578103E-3</v>
      </c>
      <c r="I250" s="551">
        <v>0.226084889102491</v>
      </c>
      <c r="J250" s="551">
        <v>9.8741693476511003E-2</v>
      </c>
      <c r="K250" s="551">
        <v>1.6190055864487098E-2</v>
      </c>
      <c r="L250" s="551">
        <v>3.1164786025324702E-4</v>
      </c>
      <c r="M250" s="552">
        <v>1.6922098348370399E-2</v>
      </c>
    </row>
    <row r="251" spans="2:13" ht="15.75" x14ac:dyDescent="0.25">
      <c r="B251" s="555">
        <v>2020</v>
      </c>
      <c r="C251" s="556">
        <v>2012</v>
      </c>
      <c r="D251" s="557" t="s">
        <v>3134</v>
      </c>
      <c r="E251" s="547">
        <v>6.3415777471837256E-2</v>
      </c>
      <c r="F251" s="548">
        <v>0.12925838507999912</v>
      </c>
      <c r="G251" s="549">
        <v>9.6277711501242896E-2</v>
      </c>
      <c r="H251" s="550">
        <v>8.8567958590091093E-3</v>
      </c>
      <c r="I251" s="551">
        <v>0.220183266301194</v>
      </c>
      <c r="J251" s="551">
        <v>9.7591161855538497E-2</v>
      </c>
      <c r="K251" s="551">
        <v>1.52840999350291E-2</v>
      </c>
      <c r="L251" s="551">
        <v>4.6011333687411899E-4</v>
      </c>
      <c r="M251" s="552">
        <v>1.5975179111902101E-2</v>
      </c>
    </row>
    <row r="252" spans="2:13" ht="15.75" x14ac:dyDescent="0.25">
      <c r="B252" s="555">
        <v>2020</v>
      </c>
      <c r="C252" s="556">
        <v>2013</v>
      </c>
      <c r="D252" s="557" t="s">
        <v>3135</v>
      </c>
      <c r="E252" s="547">
        <v>6.3272729533224298E-2</v>
      </c>
      <c r="F252" s="548">
        <v>0.12929235618417387</v>
      </c>
      <c r="G252" s="549">
        <v>9.3474059620364397E-2</v>
      </c>
      <c r="H252" s="550">
        <v>8.7636243267722198E-3</v>
      </c>
      <c r="I252" s="551">
        <v>0.21079880175928301</v>
      </c>
      <c r="J252" s="551">
        <v>9.5202805758438702E-2</v>
      </c>
      <c r="K252" s="551">
        <v>1.4203750567258E-2</v>
      </c>
      <c r="L252" s="551">
        <v>6.8969101632685098E-4</v>
      </c>
      <c r="M252" s="552">
        <v>1.4845981139699699E-2</v>
      </c>
    </row>
    <row r="253" spans="2:13" ht="15.75" x14ac:dyDescent="0.25">
      <c r="B253" s="555">
        <v>2020</v>
      </c>
      <c r="C253" s="556">
        <v>2014</v>
      </c>
      <c r="D253" s="557" t="s">
        <v>3136</v>
      </c>
      <c r="E253" s="547">
        <v>6.1732643039543733E-2</v>
      </c>
      <c r="F253" s="548">
        <v>0.12717533962630664</v>
      </c>
      <c r="G253" s="549">
        <v>9.10379264902859E-2</v>
      </c>
      <c r="H253" s="550">
        <v>8.6162044037130098E-3</v>
      </c>
      <c r="I253" s="551">
        <v>0.201472753316804</v>
      </c>
      <c r="J253" s="551">
        <v>9.2921471864053098E-2</v>
      </c>
      <c r="K253" s="551">
        <v>1.30763512802593E-2</v>
      </c>
      <c r="L253" s="551">
        <v>9.5707767713864699E-4</v>
      </c>
      <c r="M253" s="552">
        <v>1.36676058597032E-2</v>
      </c>
    </row>
    <row r="254" spans="2:13" ht="15.75" x14ac:dyDescent="0.25">
      <c r="B254" s="555">
        <v>2020</v>
      </c>
      <c r="C254" s="556">
        <v>2015</v>
      </c>
      <c r="D254" s="557" t="s">
        <v>3137</v>
      </c>
      <c r="E254" s="547">
        <v>6.1204925444063342E-2</v>
      </c>
      <c r="F254" s="548">
        <v>0.12716372645351723</v>
      </c>
      <c r="G254" s="549">
        <v>8.8514395946388297E-2</v>
      </c>
      <c r="H254" s="550">
        <v>8.7373203709948007E-3</v>
      </c>
      <c r="I254" s="551">
        <v>0.19177532496173499</v>
      </c>
      <c r="J254" s="551">
        <v>9.2242233528345902E-2</v>
      </c>
      <c r="K254" s="551">
        <v>1.1893365350797399E-2</v>
      </c>
      <c r="L254" s="551">
        <v>1.22467405860756E-3</v>
      </c>
      <c r="M254" s="552">
        <v>1.24311305559334E-2</v>
      </c>
    </row>
    <row r="255" spans="2:13" ht="15.75" x14ac:dyDescent="0.25">
      <c r="B255" s="555">
        <v>2020</v>
      </c>
      <c r="C255" s="556">
        <v>2016</v>
      </c>
      <c r="D255" s="557" t="s">
        <v>3138</v>
      </c>
      <c r="E255" s="547">
        <v>5.9210023135720172E-2</v>
      </c>
      <c r="F255" s="548">
        <v>0.12322499437145185</v>
      </c>
      <c r="G255" s="549">
        <v>8.5789319995326505E-2</v>
      </c>
      <c r="H255" s="550">
        <v>8.2096260383564008E-3</v>
      </c>
      <c r="I255" s="551">
        <v>0.15911526770297599</v>
      </c>
      <c r="J255" s="551">
        <v>8.2461842273848701E-2</v>
      </c>
      <c r="K255" s="551">
        <v>1.06492144180226E-2</v>
      </c>
      <c r="L255" s="551">
        <v>1.3773745079972599E-3</v>
      </c>
      <c r="M255" s="552">
        <v>1.11307246388165E-2</v>
      </c>
    </row>
    <row r="256" spans="2:13" ht="15.75" x14ac:dyDescent="0.25">
      <c r="B256" s="555">
        <v>2020</v>
      </c>
      <c r="C256" s="556">
        <v>2017</v>
      </c>
      <c r="D256" s="557" t="s">
        <v>3139</v>
      </c>
      <c r="E256" s="547">
        <v>5.5678326494876723E-2</v>
      </c>
      <c r="F256" s="548">
        <v>0.11935649490390839</v>
      </c>
      <c r="G256" s="549">
        <v>6.9654979793733598E-2</v>
      </c>
      <c r="H256" s="550">
        <v>7.9926107385143996E-3</v>
      </c>
      <c r="I256" s="551">
        <v>0.11715001960224899</v>
      </c>
      <c r="J256" s="551">
        <v>7.6453498690109103E-2</v>
      </c>
      <c r="K256" s="551">
        <v>8.8967069137423707E-3</v>
      </c>
      <c r="L256" s="551">
        <v>1.4360136806595501E-3</v>
      </c>
      <c r="M256" s="552">
        <v>9.2989765218295592E-3</v>
      </c>
    </row>
    <row r="257" spans="2:13" ht="15.75" x14ac:dyDescent="0.25">
      <c r="B257" s="555">
        <v>2020</v>
      </c>
      <c r="C257" s="556">
        <v>2018</v>
      </c>
      <c r="D257" s="557" t="s">
        <v>3140</v>
      </c>
      <c r="E257" s="547">
        <v>5.1981625615214633E-2</v>
      </c>
      <c r="F257" s="548">
        <v>0.11422511988922887</v>
      </c>
      <c r="G257" s="549">
        <v>6.7779733685400204E-2</v>
      </c>
      <c r="H257" s="550">
        <v>8.1015795723124902E-3</v>
      </c>
      <c r="I257" s="551">
        <v>8.9917016086995594E-2</v>
      </c>
      <c r="J257" s="551">
        <v>7.1788017069910795E-2</v>
      </c>
      <c r="K257" s="551">
        <v>7.6283986290448403E-3</v>
      </c>
      <c r="L257" s="551">
        <v>1.4962143794182701E-3</v>
      </c>
      <c r="M257" s="552">
        <v>7.9733209645326698E-3</v>
      </c>
    </row>
    <row r="258" spans="2:13" ht="15.75" x14ac:dyDescent="0.25">
      <c r="B258" s="555">
        <v>2020</v>
      </c>
      <c r="C258" s="556">
        <v>2019</v>
      </c>
      <c r="D258" s="557" t="s">
        <v>3141</v>
      </c>
      <c r="E258" s="547">
        <v>5.1950798695972911E-2</v>
      </c>
      <c r="F258" s="548">
        <v>0.11415244567266636</v>
      </c>
      <c r="G258" s="549">
        <v>6.5815124909979997E-2</v>
      </c>
      <c r="H258" s="550">
        <v>8.1913983818963695E-3</v>
      </c>
      <c r="I258" s="551">
        <v>7.2255851686092401E-2</v>
      </c>
      <c r="J258" s="551">
        <v>6.9335599850778196E-2</v>
      </c>
      <c r="K258" s="551">
        <v>6.3015259918235101E-3</v>
      </c>
      <c r="L258" s="551">
        <v>1.5365468461267899E-3</v>
      </c>
      <c r="M258" s="552">
        <v>6.5864530345663202E-3</v>
      </c>
    </row>
    <row r="259" spans="2:13" ht="15.75" x14ac:dyDescent="0.25">
      <c r="B259" s="555">
        <v>2020</v>
      </c>
      <c r="C259" s="556">
        <v>2020</v>
      </c>
      <c r="D259" s="557" t="s">
        <v>3142</v>
      </c>
      <c r="E259" s="547">
        <v>5.190849130229723E-2</v>
      </c>
      <c r="F259" s="548">
        <v>0.11403821422672904</v>
      </c>
      <c r="G259" s="549">
        <v>6.3760661158483098E-2</v>
      </c>
      <c r="H259" s="550">
        <v>7.0563371475392796E-3</v>
      </c>
      <c r="I259" s="551">
        <v>5.5908079027878803E-2</v>
      </c>
      <c r="J259" s="551">
        <v>5.5085691601579598E-2</v>
      </c>
      <c r="K259" s="551">
        <v>4.9160484140558297E-3</v>
      </c>
      <c r="L259" s="551">
        <v>1.5370656624189799E-3</v>
      </c>
      <c r="M259" s="552">
        <v>5.1383303086976802E-3</v>
      </c>
    </row>
    <row r="260" spans="2:13" ht="15.75" x14ac:dyDescent="0.25">
      <c r="B260" s="555">
        <v>2021</v>
      </c>
      <c r="C260" s="556">
        <v>1982</v>
      </c>
      <c r="D260" s="557" t="s">
        <v>3148</v>
      </c>
      <c r="E260" s="547">
        <v>6.4338337485124353E-2</v>
      </c>
      <c r="F260" s="548">
        <v>0.13999176102958208</v>
      </c>
      <c r="G260" s="549">
        <v>0.229317993474313</v>
      </c>
      <c r="H260" s="550">
        <v>2.4643750464041698</v>
      </c>
      <c r="I260" s="551">
        <v>5.0667073998404799</v>
      </c>
      <c r="J260" s="551">
        <v>4.0659526217914497</v>
      </c>
      <c r="K260" s="551">
        <v>0.172844978627234</v>
      </c>
      <c r="L260" s="551">
        <v>1.5161762390368099E-2</v>
      </c>
      <c r="M260" s="552">
        <v>0.18066026157252399</v>
      </c>
    </row>
    <row r="261" spans="2:13" ht="15.75" x14ac:dyDescent="0.25">
      <c r="B261" s="555">
        <v>2021</v>
      </c>
      <c r="C261" s="556">
        <v>1983</v>
      </c>
      <c r="D261" s="557" t="s">
        <v>3149</v>
      </c>
      <c r="E261" s="547">
        <v>6.1926690526753939E-2</v>
      </c>
      <c r="F261" s="548">
        <v>0.14490583610198476</v>
      </c>
      <c r="G261" s="549">
        <v>0.21282609137731501</v>
      </c>
      <c r="H261" s="550">
        <v>2.58967536953118</v>
      </c>
      <c r="I261" s="551">
        <v>5.21671765978087</v>
      </c>
      <c r="J261" s="551">
        <v>4.0652021216571699</v>
      </c>
      <c r="K261" s="551">
        <v>0.160414456179821</v>
      </c>
      <c r="L261" s="551">
        <v>1.6183810230193E-2</v>
      </c>
      <c r="M261" s="552">
        <v>0.167667686059666</v>
      </c>
    </row>
    <row r="262" spans="2:13" ht="15.75" x14ac:dyDescent="0.25">
      <c r="B262" s="555">
        <v>2021</v>
      </c>
      <c r="C262" s="556">
        <v>1984</v>
      </c>
      <c r="D262" s="557" t="s">
        <v>3150</v>
      </c>
      <c r="E262" s="547">
        <v>6.2446753396332086E-2</v>
      </c>
      <c r="F262" s="548">
        <v>0.14385363288046951</v>
      </c>
      <c r="G262" s="549">
        <v>0.217006453860354</v>
      </c>
      <c r="H262" s="550">
        <v>1.8994805824660801</v>
      </c>
      <c r="I262" s="551">
        <v>5.1966096443115299</v>
      </c>
      <c r="J262" s="551">
        <v>4.0617985474054397</v>
      </c>
      <c r="K262" s="551">
        <v>0.163565341346256</v>
      </c>
      <c r="L262" s="551">
        <v>1.58644103717809E-2</v>
      </c>
      <c r="M262" s="552">
        <v>0.17096104027148201</v>
      </c>
    </row>
    <row r="263" spans="2:13" ht="15.75" x14ac:dyDescent="0.25">
      <c r="B263" s="555">
        <v>2021</v>
      </c>
      <c r="C263" s="556">
        <v>1985</v>
      </c>
      <c r="D263" s="557" t="s">
        <v>3151</v>
      </c>
      <c r="E263" s="547">
        <v>6.4506206779099906E-2</v>
      </c>
      <c r="F263" s="548">
        <v>0.14197317722158928</v>
      </c>
      <c r="G263" s="549">
        <v>0.23062574621916301</v>
      </c>
      <c r="H263" s="550">
        <v>1.8383145181634299</v>
      </c>
      <c r="I263" s="551">
        <v>5.0435929934044799</v>
      </c>
      <c r="J263" s="551">
        <v>4.1137149573595302</v>
      </c>
      <c r="K263" s="551">
        <v>0.17383067753296999</v>
      </c>
      <c r="L263" s="551">
        <v>1.5554541778897601E-2</v>
      </c>
      <c r="M263" s="552">
        <v>0.18169052940880401</v>
      </c>
    </row>
    <row r="264" spans="2:13" ht="15.75" x14ac:dyDescent="0.25">
      <c r="B264" s="555">
        <v>2021</v>
      </c>
      <c r="C264" s="556">
        <v>1986</v>
      </c>
      <c r="D264" s="557" t="s">
        <v>3152</v>
      </c>
      <c r="E264" s="547">
        <v>6.3725964764167753E-2</v>
      </c>
      <c r="F264" s="548">
        <v>0.14198078885356027</v>
      </c>
      <c r="G264" s="549">
        <v>0.22602514772038501</v>
      </c>
      <c r="H264" s="550">
        <v>1.8303166576901799</v>
      </c>
      <c r="I264" s="551">
        <v>5.1097500756614904</v>
      </c>
      <c r="J264" s="551">
        <v>3.8772588546805098</v>
      </c>
      <c r="K264" s="551">
        <v>0.170363045808367</v>
      </c>
      <c r="L264" s="551">
        <v>1.5575751868302699E-2</v>
      </c>
      <c r="M264" s="552">
        <v>0.17806610676500201</v>
      </c>
    </row>
    <row r="265" spans="2:13" ht="15.75" x14ac:dyDescent="0.25">
      <c r="B265" s="555">
        <v>2021</v>
      </c>
      <c r="C265" s="556">
        <v>1987</v>
      </c>
      <c r="D265" s="557" t="s">
        <v>3153</v>
      </c>
      <c r="E265" s="547">
        <v>6.3454885233106897E-2</v>
      </c>
      <c r="F265" s="548">
        <v>0.14002165311374465</v>
      </c>
      <c r="G265" s="549">
        <v>0.28189882330556798</v>
      </c>
      <c r="H265" s="550">
        <v>1.7781985155464399</v>
      </c>
      <c r="I265" s="551">
        <v>5.2222957256123204</v>
      </c>
      <c r="J265" s="551">
        <v>3.9659677703480298</v>
      </c>
      <c r="K265" s="551">
        <v>0.19198367943834199</v>
      </c>
      <c r="L265" s="551">
        <v>1.52232680357712E-2</v>
      </c>
      <c r="M265" s="552">
        <v>0.20066432950758301</v>
      </c>
    </row>
    <row r="266" spans="2:13" ht="15.75" x14ac:dyDescent="0.25">
      <c r="B266" s="555">
        <v>2021</v>
      </c>
      <c r="C266" s="556">
        <v>1988</v>
      </c>
      <c r="D266" s="557" t="s">
        <v>3154</v>
      </c>
      <c r="E266" s="547">
        <v>6.2840246172561648E-2</v>
      </c>
      <c r="F266" s="548">
        <v>0.13328092364393646</v>
      </c>
      <c r="G266" s="549">
        <v>0.27688378209900699</v>
      </c>
      <c r="H266" s="550">
        <v>0.43761695877816897</v>
      </c>
      <c r="I266" s="551">
        <v>5.2671163109464496</v>
      </c>
      <c r="J266" s="551">
        <v>1.6817553202133</v>
      </c>
      <c r="K266" s="551">
        <v>0.18856824814252901</v>
      </c>
      <c r="L266" s="551">
        <v>1.4098833206437299E-2</v>
      </c>
      <c r="M266" s="552">
        <v>0.197094467564326</v>
      </c>
    </row>
    <row r="267" spans="2:13" ht="15.75" x14ac:dyDescent="0.25">
      <c r="B267" s="555">
        <v>2021</v>
      </c>
      <c r="C267" s="556">
        <v>1989</v>
      </c>
      <c r="D267" s="557" t="s">
        <v>3155</v>
      </c>
      <c r="E267" s="547">
        <v>6.2620110770074469E-2</v>
      </c>
      <c r="F267" s="548">
        <v>0.13266838963751393</v>
      </c>
      <c r="G267" s="549">
        <v>0.27541338515920799</v>
      </c>
      <c r="H267" s="550">
        <v>0.43082970530815501</v>
      </c>
      <c r="I267" s="551">
        <v>5.2883439618830304</v>
      </c>
      <c r="J267" s="551">
        <v>1.6723469520182701</v>
      </c>
      <c r="K267" s="551">
        <v>0.18756685263676801</v>
      </c>
      <c r="L267" s="551">
        <v>1.39502185759715E-2</v>
      </c>
      <c r="M267" s="552">
        <v>0.19604779339742101</v>
      </c>
    </row>
    <row r="268" spans="2:13" ht="15.75" x14ac:dyDescent="0.25">
      <c r="B268" s="555">
        <v>2021</v>
      </c>
      <c r="C268" s="556">
        <v>1990</v>
      </c>
      <c r="D268" s="557" t="s">
        <v>3156</v>
      </c>
      <c r="E268" s="547">
        <v>6.2632449769096279E-2</v>
      </c>
      <c r="F268" s="548">
        <v>0.13358036097112169</v>
      </c>
      <c r="G268" s="549">
        <v>0.27584742050724198</v>
      </c>
      <c r="H268" s="550">
        <v>0.43672294961698199</v>
      </c>
      <c r="I268" s="551">
        <v>5.2910233134880498</v>
      </c>
      <c r="J268" s="551">
        <v>1.6801256175893899</v>
      </c>
      <c r="K268" s="551">
        <v>0.18786244699982599</v>
      </c>
      <c r="L268" s="551">
        <v>1.4222722484648301E-2</v>
      </c>
      <c r="M268" s="552">
        <v>0.19635675322589599</v>
      </c>
    </row>
    <row r="269" spans="2:13" ht="15.75" x14ac:dyDescent="0.25">
      <c r="B269" s="555">
        <v>2021</v>
      </c>
      <c r="C269" s="556">
        <v>1991</v>
      </c>
      <c r="D269" s="557" t="s">
        <v>3157</v>
      </c>
      <c r="E269" s="547">
        <v>6.356667143297362E-2</v>
      </c>
      <c r="F269" s="548">
        <v>0.13308906107530996</v>
      </c>
      <c r="G269" s="549">
        <v>0.364106729239357</v>
      </c>
      <c r="H269" s="550">
        <v>0.481700527051589</v>
      </c>
      <c r="I269" s="551">
        <v>9.2305764184308305</v>
      </c>
      <c r="J269" s="551">
        <v>2.9243201199865099</v>
      </c>
      <c r="K269" s="551">
        <v>5.1602403138856098E-2</v>
      </c>
      <c r="L269" s="551">
        <v>7.7280861098995004E-3</v>
      </c>
      <c r="M269" s="552">
        <v>5.3935634826522499E-2</v>
      </c>
    </row>
    <row r="270" spans="2:13" ht="15.75" x14ac:dyDescent="0.25">
      <c r="B270" s="555">
        <v>2021</v>
      </c>
      <c r="C270" s="556">
        <v>1992</v>
      </c>
      <c r="D270" s="557" t="s">
        <v>3158</v>
      </c>
      <c r="E270" s="547">
        <v>6.3789003593937174E-2</v>
      </c>
      <c r="F270" s="548">
        <v>0.13393453265559385</v>
      </c>
      <c r="G270" s="549">
        <v>0.36681569299799299</v>
      </c>
      <c r="H270" s="550">
        <v>0.48927535045306902</v>
      </c>
      <c r="I270" s="551">
        <v>9.1982677520704303</v>
      </c>
      <c r="J270" s="551">
        <v>2.9476981828998898</v>
      </c>
      <c r="K270" s="551">
        <v>5.1986326391946502E-2</v>
      </c>
      <c r="L270" s="551">
        <v>7.8827727001349497E-3</v>
      </c>
      <c r="M270" s="552">
        <v>5.4336917385483498E-2</v>
      </c>
    </row>
    <row r="271" spans="2:13" ht="15.75" x14ac:dyDescent="0.25">
      <c r="B271" s="555">
        <v>2021</v>
      </c>
      <c r="C271" s="556">
        <v>1993</v>
      </c>
      <c r="D271" s="557" t="s">
        <v>3159</v>
      </c>
      <c r="E271" s="547">
        <v>6.38509089379104E-2</v>
      </c>
      <c r="F271" s="548">
        <v>0.13325092676095868</v>
      </c>
      <c r="G271" s="549">
        <v>0.36780678328243199</v>
      </c>
      <c r="H271" s="550">
        <v>0.48144760958187599</v>
      </c>
      <c r="I271" s="551">
        <v>9.1915501784817302</v>
      </c>
      <c r="J271" s="551">
        <v>2.9297151588371699</v>
      </c>
      <c r="K271" s="551">
        <v>5.2126786966546303E-2</v>
      </c>
      <c r="L271" s="551">
        <v>7.78606357432111E-3</v>
      </c>
      <c r="M271" s="552">
        <v>5.4483728963982202E-2</v>
      </c>
    </row>
    <row r="272" spans="2:13" ht="15.75" x14ac:dyDescent="0.25">
      <c r="B272" s="555">
        <v>2021</v>
      </c>
      <c r="C272" s="556">
        <v>1994</v>
      </c>
      <c r="D272" s="557" t="s">
        <v>3160</v>
      </c>
      <c r="E272" s="547">
        <v>6.346004962186276E-2</v>
      </c>
      <c r="F272" s="548">
        <v>0.13227182562816198</v>
      </c>
      <c r="G272" s="549">
        <v>0.36162134030038601</v>
      </c>
      <c r="H272" s="550">
        <v>0.471208041484041</v>
      </c>
      <c r="I272" s="551">
        <v>9.2535674529192296</v>
      </c>
      <c r="J272" s="551">
        <v>2.9078118903480501</v>
      </c>
      <c r="K272" s="551">
        <v>5.1779970164441802E-2</v>
      </c>
      <c r="L272" s="551">
        <v>7.64323969590838E-3</v>
      </c>
      <c r="M272" s="552">
        <v>5.4121230645063197E-2</v>
      </c>
    </row>
    <row r="273" spans="2:13" ht="15.75" x14ac:dyDescent="0.25">
      <c r="B273" s="555">
        <v>2021</v>
      </c>
      <c r="C273" s="556">
        <v>1995</v>
      </c>
      <c r="D273" s="557" t="s">
        <v>3161</v>
      </c>
      <c r="E273" s="547">
        <v>6.3805702756060359E-2</v>
      </c>
      <c r="F273" s="548">
        <v>0.13162810522914295</v>
      </c>
      <c r="G273" s="549">
        <v>0.36583882799591699</v>
      </c>
      <c r="H273" s="550">
        <v>0.25182481237334797</v>
      </c>
      <c r="I273" s="551">
        <v>9.2314990387056692</v>
      </c>
      <c r="J273" s="551">
        <v>1.6601265346013501</v>
      </c>
      <c r="K273" s="551">
        <v>5.2383865351772502E-2</v>
      </c>
      <c r="L273" s="551">
        <v>4.9968605282151102E-3</v>
      </c>
      <c r="M273" s="552">
        <v>5.47524312930198E-2</v>
      </c>
    </row>
    <row r="274" spans="2:13" ht="15.75" x14ac:dyDescent="0.25">
      <c r="B274" s="555">
        <v>2021</v>
      </c>
      <c r="C274" s="556">
        <v>1996</v>
      </c>
      <c r="D274" s="557" t="s">
        <v>3162</v>
      </c>
      <c r="E274" s="547">
        <v>6.3825691143669622E-2</v>
      </c>
      <c r="F274" s="548">
        <v>0.13017687317249443</v>
      </c>
      <c r="G274" s="549">
        <v>0.366119587483894</v>
      </c>
      <c r="H274" s="550">
        <v>2.27812277989566E-2</v>
      </c>
      <c r="I274" s="551">
        <v>9.2256496328948394</v>
      </c>
      <c r="J274" s="551">
        <v>0.39496028413762402</v>
      </c>
      <c r="K274" s="551">
        <v>5.2424066845132303E-2</v>
      </c>
      <c r="L274" s="551">
        <v>2.22050933120273E-3</v>
      </c>
      <c r="M274" s="552">
        <v>5.4794450519517902E-2</v>
      </c>
    </row>
    <row r="275" spans="2:13" ht="15.75" x14ac:dyDescent="0.25">
      <c r="B275" s="555">
        <v>2021</v>
      </c>
      <c r="C275" s="556">
        <v>1997</v>
      </c>
      <c r="D275" s="557" t="s">
        <v>3163</v>
      </c>
      <c r="E275" s="547">
        <v>6.4078666212435562E-2</v>
      </c>
      <c r="F275" s="548">
        <v>0.12879574484174638</v>
      </c>
      <c r="G275" s="549">
        <v>0.36896586845262902</v>
      </c>
      <c r="H275" s="550">
        <v>2.21511818605508E-2</v>
      </c>
      <c r="I275" s="551">
        <v>9.1840638921178002</v>
      </c>
      <c r="J275" s="551">
        <v>0.39093451313428801</v>
      </c>
      <c r="K275" s="551">
        <v>5.2831621176738598E-2</v>
      </c>
      <c r="L275" s="551">
        <v>2.1616221028504801E-3</v>
      </c>
      <c r="M275" s="552">
        <v>5.5220432649503902E-2</v>
      </c>
    </row>
    <row r="276" spans="2:13" ht="15.75" x14ac:dyDescent="0.25">
      <c r="B276" s="555">
        <v>2021</v>
      </c>
      <c r="C276" s="556">
        <v>1998</v>
      </c>
      <c r="D276" s="557" t="s">
        <v>3164</v>
      </c>
      <c r="E276" s="547">
        <v>6.3885098121910372E-2</v>
      </c>
      <c r="F276" s="548">
        <v>0.12934517544677293</v>
      </c>
      <c r="G276" s="549">
        <v>0.366864092487314</v>
      </c>
      <c r="H276" s="550">
        <v>2.23946059285107E-2</v>
      </c>
      <c r="I276" s="551">
        <v>9.2202436084836794</v>
      </c>
      <c r="J276" s="551">
        <v>0.39219678019302501</v>
      </c>
      <c r="K276" s="551">
        <v>5.2557841595159298E-2</v>
      </c>
      <c r="L276" s="551">
        <v>2.1885183999932499E-3</v>
      </c>
      <c r="M276" s="552">
        <v>5.4934273970124403E-2</v>
      </c>
    </row>
    <row r="277" spans="2:13" ht="15.75" x14ac:dyDescent="0.25">
      <c r="B277" s="555">
        <v>2021</v>
      </c>
      <c r="C277" s="556">
        <v>1999</v>
      </c>
      <c r="D277" s="557" t="s">
        <v>3165</v>
      </c>
      <c r="E277" s="547">
        <v>6.3807694729903441E-2</v>
      </c>
      <c r="F277" s="548">
        <v>0.12923815442751974</v>
      </c>
      <c r="G277" s="549">
        <v>0.36464455445426303</v>
      </c>
      <c r="H277" s="550">
        <v>2.2346070317231698E-2</v>
      </c>
      <c r="I277" s="551">
        <v>9.22022754619781</v>
      </c>
      <c r="J277" s="551">
        <v>0.39109869751088799</v>
      </c>
      <c r="K277" s="551">
        <v>5.2300162921029202E-2</v>
      </c>
      <c r="L277" s="551">
        <v>2.1836858901150302E-3</v>
      </c>
      <c r="M277" s="552">
        <v>5.46649442097824E-2</v>
      </c>
    </row>
    <row r="278" spans="2:13" ht="15.75" x14ac:dyDescent="0.25">
      <c r="B278" s="555">
        <v>2021</v>
      </c>
      <c r="C278" s="556">
        <v>2000</v>
      </c>
      <c r="D278" s="557" t="s">
        <v>3166</v>
      </c>
      <c r="E278" s="547">
        <v>6.3559899838740497E-2</v>
      </c>
      <c r="F278" s="548">
        <v>0.12968946111521468</v>
      </c>
      <c r="G278" s="549">
        <v>0.35994218368929498</v>
      </c>
      <c r="H278" s="550">
        <v>2.24873931118196E-2</v>
      </c>
      <c r="I278" s="551">
        <v>9.245979050611</v>
      </c>
      <c r="J278" s="551">
        <v>0.390757063176085</v>
      </c>
      <c r="K278" s="551">
        <v>5.1718914215516498E-2</v>
      </c>
      <c r="L278" s="551">
        <v>2.2062313613760501E-3</v>
      </c>
      <c r="M278" s="552">
        <v>5.4057414017059303E-2</v>
      </c>
    </row>
    <row r="279" spans="2:13" ht="15.75" x14ac:dyDescent="0.25">
      <c r="B279" s="555">
        <v>2021</v>
      </c>
      <c r="C279" s="556">
        <v>2001</v>
      </c>
      <c r="D279" s="557" t="s">
        <v>3167</v>
      </c>
      <c r="E279" s="547">
        <v>6.3786753155623918E-2</v>
      </c>
      <c r="F279" s="548">
        <v>0.12986949344801943</v>
      </c>
      <c r="G279" s="549">
        <v>0.35931126937546598</v>
      </c>
      <c r="H279" s="550">
        <v>2.2499208561473201E-2</v>
      </c>
      <c r="I279" s="551">
        <v>9.2029553595666798</v>
      </c>
      <c r="J279" s="551">
        <v>0.38858672065383099</v>
      </c>
      <c r="K279" s="551">
        <v>5.17562226658623E-2</v>
      </c>
      <c r="L279" s="551">
        <v>2.2186075482997399E-3</v>
      </c>
      <c r="M279" s="552">
        <v>5.4096409389976001E-2</v>
      </c>
    </row>
    <row r="280" spans="2:13" ht="15.75" x14ac:dyDescent="0.25">
      <c r="B280" s="555">
        <v>2021</v>
      </c>
      <c r="C280" s="556">
        <v>2002</v>
      </c>
      <c r="D280" s="557" t="s">
        <v>3168</v>
      </c>
      <c r="E280" s="547">
        <v>6.3633936697145038E-2</v>
      </c>
      <c r="F280" s="548">
        <v>0.12973078506049673</v>
      </c>
      <c r="G280" s="549">
        <v>0.27687105479447899</v>
      </c>
      <c r="H280" s="550">
        <v>2.23167807999687E-2</v>
      </c>
      <c r="I280" s="551">
        <v>7.0988394031392703</v>
      </c>
      <c r="J280" s="551">
        <v>0.30590252420569902</v>
      </c>
      <c r="K280" s="551">
        <v>5.2085276456982903E-2</v>
      </c>
      <c r="L280" s="551">
        <v>2.2157615291579602E-3</v>
      </c>
      <c r="M280" s="552">
        <v>5.4440341533376402E-2</v>
      </c>
    </row>
    <row r="281" spans="2:13" ht="15.75" x14ac:dyDescent="0.25">
      <c r="B281" s="555">
        <v>2021</v>
      </c>
      <c r="C281" s="556">
        <v>2003</v>
      </c>
      <c r="D281" s="557" t="s">
        <v>3169</v>
      </c>
      <c r="E281" s="547">
        <v>6.3327498992360051E-2</v>
      </c>
      <c r="F281" s="548">
        <v>0.12913545642548541</v>
      </c>
      <c r="G281" s="549">
        <v>0.27187006108027301</v>
      </c>
      <c r="H281" s="550">
        <v>2.18858537994766E-2</v>
      </c>
      <c r="I281" s="551">
        <v>7.12063937298164</v>
      </c>
      <c r="J281" s="551">
        <v>0.29870957744526899</v>
      </c>
      <c r="K281" s="551">
        <v>5.1344612927379803E-2</v>
      </c>
      <c r="L281" s="551">
        <v>2.1917282921710001E-3</v>
      </c>
      <c r="M281" s="552">
        <v>5.3666188485610403E-2</v>
      </c>
    </row>
    <row r="282" spans="2:13" ht="15.75" x14ac:dyDescent="0.25">
      <c r="B282" s="555">
        <v>2021</v>
      </c>
      <c r="C282" s="556">
        <v>2004</v>
      </c>
      <c r="D282" s="557" t="s">
        <v>3170</v>
      </c>
      <c r="E282" s="547">
        <v>6.3100260335994376E-2</v>
      </c>
      <c r="F282" s="548">
        <v>0.12806622277548338</v>
      </c>
      <c r="G282" s="549">
        <v>0.221740823025244</v>
      </c>
      <c r="H282" s="550">
        <v>1.44202271321457E-2</v>
      </c>
      <c r="I282" s="551">
        <v>5.9508578836117403</v>
      </c>
      <c r="J282" s="551">
        <v>0.246073869521932</v>
      </c>
      <c r="K282" s="551">
        <v>5.0682642342697301E-2</v>
      </c>
      <c r="L282" s="551">
        <v>1.4255687200581099E-4</v>
      </c>
      <c r="M282" s="552">
        <v>5.2974286528539603E-2</v>
      </c>
    </row>
    <row r="283" spans="2:13" ht="15.75" x14ac:dyDescent="0.25">
      <c r="B283" s="555">
        <v>2021</v>
      </c>
      <c r="C283" s="556">
        <v>2005</v>
      </c>
      <c r="D283" s="557" t="s">
        <v>3171</v>
      </c>
      <c r="E283" s="547">
        <v>6.3147945545394837E-2</v>
      </c>
      <c r="F283" s="548">
        <v>0.12846746812715995</v>
      </c>
      <c r="G283" s="549">
        <v>0.218994830883848</v>
      </c>
      <c r="H283" s="550">
        <v>1.41391882376004E-2</v>
      </c>
      <c r="I283" s="551">
        <v>5.9338802757397504</v>
      </c>
      <c r="J283" s="551">
        <v>0.239351941341758</v>
      </c>
      <c r="K283" s="551">
        <v>5.0326388758583501E-2</v>
      </c>
      <c r="L283" s="551">
        <v>1.4404495491452001E-4</v>
      </c>
      <c r="M283" s="552">
        <v>5.2601924738203999E-2</v>
      </c>
    </row>
    <row r="284" spans="2:13" ht="15.75" x14ac:dyDescent="0.25">
      <c r="B284" s="555">
        <v>2021</v>
      </c>
      <c r="C284" s="556">
        <v>2006</v>
      </c>
      <c r="D284" s="557" t="s">
        <v>3172</v>
      </c>
      <c r="E284" s="547">
        <v>6.2972261344968153E-2</v>
      </c>
      <c r="F284" s="548">
        <v>0.12877352232596218</v>
      </c>
      <c r="G284" s="549">
        <v>0.214473534072433</v>
      </c>
      <c r="H284" s="550">
        <v>1.4043288675472099E-2</v>
      </c>
      <c r="I284" s="551">
        <v>5.9349498346833203</v>
      </c>
      <c r="J284" s="551">
        <v>0.23160567790995301</v>
      </c>
      <c r="K284" s="551">
        <v>4.9596239359413499E-2</v>
      </c>
      <c r="L284" s="551">
        <v>1.45149313953495E-4</v>
      </c>
      <c r="M284" s="552">
        <v>5.1838761223193502E-2</v>
      </c>
    </row>
    <row r="285" spans="2:13" ht="15.75" x14ac:dyDescent="0.25">
      <c r="B285" s="555">
        <v>2021</v>
      </c>
      <c r="C285" s="556">
        <v>2007</v>
      </c>
      <c r="D285" s="557" t="s">
        <v>3173</v>
      </c>
      <c r="E285" s="547">
        <v>6.3142812656548156E-2</v>
      </c>
      <c r="F285" s="548">
        <v>0.12915767121051364</v>
      </c>
      <c r="G285" s="549">
        <v>0.15640622340420801</v>
      </c>
      <c r="H285" s="550">
        <v>1.40202832352357E-2</v>
      </c>
      <c r="I285" s="551">
        <v>3.0834060955620601</v>
      </c>
      <c r="J285" s="551">
        <v>0.23027239537734201</v>
      </c>
      <c r="K285" s="551">
        <v>3.4662614271114597E-2</v>
      </c>
      <c r="L285" s="551">
        <v>1.4665447098913801E-4</v>
      </c>
      <c r="M285" s="552">
        <v>3.6229903875381601E-2</v>
      </c>
    </row>
    <row r="286" spans="2:13" ht="15.75" x14ac:dyDescent="0.25">
      <c r="B286" s="555">
        <v>2021</v>
      </c>
      <c r="C286" s="556">
        <v>2008</v>
      </c>
      <c r="D286" s="557" t="s">
        <v>3174</v>
      </c>
      <c r="E286" s="547">
        <v>6.3383900005856725E-2</v>
      </c>
      <c r="F286" s="548">
        <v>0.12963502636504418</v>
      </c>
      <c r="G286" s="549">
        <v>0.155678942950637</v>
      </c>
      <c r="H286" s="550">
        <v>1.13772446607877E-2</v>
      </c>
      <c r="I286" s="551">
        <v>3.0613249419533601</v>
      </c>
      <c r="J286" s="551">
        <v>0.160671328628708</v>
      </c>
      <c r="K286" s="551">
        <v>3.42864351825522E-2</v>
      </c>
      <c r="L286" s="551">
        <v>1.69195209976143E-4</v>
      </c>
      <c r="M286" s="552">
        <v>3.5836715637704401E-2</v>
      </c>
    </row>
    <row r="287" spans="2:13" ht="15.75" x14ac:dyDescent="0.25">
      <c r="B287" s="555">
        <v>2021</v>
      </c>
      <c r="C287" s="556">
        <v>2009</v>
      </c>
      <c r="D287" s="557" t="s">
        <v>3175</v>
      </c>
      <c r="E287" s="547">
        <v>6.3382120299537464E-2</v>
      </c>
      <c r="F287" s="548">
        <v>0.12839409477908775</v>
      </c>
      <c r="G287" s="549">
        <v>0.15284046386870101</v>
      </c>
      <c r="H287" s="550">
        <v>8.5906310526761408E-3</v>
      </c>
      <c r="I287" s="551">
        <v>3.05056466859986</v>
      </c>
      <c r="J287" s="551">
        <v>9.82513933674454E-2</v>
      </c>
      <c r="K287" s="551">
        <v>3.3609970055618402E-2</v>
      </c>
      <c r="L287" s="551">
        <v>1.85455753569483E-4</v>
      </c>
      <c r="M287" s="552">
        <v>3.5129663759500197E-2</v>
      </c>
    </row>
    <row r="288" spans="2:13" ht="15.75" x14ac:dyDescent="0.25">
      <c r="B288" s="555">
        <v>2021</v>
      </c>
      <c r="C288" s="556">
        <v>2010</v>
      </c>
      <c r="D288" s="557" t="s">
        <v>3176</v>
      </c>
      <c r="E288" s="547">
        <v>6.339878119770366E-2</v>
      </c>
      <c r="F288" s="548">
        <v>0.12730389047802781</v>
      </c>
      <c r="G288" s="549">
        <v>0.100220450347468</v>
      </c>
      <c r="H288" s="550">
        <v>8.3497184788082005E-3</v>
      </c>
      <c r="I288" s="551">
        <v>0.240623357455965</v>
      </c>
      <c r="J288" s="551">
        <v>9.7901295637299296E-2</v>
      </c>
      <c r="K288" s="551">
        <v>1.7988139777515798E-2</v>
      </c>
      <c r="L288" s="551">
        <v>2.2094361241342201E-4</v>
      </c>
      <c r="M288" s="552">
        <v>1.8801483637067001E-2</v>
      </c>
    </row>
    <row r="289" spans="2:13" ht="15.75" x14ac:dyDescent="0.25">
      <c r="B289" s="555">
        <v>2021</v>
      </c>
      <c r="C289" s="556">
        <v>2011</v>
      </c>
      <c r="D289" s="557" t="s">
        <v>3177</v>
      </c>
      <c r="E289" s="547">
        <v>6.3342844333043685E-2</v>
      </c>
      <c r="F289" s="548">
        <v>0.12903149714202261</v>
      </c>
      <c r="G289" s="549">
        <v>9.84371359395185E-2</v>
      </c>
      <c r="H289" s="550">
        <v>8.7186506907176598E-3</v>
      </c>
      <c r="I289" s="551">
        <v>0.23349853380341901</v>
      </c>
      <c r="J289" s="551">
        <v>9.90435746374215E-2</v>
      </c>
      <c r="K289" s="551">
        <v>1.7115115902029101E-2</v>
      </c>
      <c r="L289" s="551">
        <v>3.12269790966121E-4</v>
      </c>
      <c r="M289" s="552">
        <v>1.7888985495916901E-2</v>
      </c>
    </row>
    <row r="290" spans="2:13" ht="15.75" x14ac:dyDescent="0.25">
      <c r="B290" s="555">
        <v>2021</v>
      </c>
      <c r="C290" s="556">
        <v>2012</v>
      </c>
      <c r="D290" s="557" t="s">
        <v>3178</v>
      </c>
      <c r="E290" s="547">
        <v>6.3464347275799984E-2</v>
      </c>
      <c r="F290" s="548">
        <v>0.12940858414102818</v>
      </c>
      <c r="G290" s="549">
        <v>9.8155952638371499E-2</v>
      </c>
      <c r="H290" s="550">
        <v>8.8063494310341092E-3</v>
      </c>
      <c r="I290" s="551">
        <v>0.22811022604844</v>
      </c>
      <c r="J290" s="551">
        <v>9.8619187585251997E-2</v>
      </c>
      <c r="K290" s="551">
        <v>1.6273581366090001E-2</v>
      </c>
      <c r="L290" s="551">
        <v>4.6095795531076199E-4</v>
      </c>
      <c r="M290" s="552">
        <v>1.70094005025168E-2</v>
      </c>
    </row>
    <row r="291" spans="2:13" ht="15.75" x14ac:dyDescent="0.25">
      <c r="B291" s="555">
        <v>2021</v>
      </c>
      <c r="C291" s="556">
        <v>2013</v>
      </c>
      <c r="D291" s="557" t="s">
        <v>3179</v>
      </c>
      <c r="E291" s="547">
        <v>6.3321588042550989E-2</v>
      </c>
      <c r="F291" s="548">
        <v>0.12944404662060521</v>
      </c>
      <c r="G291" s="549">
        <v>9.5437839881500605E-2</v>
      </c>
      <c r="H291" s="550">
        <v>8.7688415505808599E-3</v>
      </c>
      <c r="I291" s="551">
        <v>0.21915620451456999</v>
      </c>
      <c r="J291" s="551">
        <v>9.6876479230643797E-2</v>
      </c>
      <c r="K291" s="551">
        <v>1.5251569485391501E-2</v>
      </c>
      <c r="L291" s="551">
        <v>6.9094529030259901E-4</v>
      </c>
      <c r="M291" s="552">
        <v>1.59411777796837E-2</v>
      </c>
    </row>
    <row r="292" spans="2:13" ht="15.75" x14ac:dyDescent="0.25">
      <c r="B292" s="555">
        <v>2021</v>
      </c>
      <c r="C292" s="556">
        <v>2014</v>
      </c>
      <c r="D292" s="557" t="s">
        <v>3180</v>
      </c>
      <c r="E292" s="547">
        <v>6.1781395592476258E-2</v>
      </c>
      <c r="F292" s="548">
        <v>0.12732775440177543</v>
      </c>
      <c r="G292" s="549">
        <v>9.3097081801527398E-2</v>
      </c>
      <c r="H292" s="550">
        <v>8.62583496247399E-3</v>
      </c>
      <c r="I292" s="551">
        <v>0.210278247756537</v>
      </c>
      <c r="J292" s="551">
        <v>9.4736418708393097E-2</v>
      </c>
      <c r="K292" s="551">
        <v>1.4183046951627599E-2</v>
      </c>
      <c r="L292" s="551">
        <v>9.5886389916892596E-4</v>
      </c>
      <c r="M292" s="552">
        <v>1.48243413984415E-2</v>
      </c>
    </row>
    <row r="293" spans="2:13" ht="15.75" x14ac:dyDescent="0.25">
      <c r="B293" s="555">
        <v>2021</v>
      </c>
      <c r="C293" s="556">
        <v>2015</v>
      </c>
      <c r="D293" s="557" t="s">
        <v>3181</v>
      </c>
      <c r="E293" s="547">
        <v>6.1255108033442668E-2</v>
      </c>
      <c r="F293" s="548">
        <v>0.12731135276794592</v>
      </c>
      <c r="G293" s="549">
        <v>9.0673153213990804E-2</v>
      </c>
      <c r="H293" s="550">
        <v>8.6333748588049205E-3</v>
      </c>
      <c r="I293" s="551">
        <v>0.20103199468393401</v>
      </c>
      <c r="J293" s="551">
        <v>9.2845520512897406E-2</v>
      </c>
      <c r="K293" s="551">
        <v>1.30588499988472E-2</v>
      </c>
      <c r="L293" s="551">
        <v>1.22679583128378E-3</v>
      </c>
      <c r="M293" s="552">
        <v>1.36493132480064E-2</v>
      </c>
    </row>
    <row r="294" spans="2:13" ht="15.75" x14ac:dyDescent="0.25">
      <c r="B294" s="555">
        <v>2021</v>
      </c>
      <c r="C294" s="556">
        <v>2016</v>
      </c>
      <c r="D294" s="557" t="s">
        <v>3182</v>
      </c>
      <c r="E294" s="547">
        <v>5.9259815632944586E-2</v>
      </c>
      <c r="F294" s="548">
        <v>0.12337277187828051</v>
      </c>
      <c r="G294" s="549">
        <v>8.8034796232315596E-2</v>
      </c>
      <c r="H294" s="550">
        <v>7.8613708744282793E-3</v>
      </c>
      <c r="I294" s="551">
        <v>0.167606081026202</v>
      </c>
      <c r="J294" s="551">
        <v>8.0082717643661594E-2</v>
      </c>
      <c r="K294" s="551">
        <v>1.18722653817103E-2</v>
      </c>
      <c r="L294" s="551">
        <v>1.3799060940525301E-3</v>
      </c>
      <c r="M294" s="552">
        <v>1.2409076539873901E-2</v>
      </c>
    </row>
    <row r="295" spans="2:13" ht="15.75" x14ac:dyDescent="0.25">
      <c r="B295" s="555">
        <v>2021</v>
      </c>
      <c r="C295" s="556">
        <v>2017</v>
      </c>
      <c r="D295" s="557" t="s">
        <v>3183</v>
      </c>
      <c r="E295" s="547">
        <v>5.5728626189682801E-2</v>
      </c>
      <c r="F295" s="548">
        <v>0.11949689871422702</v>
      </c>
      <c r="G295" s="549">
        <v>7.16418795622841E-2</v>
      </c>
      <c r="H295" s="550">
        <v>7.3047233559420501E-3</v>
      </c>
      <c r="I295" s="551">
        <v>0.12410957589704701</v>
      </c>
      <c r="J295" s="551">
        <v>7.0236128398624795E-2</v>
      </c>
      <c r="K295" s="551">
        <v>1.0116330575927E-2</v>
      </c>
      <c r="L295" s="551">
        <v>1.43845610663667E-3</v>
      </c>
      <c r="M295" s="552">
        <v>1.05737461540183E-2</v>
      </c>
    </row>
    <row r="296" spans="2:13" ht="15.75" x14ac:dyDescent="0.25">
      <c r="B296" s="555">
        <v>2021</v>
      </c>
      <c r="C296" s="556">
        <v>2018</v>
      </c>
      <c r="D296" s="557" t="s">
        <v>3184</v>
      </c>
      <c r="E296" s="547">
        <v>5.2031386787027012E-2</v>
      </c>
      <c r="F296" s="548">
        <v>0.1143642711129074</v>
      </c>
      <c r="G296" s="549">
        <v>6.9851586372163793E-2</v>
      </c>
      <c r="H296" s="550">
        <v>7.1115519098277199E-3</v>
      </c>
      <c r="I296" s="551">
        <v>9.5863672781677803E-2</v>
      </c>
      <c r="J296" s="551">
        <v>6.2998391234947299E-2</v>
      </c>
      <c r="K296" s="551">
        <v>8.9053901970586099E-3</v>
      </c>
      <c r="L296" s="551">
        <v>1.4987560259412101E-3</v>
      </c>
      <c r="M296" s="552">
        <v>9.3080524246858601E-3</v>
      </c>
    </row>
    <row r="297" spans="2:13" ht="15.75" x14ac:dyDescent="0.25">
      <c r="B297" s="555">
        <v>2021</v>
      </c>
      <c r="C297" s="556">
        <v>2019</v>
      </c>
      <c r="D297" s="557" t="s">
        <v>3185</v>
      </c>
      <c r="E297" s="547">
        <v>5.2005510924057738E-2</v>
      </c>
      <c r="F297" s="548">
        <v>0.11430618335365859</v>
      </c>
      <c r="G297" s="549">
        <v>6.7971919196859201E-2</v>
      </c>
      <c r="H297" s="550">
        <v>7.2903356388748604E-3</v>
      </c>
      <c r="I297" s="551">
        <v>7.7604594195995497E-2</v>
      </c>
      <c r="J297" s="551">
        <v>6.1929685636528599E-2</v>
      </c>
      <c r="K297" s="551">
        <v>7.6358620973166098E-3</v>
      </c>
      <c r="L297" s="551">
        <v>1.53915419148972E-3</v>
      </c>
      <c r="M297" s="552">
        <v>7.9811218977210406E-3</v>
      </c>
    </row>
    <row r="298" spans="2:13" ht="15.75" x14ac:dyDescent="0.25">
      <c r="B298" s="555">
        <v>2021</v>
      </c>
      <c r="C298" s="556">
        <v>2020</v>
      </c>
      <c r="D298" s="557" t="s">
        <v>3186</v>
      </c>
      <c r="E298" s="547">
        <v>5.1974321776962581E-2</v>
      </c>
      <c r="F298" s="548">
        <v>0.11423381198534438</v>
      </c>
      <c r="G298" s="549">
        <v>6.6002355835667506E-2</v>
      </c>
      <c r="H298" s="550">
        <v>7.3456090352927899E-3</v>
      </c>
      <c r="I298" s="551">
        <v>6.0572622482167097E-2</v>
      </c>
      <c r="J298" s="551">
        <v>5.8571688836101303E-2</v>
      </c>
      <c r="K298" s="551">
        <v>6.3077041861954097E-3</v>
      </c>
      <c r="L298" s="551">
        <v>1.53967114135048E-3</v>
      </c>
      <c r="M298" s="552">
        <v>6.5929105794723802E-3</v>
      </c>
    </row>
    <row r="299" spans="2:13" ht="15.75" x14ac:dyDescent="0.25">
      <c r="B299" s="555">
        <v>2021</v>
      </c>
      <c r="C299" s="556">
        <v>2021</v>
      </c>
      <c r="D299" s="557" t="s">
        <v>3187</v>
      </c>
      <c r="E299" s="547">
        <v>5.0633300390678739E-2</v>
      </c>
      <c r="F299" s="548">
        <v>0.11126771005555602</v>
      </c>
      <c r="G299" s="549">
        <v>6.3943403982180902E-2</v>
      </c>
      <c r="H299" s="550">
        <v>6.2201747795081396E-3</v>
      </c>
      <c r="I299" s="551">
        <v>4.5263116994934703E-2</v>
      </c>
      <c r="J299" s="551">
        <v>4.4693843621400102E-2</v>
      </c>
      <c r="K299" s="551">
        <v>4.9208954106809604E-3</v>
      </c>
      <c r="L299" s="551">
        <v>1.54020765764204E-3</v>
      </c>
      <c r="M299" s="552">
        <v>5.1433964650019698E-3</v>
      </c>
    </row>
    <row r="300" spans="2:13" ht="15.75" x14ac:dyDescent="0.25">
      <c r="B300" s="555">
        <v>2022</v>
      </c>
      <c r="C300" s="556">
        <v>1982</v>
      </c>
      <c r="D300" s="557" t="s">
        <v>3192</v>
      </c>
      <c r="E300" s="547">
        <v>6.438545120724791E-2</v>
      </c>
      <c r="F300" s="548">
        <v>0.14013170154159321</v>
      </c>
      <c r="G300" s="549">
        <v>0.229389510436246</v>
      </c>
      <c r="H300" s="550">
        <v>2.4654802624931298</v>
      </c>
      <c r="I300" s="551">
        <v>5.0659317860136897</v>
      </c>
      <c r="J300" s="551">
        <v>4.0653142308716701</v>
      </c>
      <c r="K300" s="551">
        <v>0.172898883458554</v>
      </c>
      <c r="L300" s="551">
        <v>1.5167678917815701E-2</v>
      </c>
      <c r="M300" s="552">
        <v>0.180716603741117</v>
      </c>
    </row>
    <row r="301" spans="2:13" ht="15.75" x14ac:dyDescent="0.25">
      <c r="B301" s="555">
        <v>2022</v>
      </c>
      <c r="C301" s="556">
        <v>1983</v>
      </c>
      <c r="D301" s="557" t="s">
        <v>3193</v>
      </c>
      <c r="E301" s="547">
        <v>6.1969729975688441E-2</v>
      </c>
      <c r="F301" s="548">
        <v>0.14503007902657092</v>
      </c>
      <c r="G301" s="549">
        <v>0.21286505233648301</v>
      </c>
      <c r="H301" s="550">
        <v>2.5903278019224798</v>
      </c>
      <c r="I301" s="551">
        <v>5.2163523643289</v>
      </c>
      <c r="J301" s="551">
        <v>4.0650015410608296</v>
      </c>
      <c r="K301" s="551">
        <v>0.16044382241512001</v>
      </c>
      <c r="L301" s="551">
        <v>1.6187974355971701E-2</v>
      </c>
      <c r="M301" s="552">
        <v>0.167698380105815</v>
      </c>
    </row>
    <row r="302" spans="2:13" ht="15.75" x14ac:dyDescent="0.25">
      <c r="B302" s="555">
        <v>2022</v>
      </c>
      <c r="C302" s="556">
        <v>1984</v>
      </c>
      <c r="D302" s="557" t="s">
        <v>3194</v>
      </c>
      <c r="E302" s="547">
        <v>6.2489212320253035E-2</v>
      </c>
      <c r="F302" s="548">
        <v>0.14402143530114644</v>
      </c>
      <c r="G302" s="549">
        <v>0.21705131653697399</v>
      </c>
      <c r="H302" s="550">
        <v>1.9003166550161099</v>
      </c>
      <c r="I302" s="551">
        <v>5.1962825048028503</v>
      </c>
      <c r="J302" s="551">
        <v>4.0609674443689903</v>
      </c>
      <c r="K302" s="551">
        <v>0.163599155912066</v>
      </c>
      <c r="L302" s="551">
        <v>1.5869765792974999E-2</v>
      </c>
      <c r="M302" s="552">
        <v>0.17099638378190701</v>
      </c>
    </row>
    <row r="303" spans="2:13" ht="15.75" x14ac:dyDescent="0.25">
      <c r="B303" s="555">
        <v>2022</v>
      </c>
      <c r="C303" s="556">
        <v>1985</v>
      </c>
      <c r="D303" s="557" t="s">
        <v>3195</v>
      </c>
      <c r="E303" s="547">
        <v>6.4545828007146103E-2</v>
      </c>
      <c r="F303" s="548">
        <v>0.14213144914616324</v>
      </c>
      <c r="G303" s="549">
        <v>0.23066100170321599</v>
      </c>
      <c r="H303" s="550">
        <v>1.8387971992699701</v>
      </c>
      <c r="I303" s="551">
        <v>5.0432360860366101</v>
      </c>
      <c r="J303" s="551">
        <v>4.1135109955025797</v>
      </c>
      <c r="K303" s="551">
        <v>0.173857250822294</v>
      </c>
      <c r="L303" s="551">
        <v>1.5558560995942701E-2</v>
      </c>
      <c r="M303" s="552">
        <v>0.18171830422435301</v>
      </c>
    </row>
    <row r="304" spans="2:13" ht="15.75" x14ac:dyDescent="0.25">
      <c r="B304" s="555">
        <v>2022</v>
      </c>
      <c r="C304" s="556">
        <v>1986</v>
      </c>
      <c r="D304" s="557" t="s">
        <v>3196</v>
      </c>
      <c r="E304" s="547">
        <v>6.3767114601635602E-2</v>
      </c>
      <c r="F304" s="548">
        <v>0.14214219245924345</v>
      </c>
      <c r="G304" s="549">
        <v>0.22607326113690401</v>
      </c>
      <c r="H304" s="550">
        <v>1.83095433245126</v>
      </c>
      <c r="I304" s="551">
        <v>5.1093259734778096</v>
      </c>
      <c r="J304" s="551">
        <v>3.8769022120151502</v>
      </c>
      <c r="K304" s="551">
        <v>0.17039931057034199</v>
      </c>
      <c r="L304" s="551">
        <v>1.55808233260638E-2</v>
      </c>
      <c r="M304" s="552">
        <v>0.17810401125859099</v>
      </c>
    </row>
    <row r="305" spans="2:13" ht="15.75" x14ac:dyDescent="0.25">
      <c r="B305" s="555">
        <v>2022</v>
      </c>
      <c r="C305" s="556">
        <v>1987</v>
      </c>
      <c r="D305" s="557" t="s">
        <v>3197</v>
      </c>
      <c r="E305" s="547">
        <v>6.3494274762621233E-2</v>
      </c>
      <c r="F305" s="548">
        <v>0.14018035739558274</v>
      </c>
      <c r="G305" s="549">
        <v>0.28194885788608198</v>
      </c>
      <c r="H305" s="550">
        <v>1.77879293427999</v>
      </c>
      <c r="I305" s="551">
        <v>5.2219956325796204</v>
      </c>
      <c r="J305" s="551">
        <v>3.9656509106463802</v>
      </c>
      <c r="K305" s="551">
        <v>0.192017754865665</v>
      </c>
      <c r="L305" s="551">
        <v>1.5228218954658901E-2</v>
      </c>
      <c r="M305" s="552">
        <v>0.20069994567452301</v>
      </c>
    </row>
    <row r="306" spans="2:13" ht="15.75" x14ac:dyDescent="0.25">
      <c r="B306" s="555">
        <v>2022</v>
      </c>
      <c r="C306" s="556">
        <v>1988</v>
      </c>
      <c r="D306" s="557" t="s">
        <v>3198</v>
      </c>
      <c r="E306" s="547">
        <v>6.287965203917821E-2</v>
      </c>
      <c r="F306" s="548">
        <v>0.13339906997790221</v>
      </c>
      <c r="G306" s="549">
        <v>0.276933770275686</v>
      </c>
      <c r="H306" s="550">
        <v>0.43774451401032399</v>
      </c>
      <c r="I306" s="551">
        <v>5.2668165769540103</v>
      </c>
      <c r="J306" s="551">
        <v>1.68195945615852</v>
      </c>
      <c r="K306" s="551">
        <v>0.18860229196709999</v>
      </c>
      <c r="L306" s="551">
        <v>1.41030416044264E-2</v>
      </c>
      <c r="M306" s="552">
        <v>0.19713005069957601</v>
      </c>
    </row>
    <row r="307" spans="2:13" ht="15.75" x14ac:dyDescent="0.25">
      <c r="B307" s="555">
        <v>2022</v>
      </c>
      <c r="C307" s="556">
        <v>1989</v>
      </c>
      <c r="D307" s="557" t="s">
        <v>3199</v>
      </c>
      <c r="E307" s="547">
        <v>6.2659199688381739E-2</v>
      </c>
      <c r="F307" s="548">
        <v>0.13278678849823589</v>
      </c>
      <c r="G307" s="549">
        <v>0.27547137616460299</v>
      </c>
      <c r="H307" s="550">
        <v>0.43098402668998398</v>
      </c>
      <c r="I307" s="551">
        <v>5.2879968415016503</v>
      </c>
      <c r="J307" s="551">
        <v>1.6725786020528499</v>
      </c>
      <c r="K307" s="551">
        <v>0.187606346688071</v>
      </c>
      <c r="L307" s="551">
        <v>1.39553282862189E-2</v>
      </c>
      <c r="M307" s="552">
        <v>0.196089073194472</v>
      </c>
    </row>
    <row r="308" spans="2:13" ht="15.75" x14ac:dyDescent="0.25">
      <c r="B308" s="555">
        <v>2022</v>
      </c>
      <c r="C308" s="556">
        <v>1990</v>
      </c>
      <c r="D308" s="557" t="s">
        <v>3200</v>
      </c>
      <c r="E308" s="547">
        <v>6.2670516328431847E-2</v>
      </c>
      <c r="F308" s="548">
        <v>0.13369428681039522</v>
      </c>
      <c r="G308" s="549">
        <v>0.27590154862067401</v>
      </c>
      <c r="H308" s="550">
        <v>0.43685408475383197</v>
      </c>
      <c r="I308" s="551">
        <v>5.2907199950075396</v>
      </c>
      <c r="J308" s="551">
        <v>1.68032689053108</v>
      </c>
      <c r="K308" s="551">
        <v>0.187899310276714</v>
      </c>
      <c r="L308" s="551">
        <v>1.42270709038051E-2</v>
      </c>
      <c r="M308" s="552">
        <v>0.19639528329658601</v>
      </c>
    </row>
    <row r="309" spans="2:13" ht="15.75" x14ac:dyDescent="0.25">
      <c r="B309" s="555">
        <v>2022</v>
      </c>
      <c r="C309" s="556">
        <v>1991</v>
      </c>
      <c r="D309" s="557" t="s">
        <v>3201</v>
      </c>
      <c r="E309" s="547">
        <v>6.360511429251163E-2</v>
      </c>
      <c r="F309" s="548">
        <v>0.13322441595020457</v>
      </c>
      <c r="G309" s="549">
        <v>0.36416893683658702</v>
      </c>
      <c r="H309" s="550">
        <v>0.48187150843910997</v>
      </c>
      <c r="I309" s="551">
        <v>9.2300513956529304</v>
      </c>
      <c r="J309" s="551">
        <v>2.9247267691182102</v>
      </c>
      <c r="K309" s="551">
        <v>5.1611219404123401E-2</v>
      </c>
      <c r="L309" s="551">
        <v>7.7308967742375596E-3</v>
      </c>
      <c r="M309" s="552">
        <v>5.3944849724183598E-2</v>
      </c>
    </row>
    <row r="310" spans="2:13" ht="15.75" x14ac:dyDescent="0.25">
      <c r="B310" s="555">
        <v>2022</v>
      </c>
      <c r="C310" s="556">
        <v>1992</v>
      </c>
      <c r="D310" s="557" t="s">
        <v>3202</v>
      </c>
      <c r="E310" s="547">
        <v>6.3827311529774763E-2</v>
      </c>
      <c r="F310" s="548">
        <v>0.13406403900072134</v>
      </c>
      <c r="G310" s="549">
        <v>0.36688635404804598</v>
      </c>
      <c r="H310" s="550">
        <v>0.48940240743640001</v>
      </c>
      <c r="I310" s="551">
        <v>9.19763713651753</v>
      </c>
      <c r="J310" s="551">
        <v>2.9479889543992401</v>
      </c>
      <c r="K310" s="551">
        <v>5.1996340708349402E-2</v>
      </c>
      <c r="L310" s="551">
        <v>7.8848302613677198E-3</v>
      </c>
      <c r="M310" s="552">
        <v>5.4347384504836303E-2</v>
      </c>
    </row>
    <row r="311" spans="2:13" ht="15.75" x14ac:dyDescent="0.25">
      <c r="B311" s="555">
        <v>2022</v>
      </c>
      <c r="C311" s="556">
        <v>1993</v>
      </c>
      <c r="D311" s="557" t="s">
        <v>3203</v>
      </c>
      <c r="E311" s="547">
        <v>6.3887375008729499E-2</v>
      </c>
      <c r="F311" s="548">
        <v>0.13338005514184265</v>
      </c>
      <c r="G311" s="549">
        <v>0.36786175261389598</v>
      </c>
      <c r="H311" s="550">
        <v>0.48159490204897898</v>
      </c>
      <c r="I311" s="551">
        <v>9.1910958443362194</v>
      </c>
      <c r="J311" s="551">
        <v>2.9300506423091899</v>
      </c>
      <c r="K311" s="551">
        <v>5.2134577400984101E-2</v>
      </c>
      <c r="L311" s="551">
        <v>7.78847808840708E-3</v>
      </c>
      <c r="M311" s="552">
        <v>5.44918716472957E-2</v>
      </c>
    </row>
    <row r="312" spans="2:13" ht="15.75" x14ac:dyDescent="0.25">
      <c r="B312" s="555">
        <v>2022</v>
      </c>
      <c r="C312" s="556">
        <v>1994</v>
      </c>
      <c r="D312" s="557" t="s">
        <v>3204</v>
      </c>
      <c r="E312" s="547">
        <v>6.3500660913033427E-2</v>
      </c>
      <c r="F312" s="548">
        <v>0.13240062269524105</v>
      </c>
      <c r="G312" s="549">
        <v>0.36167895370709202</v>
      </c>
      <c r="H312" s="550">
        <v>0.47135883122748801</v>
      </c>
      <c r="I312" s="551">
        <v>9.2531223114179397</v>
      </c>
      <c r="J312" s="551">
        <v>2.9081425982198899</v>
      </c>
      <c r="K312" s="551">
        <v>5.1788219734220597E-2</v>
      </c>
      <c r="L312" s="551">
        <v>7.64570737833204E-3</v>
      </c>
      <c r="M312" s="552">
        <v>5.41298532237805E-2</v>
      </c>
    </row>
    <row r="313" spans="2:13" ht="15.75" x14ac:dyDescent="0.25">
      <c r="B313" s="555">
        <v>2022</v>
      </c>
      <c r="C313" s="556">
        <v>1995</v>
      </c>
      <c r="D313" s="557" t="s">
        <v>3205</v>
      </c>
      <c r="E313" s="547">
        <v>6.3845784374360115E-2</v>
      </c>
      <c r="F313" s="548">
        <v>0.13174062243840351</v>
      </c>
      <c r="G313" s="549">
        <v>0.36590066700609197</v>
      </c>
      <c r="H313" s="550">
        <v>0.25189007450099399</v>
      </c>
      <c r="I313" s="551">
        <v>9.2309461175160301</v>
      </c>
      <c r="J313" s="551">
        <v>1.66029771468715</v>
      </c>
      <c r="K313" s="551">
        <v>5.2392719978822999E-2</v>
      </c>
      <c r="L313" s="551">
        <v>4.9981815521767704E-3</v>
      </c>
      <c r="M313" s="552">
        <v>5.4761686287013701E-2</v>
      </c>
    </row>
    <row r="314" spans="2:13" ht="15.75" x14ac:dyDescent="0.25">
      <c r="B314" s="555">
        <v>2022</v>
      </c>
      <c r="C314" s="556">
        <v>1996</v>
      </c>
      <c r="D314" s="557" t="s">
        <v>3206</v>
      </c>
      <c r="E314" s="547">
        <v>6.386637148515116E-2</v>
      </c>
      <c r="F314" s="548">
        <v>0.13028076276447337</v>
      </c>
      <c r="G314" s="549">
        <v>0.36618749335880801</v>
      </c>
      <c r="H314" s="550">
        <v>2.2789580074230299E-2</v>
      </c>
      <c r="I314" s="551">
        <v>9.2250214897125709</v>
      </c>
      <c r="J314" s="551">
        <v>0.395016041634144</v>
      </c>
      <c r="K314" s="551">
        <v>5.2433790176653901E-2</v>
      </c>
      <c r="L314" s="551">
        <v>2.2213406339623102E-3</v>
      </c>
      <c r="M314" s="552">
        <v>5.4804613496944203E-2</v>
      </c>
    </row>
    <row r="315" spans="2:13" ht="15.75" x14ac:dyDescent="0.25">
      <c r="B315" s="555">
        <v>2022</v>
      </c>
      <c r="C315" s="556">
        <v>1997</v>
      </c>
      <c r="D315" s="557" t="s">
        <v>3207</v>
      </c>
      <c r="E315" s="547">
        <v>6.4118189173420922E-2</v>
      </c>
      <c r="F315" s="548">
        <v>0.12889827613334542</v>
      </c>
      <c r="G315" s="549">
        <v>0.36902372590094501</v>
      </c>
      <c r="H315" s="550">
        <v>2.2159033806926302E-2</v>
      </c>
      <c r="I315" s="551">
        <v>9.18355464092161</v>
      </c>
      <c r="J315" s="551">
        <v>0.39098591602282101</v>
      </c>
      <c r="K315" s="551">
        <v>5.2839905690437602E-2</v>
      </c>
      <c r="L315" s="551">
        <v>2.1624022351196702E-3</v>
      </c>
      <c r="M315" s="552">
        <v>5.5229091752150399E-2</v>
      </c>
    </row>
    <row r="316" spans="2:13" ht="15.75" x14ac:dyDescent="0.25">
      <c r="B316" s="555">
        <v>2022</v>
      </c>
      <c r="C316" s="556">
        <v>1998</v>
      </c>
      <c r="D316" s="557" t="s">
        <v>3208</v>
      </c>
      <c r="E316" s="547">
        <v>6.392448169330936E-2</v>
      </c>
      <c r="F316" s="548">
        <v>0.12944653283801671</v>
      </c>
      <c r="G316" s="549">
        <v>0.36761101893989501</v>
      </c>
      <c r="H316" s="550">
        <v>2.2394970629866898E-2</v>
      </c>
      <c r="I316" s="551">
        <v>9.2211875528758807</v>
      </c>
      <c r="J316" s="551">
        <v>0.39270965060823898</v>
      </c>
      <c r="K316" s="551">
        <v>5.26376224838285E-2</v>
      </c>
      <c r="L316" s="551">
        <v>2.1893273134353402E-3</v>
      </c>
      <c r="M316" s="552">
        <v>5.5017662196556801E-2</v>
      </c>
    </row>
    <row r="317" spans="2:13" ht="15.75" x14ac:dyDescent="0.25">
      <c r="B317" s="555">
        <v>2022</v>
      </c>
      <c r="C317" s="556">
        <v>1999</v>
      </c>
      <c r="D317" s="557" t="s">
        <v>3209</v>
      </c>
      <c r="E317" s="547">
        <v>6.384623070323267E-2</v>
      </c>
      <c r="F317" s="548">
        <v>0.12933602928017313</v>
      </c>
      <c r="G317" s="549">
        <v>0.366213413592055</v>
      </c>
      <c r="H317" s="550">
        <v>2.23777325176975E-2</v>
      </c>
      <c r="I317" s="551">
        <v>9.2230655080191308</v>
      </c>
      <c r="J317" s="551">
        <v>0.39232018397551699</v>
      </c>
      <c r="K317" s="551">
        <v>5.2464623755074401E-2</v>
      </c>
      <c r="L317" s="551">
        <v>2.1843969564055302E-3</v>
      </c>
      <c r="M317" s="552">
        <v>5.4836841232958899E-2</v>
      </c>
    </row>
    <row r="318" spans="2:13" ht="15.75" x14ac:dyDescent="0.25">
      <c r="B318" s="555">
        <v>2022</v>
      </c>
      <c r="C318" s="556">
        <v>2000</v>
      </c>
      <c r="D318" s="557" t="s">
        <v>3210</v>
      </c>
      <c r="E318" s="547">
        <v>6.3598510907413253E-2</v>
      </c>
      <c r="F318" s="548">
        <v>0.12978389315805422</v>
      </c>
      <c r="G318" s="549">
        <v>0.36232785258933198</v>
      </c>
      <c r="H318" s="550">
        <v>2.2539278107112301E-2</v>
      </c>
      <c r="I318" s="551">
        <v>9.2506700496044303</v>
      </c>
      <c r="J318" s="551">
        <v>0.39286601278639599</v>
      </c>
      <c r="K318" s="551">
        <v>5.1967883490292403E-2</v>
      </c>
      <c r="L318" s="551">
        <v>2.2068166655516501E-3</v>
      </c>
      <c r="M318" s="552">
        <v>5.4317640577655799E-2</v>
      </c>
    </row>
    <row r="319" spans="2:13" ht="15.75" x14ac:dyDescent="0.25">
      <c r="B319" s="555">
        <v>2022</v>
      </c>
      <c r="C319" s="556">
        <v>2001</v>
      </c>
      <c r="D319" s="557" t="s">
        <v>3211</v>
      </c>
      <c r="E319" s="547">
        <v>6.3824767429362605E-2</v>
      </c>
      <c r="F319" s="548">
        <v>0.12996681668215726</v>
      </c>
      <c r="G319" s="549">
        <v>0.362539665616886</v>
      </c>
      <c r="H319" s="550">
        <v>2.25809773637013E-2</v>
      </c>
      <c r="I319" s="551">
        <v>9.20951545290003</v>
      </c>
      <c r="J319" s="551">
        <v>0.39177643221464298</v>
      </c>
      <c r="K319" s="551">
        <v>5.2092137891642701E-2</v>
      </c>
      <c r="L319" s="551">
        <v>2.2193893610857E-3</v>
      </c>
      <c r="M319" s="552">
        <v>5.4447513211664501E-2</v>
      </c>
    </row>
    <row r="320" spans="2:13" ht="15.75" x14ac:dyDescent="0.25">
      <c r="B320" s="555">
        <v>2022</v>
      </c>
      <c r="C320" s="556">
        <v>2002</v>
      </c>
      <c r="D320" s="557" t="s">
        <v>3212</v>
      </c>
      <c r="E320" s="547">
        <v>6.3671395860616167E-2</v>
      </c>
      <c r="F320" s="548">
        <v>0.12982667056057209</v>
      </c>
      <c r="G320" s="549">
        <v>0.27923440088298102</v>
      </c>
      <c r="H320" s="550">
        <v>2.2432890841340501E-2</v>
      </c>
      <c r="I320" s="551">
        <v>7.1036386754726202</v>
      </c>
      <c r="J320" s="551">
        <v>0.31026250087521101</v>
      </c>
      <c r="K320" s="551">
        <v>5.23627600842555E-2</v>
      </c>
      <c r="L320" s="551">
        <v>2.2165548372749598E-3</v>
      </c>
      <c r="M320" s="552">
        <v>5.4730371738958998E-2</v>
      </c>
    </row>
    <row r="321" spans="2:13" ht="15.75" x14ac:dyDescent="0.25">
      <c r="B321" s="555">
        <v>2022</v>
      </c>
      <c r="C321" s="556">
        <v>2003</v>
      </c>
      <c r="D321" s="557" t="s">
        <v>3213</v>
      </c>
      <c r="E321" s="547">
        <v>6.3365281899102288E-2</v>
      </c>
      <c r="F321" s="548">
        <v>0.12922941298474058</v>
      </c>
      <c r="G321" s="549">
        <v>0.27469656655825597</v>
      </c>
      <c r="H321" s="550">
        <v>2.2040743441908199E-2</v>
      </c>
      <c r="I321" s="551">
        <v>7.1265220664424804</v>
      </c>
      <c r="J321" s="551">
        <v>0.304333761649208</v>
      </c>
      <c r="K321" s="551">
        <v>5.1676209423882603E-2</v>
      </c>
      <c r="L321" s="551">
        <v>2.1924641024774001E-3</v>
      </c>
      <c r="M321" s="552">
        <v>5.4012778304247402E-2</v>
      </c>
    </row>
    <row r="322" spans="2:13" ht="15.75" x14ac:dyDescent="0.25">
      <c r="B322" s="555">
        <v>2022</v>
      </c>
      <c r="C322" s="556">
        <v>2004</v>
      </c>
      <c r="D322" s="557" t="s">
        <v>3214</v>
      </c>
      <c r="E322" s="547">
        <v>6.3137976972248738E-2</v>
      </c>
      <c r="F322" s="548">
        <v>0.12816393559452832</v>
      </c>
      <c r="G322" s="549">
        <v>0.224459756362937</v>
      </c>
      <c r="H322" s="550">
        <v>1.44905947212238E-2</v>
      </c>
      <c r="I322" s="551">
        <v>5.95668222475443</v>
      </c>
      <c r="J322" s="551">
        <v>0.25169918958305298</v>
      </c>
      <c r="K322" s="551">
        <v>5.1067721299988197E-2</v>
      </c>
      <c r="L322" s="551">
        <v>1.4260493010888201E-4</v>
      </c>
      <c r="M322" s="552">
        <v>5.3376777047516602E-2</v>
      </c>
    </row>
    <row r="323" spans="2:13" ht="15.75" x14ac:dyDescent="0.25">
      <c r="B323" s="555">
        <v>2022</v>
      </c>
      <c r="C323" s="556">
        <v>2005</v>
      </c>
      <c r="D323" s="557" t="s">
        <v>3215</v>
      </c>
      <c r="E323" s="547">
        <v>6.3185592895921502E-2</v>
      </c>
      <c r="F323" s="548">
        <v>0.12856343570603826</v>
      </c>
      <c r="G323" s="549">
        <v>0.22211124283376399</v>
      </c>
      <c r="H323" s="550">
        <v>1.41869053160551E-2</v>
      </c>
      <c r="I323" s="551">
        <v>5.94057849671852</v>
      </c>
      <c r="J323" s="551">
        <v>0.24596473286944501</v>
      </c>
      <c r="K323" s="551">
        <v>5.0767308099844602E-2</v>
      </c>
      <c r="L323" s="551">
        <v>1.4408958101149499E-4</v>
      </c>
      <c r="M323" s="552">
        <v>5.3062780495526297E-2</v>
      </c>
    </row>
    <row r="324" spans="2:13" ht="15.75" x14ac:dyDescent="0.25">
      <c r="B324" s="555">
        <v>2022</v>
      </c>
      <c r="C324" s="556">
        <v>2006</v>
      </c>
      <c r="D324" s="557" t="s">
        <v>3216</v>
      </c>
      <c r="E324" s="547">
        <v>6.3010395956962117E-2</v>
      </c>
      <c r="F324" s="548">
        <v>0.12887009201593452</v>
      </c>
      <c r="G324" s="549">
        <v>0.217968991692332</v>
      </c>
      <c r="H324" s="550">
        <v>1.40655516410089E-2</v>
      </c>
      <c r="I324" s="551">
        <v>5.9425299807779899</v>
      </c>
      <c r="J324" s="551">
        <v>0.23900339832419701</v>
      </c>
      <c r="K324" s="551">
        <v>5.0090644463854299E-2</v>
      </c>
      <c r="L324" s="551">
        <v>1.4519827668713501E-4</v>
      </c>
      <c r="M324" s="552">
        <v>5.2355521132566897E-2</v>
      </c>
    </row>
    <row r="325" spans="2:13" ht="15.75" x14ac:dyDescent="0.25">
      <c r="B325" s="555">
        <v>2022</v>
      </c>
      <c r="C325" s="556">
        <v>2007</v>
      </c>
      <c r="D325" s="557" t="s">
        <v>3217</v>
      </c>
      <c r="E325" s="547">
        <v>6.3180197712528738E-2</v>
      </c>
      <c r="F325" s="548">
        <v>0.12925078344814014</v>
      </c>
      <c r="G325" s="549">
        <v>0.158901756582016</v>
      </c>
      <c r="H325" s="550">
        <v>1.4015431617398801E-2</v>
      </c>
      <c r="I325" s="551">
        <v>3.0900327106818799</v>
      </c>
      <c r="J325" s="551">
        <v>0.237871864363976</v>
      </c>
      <c r="K325" s="551">
        <v>3.5240233309002798E-2</v>
      </c>
      <c r="L325" s="551">
        <v>1.46695470964584E-4</v>
      </c>
      <c r="M325" s="552">
        <v>3.6833640283016597E-2</v>
      </c>
    </row>
    <row r="326" spans="2:13" ht="15.75" x14ac:dyDescent="0.25">
      <c r="B326" s="555">
        <v>2022</v>
      </c>
      <c r="C326" s="556">
        <v>2008</v>
      </c>
      <c r="D326" s="557" t="s">
        <v>3218</v>
      </c>
      <c r="E326" s="547">
        <v>6.3420826060424998E-2</v>
      </c>
      <c r="F326" s="548">
        <v>0.12972779006915841</v>
      </c>
      <c r="G326" s="549">
        <v>0.15844685828302299</v>
      </c>
      <c r="H326" s="550">
        <v>1.1284303790496501E-2</v>
      </c>
      <c r="I326" s="551">
        <v>3.0686672448872501</v>
      </c>
      <c r="J326" s="551">
        <v>0.16456281213728799</v>
      </c>
      <c r="K326" s="551">
        <v>3.4926573060024398E-2</v>
      </c>
      <c r="L326" s="551">
        <v>1.6924442238153899E-4</v>
      </c>
      <c r="M326" s="552">
        <v>3.6505797709426101E-2</v>
      </c>
    </row>
    <row r="327" spans="2:13" ht="15.75" x14ac:dyDescent="0.25">
      <c r="B327" s="555">
        <v>2022</v>
      </c>
      <c r="C327" s="556">
        <v>2009</v>
      </c>
      <c r="D327" s="557" t="s">
        <v>3219</v>
      </c>
      <c r="E327" s="547">
        <v>6.3419175519014187E-2</v>
      </c>
      <c r="F327" s="548">
        <v>0.12848986807214272</v>
      </c>
      <c r="G327" s="549">
        <v>0.15586345943007701</v>
      </c>
      <c r="H327" s="550">
        <v>8.4309965043731696E-3</v>
      </c>
      <c r="I327" s="551">
        <v>3.0585917677425001</v>
      </c>
      <c r="J327" s="551">
        <v>9.7515902178136493E-2</v>
      </c>
      <c r="K327" s="551">
        <v>3.43094104532706E-2</v>
      </c>
      <c r="L327" s="551">
        <v>1.85525708531045E-4</v>
      </c>
      <c r="M327" s="552">
        <v>3.5860729748213402E-2</v>
      </c>
    </row>
    <row r="328" spans="2:13" ht="15.75" x14ac:dyDescent="0.25">
      <c r="B328" s="555">
        <v>2022</v>
      </c>
      <c r="C328" s="556">
        <v>2010</v>
      </c>
      <c r="D328" s="557" t="s">
        <v>3220</v>
      </c>
      <c r="E328" s="547">
        <v>6.3435546956755559E-2</v>
      </c>
      <c r="F328" s="548">
        <v>0.12740269934593437</v>
      </c>
      <c r="G328" s="549">
        <v>0.10165297764218199</v>
      </c>
      <c r="H328" s="550">
        <v>8.1854057653558392E-3</v>
      </c>
      <c r="I328" s="551">
        <v>0.24689813361355301</v>
      </c>
      <c r="J328" s="551">
        <v>9.7317976562194999E-2</v>
      </c>
      <c r="K328" s="551">
        <v>1.8782392713257001E-2</v>
      </c>
      <c r="L328" s="551">
        <v>2.2104205411930901E-4</v>
      </c>
      <c r="M328" s="552">
        <v>1.9631649166117201E-2</v>
      </c>
    </row>
    <row r="329" spans="2:13" ht="15.75" x14ac:dyDescent="0.25">
      <c r="B329" s="555">
        <v>2022</v>
      </c>
      <c r="C329" s="556">
        <v>2011</v>
      </c>
      <c r="D329" s="557" t="s">
        <v>3221</v>
      </c>
      <c r="E329" s="547">
        <v>6.3379882076423616E-2</v>
      </c>
      <c r="F329" s="548">
        <v>0.12912577238275028</v>
      </c>
      <c r="G329" s="549">
        <v>9.99735122902565E-2</v>
      </c>
      <c r="H329" s="550">
        <v>8.5589533038766697E-3</v>
      </c>
      <c r="I329" s="551">
        <v>0.2402444848126</v>
      </c>
      <c r="J329" s="551">
        <v>9.8780342487913106E-2</v>
      </c>
      <c r="K329" s="551">
        <v>1.7970060065565101E-2</v>
      </c>
      <c r="L329" s="551">
        <v>3.1237409853093398E-4</v>
      </c>
      <c r="M329" s="552">
        <v>1.8782586440769401E-2</v>
      </c>
    </row>
    <row r="330" spans="2:13" ht="15.75" x14ac:dyDescent="0.25">
      <c r="B330" s="555">
        <v>2022</v>
      </c>
      <c r="C330" s="556">
        <v>2012</v>
      </c>
      <c r="D330" s="557" t="s">
        <v>3222</v>
      </c>
      <c r="E330" s="547">
        <v>6.3501083193371999E-2</v>
      </c>
      <c r="F330" s="548">
        <v>0.12950538104638626</v>
      </c>
      <c r="G330" s="549">
        <v>9.9816519564174505E-2</v>
      </c>
      <c r="H330" s="550">
        <v>8.6812906387913006E-3</v>
      </c>
      <c r="I330" s="551">
        <v>0.235387523329703</v>
      </c>
      <c r="J330" s="551">
        <v>9.89096703731146E-2</v>
      </c>
      <c r="K330" s="551">
        <v>1.7193857489084301E-2</v>
      </c>
      <c r="L330" s="551">
        <v>4.6113018555386201E-4</v>
      </c>
      <c r="M330" s="552">
        <v>1.7971287428128101E-2</v>
      </c>
    </row>
    <row r="331" spans="2:13" ht="15.75" x14ac:dyDescent="0.25">
      <c r="B331" s="555">
        <v>2022</v>
      </c>
      <c r="C331" s="556">
        <v>2013</v>
      </c>
      <c r="D331" s="557" t="s">
        <v>3223</v>
      </c>
      <c r="E331" s="547">
        <v>6.3358571342917266E-2</v>
      </c>
      <c r="F331" s="548">
        <v>0.12953880688374583</v>
      </c>
      <c r="G331" s="549">
        <v>9.7185839683296693E-2</v>
      </c>
      <c r="H331" s="550">
        <v>8.7033704806843207E-3</v>
      </c>
      <c r="I331" s="551">
        <v>0.22687017289196901</v>
      </c>
      <c r="J331" s="551">
        <v>9.7878721612586206E-2</v>
      </c>
      <c r="K331" s="551">
        <v>1.6230717277076801E-2</v>
      </c>
      <c r="L331" s="551">
        <v>6.9115455979437701E-4</v>
      </c>
      <c r="M331" s="552">
        <v>1.6964598289605001E-2</v>
      </c>
    </row>
    <row r="332" spans="2:13" ht="15.75" x14ac:dyDescent="0.25">
      <c r="B332" s="555">
        <v>2022</v>
      </c>
      <c r="C332" s="556">
        <v>2014</v>
      </c>
      <c r="D332" s="557" t="s">
        <v>3224</v>
      </c>
      <c r="E332" s="547">
        <v>6.1817949360024854E-2</v>
      </c>
      <c r="F332" s="548">
        <v>0.12742142773465867</v>
      </c>
      <c r="G332" s="549">
        <v>9.4940955466860905E-2</v>
      </c>
      <c r="H332" s="550">
        <v>8.6163487480956195E-3</v>
      </c>
      <c r="I332" s="551">
        <v>0.21844456258159101</v>
      </c>
      <c r="J332" s="551">
        <v>9.6468990406479493E-2</v>
      </c>
      <c r="K332" s="551">
        <v>1.522157052584E-2</v>
      </c>
      <c r="L332" s="551">
        <v>9.5913015967190199E-4</v>
      </c>
      <c r="M332" s="552">
        <v>1.59098224002997E-2</v>
      </c>
    </row>
    <row r="333" spans="2:13" ht="15.75" x14ac:dyDescent="0.25">
      <c r="B333" s="555">
        <v>2022</v>
      </c>
      <c r="C333" s="556">
        <v>2015</v>
      </c>
      <c r="D333" s="557" t="s">
        <v>3225</v>
      </c>
      <c r="E333" s="547">
        <v>6.1292041884258089E-2</v>
      </c>
      <c r="F333" s="548">
        <v>0.12740640963308539</v>
      </c>
      <c r="G333" s="549">
        <v>9.2612820939535101E-2</v>
      </c>
      <c r="H333" s="550">
        <v>8.6256086141287894E-3</v>
      </c>
      <c r="I333" s="551">
        <v>0.20965054748209999</v>
      </c>
      <c r="J333" s="551">
        <v>9.4754267809673207E-2</v>
      </c>
      <c r="K333" s="551">
        <v>1.41566391129598E-2</v>
      </c>
      <c r="L333" s="551">
        <v>1.2271449339503501E-3</v>
      </c>
      <c r="M333" s="552">
        <v>1.47967395144922E-2</v>
      </c>
    </row>
    <row r="334" spans="2:13" ht="15.75" x14ac:dyDescent="0.25">
      <c r="B334" s="555">
        <v>2022</v>
      </c>
      <c r="C334" s="556">
        <v>2016</v>
      </c>
      <c r="D334" s="557" t="s">
        <v>3226</v>
      </c>
      <c r="E334" s="547">
        <v>5.9296604213287023E-2</v>
      </c>
      <c r="F334" s="548">
        <v>0.12347181311304102</v>
      </c>
      <c r="G334" s="549">
        <v>9.0066623843351803E-2</v>
      </c>
      <c r="H334" s="550">
        <v>7.7527637860412904E-3</v>
      </c>
      <c r="I334" s="551">
        <v>0.175548799432974</v>
      </c>
      <c r="J334" s="551">
        <v>8.0730322148172301E-2</v>
      </c>
      <c r="K334" s="551">
        <v>1.3028582012161E-2</v>
      </c>
      <c r="L334" s="551">
        <v>1.3804467669660701E-3</v>
      </c>
      <c r="M334" s="552">
        <v>1.3617676677274501E-2</v>
      </c>
    </row>
    <row r="335" spans="2:13" ht="15.75" x14ac:dyDescent="0.25">
      <c r="B335" s="555">
        <v>2022</v>
      </c>
      <c r="C335" s="556">
        <v>2017</v>
      </c>
      <c r="D335" s="557" t="s">
        <v>3227</v>
      </c>
      <c r="E335" s="547">
        <v>5.5764679532151924E-2</v>
      </c>
      <c r="F335" s="548">
        <v>0.11958642349564871</v>
      </c>
      <c r="G335" s="549">
        <v>7.3409699951134999E-2</v>
      </c>
      <c r="H335" s="550">
        <v>6.9745578850963497E-3</v>
      </c>
      <c r="I335" s="551">
        <v>0.13060645570795301</v>
      </c>
      <c r="J335" s="551">
        <v>6.8283769298508795E-2</v>
      </c>
      <c r="K335" s="551">
        <v>1.1271173927917899E-2</v>
      </c>
      <c r="L335" s="551">
        <v>1.4386996201234601E-3</v>
      </c>
      <c r="M335" s="552">
        <v>1.17808063978448E-2</v>
      </c>
    </row>
    <row r="336" spans="2:13" ht="15.75" x14ac:dyDescent="0.25">
      <c r="B336" s="555">
        <v>2022</v>
      </c>
      <c r="C336" s="556">
        <v>2018</v>
      </c>
      <c r="D336" s="557" t="s">
        <v>3228</v>
      </c>
      <c r="E336" s="547">
        <v>5.206681314249495E-2</v>
      </c>
      <c r="F336" s="548">
        <v>0.11445137790980342</v>
      </c>
      <c r="G336" s="549">
        <v>7.1708023529505699E-2</v>
      </c>
      <c r="H336" s="550">
        <v>6.4636719177271996E-3</v>
      </c>
      <c r="I336" s="551">
        <v>0.101439137762921</v>
      </c>
      <c r="J336" s="551">
        <v>5.7865115098436601E-2</v>
      </c>
      <c r="K336" s="551">
        <v>1.01185626785624E-2</v>
      </c>
      <c r="L336" s="551">
        <v>1.4990092814308499E-3</v>
      </c>
      <c r="M336" s="552">
        <v>1.0576079182430099E-2</v>
      </c>
    </row>
    <row r="337" spans="2:13" ht="15.75" x14ac:dyDescent="0.25">
      <c r="B337" s="555">
        <v>2022</v>
      </c>
      <c r="C337" s="556">
        <v>2019</v>
      </c>
      <c r="D337" s="557" t="s">
        <v>3229</v>
      </c>
      <c r="E337" s="547">
        <v>5.2043746755976859E-2</v>
      </c>
      <c r="F337" s="548">
        <v>0.11439789151033247</v>
      </c>
      <c r="G337" s="549">
        <v>6.9917108443239201E-2</v>
      </c>
      <c r="H337" s="550">
        <v>6.3496964992567004E-3</v>
      </c>
      <c r="I337" s="551">
        <v>8.2639651192911903E-2</v>
      </c>
      <c r="J337" s="551">
        <v>5.4262229023211102E-2</v>
      </c>
      <c r="K337" s="551">
        <v>8.90738227900097E-3</v>
      </c>
      <c r="L337" s="551">
        <v>1.53941400510483E-3</v>
      </c>
      <c r="M337" s="552">
        <v>9.3101345797339304E-3</v>
      </c>
    </row>
    <row r="338" spans="2:13" ht="15.75" x14ac:dyDescent="0.25">
      <c r="B338" s="555">
        <v>2022</v>
      </c>
      <c r="C338" s="556">
        <v>2020</v>
      </c>
      <c r="D338" s="557" t="s">
        <v>3230</v>
      </c>
      <c r="E338" s="547">
        <v>5.2017564121113455E-2</v>
      </c>
      <c r="F338" s="548">
        <v>0.11433981729894371</v>
      </c>
      <c r="G338" s="549">
        <v>6.8036410914829704E-2</v>
      </c>
      <c r="H338" s="550">
        <v>6.5055541648402996E-3</v>
      </c>
      <c r="I338" s="551">
        <v>6.4979991927725203E-2</v>
      </c>
      <c r="J338" s="551">
        <v>5.2341054876928701E-2</v>
      </c>
      <c r="K338" s="551">
        <v>7.6375897098349098E-3</v>
      </c>
      <c r="L338" s="551">
        <v>1.5399307613568601E-3</v>
      </c>
      <c r="M338" s="552">
        <v>7.9829276252112603E-3</v>
      </c>
    </row>
    <row r="339" spans="2:13" ht="15.75" x14ac:dyDescent="0.25">
      <c r="B339" s="555">
        <v>2022</v>
      </c>
      <c r="C339" s="556">
        <v>2021</v>
      </c>
      <c r="D339" s="557" t="s">
        <v>3231</v>
      </c>
      <c r="E339" s="547">
        <v>5.0686433503523594E-2</v>
      </c>
      <c r="F339" s="548">
        <v>0.1114135267893612</v>
      </c>
      <c r="G339" s="549">
        <v>6.6066483718100394E-2</v>
      </c>
      <c r="H339" s="550">
        <v>6.4659677914646E-3</v>
      </c>
      <c r="I339" s="551">
        <v>4.89818324802467E-2</v>
      </c>
      <c r="J339" s="551">
        <v>4.75496296557881E-2</v>
      </c>
      <c r="K339" s="551">
        <v>6.3091696387966197E-3</v>
      </c>
      <c r="L339" s="551">
        <v>1.5404672692336599E-3</v>
      </c>
      <c r="M339" s="552">
        <v>6.5944422933373699E-3</v>
      </c>
    </row>
    <row r="340" spans="2:13" ht="15.75" x14ac:dyDescent="0.25">
      <c r="B340" s="555">
        <v>2022</v>
      </c>
      <c r="C340" s="556">
        <v>2022</v>
      </c>
      <c r="D340" s="557" t="s">
        <v>3232</v>
      </c>
      <c r="E340" s="547">
        <v>4.9397523496758328E-2</v>
      </c>
      <c r="F340" s="548">
        <v>0.10856159473432229</v>
      </c>
      <c r="G340" s="549">
        <v>6.40053030874905E-2</v>
      </c>
      <c r="H340" s="550">
        <v>5.37294256376958E-3</v>
      </c>
      <c r="I340" s="551">
        <v>3.4309801205194501E-2</v>
      </c>
      <c r="J340" s="551">
        <v>3.4254424654749101E-2</v>
      </c>
      <c r="K340" s="551">
        <v>4.92203331334527E-3</v>
      </c>
      <c r="L340" s="551">
        <v>1.5410016834920899E-3</v>
      </c>
      <c r="M340" s="552">
        <v>5.1445858185753899E-3</v>
      </c>
    </row>
    <row r="341" spans="2:13" ht="15.75" x14ac:dyDescent="0.25">
      <c r="B341" s="555">
        <v>2023</v>
      </c>
      <c r="C341" s="556">
        <v>1982</v>
      </c>
      <c r="D341" s="557" t="s">
        <v>3236</v>
      </c>
      <c r="E341" s="547">
        <v>6.4431663488922084E-2</v>
      </c>
      <c r="F341" s="548">
        <v>0.14026892950039196</v>
      </c>
      <c r="G341" s="549">
        <v>0.22945089130110299</v>
      </c>
      <c r="H341" s="550">
        <v>2.4664580748129201</v>
      </c>
      <c r="I341" s="551">
        <v>5.0652669594453101</v>
      </c>
      <c r="J341" s="551">
        <v>4.0647533197810404</v>
      </c>
      <c r="K341" s="551">
        <v>0.17294514835959099</v>
      </c>
      <c r="L341" s="551">
        <v>1.51728734165289E-2</v>
      </c>
      <c r="M341" s="552">
        <v>0.180764960535682</v>
      </c>
    </row>
    <row r="342" spans="2:13" ht="15.75" x14ac:dyDescent="0.25">
      <c r="B342" s="555">
        <v>2023</v>
      </c>
      <c r="C342" s="556">
        <v>1983</v>
      </c>
      <c r="D342" s="557" t="s">
        <v>3237</v>
      </c>
      <c r="E342" s="547">
        <v>6.2011516935396686E-2</v>
      </c>
      <c r="F342" s="548">
        <v>0.14515239732099988</v>
      </c>
      <c r="G342" s="549">
        <v>0.212892037952923</v>
      </c>
      <c r="H342" s="550">
        <v>2.5908762307667299</v>
      </c>
      <c r="I342" s="551">
        <v>5.2161037546350304</v>
      </c>
      <c r="J342" s="551">
        <v>4.0648384563752504</v>
      </c>
      <c r="K342" s="551">
        <v>0.16046416241646999</v>
      </c>
      <c r="L342" s="551">
        <v>1.61914283689901E-2</v>
      </c>
      <c r="M342" s="552">
        <v>0.16771963979176799</v>
      </c>
    </row>
    <row r="343" spans="2:13" ht="15.75" x14ac:dyDescent="0.25">
      <c r="B343" s="555">
        <v>2023</v>
      </c>
      <c r="C343" s="556">
        <v>1984</v>
      </c>
      <c r="D343" s="557" t="s">
        <v>3238</v>
      </c>
      <c r="E343" s="547">
        <v>6.2530705822771482E-2</v>
      </c>
      <c r="F343" s="548">
        <v>0.14418632058787698</v>
      </c>
      <c r="G343" s="549">
        <v>0.21708660840975</v>
      </c>
      <c r="H343" s="550">
        <v>1.9010218433589301</v>
      </c>
      <c r="I343" s="551">
        <v>5.1960454342251801</v>
      </c>
      <c r="J343" s="551">
        <v>4.0602597871944202</v>
      </c>
      <c r="K343" s="551">
        <v>0.16362575662883999</v>
      </c>
      <c r="L343" s="551">
        <v>1.5874186690526201E-2</v>
      </c>
      <c r="M343" s="552">
        <v>0.171024187265054</v>
      </c>
    </row>
    <row r="344" spans="2:13" ht="15.75" x14ac:dyDescent="0.25">
      <c r="B344" s="555">
        <v>2023</v>
      </c>
      <c r="C344" s="556">
        <v>1985</v>
      </c>
      <c r="D344" s="557" t="s">
        <v>3239</v>
      </c>
      <c r="E344" s="547">
        <v>6.4584781497470004E-2</v>
      </c>
      <c r="F344" s="548">
        <v>0.14228686466711199</v>
      </c>
      <c r="G344" s="549">
        <v>0.23068747508161799</v>
      </c>
      <c r="H344" s="550">
        <v>1.8391712604200601</v>
      </c>
      <c r="I344" s="551">
        <v>5.04297077513995</v>
      </c>
      <c r="J344" s="551">
        <v>4.1133692189763398</v>
      </c>
      <c r="K344" s="551">
        <v>0.17387720473194901</v>
      </c>
      <c r="L344" s="551">
        <v>1.5561642927332401E-2</v>
      </c>
      <c r="M344" s="552">
        <v>0.18173916036125901</v>
      </c>
    </row>
    <row r="345" spans="2:13" ht="15.75" x14ac:dyDescent="0.25">
      <c r="B345" s="555">
        <v>2023</v>
      </c>
      <c r="C345" s="556">
        <v>1986</v>
      </c>
      <c r="D345" s="557" t="s">
        <v>3240</v>
      </c>
      <c r="E345" s="547">
        <v>6.380728241101695E-2</v>
      </c>
      <c r="F345" s="548">
        <v>0.14230085858512179</v>
      </c>
      <c r="G345" s="549">
        <v>0.22611135160742701</v>
      </c>
      <c r="H345" s="550">
        <v>1.8314851825621099</v>
      </c>
      <c r="I345" s="551">
        <v>5.1090027573387102</v>
      </c>
      <c r="J345" s="551">
        <v>3.8766134242391401</v>
      </c>
      <c r="K345" s="551">
        <v>0.17042802068795601</v>
      </c>
      <c r="L345" s="551">
        <v>1.55850089247243E-2</v>
      </c>
      <c r="M345" s="552">
        <v>0.17813401952032401</v>
      </c>
    </row>
    <row r="346" spans="2:13" ht="15.75" x14ac:dyDescent="0.25">
      <c r="B346" s="555">
        <v>2023</v>
      </c>
      <c r="C346" s="556">
        <v>1987</v>
      </c>
      <c r="D346" s="557" t="s">
        <v>3241</v>
      </c>
      <c r="E346" s="547">
        <v>6.353286844380214E-2</v>
      </c>
      <c r="F346" s="548">
        <v>0.14033593443346568</v>
      </c>
      <c r="G346" s="549">
        <v>0.28198826203377098</v>
      </c>
      <c r="H346" s="550">
        <v>1.77927901870755</v>
      </c>
      <c r="I346" s="551">
        <v>5.2217798677212803</v>
      </c>
      <c r="J346" s="551">
        <v>3.9653988844792898</v>
      </c>
      <c r="K346" s="551">
        <v>0.19204459056923301</v>
      </c>
      <c r="L346" s="551">
        <v>1.52322413861902E-2</v>
      </c>
      <c r="M346" s="552">
        <v>0.20072799476952499</v>
      </c>
    </row>
    <row r="347" spans="2:13" ht="15.75" x14ac:dyDescent="0.25">
      <c r="B347" s="555">
        <v>2023</v>
      </c>
      <c r="C347" s="556">
        <v>1988</v>
      </c>
      <c r="D347" s="557" t="s">
        <v>3242</v>
      </c>
      <c r="E347" s="547">
        <v>6.291824444929317E-2</v>
      </c>
      <c r="F347" s="548">
        <v>0.13351480750396788</v>
      </c>
      <c r="G347" s="549">
        <v>0.27697357638207798</v>
      </c>
      <c r="H347" s="550">
        <v>0.437842523863258</v>
      </c>
      <c r="I347" s="551">
        <v>5.2665946611638796</v>
      </c>
      <c r="J347" s="551">
        <v>1.68211772884217</v>
      </c>
      <c r="K347" s="551">
        <v>0.188629401419632</v>
      </c>
      <c r="L347" s="551">
        <v>1.4106269126578801E-2</v>
      </c>
      <c r="M347" s="552">
        <v>0.19715838592125601</v>
      </c>
    </row>
    <row r="348" spans="2:13" ht="15.75" x14ac:dyDescent="0.25">
      <c r="B348" s="555">
        <v>2023</v>
      </c>
      <c r="C348" s="556">
        <v>1989</v>
      </c>
      <c r="D348" s="557" t="s">
        <v>3243</v>
      </c>
      <c r="E348" s="547">
        <v>6.2697269821105045E-2</v>
      </c>
      <c r="F348" s="548">
        <v>0.13290208861593164</v>
      </c>
      <c r="G348" s="549">
        <v>0.27551733448018501</v>
      </c>
      <c r="H348" s="550">
        <v>0.43110204993499401</v>
      </c>
      <c r="I348" s="551">
        <v>5.2877449418929503</v>
      </c>
      <c r="J348" s="551">
        <v>1.6727559102740801</v>
      </c>
      <c r="K348" s="551">
        <v>0.18763764602597899</v>
      </c>
      <c r="L348" s="551">
        <v>1.3959228634350399E-2</v>
      </c>
      <c r="M348" s="552">
        <v>0.196121787749551</v>
      </c>
    </row>
    <row r="349" spans="2:13" ht="15.75" x14ac:dyDescent="0.25">
      <c r="B349" s="555">
        <v>2023</v>
      </c>
      <c r="C349" s="556">
        <v>1990</v>
      </c>
      <c r="D349" s="557" t="s">
        <v>3244</v>
      </c>
      <c r="E349" s="547">
        <v>6.2707561419649019E-2</v>
      </c>
      <c r="F349" s="548">
        <v>0.13380575998257824</v>
      </c>
      <c r="G349" s="549">
        <v>0.27594371304137399</v>
      </c>
      <c r="H349" s="550">
        <v>0.43695487275511002</v>
      </c>
      <c r="I349" s="551">
        <v>5.29051040622549</v>
      </c>
      <c r="J349" s="551">
        <v>1.6804826470744101</v>
      </c>
      <c r="K349" s="551">
        <v>0.187928025829806</v>
      </c>
      <c r="L349" s="551">
        <v>1.4230406065935199E-2</v>
      </c>
      <c r="M349" s="552">
        <v>0.196425297239566</v>
      </c>
    </row>
    <row r="350" spans="2:13" ht="15.75" x14ac:dyDescent="0.25">
      <c r="B350" s="555">
        <v>2023</v>
      </c>
      <c r="C350" s="556">
        <v>1991</v>
      </c>
      <c r="D350" s="557" t="s">
        <v>3245</v>
      </c>
      <c r="E350" s="547">
        <v>6.3642756529921712E-2</v>
      </c>
      <c r="F350" s="548">
        <v>0.13335723591249951</v>
      </c>
      <c r="G350" s="549">
        <v>0.36421750285847798</v>
      </c>
      <c r="H350" s="550">
        <v>0.48200680865555301</v>
      </c>
      <c r="I350" s="551">
        <v>9.2296816971476492</v>
      </c>
      <c r="J350" s="551">
        <v>2.9250502795604101</v>
      </c>
      <c r="K350" s="551">
        <v>5.16181023404692E-2</v>
      </c>
      <c r="L350" s="551">
        <v>7.7331184301171196E-3</v>
      </c>
      <c r="M350" s="552">
        <v>5.39520438763684E-2</v>
      </c>
    </row>
    <row r="351" spans="2:13" ht="15.75" x14ac:dyDescent="0.25">
      <c r="B351" s="555">
        <v>2023</v>
      </c>
      <c r="C351" s="556">
        <v>1992</v>
      </c>
      <c r="D351" s="557" t="s">
        <v>3246</v>
      </c>
      <c r="E351" s="547">
        <v>6.3864745395971936E-2</v>
      </c>
      <c r="F351" s="548">
        <v>0.13419143101193989</v>
      </c>
      <c r="G351" s="549">
        <v>0.366942707976048</v>
      </c>
      <c r="H351" s="550">
        <v>0.48949752665007101</v>
      </c>
      <c r="I351" s="551">
        <v>9.1971738390859397</v>
      </c>
      <c r="J351" s="551">
        <v>2.9482061268288402</v>
      </c>
      <c r="K351" s="551">
        <v>5.2004327372362297E-2</v>
      </c>
      <c r="L351" s="551">
        <v>7.8863623167748798E-3</v>
      </c>
      <c r="M351" s="552">
        <v>5.43557322903555E-2</v>
      </c>
    </row>
    <row r="352" spans="2:13" ht="15.75" x14ac:dyDescent="0.25">
      <c r="B352" s="555">
        <v>2023</v>
      </c>
      <c r="C352" s="556">
        <v>1993</v>
      </c>
      <c r="D352" s="557" t="s">
        <v>3247</v>
      </c>
      <c r="E352" s="547">
        <v>6.3923044791206793E-2</v>
      </c>
      <c r="F352" s="548">
        <v>0.13350631834282234</v>
      </c>
      <c r="G352" s="549">
        <v>0.36790311890973298</v>
      </c>
      <c r="H352" s="550">
        <v>0.48170322832729001</v>
      </c>
      <c r="I352" s="551">
        <v>9.1908057008407091</v>
      </c>
      <c r="J352" s="551">
        <v>2.9302979136189</v>
      </c>
      <c r="K352" s="551">
        <v>5.21404399684752E-2</v>
      </c>
      <c r="L352" s="551">
        <v>7.7902489198341304E-3</v>
      </c>
      <c r="M352" s="552">
        <v>5.4497999294074E-2</v>
      </c>
    </row>
    <row r="353" spans="2:13" ht="15.75" x14ac:dyDescent="0.25">
      <c r="B353" s="555">
        <v>2023</v>
      </c>
      <c r="C353" s="556">
        <v>1994</v>
      </c>
      <c r="D353" s="557" t="s">
        <v>3248</v>
      </c>
      <c r="E353" s="547">
        <v>6.354040265629228E-2</v>
      </c>
      <c r="F353" s="548">
        <v>0.13252676748367412</v>
      </c>
      <c r="G353" s="549">
        <v>0.36172233763546702</v>
      </c>
      <c r="H353" s="550">
        <v>0.47147412899497798</v>
      </c>
      <c r="I353" s="551">
        <v>9.2528384391690892</v>
      </c>
      <c r="J353" s="551">
        <v>2.9083942936136502</v>
      </c>
      <c r="K353" s="551">
        <v>5.1794431808195499E-2</v>
      </c>
      <c r="L353" s="551">
        <v>7.6475883077355197E-3</v>
      </c>
      <c r="M353" s="552">
        <v>5.4136346180174898E-2</v>
      </c>
    </row>
    <row r="354" spans="2:13" ht="15.75" x14ac:dyDescent="0.25">
      <c r="B354" s="555">
        <v>2023</v>
      </c>
      <c r="C354" s="556">
        <v>1995</v>
      </c>
      <c r="D354" s="557" t="s">
        <v>3249</v>
      </c>
      <c r="E354" s="547">
        <v>6.3885043496183611E-2</v>
      </c>
      <c r="F354" s="548">
        <v>0.13185053129154267</v>
      </c>
      <c r="G354" s="549">
        <v>0.36594859452844197</v>
      </c>
      <c r="H354" s="550">
        <v>0.25193778854076898</v>
      </c>
      <c r="I354" s="551">
        <v>9.2305625060528698</v>
      </c>
      <c r="J354" s="551">
        <v>1.6604254512831</v>
      </c>
      <c r="K354" s="551">
        <v>5.2399582642611797E-2</v>
      </c>
      <c r="L354" s="551">
        <v>4.9991465993542801E-3</v>
      </c>
      <c r="M354" s="552">
        <v>5.4768859250006401E-2</v>
      </c>
    </row>
    <row r="355" spans="2:13" ht="15.75" x14ac:dyDescent="0.25">
      <c r="B355" s="555">
        <v>2023</v>
      </c>
      <c r="C355" s="556">
        <v>1996</v>
      </c>
      <c r="D355" s="557" t="s">
        <v>3250</v>
      </c>
      <c r="E355" s="547">
        <v>6.3906206462733081E-2</v>
      </c>
      <c r="F355" s="548">
        <v>0.13038174149407866</v>
      </c>
      <c r="G355" s="549">
        <v>0.36624130984832598</v>
      </c>
      <c r="H355" s="550">
        <v>2.2796235979117899E-2</v>
      </c>
      <c r="I355" s="551">
        <v>9.2245663424046604</v>
      </c>
      <c r="J355" s="551">
        <v>0.39506057350289597</v>
      </c>
      <c r="K355" s="551">
        <v>5.2441496072050703E-2</v>
      </c>
      <c r="L355" s="551">
        <v>2.22200212624447E-3</v>
      </c>
      <c r="M355" s="552">
        <v>5.4812667818736498E-2</v>
      </c>
    </row>
    <row r="356" spans="2:13" ht="15.75" x14ac:dyDescent="0.25">
      <c r="B356" s="555">
        <v>2023</v>
      </c>
      <c r="C356" s="556">
        <v>1997</v>
      </c>
      <c r="D356" s="557" t="s">
        <v>3251</v>
      </c>
      <c r="E356" s="547">
        <v>6.4156946636002174E-2</v>
      </c>
      <c r="F356" s="548">
        <v>0.12899773086555796</v>
      </c>
      <c r="G356" s="549">
        <v>0.369068658372458</v>
      </c>
      <c r="H356" s="550">
        <v>2.2165170674381202E-2</v>
      </c>
      <c r="I356" s="551">
        <v>9.1832026643727591</v>
      </c>
      <c r="J356" s="551">
        <v>0.39102618709121201</v>
      </c>
      <c r="K356" s="551">
        <v>5.2846339497779997E-2</v>
      </c>
      <c r="L356" s="551">
        <v>2.1630110747497401E-3</v>
      </c>
      <c r="M356" s="552">
        <v>5.5235816467711203E-2</v>
      </c>
    </row>
    <row r="357" spans="2:13" ht="15.75" x14ac:dyDescent="0.25">
      <c r="B357" s="555">
        <v>2023</v>
      </c>
      <c r="C357" s="556">
        <v>1998</v>
      </c>
      <c r="D357" s="557" t="s">
        <v>3252</v>
      </c>
      <c r="E357" s="547">
        <v>6.3962997418794104E-2</v>
      </c>
      <c r="F357" s="548">
        <v>0.12954499706385622</v>
      </c>
      <c r="G357" s="549">
        <v>0.36766298366149702</v>
      </c>
      <c r="H357" s="550">
        <v>2.24013660574903E-2</v>
      </c>
      <c r="I357" s="551">
        <v>9.2207801840892696</v>
      </c>
      <c r="J357" s="551">
        <v>0.39275031450519998</v>
      </c>
      <c r="K357" s="551">
        <v>5.2645063227596399E-2</v>
      </c>
      <c r="L357" s="551">
        <v>2.1899605794504602E-3</v>
      </c>
      <c r="M357" s="552">
        <v>5.5025439377740099E-2</v>
      </c>
    </row>
    <row r="358" spans="2:13" ht="15.75" x14ac:dyDescent="0.25">
      <c r="B358" s="555">
        <v>2023</v>
      </c>
      <c r="C358" s="556">
        <v>1999</v>
      </c>
      <c r="D358" s="557" t="s">
        <v>3253</v>
      </c>
      <c r="E358" s="547">
        <v>6.3883949043354787E-2</v>
      </c>
      <c r="F358" s="548">
        <v>0.12943091792796882</v>
      </c>
      <c r="G358" s="549">
        <v>0.36694035161858102</v>
      </c>
      <c r="H358" s="550">
        <v>2.2393972826567899E-2</v>
      </c>
      <c r="I358" s="551">
        <v>9.2242084150446999</v>
      </c>
      <c r="J358" s="551">
        <v>0.39288237822566502</v>
      </c>
      <c r="K358" s="551">
        <v>5.2541590723482003E-2</v>
      </c>
      <c r="L358" s="551">
        <v>2.1849340238483598E-3</v>
      </c>
      <c r="M358" s="552">
        <v>5.4917288306142002E-2</v>
      </c>
    </row>
    <row r="359" spans="2:13" ht="15.75" x14ac:dyDescent="0.25">
      <c r="B359" s="555">
        <v>2023</v>
      </c>
      <c r="C359" s="556">
        <v>2000</v>
      </c>
      <c r="D359" s="557" t="s">
        <v>3254</v>
      </c>
      <c r="E359" s="547">
        <v>6.3636202359763069E-2</v>
      </c>
      <c r="F359" s="548">
        <v>0.12987579455698961</v>
      </c>
      <c r="G359" s="549">
        <v>0.36387660974392499</v>
      </c>
      <c r="H359" s="550">
        <v>2.2572622552070602E-2</v>
      </c>
      <c r="I359" s="551">
        <v>9.2536663717217404</v>
      </c>
      <c r="J359" s="551">
        <v>0.39422293670512698</v>
      </c>
      <c r="K359" s="551">
        <v>5.2129847555920497E-2</v>
      </c>
      <c r="L359" s="551">
        <v>2.2072550099265101E-3</v>
      </c>
      <c r="M359" s="552">
        <v>5.44869279396267E-2</v>
      </c>
    </row>
    <row r="360" spans="2:13" ht="15.75" x14ac:dyDescent="0.25">
      <c r="B360" s="555">
        <v>2023</v>
      </c>
      <c r="C360" s="556">
        <v>2001</v>
      </c>
      <c r="D360" s="557" t="s">
        <v>3255</v>
      </c>
      <c r="E360" s="547">
        <v>6.386185836782797E-2</v>
      </c>
      <c r="F360" s="548">
        <v>0.13006098156311219</v>
      </c>
      <c r="G360" s="549">
        <v>0.364925546739502</v>
      </c>
      <c r="H360" s="550">
        <v>2.2640173125436699E-2</v>
      </c>
      <c r="I360" s="551">
        <v>9.2143892257566797</v>
      </c>
      <c r="J360" s="551">
        <v>0.394120506754077</v>
      </c>
      <c r="K360" s="551">
        <v>5.2340465023770197E-2</v>
      </c>
      <c r="L360" s="551">
        <v>2.2200014836767099E-3</v>
      </c>
      <c r="M360" s="552">
        <v>5.4707068594771403E-2</v>
      </c>
    </row>
    <row r="361" spans="2:13" ht="15.75" x14ac:dyDescent="0.25">
      <c r="B361" s="555">
        <v>2023</v>
      </c>
      <c r="C361" s="556">
        <v>2002</v>
      </c>
      <c r="D361" s="557" t="s">
        <v>3256</v>
      </c>
      <c r="E361" s="547">
        <v>6.3707888247496708E-2</v>
      </c>
      <c r="F361" s="548">
        <v>0.12991922553569424</v>
      </c>
      <c r="G361" s="549">
        <v>0.281106667178672</v>
      </c>
      <c r="H361" s="550">
        <v>2.2522448945230499E-2</v>
      </c>
      <c r="I361" s="551">
        <v>7.1074892055406202</v>
      </c>
      <c r="J361" s="551">
        <v>0.31379975432776502</v>
      </c>
      <c r="K361" s="551">
        <v>5.2582494612815098E-2</v>
      </c>
      <c r="L361" s="551">
        <v>2.2171724914106499E-3</v>
      </c>
      <c r="M361" s="552">
        <v>5.4960041687842499E-2</v>
      </c>
    </row>
    <row r="362" spans="2:13" ht="15.75" x14ac:dyDescent="0.25">
      <c r="B362" s="555">
        <v>2023</v>
      </c>
      <c r="C362" s="556">
        <v>2003</v>
      </c>
      <c r="D362" s="557" t="s">
        <v>3257</v>
      </c>
      <c r="E362" s="547">
        <v>6.340200838279518E-2</v>
      </c>
      <c r="F362" s="548">
        <v>0.12932011233568627</v>
      </c>
      <c r="G362" s="549">
        <v>0.27703563922350899</v>
      </c>
      <c r="H362" s="550">
        <v>2.21654405773801E-2</v>
      </c>
      <c r="I362" s="551">
        <v>7.1314554941032799</v>
      </c>
      <c r="J362" s="551">
        <v>0.30914928475844899</v>
      </c>
      <c r="K362" s="551">
        <v>5.1950442587223297E-2</v>
      </c>
      <c r="L362" s="551">
        <v>2.1930277894686898E-3</v>
      </c>
      <c r="M362" s="552">
        <v>5.4299411074342802E-2</v>
      </c>
    </row>
    <row r="363" spans="2:13" ht="15.75" x14ac:dyDescent="0.25">
      <c r="B363" s="555">
        <v>2023</v>
      </c>
      <c r="C363" s="556">
        <v>2004</v>
      </c>
      <c r="D363" s="557" t="s">
        <v>3258</v>
      </c>
      <c r="E363" s="547">
        <v>6.317461940946871E-2</v>
      </c>
      <c r="F363" s="548">
        <v>0.12825860947248507</v>
      </c>
      <c r="G363" s="549">
        <v>0.22677804428909101</v>
      </c>
      <c r="H363" s="550">
        <v>1.45470432072631E-2</v>
      </c>
      <c r="I363" s="551">
        <v>5.9617079780185902</v>
      </c>
      <c r="J363" s="551">
        <v>0.256721212994871</v>
      </c>
      <c r="K363" s="551">
        <v>5.1395821140695498E-2</v>
      </c>
      <c r="L363" s="551">
        <v>1.4264256963488701E-4</v>
      </c>
      <c r="M363" s="552">
        <v>5.3719712107099298E-2</v>
      </c>
    </row>
    <row r="364" spans="2:13" ht="15.75" x14ac:dyDescent="0.25">
      <c r="B364" s="555">
        <v>2023</v>
      </c>
      <c r="C364" s="556">
        <v>2005</v>
      </c>
      <c r="D364" s="557" t="s">
        <v>3259</v>
      </c>
      <c r="E364" s="547">
        <v>6.3222090120071198E-2</v>
      </c>
      <c r="F364" s="548">
        <v>0.12865602535979628</v>
      </c>
      <c r="G364" s="549">
        <v>0.22482626021258101</v>
      </c>
      <c r="H364" s="550">
        <v>1.42674074131353E-2</v>
      </c>
      <c r="I364" s="551">
        <v>5.9464843396626996</v>
      </c>
      <c r="J364" s="551">
        <v>0.25205185151763398</v>
      </c>
      <c r="K364" s="551">
        <v>5.1151106031185702E-2</v>
      </c>
      <c r="L364" s="551">
        <v>1.4412287270930199E-4</v>
      </c>
      <c r="M364" s="552">
        <v>5.3463932066244502E-2</v>
      </c>
    </row>
    <row r="365" spans="2:13" ht="15.75" x14ac:dyDescent="0.25">
      <c r="B365" s="555">
        <v>2023</v>
      </c>
      <c r="C365" s="556">
        <v>2006</v>
      </c>
      <c r="D365" s="557" t="s">
        <v>3260</v>
      </c>
      <c r="E365" s="547">
        <v>6.3047296369370939E-2</v>
      </c>
      <c r="F365" s="548">
        <v>0.12896323324765441</v>
      </c>
      <c r="G365" s="549">
        <v>0.221065086836986</v>
      </c>
      <c r="H365" s="550">
        <v>1.41273706607904E-2</v>
      </c>
      <c r="I365" s="551">
        <v>5.9493159802039601</v>
      </c>
      <c r="J365" s="551">
        <v>0.24599536643768799</v>
      </c>
      <c r="K365" s="551">
        <v>5.0528191326054302E-2</v>
      </c>
      <c r="L365" s="551">
        <v>1.45235887316736E-4</v>
      </c>
      <c r="M365" s="552">
        <v>5.2812851922290197E-2</v>
      </c>
    </row>
    <row r="366" spans="2:13" ht="15.75" x14ac:dyDescent="0.25">
      <c r="B366" s="555">
        <v>2023</v>
      </c>
      <c r="C366" s="556">
        <v>2007</v>
      </c>
      <c r="D366" s="557" t="s">
        <v>3261</v>
      </c>
      <c r="E366" s="547">
        <v>6.321632796607185E-2</v>
      </c>
      <c r="F366" s="548">
        <v>0.12934094920683722</v>
      </c>
      <c r="G366" s="549">
        <v>0.16113786746630701</v>
      </c>
      <c r="H366" s="550">
        <v>1.4043018669704199E-2</v>
      </c>
      <c r="I366" s="551">
        <v>3.0960181184595199</v>
      </c>
      <c r="J366" s="551">
        <v>0.24484527450493501</v>
      </c>
      <c r="K366" s="551">
        <v>3.5758362876345297E-2</v>
      </c>
      <c r="L366" s="551">
        <v>1.4672638613104499E-4</v>
      </c>
      <c r="M366" s="552">
        <v>3.73751973702285E-2</v>
      </c>
    </row>
    <row r="367" spans="2:13" ht="15.75" x14ac:dyDescent="0.25">
      <c r="B367" s="555">
        <v>2023</v>
      </c>
      <c r="C367" s="556">
        <v>2008</v>
      </c>
      <c r="D367" s="557" t="s">
        <v>3262</v>
      </c>
      <c r="E367" s="547">
        <v>6.3456552650283049E-2</v>
      </c>
      <c r="F367" s="548">
        <v>0.12981730513861572</v>
      </c>
      <c r="G367" s="549">
        <v>0.16095371830347299</v>
      </c>
      <c r="H367" s="550">
        <v>1.12054200179693E-2</v>
      </c>
      <c r="I367" s="551">
        <v>3.0753627998899802</v>
      </c>
      <c r="J367" s="551">
        <v>0.16838376160875801</v>
      </c>
      <c r="K367" s="551">
        <v>3.55068881738679E-2</v>
      </c>
      <c r="L367" s="551">
        <v>1.69281637335475E-4</v>
      </c>
      <c r="M367" s="552">
        <v>3.71123520976075E-2</v>
      </c>
    </row>
    <row r="368" spans="2:13" ht="15.75" x14ac:dyDescent="0.25">
      <c r="B368" s="555">
        <v>2023</v>
      </c>
      <c r="C368" s="556">
        <v>2009</v>
      </c>
      <c r="D368" s="557" t="s">
        <v>3263</v>
      </c>
      <c r="E368" s="547">
        <v>6.3454965591003124E-2</v>
      </c>
      <c r="F368" s="548">
        <v>0.12858200707032844</v>
      </c>
      <c r="G368" s="549">
        <v>0.15862535821340101</v>
      </c>
      <c r="H368" s="550">
        <v>8.2656208319126807E-3</v>
      </c>
      <c r="I368" s="551">
        <v>3.0659722970696799</v>
      </c>
      <c r="J368" s="551">
        <v>9.7032388475440504E-2</v>
      </c>
      <c r="K368" s="551">
        <v>3.4949009921164897E-2</v>
      </c>
      <c r="L368" s="551">
        <v>1.8558249473017E-4</v>
      </c>
      <c r="M368" s="552">
        <v>3.6529249065865299E-2</v>
      </c>
    </row>
    <row r="369" spans="2:13" ht="15.75" x14ac:dyDescent="0.25">
      <c r="B369" s="555">
        <v>2023</v>
      </c>
      <c r="C369" s="556">
        <v>2010</v>
      </c>
      <c r="D369" s="557" t="s">
        <v>3264</v>
      </c>
      <c r="E369" s="547">
        <v>6.3471019843794288E-2</v>
      </c>
      <c r="F369" s="548">
        <v>0.12749685626233739</v>
      </c>
      <c r="G369" s="549">
        <v>0.102966800034115</v>
      </c>
      <c r="H369" s="550">
        <v>8.0337361131272503E-3</v>
      </c>
      <c r="I369" s="551">
        <v>0.25267480882492099</v>
      </c>
      <c r="J369" s="551">
        <v>9.6778353416311996E-2</v>
      </c>
      <c r="K369" s="551">
        <v>1.9514388060481599E-2</v>
      </c>
      <c r="L369" s="551">
        <v>2.2112102046159299E-4</v>
      </c>
      <c r="M369" s="552">
        <v>2.0396742094761999E-2</v>
      </c>
    </row>
    <row r="370" spans="2:13" ht="15.75" x14ac:dyDescent="0.25">
      <c r="B370" s="555">
        <v>2023</v>
      </c>
      <c r="C370" s="556">
        <v>2011</v>
      </c>
      <c r="D370" s="557" t="s">
        <v>3265</v>
      </c>
      <c r="E370" s="547">
        <v>6.3415513778616983E-2</v>
      </c>
      <c r="F370" s="548">
        <v>0.12921568327864083</v>
      </c>
      <c r="G370" s="549">
        <v>0.101391399789383</v>
      </c>
      <c r="H370" s="550">
        <v>8.3930919946954008E-3</v>
      </c>
      <c r="I370" s="551">
        <v>0.24649347069241101</v>
      </c>
      <c r="J370" s="551">
        <v>9.8316954036923601E-2</v>
      </c>
      <c r="K370" s="551">
        <v>1.87628513988643E-2</v>
      </c>
      <c r="L370" s="551">
        <v>3.1245586811922701E-4</v>
      </c>
      <c r="M370" s="552">
        <v>1.9611224280201001E-2</v>
      </c>
    </row>
    <row r="371" spans="2:13" ht="15.75" x14ac:dyDescent="0.25">
      <c r="B371" s="555">
        <v>2023</v>
      </c>
      <c r="C371" s="556">
        <v>2012</v>
      </c>
      <c r="D371" s="557" t="s">
        <v>3266</v>
      </c>
      <c r="E371" s="547">
        <v>6.3536399140564609E-2</v>
      </c>
      <c r="F371" s="548">
        <v>0.12959775006973448</v>
      </c>
      <c r="G371" s="549">
        <v>0.10135796932952799</v>
      </c>
      <c r="H371" s="550">
        <v>8.52402400048719E-3</v>
      </c>
      <c r="I371" s="551">
        <v>0.24216543830207601</v>
      </c>
      <c r="J371" s="551">
        <v>9.8725460236641402E-2</v>
      </c>
      <c r="K371" s="551">
        <v>1.8051777637650701E-2</v>
      </c>
      <c r="L371" s="551">
        <v>4.6127014816850601E-4</v>
      </c>
      <c r="M371" s="552">
        <v>1.88679989188483E-2</v>
      </c>
    </row>
    <row r="372" spans="2:13" ht="15.75" x14ac:dyDescent="0.25">
      <c r="B372" s="555">
        <v>2023</v>
      </c>
      <c r="C372" s="556">
        <v>2013</v>
      </c>
      <c r="D372" s="557" t="s">
        <v>3267</v>
      </c>
      <c r="E372" s="547">
        <v>6.3394022085446894E-2</v>
      </c>
      <c r="F372" s="548">
        <v>0.12962915379301632</v>
      </c>
      <c r="G372" s="549">
        <v>9.8816254199171699E-2</v>
      </c>
      <c r="H372" s="550">
        <v>8.5853526908101895E-3</v>
      </c>
      <c r="I372" s="551">
        <v>0.234088405188496</v>
      </c>
      <c r="J372" s="551">
        <v>9.8188085038175305E-2</v>
      </c>
      <c r="K372" s="551">
        <v>1.7147734875837199E-2</v>
      </c>
      <c r="L372" s="551">
        <v>6.9132228820122999E-4</v>
      </c>
      <c r="M372" s="552">
        <v>1.7923079354976001E-2</v>
      </c>
    </row>
    <row r="373" spans="2:13" ht="15.75" x14ac:dyDescent="0.25">
      <c r="B373" s="555">
        <v>2023</v>
      </c>
      <c r="C373" s="556">
        <v>2014</v>
      </c>
      <c r="D373" s="557" t="s">
        <v>3268</v>
      </c>
      <c r="E373" s="547">
        <v>6.1852840777770132E-2</v>
      </c>
      <c r="F373" s="548">
        <v>0.12751010708025223</v>
      </c>
      <c r="G373" s="549">
        <v>9.6667673964029005E-2</v>
      </c>
      <c r="H373" s="550">
        <v>8.5606145430239602E-3</v>
      </c>
      <c r="I373" s="551">
        <v>0.22611686009601001</v>
      </c>
      <c r="J373" s="551">
        <v>9.7549876956845097E-2</v>
      </c>
      <c r="K373" s="551">
        <v>1.6198114350902099E-2</v>
      </c>
      <c r="L373" s="551">
        <v>9.5932667953288703E-4</v>
      </c>
      <c r="M373" s="552">
        <v>1.6930521203781999E-2</v>
      </c>
    </row>
    <row r="374" spans="2:13" ht="15.75" x14ac:dyDescent="0.25">
      <c r="B374" s="555">
        <v>2023</v>
      </c>
      <c r="C374" s="556">
        <v>2015</v>
      </c>
      <c r="D374" s="557" t="s">
        <v>3269</v>
      </c>
      <c r="E374" s="547">
        <v>6.1327084337794609E-2</v>
      </c>
      <c r="F374" s="548">
        <v>0.12749633829345927</v>
      </c>
      <c r="G374" s="549">
        <v>9.4435775533517799E-2</v>
      </c>
      <c r="H374" s="550">
        <v>8.6259819715405507E-3</v>
      </c>
      <c r="I374" s="551">
        <v>0.217776857595985</v>
      </c>
      <c r="J374" s="551">
        <v>9.6610473286470197E-2</v>
      </c>
      <c r="K374" s="551">
        <v>1.51926055682894E-2</v>
      </c>
      <c r="L374" s="551">
        <v>1.22739781425205E-3</v>
      </c>
      <c r="M374" s="552">
        <v>1.58795477758986E-2</v>
      </c>
    </row>
    <row r="375" spans="2:13" ht="15.75" x14ac:dyDescent="0.25">
      <c r="B375" s="555">
        <v>2023</v>
      </c>
      <c r="C375" s="556">
        <v>2016</v>
      </c>
      <c r="D375" s="557" t="s">
        <v>3270</v>
      </c>
      <c r="E375" s="547">
        <v>5.9331280511380001E-2</v>
      </c>
      <c r="F375" s="548">
        <v>0.12356571155446397</v>
      </c>
      <c r="G375" s="549">
        <v>9.1982795773994999E-2</v>
      </c>
      <c r="H375" s="550">
        <v>7.7571745297054396E-3</v>
      </c>
      <c r="I375" s="551">
        <v>0.18306252290281999</v>
      </c>
      <c r="J375" s="551">
        <v>8.2574090550024307E-2</v>
      </c>
      <c r="K375" s="551">
        <v>1.41232936136759E-2</v>
      </c>
      <c r="L375" s="551">
        <v>1.3808622733903701E-3</v>
      </c>
      <c r="M375" s="552">
        <v>1.4761886279699101E-2</v>
      </c>
    </row>
    <row r="376" spans="2:13" ht="15.75" x14ac:dyDescent="0.25">
      <c r="B376" s="555">
        <v>2023</v>
      </c>
      <c r="C376" s="556">
        <v>2017</v>
      </c>
      <c r="D376" s="557" t="s">
        <v>3271</v>
      </c>
      <c r="E376" s="547">
        <v>5.5798801439289884E-2</v>
      </c>
      <c r="F376" s="548">
        <v>0.11967309561437015</v>
      </c>
      <c r="G376" s="549">
        <v>7.5083846677678603E-2</v>
      </c>
      <c r="H376" s="550">
        <v>6.8906163024399199E-3</v>
      </c>
      <c r="I376" s="551">
        <v>0.136772103706124</v>
      </c>
      <c r="J376" s="551">
        <v>6.9024234061291698E-2</v>
      </c>
      <c r="K376" s="551">
        <v>1.2367646729852E-2</v>
      </c>
      <c r="L376" s="551">
        <v>1.43887131963471E-3</v>
      </c>
      <c r="M376" s="552">
        <v>1.29268568343564E-2</v>
      </c>
    </row>
    <row r="377" spans="2:13" ht="15.75" x14ac:dyDescent="0.25">
      <c r="B377" s="555">
        <v>2023</v>
      </c>
      <c r="C377" s="556">
        <v>2018</v>
      </c>
      <c r="D377" s="557" t="s">
        <v>3272</v>
      </c>
      <c r="E377" s="547">
        <v>5.2099868786740673E-2</v>
      </c>
      <c r="F377" s="548">
        <v>0.11453523929164551</v>
      </c>
      <c r="G377" s="549">
        <v>7.3470928717881204E-2</v>
      </c>
      <c r="H377" s="550">
        <v>6.17975142004085E-3</v>
      </c>
      <c r="I377" s="551">
        <v>0.106744232794436</v>
      </c>
      <c r="J377" s="551">
        <v>5.6391319790511901E-2</v>
      </c>
      <c r="K377" s="551">
        <v>1.1273389743143101E-2</v>
      </c>
      <c r="L377" s="551">
        <v>1.4991877389053201E-3</v>
      </c>
      <c r="M377" s="552">
        <v>1.1783122402402001E-2</v>
      </c>
    </row>
    <row r="378" spans="2:13" ht="15.75" x14ac:dyDescent="0.25">
      <c r="B378" s="555">
        <v>2023</v>
      </c>
      <c r="C378" s="556">
        <v>2019</v>
      </c>
      <c r="D378" s="557" t="s">
        <v>3273</v>
      </c>
      <c r="E378" s="547">
        <v>5.2078595852220709E-2</v>
      </c>
      <c r="F378" s="548">
        <v>0.11448287528003097</v>
      </c>
      <c r="G378" s="549">
        <v>7.1768911230024907E-2</v>
      </c>
      <c r="H378" s="550">
        <v>5.7583639313475701E-3</v>
      </c>
      <c r="I378" s="551">
        <v>8.74419472273016E-2</v>
      </c>
      <c r="J378" s="551">
        <v>4.9858244873553101E-2</v>
      </c>
      <c r="K378" s="551">
        <v>1.01205834355148E-2</v>
      </c>
      <c r="L378" s="551">
        <v>1.5395970056127199E-3</v>
      </c>
      <c r="M378" s="552">
        <v>1.0578191309045E-2</v>
      </c>
    </row>
    <row r="379" spans="2:13" ht="15.75" x14ac:dyDescent="0.25">
      <c r="B379" s="555">
        <v>2023</v>
      </c>
      <c r="C379" s="556">
        <v>2020</v>
      </c>
      <c r="D379" s="557" t="s">
        <v>3274</v>
      </c>
      <c r="E379" s="547">
        <v>5.2055279591956931E-2</v>
      </c>
      <c r="F379" s="548">
        <v>0.11442895150795011</v>
      </c>
      <c r="G379" s="549">
        <v>6.9977231549095895E-2</v>
      </c>
      <c r="H379" s="550">
        <v>5.6449813029118504E-3</v>
      </c>
      <c r="I379" s="551">
        <v>6.9192735802834096E-2</v>
      </c>
      <c r="J379" s="551">
        <v>4.5909454116076699E-2</v>
      </c>
      <c r="K379" s="551">
        <v>8.9091838716598201E-3</v>
      </c>
      <c r="L379" s="551">
        <v>1.540113557547E-3</v>
      </c>
      <c r="M379" s="552">
        <v>9.3120176324183596E-3</v>
      </c>
    </row>
    <row r="380" spans="2:13" ht="15.75" x14ac:dyDescent="0.25">
      <c r="B380" s="555">
        <v>2023</v>
      </c>
      <c r="C380" s="556">
        <v>2021</v>
      </c>
      <c r="D380" s="557" t="s">
        <v>3275</v>
      </c>
      <c r="E380" s="547">
        <v>5.0728174036270723E-2</v>
      </c>
      <c r="F380" s="548">
        <v>0.11151518538005076</v>
      </c>
      <c r="G380" s="549">
        <v>6.8096484413328995E-2</v>
      </c>
      <c r="H380" s="550">
        <v>5.7113825869745697E-3</v>
      </c>
      <c r="I380" s="551">
        <v>5.2543389171457199E-2</v>
      </c>
      <c r="J380" s="551">
        <v>4.2566810621609399E-2</v>
      </c>
      <c r="K380" s="551">
        <v>7.6391813140175404E-3</v>
      </c>
      <c r="L380" s="551">
        <v>1.54065002679321E-3</v>
      </c>
      <c r="M380" s="552">
        <v>7.9845911946723799E-3</v>
      </c>
    </row>
    <row r="381" spans="2:13" ht="15.75" x14ac:dyDescent="0.25">
      <c r="B381" s="555">
        <v>2023</v>
      </c>
      <c r="C381" s="556">
        <v>2022</v>
      </c>
      <c r="D381" s="557" t="s">
        <v>3276</v>
      </c>
      <c r="E381" s="547">
        <v>4.9449102070601235E-2</v>
      </c>
      <c r="F381" s="548">
        <v>0.1087031646661159</v>
      </c>
      <c r="G381" s="549">
        <v>6.6124589215707297E-2</v>
      </c>
      <c r="H381" s="550">
        <v>5.5834255401518897E-3</v>
      </c>
      <c r="I381" s="551">
        <v>3.7126869315059902E-2</v>
      </c>
      <c r="J381" s="551">
        <v>3.6536672972735197E-2</v>
      </c>
      <c r="K381" s="551">
        <v>6.310477637564E-3</v>
      </c>
      <c r="L381" s="551">
        <v>1.54118446827091E-3</v>
      </c>
      <c r="M381" s="552">
        <v>6.5958094340048496E-3</v>
      </c>
    </row>
    <row r="382" spans="2:13" ht="15.75" x14ac:dyDescent="0.25">
      <c r="B382" s="555">
        <v>2023</v>
      </c>
      <c r="C382" s="556">
        <v>2023</v>
      </c>
      <c r="D382" s="557" t="s">
        <v>3277</v>
      </c>
      <c r="E382" s="547">
        <v>4.8160529369054343E-2</v>
      </c>
      <c r="F382" s="548">
        <v>0.10585295108526863</v>
      </c>
      <c r="G382" s="549">
        <v>6.4062511367063396E-2</v>
      </c>
      <c r="H382" s="550">
        <v>5.3755849848028097E-3</v>
      </c>
      <c r="I382" s="551">
        <v>3.4324451945924997E-2</v>
      </c>
      <c r="J382" s="551">
        <v>3.4241194787571698E-2</v>
      </c>
      <c r="K382" s="551">
        <v>4.9230738586445296E-3</v>
      </c>
      <c r="L382" s="551">
        <v>1.54173113544083E-3</v>
      </c>
      <c r="M382" s="552">
        <v>5.1456734127157304E-3</v>
      </c>
    </row>
    <row r="383" spans="2:13" ht="15.75" x14ac:dyDescent="0.25">
      <c r="B383" s="555">
        <v>2024</v>
      </c>
      <c r="C383" s="556">
        <v>1982</v>
      </c>
      <c r="D383" s="557" t="s">
        <v>3280</v>
      </c>
      <c r="E383" s="547">
        <v>6.4504233922508772E-2</v>
      </c>
      <c r="F383" s="548">
        <v>0.14056924847621224</v>
      </c>
      <c r="G383" s="549">
        <v>0.22958937678240501</v>
      </c>
      <c r="H383" s="550">
        <v>2.4713802973563199</v>
      </c>
      <c r="I383" s="551">
        <v>5.0618021629371102</v>
      </c>
      <c r="J383" s="551">
        <v>4.0602648273350397</v>
      </c>
      <c r="K383" s="551">
        <v>0.17304952970225501</v>
      </c>
      <c r="L383" s="551">
        <v>1.52018089245817E-2</v>
      </c>
      <c r="M383" s="552">
        <v>0.18087406153947599</v>
      </c>
    </row>
    <row r="384" spans="2:13" ht="15.75" x14ac:dyDescent="0.25">
      <c r="B384" s="555">
        <v>2024</v>
      </c>
      <c r="C384" s="556">
        <v>1983</v>
      </c>
      <c r="D384" s="557" t="s">
        <v>3281</v>
      </c>
      <c r="E384" s="547">
        <v>6.2127999518917974E-2</v>
      </c>
      <c r="F384" s="548">
        <v>0.14539043700511936</v>
      </c>
      <c r="G384" s="549">
        <v>0.21323176949206199</v>
      </c>
      <c r="H384" s="550">
        <v>2.5943778341066701</v>
      </c>
      <c r="I384" s="551">
        <v>5.2123699883774801</v>
      </c>
      <c r="J384" s="551">
        <v>4.0619035736925904</v>
      </c>
      <c r="K384" s="551">
        <v>0.160720229939702</v>
      </c>
      <c r="L384" s="551">
        <v>1.6212637080874E-2</v>
      </c>
      <c r="M384" s="552">
        <v>0.167987285552117</v>
      </c>
    </row>
    <row r="385" spans="2:13" ht="15.75" x14ac:dyDescent="0.25">
      <c r="B385" s="555">
        <v>2024</v>
      </c>
      <c r="C385" s="556">
        <v>1984</v>
      </c>
      <c r="D385" s="557" t="s">
        <v>3282</v>
      </c>
      <c r="E385" s="547">
        <v>6.2635651295506967E-2</v>
      </c>
      <c r="F385" s="548">
        <v>0.14448036063845757</v>
      </c>
      <c r="G385" s="549">
        <v>0.21732878629088301</v>
      </c>
      <c r="H385" s="550">
        <v>1.9044508214453799</v>
      </c>
      <c r="I385" s="551">
        <v>5.1922124356510002</v>
      </c>
      <c r="J385" s="551">
        <v>4.0540247725096403</v>
      </c>
      <c r="K385" s="551">
        <v>0.16380829455381599</v>
      </c>
      <c r="L385" s="551">
        <v>1.59012580274089E-2</v>
      </c>
      <c r="M385" s="552">
        <v>0.171214978744998</v>
      </c>
    </row>
    <row r="386" spans="2:13" ht="15.75" x14ac:dyDescent="0.25">
      <c r="B386" s="555">
        <v>2024</v>
      </c>
      <c r="C386" s="556">
        <v>1985</v>
      </c>
      <c r="D386" s="557" t="s">
        <v>3283</v>
      </c>
      <c r="E386" s="547">
        <v>6.4670177671210527E-2</v>
      </c>
      <c r="F386" s="548">
        <v>0.14261218223457042</v>
      </c>
      <c r="G386" s="549">
        <v>0.230873701466416</v>
      </c>
      <c r="H386" s="550">
        <v>1.84290922848764</v>
      </c>
      <c r="I386" s="551">
        <v>5.0385382739137601</v>
      </c>
      <c r="J386" s="551">
        <v>4.1088679429962003</v>
      </c>
      <c r="K386" s="551">
        <v>0.17401757006051499</v>
      </c>
      <c r="L386" s="551">
        <v>1.5592744285012901E-2</v>
      </c>
      <c r="M386" s="552">
        <v>0.18188587238712101</v>
      </c>
    </row>
    <row r="387" spans="2:13" ht="15.75" x14ac:dyDescent="0.25">
      <c r="B387" s="555">
        <v>2024</v>
      </c>
      <c r="C387" s="556">
        <v>1986</v>
      </c>
      <c r="D387" s="557" t="s">
        <v>3284</v>
      </c>
      <c r="E387" s="547">
        <v>6.3887386529188683E-2</v>
      </c>
      <c r="F387" s="548">
        <v>0.14260458100971726</v>
      </c>
      <c r="G387" s="549">
        <v>0.226273185584346</v>
      </c>
      <c r="H387" s="550">
        <v>1.8348854824957599</v>
      </c>
      <c r="I387" s="551">
        <v>5.1064696414469699</v>
      </c>
      <c r="J387" s="551">
        <v>3.8718329309858701</v>
      </c>
      <c r="K387" s="551">
        <v>0.17055000060701</v>
      </c>
      <c r="L387" s="551">
        <v>1.5613334057715599E-2</v>
      </c>
      <c r="M387" s="552">
        <v>0.17826151483003999</v>
      </c>
    </row>
    <row r="388" spans="2:13" ht="15.75" x14ac:dyDescent="0.25">
      <c r="B388" s="555">
        <v>2024</v>
      </c>
      <c r="C388" s="556">
        <v>1987</v>
      </c>
      <c r="D388" s="557" t="s">
        <v>3285</v>
      </c>
      <c r="E388" s="547">
        <v>6.3615744989808209E-2</v>
      </c>
      <c r="F388" s="548">
        <v>0.14070186735717841</v>
      </c>
      <c r="G388" s="549">
        <v>0.28217465277100001</v>
      </c>
      <c r="H388" s="550">
        <v>1.78409359893409</v>
      </c>
      <c r="I388" s="551">
        <v>5.2188822990450996</v>
      </c>
      <c r="J388" s="551">
        <v>3.9601098178970502</v>
      </c>
      <c r="K388" s="551">
        <v>0.192171529657261</v>
      </c>
      <c r="L388" s="551">
        <v>1.5272873208896399E-2</v>
      </c>
      <c r="M388" s="552">
        <v>0.200860673479829</v>
      </c>
    </row>
    <row r="389" spans="2:13" ht="15.75" x14ac:dyDescent="0.25">
      <c r="B389" s="555">
        <v>2024</v>
      </c>
      <c r="C389" s="556">
        <v>1988</v>
      </c>
      <c r="D389" s="557" t="s">
        <v>3286</v>
      </c>
      <c r="E389" s="547">
        <v>6.3004136316388307E-2</v>
      </c>
      <c r="F389" s="548">
        <v>0.1338099521934405</v>
      </c>
      <c r="G389" s="549">
        <v>0.27718988818576001</v>
      </c>
      <c r="H389" s="550">
        <v>0.43944347948567197</v>
      </c>
      <c r="I389" s="551">
        <v>5.2639866585877897</v>
      </c>
      <c r="J389" s="551">
        <v>1.68378309566825</v>
      </c>
      <c r="K389" s="551">
        <v>0.18877671787696801</v>
      </c>
      <c r="L389" s="551">
        <v>1.4157210462007099E-2</v>
      </c>
      <c r="M389" s="552">
        <v>0.19731236337508601</v>
      </c>
    </row>
    <row r="390" spans="2:13" ht="15.75" x14ac:dyDescent="0.25">
      <c r="B390" s="555">
        <v>2024</v>
      </c>
      <c r="C390" s="556">
        <v>1989</v>
      </c>
      <c r="D390" s="557" t="s">
        <v>3287</v>
      </c>
      <c r="E390" s="547">
        <v>6.2788720393576344E-2</v>
      </c>
      <c r="F390" s="548">
        <v>0.13321748564501462</v>
      </c>
      <c r="G390" s="549">
        <v>0.27574863271761502</v>
      </c>
      <c r="H390" s="550">
        <v>0.43289714707761801</v>
      </c>
      <c r="I390" s="551">
        <v>5.2846767264798702</v>
      </c>
      <c r="J390" s="551">
        <v>1.6746258414266999</v>
      </c>
      <c r="K390" s="551">
        <v>0.18779516880719799</v>
      </c>
      <c r="L390" s="551">
        <v>1.40166775555105E-2</v>
      </c>
      <c r="M390" s="552">
        <v>0.19628643301193999</v>
      </c>
    </row>
    <row r="391" spans="2:13" ht="15.75" x14ac:dyDescent="0.25">
      <c r="B391" s="555">
        <v>2024</v>
      </c>
      <c r="C391" s="556">
        <v>1990</v>
      </c>
      <c r="D391" s="557" t="s">
        <v>3288</v>
      </c>
      <c r="E391" s="547">
        <v>6.279690286073468E-2</v>
      </c>
      <c r="F391" s="548">
        <v>0.13407739981155176</v>
      </c>
      <c r="G391" s="549">
        <v>0.27616365806889198</v>
      </c>
      <c r="H391" s="550">
        <v>0.438355355183286</v>
      </c>
      <c r="I391" s="551">
        <v>5.2868030269675099</v>
      </c>
      <c r="J391" s="551">
        <v>1.68191240887157</v>
      </c>
      <c r="K391" s="551">
        <v>0.18807781664894399</v>
      </c>
      <c r="L391" s="551">
        <v>1.4275493063679E-2</v>
      </c>
      <c r="M391" s="552">
        <v>0.19658186093485899</v>
      </c>
    </row>
    <row r="392" spans="2:13" ht="15.75" x14ac:dyDescent="0.25">
      <c r="B392" s="555">
        <v>2024</v>
      </c>
      <c r="C392" s="556">
        <v>1991</v>
      </c>
      <c r="D392" s="557" t="s">
        <v>3289</v>
      </c>
      <c r="E392" s="547">
        <v>6.3723031400807401E-2</v>
      </c>
      <c r="F392" s="548">
        <v>0.13367255390389601</v>
      </c>
      <c r="G392" s="549">
        <v>0.36441653959027598</v>
      </c>
      <c r="H392" s="550">
        <v>0.48386051734823499</v>
      </c>
      <c r="I392" s="551">
        <v>9.2237445213197908</v>
      </c>
      <c r="J392" s="551">
        <v>2.92806343233037</v>
      </c>
      <c r="K392" s="551">
        <v>5.1646310480689898E-2</v>
      </c>
      <c r="L392" s="551">
        <v>7.7625361615165601E-3</v>
      </c>
      <c r="M392" s="552">
        <v>5.3981527463518197E-2</v>
      </c>
    </row>
    <row r="393" spans="2:13" ht="15.75" x14ac:dyDescent="0.25">
      <c r="B393" s="555">
        <v>2024</v>
      </c>
      <c r="C393" s="556">
        <v>1992</v>
      </c>
      <c r="D393" s="557" t="s">
        <v>3290</v>
      </c>
      <c r="E393" s="547">
        <v>6.3941551389365678E-2</v>
      </c>
      <c r="F393" s="548">
        <v>0.13448866572781332</v>
      </c>
      <c r="G393" s="549">
        <v>0.36710704676683598</v>
      </c>
      <c r="H393" s="550">
        <v>0.49110874922296899</v>
      </c>
      <c r="I393" s="551">
        <v>9.1913394443589507</v>
      </c>
      <c r="J393" s="551">
        <v>2.9507203982060299</v>
      </c>
      <c r="K393" s="551">
        <v>5.2027618006268699E-2</v>
      </c>
      <c r="L393" s="551">
        <v>7.9120052664277893E-3</v>
      </c>
      <c r="M393" s="552">
        <v>5.4380076023376502E-2</v>
      </c>
    </row>
    <row r="394" spans="2:13" ht="15.75" x14ac:dyDescent="0.25">
      <c r="B394" s="555">
        <v>2024</v>
      </c>
      <c r="C394" s="556">
        <v>1993</v>
      </c>
      <c r="D394" s="557" t="s">
        <v>3291</v>
      </c>
      <c r="E394" s="547">
        <v>6.3995252809998196E-2</v>
      </c>
      <c r="F394" s="548">
        <v>0.13381176853607674</v>
      </c>
      <c r="G394" s="549">
        <v>0.36803387934322201</v>
      </c>
      <c r="H394" s="550">
        <v>0.48340092561789899</v>
      </c>
      <c r="I394" s="551">
        <v>9.1851543313701001</v>
      </c>
      <c r="J394" s="551">
        <v>2.93297003101253</v>
      </c>
      <c r="K394" s="551">
        <v>5.2158971767152999E-2</v>
      </c>
      <c r="L394" s="551">
        <v>7.8173783735812595E-3</v>
      </c>
      <c r="M394" s="552">
        <v>5.4517369018454297E-2</v>
      </c>
    </row>
    <row r="395" spans="2:13" ht="15.75" x14ac:dyDescent="0.25">
      <c r="B395" s="555">
        <v>2024</v>
      </c>
      <c r="C395" s="556">
        <v>1994</v>
      </c>
      <c r="D395" s="557" t="s">
        <v>3292</v>
      </c>
      <c r="E395" s="547">
        <v>6.3624054040124958E-2</v>
      </c>
      <c r="F395" s="548">
        <v>0.13285335493490943</v>
      </c>
      <c r="G395" s="549">
        <v>0.36192922292013702</v>
      </c>
      <c r="H395" s="550">
        <v>0.473390554591477</v>
      </c>
      <c r="I395" s="551">
        <v>9.2470858861270795</v>
      </c>
      <c r="J395" s="551">
        <v>2.9115025915057302</v>
      </c>
      <c r="K395" s="551">
        <v>5.18240553748213E-2</v>
      </c>
      <c r="L395" s="551">
        <v>7.67831621338651E-3</v>
      </c>
      <c r="M395" s="552">
        <v>5.4167309193030901E-2</v>
      </c>
    </row>
    <row r="396" spans="2:13" ht="15.75" x14ac:dyDescent="0.25">
      <c r="B396" s="555">
        <v>2024</v>
      </c>
      <c r="C396" s="556">
        <v>1995</v>
      </c>
      <c r="D396" s="557" t="s">
        <v>3293</v>
      </c>
      <c r="E396" s="547">
        <v>6.3962555769557686E-2</v>
      </c>
      <c r="F396" s="548">
        <v>0.13213425865119602</v>
      </c>
      <c r="G396" s="549">
        <v>0.36607639597539798</v>
      </c>
      <c r="H396" s="550">
        <v>0.252818911408139</v>
      </c>
      <c r="I396" s="551">
        <v>9.2233933989558601</v>
      </c>
      <c r="J396" s="551">
        <v>1.66193519685896</v>
      </c>
      <c r="K396" s="551">
        <v>5.2417882323445998E-2</v>
      </c>
      <c r="L396" s="551">
        <v>5.0164317518723699E-3</v>
      </c>
      <c r="M396" s="552">
        <v>5.4787986361204299E-2</v>
      </c>
    </row>
    <row r="397" spans="2:13" ht="15.75" x14ac:dyDescent="0.25">
      <c r="B397" s="555">
        <v>2024</v>
      </c>
      <c r="C397" s="556">
        <v>1996</v>
      </c>
      <c r="D397" s="557" t="s">
        <v>3294</v>
      </c>
      <c r="E397" s="547">
        <v>6.3981938816185802E-2</v>
      </c>
      <c r="F397" s="548">
        <v>0.1306566851967341</v>
      </c>
      <c r="G397" s="549">
        <v>0.366351679566852</v>
      </c>
      <c r="H397" s="550">
        <v>2.2881190989144599E-2</v>
      </c>
      <c r="I397" s="551">
        <v>9.2189399765468192</v>
      </c>
      <c r="J397" s="551">
        <v>0.39545311696850899</v>
      </c>
      <c r="K397" s="551">
        <v>5.2457299732110003E-2</v>
      </c>
      <c r="L397" s="551">
        <v>2.23019117657625E-3</v>
      </c>
      <c r="M397" s="552">
        <v>5.4829186050175997E-2</v>
      </c>
    </row>
    <row r="398" spans="2:13" ht="15.75" x14ac:dyDescent="0.25">
      <c r="B398" s="555">
        <v>2024</v>
      </c>
      <c r="C398" s="556">
        <v>1997</v>
      </c>
      <c r="D398" s="557" t="s">
        <v>3295</v>
      </c>
      <c r="E398" s="547">
        <v>6.42300338401815E-2</v>
      </c>
      <c r="F398" s="548">
        <v>0.12930239046767841</v>
      </c>
      <c r="G398" s="549">
        <v>0.36917389626414499</v>
      </c>
      <c r="H398" s="550">
        <v>2.2259186007894002E-2</v>
      </c>
      <c r="I398" s="551">
        <v>9.1772248540263099</v>
      </c>
      <c r="J398" s="551">
        <v>0.39145457577901099</v>
      </c>
      <c r="K398" s="551">
        <v>5.2861408339920798E-2</v>
      </c>
      <c r="L398" s="551">
        <v>2.1720878613925398E-3</v>
      </c>
      <c r="M398" s="552">
        <v>5.5251566656026603E-2</v>
      </c>
    </row>
    <row r="399" spans="2:13" ht="15.75" x14ac:dyDescent="0.25">
      <c r="B399" s="555">
        <v>2024</v>
      </c>
      <c r="C399" s="556">
        <v>1998</v>
      </c>
      <c r="D399" s="557" t="s">
        <v>3296</v>
      </c>
      <c r="E399" s="547">
        <v>6.4035384243137733E-2</v>
      </c>
      <c r="F399" s="548">
        <v>0.12983879982073299</v>
      </c>
      <c r="G399" s="549">
        <v>0.367719994680059</v>
      </c>
      <c r="H399" s="550">
        <v>2.2492876776375698E-2</v>
      </c>
      <c r="I399" s="551">
        <v>9.2148195754061994</v>
      </c>
      <c r="J399" s="551">
        <v>0.39317015630694901</v>
      </c>
      <c r="K399" s="551">
        <v>5.2653226542398797E-2</v>
      </c>
      <c r="L399" s="551">
        <v>2.1988104142206901E-3</v>
      </c>
      <c r="M399" s="552">
        <v>5.50339718014137E-2</v>
      </c>
    </row>
    <row r="400" spans="2:13" ht="15.75" x14ac:dyDescent="0.25">
      <c r="B400" s="555">
        <v>2024</v>
      </c>
      <c r="C400" s="556">
        <v>1999</v>
      </c>
      <c r="D400" s="557" t="s">
        <v>3297</v>
      </c>
      <c r="E400" s="547">
        <v>6.3957373571745038E-2</v>
      </c>
      <c r="F400" s="548">
        <v>0.12970536428263565</v>
      </c>
      <c r="G400" s="549">
        <v>0.36703874209513698</v>
      </c>
      <c r="H400" s="550">
        <v>2.24786565653953E-2</v>
      </c>
      <c r="I400" s="551">
        <v>9.2181330097719805</v>
      </c>
      <c r="J400" s="551">
        <v>0.39326145825295999</v>
      </c>
      <c r="K400" s="551">
        <v>5.2555679095413602E-2</v>
      </c>
      <c r="L400" s="551">
        <v>2.1931043043747198E-3</v>
      </c>
      <c r="M400" s="552">
        <v>5.4932013691736101E-2</v>
      </c>
    </row>
    <row r="401" spans="2:13" ht="15.75" x14ac:dyDescent="0.25">
      <c r="B401" s="555">
        <v>2024</v>
      </c>
      <c r="C401" s="556">
        <v>2000</v>
      </c>
      <c r="D401" s="557" t="s">
        <v>3298</v>
      </c>
      <c r="E401" s="547">
        <v>6.3712519062258097E-2</v>
      </c>
      <c r="F401" s="548">
        <v>0.13014226659755332</v>
      </c>
      <c r="G401" s="549">
        <v>0.36467086063061499</v>
      </c>
      <c r="H401" s="550">
        <v>2.2671284839733599E-2</v>
      </c>
      <c r="I401" s="551">
        <v>9.2486664171115809</v>
      </c>
      <c r="J401" s="551">
        <v>0.39521154836539102</v>
      </c>
      <c r="K401" s="551">
        <v>5.2216626008878199E-2</v>
      </c>
      <c r="L401" s="551">
        <v>2.21554398845213E-3</v>
      </c>
      <c r="M401" s="552">
        <v>5.4577630129153502E-2</v>
      </c>
    </row>
    <row r="402" spans="2:13" ht="15.75" x14ac:dyDescent="0.25">
      <c r="B402" s="555">
        <v>2024</v>
      </c>
      <c r="C402" s="556">
        <v>2001</v>
      </c>
      <c r="D402" s="557" t="s">
        <v>3299</v>
      </c>
      <c r="E402" s="547">
        <v>6.3935739716375409E-2</v>
      </c>
      <c r="F402" s="548">
        <v>0.13032291627553128</v>
      </c>
      <c r="G402" s="549">
        <v>0.36654431925098202</v>
      </c>
      <c r="H402" s="550">
        <v>2.2753584452880001E-2</v>
      </c>
      <c r="I402" s="551">
        <v>9.2117992819812997</v>
      </c>
      <c r="J402" s="551">
        <v>0.39596163690587899</v>
      </c>
      <c r="K402" s="551">
        <v>5.2512030104076603E-2</v>
      </c>
      <c r="L402" s="551">
        <v>2.2277377201661802E-3</v>
      </c>
      <c r="M402" s="552">
        <v>5.4886391086700403E-2</v>
      </c>
    </row>
    <row r="403" spans="2:13" ht="15.75" x14ac:dyDescent="0.25">
      <c r="B403" s="555">
        <v>2024</v>
      </c>
      <c r="C403" s="556">
        <v>2002</v>
      </c>
      <c r="D403" s="557" t="s">
        <v>3300</v>
      </c>
      <c r="E403" s="547">
        <v>6.37812674139904E-2</v>
      </c>
      <c r="F403" s="548">
        <v>0.13018151342659148</v>
      </c>
      <c r="G403" s="549">
        <v>0.28255241479072402</v>
      </c>
      <c r="H403" s="550">
        <v>2.2666068342432701E-2</v>
      </c>
      <c r="I403" s="551">
        <v>7.1060439824409096</v>
      </c>
      <c r="J403" s="551">
        <v>0.316742264709647</v>
      </c>
      <c r="K403" s="551">
        <v>5.2756561789632499E-2</v>
      </c>
      <c r="L403" s="551">
        <v>2.2252739202322002E-3</v>
      </c>
      <c r="M403" s="552">
        <v>5.5141979409983999E-2</v>
      </c>
    </row>
    <row r="404" spans="2:13" ht="15.75" x14ac:dyDescent="0.25">
      <c r="B404" s="555">
        <v>2024</v>
      </c>
      <c r="C404" s="556">
        <v>2003</v>
      </c>
      <c r="D404" s="557" t="s">
        <v>3301</v>
      </c>
      <c r="E404" s="547">
        <v>6.3480874919896998E-2</v>
      </c>
      <c r="F404" s="548">
        <v>0.12959856450159296</v>
      </c>
      <c r="G404" s="549">
        <v>0.27896193628335098</v>
      </c>
      <c r="H404" s="550">
        <v>2.23477742758331E-2</v>
      </c>
      <c r="I404" s="551">
        <v>7.1307689062388704</v>
      </c>
      <c r="J404" s="551">
        <v>0.31337901028152398</v>
      </c>
      <c r="K404" s="551">
        <v>5.2181311311539899E-2</v>
      </c>
      <c r="L404" s="551">
        <v>2.2017992510886398E-3</v>
      </c>
      <c r="M404" s="552">
        <v>5.4540718657908202E-2</v>
      </c>
    </row>
    <row r="405" spans="2:13" ht="15.75" x14ac:dyDescent="0.25">
      <c r="B405" s="555">
        <v>2024</v>
      </c>
      <c r="C405" s="556">
        <v>2004</v>
      </c>
      <c r="D405" s="557" t="s">
        <v>3302</v>
      </c>
      <c r="E405" s="547">
        <v>6.3253794090545393E-2</v>
      </c>
      <c r="F405" s="548">
        <v>0.12854739133374593</v>
      </c>
      <c r="G405" s="549">
        <v>0.22874740567544</v>
      </c>
      <c r="H405" s="550">
        <v>1.4651291940549699E-2</v>
      </c>
      <c r="I405" s="551">
        <v>5.9616688821197803</v>
      </c>
      <c r="J405" s="551">
        <v>0.26131196655712502</v>
      </c>
      <c r="K405" s="551">
        <v>5.1678664202154001E-2</v>
      </c>
      <c r="L405" s="551">
        <v>1.4325177480168199E-4</v>
      </c>
      <c r="M405" s="552">
        <v>5.4015344076699397E-2</v>
      </c>
    </row>
    <row r="406" spans="2:13" ht="15.75" x14ac:dyDescent="0.25">
      <c r="B406" s="555">
        <v>2024</v>
      </c>
      <c r="C406" s="556">
        <v>2005</v>
      </c>
      <c r="D406" s="557" t="s">
        <v>3303</v>
      </c>
      <c r="E406" s="547">
        <v>6.330135613563051E-2</v>
      </c>
      <c r="F406" s="548">
        <v>0.12893948812283429</v>
      </c>
      <c r="G406" s="549">
        <v>0.227202756408388</v>
      </c>
      <c r="H406" s="550">
        <v>1.4434948190108699E-2</v>
      </c>
      <c r="I406" s="551">
        <v>5.9473143914640003</v>
      </c>
      <c r="J406" s="551">
        <v>0.257753137090657</v>
      </c>
      <c r="K406" s="551">
        <v>5.1492075732660597E-2</v>
      </c>
      <c r="L406" s="551">
        <v>1.44714799797036E-4</v>
      </c>
      <c r="M406" s="552">
        <v>5.3820318904589499E-2</v>
      </c>
    </row>
    <row r="407" spans="2:13" ht="15.75" x14ac:dyDescent="0.25">
      <c r="B407" s="555">
        <v>2024</v>
      </c>
      <c r="C407" s="556">
        <v>2006</v>
      </c>
      <c r="D407" s="557" t="s">
        <v>3304</v>
      </c>
      <c r="E407" s="547">
        <v>6.3130320389226155E-2</v>
      </c>
      <c r="F407" s="548">
        <v>0.12924311862112822</v>
      </c>
      <c r="G407" s="549">
        <v>0.22385377135519899</v>
      </c>
      <c r="H407" s="550">
        <v>1.42906956335933E-2</v>
      </c>
      <c r="I407" s="551">
        <v>5.9509951666545504</v>
      </c>
      <c r="J407" s="551">
        <v>0.25270304496616403</v>
      </c>
      <c r="K407" s="551">
        <v>5.09298512693485E-2</v>
      </c>
      <c r="L407" s="551">
        <v>1.45834339706123E-4</v>
      </c>
      <c r="M407" s="552">
        <v>5.32326731458806E-2</v>
      </c>
    </row>
    <row r="408" spans="2:13" ht="15.75" x14ac:dyDescent="0.25">
      <c r="B408" s="555">
        <v>2024</v>
      </c>
      <c r="C408" s="556">
        <v>2007</v>
      </c>
      <c r="D408" s="557" t="s">
        <v>3305</v>
      </c>
      <c r="E408" s="547">
        <v>6.3296171640703378E-2</v>
      </c>
      <c r="F408" s="548">
        <v>0.12961419897657953</v>
      </c>
      <c r="G408" s="549">
        <v>0.163339746368899</v>
      </c>
      <c r="H408" s="550">
        <v>1.4171205490761901E-2</v>
      </c>
      <c r="I408" s="551">
        <v>3.09946779503943</v>
      </c>
      <c r="J408" s="551">
        <v>0.25136860198114303</v>
      </c>
      <c r="K408" s="551">
        <v>3.62355068996216E-2</v>
      </c>
      <c r="L408" s="551">
        <v>1.4726641653285799E-4</v>
      </c>
      <c r="M408" s="552">
        <v>3.7873915728941998E-2</v>
      </c>
    </row>
    <row r="409" spans="2:13" ht="15.75" x14ac:dyDescent="0.25">
      <c r="B409" s="555">
        <v>2024</v>
      </c>
      <c r="C409" s="556">
        <v>2008</v>
      </c>
      <c r="D409" s="557" t="s">
        <v>3306</v>
      </c>
      <c r="E409" s="547">
        <v>6.3533181742691749E-2</v>
      </c>
      <c r="F409" s="548">
        <v>0.13009723015811722</v>
      </c>
      <c r="G409" s="549">
        <v>0.163420583805019</v>
      </c>
      <c r="H409" s="550">
        <v>1.12099676291191E-2</v>
      </c>
      <c r="I409" s="551">
        <v>3.0798919651525898</v>
      </c>
      <c r="J409" s="551">
        <v>0.17234489873012299</v>
      </c>
      <c r="K409" s="551">
        <v>3.6046651369727699E-2</v>
      </c>
      <c r="L409" s="551">
        <v>1.6995524831674199E-4</v>
      </c>
      <c r="M409" s="552">
        <v>3.7676520990020397E-2</v>
      </c>
    </row>
    <row r="410" spans="2:13" ht="15.75" x14ac:dyDescent="0.25">
      <c r="B410" s="555">
        <v>2024</v>
      </c>
      <c r="C410" s="556">
        <v>2009</v>
      </c>
      <c r="D410" s="557" t="s">
        <v>3307</v>
      </c>
      <c r="E410" s="547">
        <v>6.3529459009965636E-2</v>
      </c>
      <c r="F410" s="548">
        <v>0.12886842447416788</v>
      </c>
      <c r="G410" s="549">
        <v>0.16133415029802101</v>
      </c>
      <c r="H410" s="550">
        <v>8.1514543277070393E-3</v>
      </c>
      <c r="I410" s="551">
        <v>3.0715291729065601</v>
      </c>
      <c r="J410" s="551">
        <v>9.7096515861683705E-2</v>
      </c>
      <c r="K410" s="551">
        <v>3.5546346365492698E-2</v>
      </c>
      <c r="L410" s="551">
        <v>1.8631744640232699E-4</v>
      </c>
      <c r="M410" s="552">
        <v>3.7153594413564403E-2</v>
      </c>
    </row>
    <row r="411" spans="2:13" ht="15.75" x14ac:dyDescent="0.25">
      <c r="B411" s="555">
        <v>2024</v>
      </c>
      <c r="C411" s="556">
        <v>2010</v>
      </c>
      <c r="D411" s="557" t="s">
        <v>3308</v>
      </c>
      <c r="E411" s="547">
        <v>6.3543524947777916E-2</v>
      </c>
      <c r="F411" s="548">
        <v>0.12780312259702312</v>
      </c>
      <c r="G411" s="549">
        <v>0.10448059975497299</v>
      </c>
      <c r="H411" s="550">
        <v>7.9509465737100295E-3</v>
      </c>
      <c r="I411" s="551">
        <v>0.25834831353777798</v>
      </c>
      <c r="J411" s="551">
        <v>9.6648513113197193E-2</v>
      </c>
      <c r="K411" s="551">
        <v>2.0199570149590999E-2</v>
      </c>
      <c r="L411" s="551">
        <v>2.22101452488181E-4</v>
      </c>
      <c r="M411" s="552">
        <v>2.1112905077490401E-2</v>
      </c>
    </row>
    <row r="412" spans="2:13" ht="15.75" x14ac:dyDescent="0.25">
      <c r="B412" s="555">
        <v>2024</v>
      </c>
      <c r="C412" s="556">
        <v>2011</v>
      </c>
      <c r="D412" s="557" t="s">
        <v>3309</v>
      </c>
      <c r="E412" s="547">
        <v>6.3489886018739061E-2</v>
      </c>
      <c r="F412" s="548">
        <v>0.1294988266568704</v>
      </c>
      <c r="G412" s="549">
        <v>0.103023907099993</v>
      </c>
      <c r="H412" s="550">
        <v>8.2829335320890405E-3</v>
      </c>
      <c r="I412" s="551">
        <v>0.25266314004292501</v>
      </c>
      <c r="J412" s="551">
        <v>9.8068634731309196E-2</v>
      </c>
      <c r="K412" s="551">
        <v>1.9510073677131701E-2</v>
      </c>
      <c r="L412" s="551">
        <v>3.13637344932552E-4</v>
      </c>
      <c r="M412" s="552">
        <v>2.0392232634141898E-2</v>
      </c>
    </row>
    <row r="413" spans="2:13" ht="15.75" x14ac:dyDescent="0.25">
      <c r="B413" s="555">
        <v>2024</v>
      </c>
      <c r="C413" s="556">
        <v>2012</v>
      </c>
      <c r="D413" s="557" t="s">
        <v>3310</v>
      </c>
      <c r="E413" s="547">
        <v>6.3607378142352802E-2</v>
      </c>
      <c r="F413" s="548">
        <v>0.12987957460974905</v>
      </c>
      <c r="G413" s="549">
        <v>0.10308022066596299</v>
      </c>
      <c r="H413" s="550">
        <v>8.4009750986792208E-3</v>
      </c>
      <c r="I413" s="551">
        <v>0.24880744543247099</v>
      </c>
      <c r="J413" s="551">
        <v>9.8506426167662503E-2</v>
      </c>
      <c r="K413" s="551">
        <v>1.8861091009049601E-2</v>
      </c>
      <c r="L413" s="551">
        <v>4.6298894397329098E-4</v>
      </c>
      <c r="M413" s="552">
        <v>1.9713905849627001E-2</v>
      </c>
    </row>
    <row r="414" spans="2:13" ht="15.75" x14ac:dyDescent="0.25">
      <c r="B414" s="555">
        <v>2024</v>
      </c>
      <c r="C414" s="556">
        <v>2013</v>
      </c>
      <c r="D414" s="557" t="s">
        <v>3311</v>
      </c>
      <c r="E414" s="547">
        <v>6.346626147540918E-2</v>
      </c>
      <c r="F414" s="548">
        <v>0.12990248710213687</v>
      </c>
      <c r="G414" s="549">
        <v>0.10063333176092</v>
      </c>
      <c r="H414" s="550">
        <v>8.4739259303470496E-3</v>
      </c>
      <c r="I414" s="551">
        <v>0.241157047587825</v>
      </c>
      <c r="J414" s="551">
        <v>9.8158309849987802E-2</v>
      </c>
      <c r="K414" s="551">
        <v>1.8014407593209499E-2</v>
      </c>
      <c r="L414" s="551">
        <v>6.9384099664242401E-4</v>
      </c>
      <c r="M414" s="552">
        <v>1.8828939166824699E-2</v>
      </c>
    </row>
    <row r="415" spans="2:13" ht="15.75" x14ac:dyDescent="0.25">
      <c r="B415" s="555">
        <v>2024</v>
      </c>
      <c r="C415" s="556">
        <v>2014</v>
      </c>
      <c r="D415" s="557" t="s">
        <v>3312</v>
      </c>
      <c r="E415" s="547">
        <v>6.1925230364677605E-2</v>
      </c>
      <c r="F415" s="548">
        <v>0.12777528421087922</v>
      </c>
      <c r="G415" s="549">
        <v>9.8590432199235703E-2</v>
      </c>
      <c r="H415" s="550">
        <v>8.4920810703153094E-3</v>
      </c>
      <c r="I415" s="551">
        <v>0.23365677980278601</v>
      </c>
      <c r="J415" s="551">
        <v>9.8039445769413897E-2</v>
      </c>
      <c r="K415" s="551">
        <v>1.7125348799983699E-2</v>
      </c>
      <c r="L415" s="551">
        <v>9.6284585242185103E-4</v>
      </c>
      <c r="M415" s="552">
        <v>1.7899681080109101E-2</v>
      </c>
    </row>
    <row r="416" spans="2:13" ht="15.75" x14ac:dyDescent="0.25">
      <c r="B416" s="555">
        <v>2024</v>
      </c>
      <c r="C416" s="556">
        <v>2015</v>
      </c>
      <c r="D416" s="557" t="s">
        <v>3313</v>
      </c>
      <c r="E416" s="547">
        <v>6.1400472328658875E-2</v>
      </c>
      <c r="F416" s="548">
        <v>0.12775216499856623</v>
      </c>
      <c r="G416" s="549">
        <v>9.6461686850167802E-2</v>
      </c>
      <c r="H416" s="550">
        <v>8.6187701014443802E-3</v>
      </c>
      <c r="I416" s="551">
        <v>0.22578275998007299</v>
      </c>
      <c r="J416" s="551">
        <v>9.78878226762179E-2</v>
      </c>
      <c r="K416" s="551">
        <v>1.6179901338555999E-2</v>
      </c>
      <c r="L416" s="551">
        <v>1.23155310030559E-3</v>
      </c>
      <c r="M416" s="552">
        <v>1.6911484679836698E-2</v>
      </c>
    </row>
    <row r="417" spans="2:13" ht="15.75" x14ac:dyDescent="0.25">
      <c r="B417" s="555">
        <v>2024</v>
      </c>
      <c r="C417" s="556">
        <v>2016</v>
      </c>
      <c r="D417" s="557" t="s">
        <v>3314</v>
      </c>
      <c r="E417" s="547">
        <v>5.9402073162184044E-2</v>
      </c>
      <c r="F417" s="548">
        <v>0.12384691526492622</v>
      </c>
      <c r="G417" s="549">
        <v>9.4089425617512504E-2</v>
      </c>
      <c r="H417" s="550">
        <v>7.8065724141380202E-3</v>
      </c>
      <c r="I417" s="551">
        <v>0.19044319911212099</v>
      </c>
      <c r="J417" s="551">
        <v>8.4443860227326598E-2</v>
      </c>
      <c r="K417" s="551">
        <v>1.5167353768680799E-2</v>
      </c>
      <c r="L417" s="551">
        <v>1.38607365873103E-3</v>
      </c>
      <c r="M417" s="552">
        <v>1.5853154201965002E-2</v>
      </c>
    </row>
    <row r="418" spans="2:13" ht="15.75" x14ac:dyDescent="0.25">
      <c r="B418" s="555">
        <v>2024</v>
      </c>
      <c r="C418" s="556">
        <v>2017</v>
      </c>
      <c r="D418" s="557" t="s">
        <v>3315</v>
      </c>
      <c r="E418" s="547">
        <v>5.5890003510841176E-2</v>
      </c>
      <c r="F418" s="548">
        <v>0.11995039033874186</v>
      </c>
      <c r="G418" s="549">
        <v>7.7152268087319703E-2</v>
      </c>
      <c r="H418" s="550">
        <v>6.9459026147624904E-3</v>
      </c>
      <c r="I418" s="551">
        <v>0.14301035385482799</v>
      </c>
      <c r="J418" s="551">
        <v>7.08810252740949E-2</v>
      </c>
      <c r="K418" s="551">
        <v>1.34227117012693E-2</v>
      </c>
      <c r="L418" s="551">
        <v>1.4447474681110099E-3</v>
      </c>
      <c r="M418" s="552">
        <v>1.4029627161999699E-2</v>
      </c>
    </row>
    <row r="419" spans="2:13" ht="15.75" x14ac:dyDescent="0.25">
      <c r="B419" s="555">
        <v>2024</v>
      </c>
      <c r="C419" s="556">
        <v>2018</v>
      </c>
      <c r="D419" s="557" t="s">
        <v>3316</v>
      </c>
      <c r="E419" s="547">
        <v>5.2185825004814078E-2</v>
      </c>
      <c r="F419" s="548">
        <v>0.11480169351209533</v>
      </c>
      <c r="G419" s="549">
        <v>7.5617843585770894E-2</v>
      </c>
      <c r="H419" s="550">
        <v>6.1579972136587601E-3</v>
      </c>
      <c r="I419" s="551">
        <v>0.112095623458594</v>
      </c>
      <c r="J419" s="551">
        <v>5.7257663030416898E-2</v>
      </c>
      <c r="K419" s="551">
        <v>1.2385524155233699E-2</v>
      </c>
      <c r="L419" s="551">
        <v>1.50530169601923E-3</v>
      </c>
      <c r="M419" s="552">
        <v>1.29455425975839E-2</v>
      </c>
    </row>
    <row r="420" spans="2:13" ht="15.75" x14ac:dyDescent="0.25">
      <c r="B420" s="555">
        <v>2024</v>
      </c>
      <c r="C420" s="556">
        <v>2019</v>
      </c>
      <c r="D420" s="557" t="s">
        <v>3317</v>
      </c>
      <c r="E420" s="547">
        <v>5.2165710934594343E-2</v>
      </c>
      <c r="F420" s="548">
        <v>0.11474951445327161</v>
      </c>
      <c r="G420" s="549">
        <v>7.3993932023223893E-2</v>
      </c>
      <c r="H420" s="550">
        <v>5.5401954408544202E-3</v>
      </c>
      <c r="I420" s="551">
        <v>9.2272123217994495E-2</v>
      </c>
      <c r="J420" s="551">
        <v>4.87328548036439E-2</v>
      </c>
      <c r="K420" s="551">
        <v>1.12897328090126E-2</v>
      </c>
      <c r="L420" s="551">
        <v>1.54586720701543E-3</v>
      </c>
      <c r="M420" s="552">
        <v>1.1800204429188801E-2</v>
      </c>
    </row>
    <row r="421" spans="2:13" ht="15.75" x14ac:dyDescent="0.25">
      <c r="B421" s="555">
        <v>2024</v>
      </c>
      <c r="C421" s="556">
        <v>2020</v>
      </c>
      <c r="D421" s="557" t="s">
        <v>3318</v>
      </c>
      <c r="E421" s="547">
        <v>5.2144170063559557E-2</v>
      </c>
      <c r="F421" s="548">
        <v>0.11469621956809717</v>
      </c>
      <c r="G421" s="549">
        <v>7.22799415166544E-2</v>
      </c>
      <c r="H421" s="550">
        <v>5.1306762578349997E-3</v>
      </c>
      <c r="I421" s="551">
        <v>7.3418272467836498E-2</v>
      </c>
      <c r="J421" s="551">
        <v>4.2290922328024699E-2</v>
      </c>
      <c r="K421" s="551">
        <v>1.0135292708097101E-2</v>
      </c>
      <c r="L421" s="551">
        <v>1.5463772908823801E-3</v>
      </c>
      <c r="M421" s="552">
        <v>1.05935656696619E-2</v>
      </c>
    </row>
    <row r="422" spans="2:13" ht="15.75" x14ac:dyDescent="0.25">
      <c r="B422" s="555">
        <v>2024</v>
      </c>
      <c r="C422" s="556">
        <v>2021</v>
      </c>
      <c r="D422" s="557" t="s">
        <v>3319</v>
      </c>
      <c r="E422" s="547">
        <v>5.0817635956150624E-2</v>
      </c>
      <c r="F422" s="548">
        <v>0.11177955550744956</v>
      </c>
      <c r="G422" s="549">
        <v>7.0476513920147907E-2</v>
      </c>
      <c r="H422" s="550">
        <v>4.9628280830394901E-3</v>
      </c>
      <c r="I422" s="551">
        <v>5.6106378430998902E-2</v>
      </c>
      <c r="J422" s="551">
        <v>3.7455546790291498E-2</v>
      </c>
      <c r="K422" s="551">
        <v>8.92219865327489E-3</v>
      </c>
      <c r="L422" s="551">
        <v>1.5469075246011901E-3</v>
      </c>
      <c r="M422" s="552">
        <v>9.3256208847058205E-3</v>
      </c>
    </row>
    <row r="423" spans="2:13" ht="15.75" x14ac:dyDescent="0.25">
      <c r="B423" s="555">
        <v>2024</v>
      </c>
      <c r="C423" s="556">
        <v>2022</v>
      </c>
      <c r="D423" s="557" t="s">
        <v>3320</v>
      </c>
      <c r="E423" s="547">
        <v>4.9541236479626813E-2</v>
      </c>
      <c r="F423" s="548">
        <v>0.10897542063811856</v>
      </c>
      <c r="G423" s="549">
        <v>6.8581530362363599E-2</v>
      </c>
      <c r="H423" s="550">
        <v>4.9442535331930904E-3</v>
      </c>
      <c r="I423" s="551">
        <v>3.9938031266203301E-2</v>
      </c>
      <c r="J423" s="551">
        <v>3.2866234591341498E-2</v>
      </c>
      <c r="K423" s="551">
        <v>7.65034344707307E-3</v>
      </c>
      <c r="L423" s="551">
        <v>1.54743613033487E-3</v>
      </c>
      <c r="M423" s="552">
        <v>7.9962580298534505E-3</v>
      </c>
    </row>
    <row r="424" spans="2:13" ht="15.75" x14ac:dyDescent="0.25">
      <c r="B424" s="555">
        <v>2024</v>
      </c>
      <c r="C424" s="556">
        <v>2023</v>
      </c>
      <c r="D424" s="557" t="s">
        <v>3321</v>
      </c>
      <c r="E424" s="547">
        <v>4.8261033421946237E-2</v>
      </c>
      <c r="F424" s="548">
        <v>0.10616046173448891</v>
      </c>
      <c r="G424" s="549">
        <v>6.6595970537878094E-2</v>
      </c>
      <c r="H424" s="550">
        <v>5.60835378645895E-3</v>
      </c>
      <c r="I424" s="551">
        <v>3.7246838428296902E-2</v>
      </c>
      <c r="J424" s="551">
        <v>3.6478259926328999E-2</v>
      </c>
      <c r="K424" s="551">
        <v>6.3197327753062296E-3</v>
      </c>
      <c r="L424" s="551">
        <v>1.5479769892135101E-3</v>
      </c>
      <c r="M424" s="552">
        <v>6.6054830480067198E-3</v>
      </c>
    </row>
    <row r="425" spans="2:13" ht="15.75" x14ac:dyDescent="0.25">
      <c r="B425" s="555">
        <v>2024</v>
      </c>
      <c r="C425" s="556">
        <v>2024</v>
      </c>
      <c r="D425" s="557" t="s">
        <v>3322</v>
      </c>
      <c r="E425" s="547">
        <v>4.7023417800109102E-2</v>
      </c>
      <c r="F425" s="548">
        <v>0.10342006980872977</v>
      </c>
      <c r="G425" s="549">
        <v>6.4518509301501895E-2</v>
      </c>
      <c r="H425" s="550">
        <v>5.3988020963272199E-3</v>
      </c>
      <c r="I425" s="551">
        <v>3.4435312360883E-2</v>
      </c>
      <c r="J425" s="551">
        <v>3.43231822208655E-2</v>
      </c>
      <c r="K425" s="551">
        <v>4.9303002817047397E-3</v>
      </c>
      <c r="L425" s="551">
        <v>1.5485172899711601E-3</v>
      </c>
      <c r="M425" s="552">
        <v>5.1532265825599503E-3</v>
      </c>
    </row>
    <row r="426" spans="2:13" ht="15.75" x14ac:dyDescent="0.25">
      <c r="B426" s="555">
        <v>2025</v>
      </c>
      <c r="C426" s="556">
        <v>1982</v>
      </c>
      <c r="D426" s="557" t="s">
        <v>3324</v>
      </c>
      <c r="E426" s="547">
        <v>6.4549958669002303E-2</v>
      </c>
      <c r="F426" s="548">
        <v>0.1407039978207123</v>
      </c>
      <c r="G426" s="549">
        <v>0.22964023705374101</v>
      </c>
      <c r="H426" s="550">
        <v>2.4721630100376402</v>
      </c>
      <c r="I426" s="551">
        <v>5.06126060643009</v>
      </c>
      <c r="J426" s="551">
        <v>4.0598254526833299</v>
      </c>
      <c r="K426" s="551">
        <v>0.173087864864616</v>
      </c>
      <c r="L426" s="551">
        <v>1.52059390579713E-2</v>
      </c>
      <c r="M426" s="552">
        <v>0.18091413004776899</v>
      </c>
    </row>
    <row r="427" spans="2:13" ht="15.75" x14ac:dyDescent="0.25">
      <c r="B427" s="555">
        <v>2025</v>
      </c>
      <c r="C427" s="556">
        <v>1983</v>
      </c>
      <c r="D427" s="557" t="s">
        <v>3325</v>
      </c>
      <c r="E427" s="547">
        <v>6.2169238867568984E-2</v>
      </c>
      <c r="F427" s="548">
        <v>0.1455115022465418</v>
      </c>
      <c r="G427" s="549">
        <v>0.21324707230979401</v>
      </c>
      <c r="H427" s="550">
        <v>2.59477536879719</v>
      </c>
      <c r="I427" s="551">
        <v>5.2122336210235796</v>
      </c>
      <c r="J427" s="551">
        <v>4.0617926893586001</v>
      </c>
      <c r="K427" s="551">
        <v>0.16073176420774499</v>
      </c>
      <c r="L427" s="551">
        <v>1.6215061683157402E-2</v>
      </c>
      <c r="M427" s="552">
        <v>0.167999341348579</v>
      </c>
    </row>
    <row r="428" spans="2:13" ht="15.75" x14ac:dyDescent="0.25">
      <c r="B428" s="555">
        <v>2025</v>
      </c>
      <c r="C428" s="556">
        <v>1984</v>
      </c>
      <c r="D428" s="557" t="s">
        <v>3326</v>
      </c>
      <c r="E428" s="547">
        <v>6.267661013569413E-2</v>
      </c>
      <c r="F428" s="548">
        <v>0.14464335251765939</v>
      </c>
      <c r="G428" s="549">
        <v>0.21735256246943099</v>
      </c>
      <c r="H428" s="550">
        <v>1.90497373087796</v>
      </c>
      <c r="I428" s="551">
        <v>5.1920748817180904</v>
      </c>
      <c r="J428" s="551">
        <v>4.05349935397415</v>
      </c>
      <c r="K428" s="551">
        <v>0.163826215489765</v>
      </c>
      <c r="L428" s="551">
        <v>1.5904460379271498E-2</v>
      </c>
      <c r="M428" s="552">
        <v>0.17123370998614801</v>
      </c>
    </row>
    <row r="429" spans="2:13" ht="15.75" x14ac:dyDescent="0.25">
      <c r="B429" s="555">
        <v>2025</v>
      </c>
      <c r="C429" s="556">
        <v>1985</v>
      </c>
      <c r="D429" s="557" t="s">
        <v>3327</v>
      </c>
      <c r="E429" s="547">
        <v>6.4709054018467521E-2</v>
      </c>
      <c r="F429" s="548">
        <v>0.14276634479964903</v>
      </c>
      <c r="G429" s="549">
        <v>0.23089149261698599</v>
      </c>
      <c r="H429" s="550">
        <v>1.8431514522569199</v>
      </c>
      <c r="I429" s="551">
        <v>5.0383634833553401</v>
      </c>
      <c r="J429" s="551">
        <v>4.108796541327</v>
      </c>
      <c r="K429" s="551">
        <v>0.174030979871901</v>
      </c>
      <c r="L429" s="551">
        <v>1.5594709437720599E-2</v>
      </c>
      <c r="M429" s="552">
        <v>0.18189988853067299</v>
      </c>
    </row>
    <row r="430" spans="2:13" ht="15.75" x14ac:dyDescent="0.25">
      <c r="B430" s="555">
        <v>2025</v>
      </c>
      <c r="C430" s="556">
        <v>1986</v>
      </c>
      <c r="D430" s="557" t="s">
        <v>3328</v>
      </c>
      <c r="E430" s="547">
        <v>6.392696654697827E-2</v>
      </c>
      <c r="F430" s="548">
        <v>0.14276154364831206</v>
      </c>
      <c r="G430" s="549">
        <v>0.226299803016692</v>
      </c>
      <c r="H430" s="550">
        <v>1.8352705545469199</v>
      </c>
      <c r="I430" s="551">
        <v>5.1062565663249702</v>
      </c>
      <c r="J430" s="551">
        <v>3.8716398580937001</v>
      </c>
      <c r="K430" s="551">
        <v>0.17057006309515299</v>
      </c>
      <c r="L430" s="551">
        <v>1.56163531346106E-2</v>
      </c>
      <c r="M430" s="552">
        <v>0.17828248445486999</v>
      </c>
    </row>
    <row r="431" spans="2:13" ht="15.75" x14ac:dyDescent="0.25">
      <c r="B431" s="555">
        <v>2025</v>
      </c>
      <c r="C431" s="556">
        <v>1987</v>
      </c>
      <c r="D431" s="557" t="s">
        <v>3329</v>
      </c>
      <c r="E431" s="547">
        <v>6.365407806828037E-2</v>
      </c>
      <c r="F431" s="548">
        <v>0.14085572015371492</v>
      </c>
      <c r="G431" s="549">
        <v>0.28220294052616601</v>
      </c>
      <c r="H431" s="550">
        <v>1.78444788064076</v>
      </c>
      <c r="I431" s="551">
        <v>5.2187452827164504</v>
      </c>
      <c r="J431" s="551">
        <v>3.9599401295745</v>
      </c>
      <c r="K431" s="551">
        <v>0.192190794680279</v>
      </c>
      <c r="L431" s="551">
        <v>1.52758057131764E-2</v>
      </c>
      <c r="M431" s="552">
        <v>0.20088080958170099</v>
      </c>
    </row>
    <row r="432" spans="2:13" ht="15.75" x14ac:dyDescent="0.25">
      <c r="B432" s="555">
        <v>2025</v>
      </c>
      <c r="C432" s="556">
        <v>1988</v>
      </c>
      <c r="D432" s="557" t="s">
        <v>3330</v>
      </c>
      <c r="E432" s="547">
        <v>6.3042396132875919E-2</v>
      </c>
      <c r="F432" s="548">
        <v>0.13392451460173699</v>
      </c>
      <c r="G432" s="549">
        <v>0.27721867548581097</v>
      </c>
      <c r="H432" s="550">
        <v>0.43950876267997802</v>
      </c>
      <c r="I432" s="551">
        <v>5.2638413231772896</v>
      </c>
      <c r="J432" s="551">
        <v>1.68388649649827</v>
      </c>
      <c r="K432" s="551">
        <v>0.18879632310880401</v>
      </c>
      <c r="L432" s="551">
        <v>1.41593436957651E-2</v>
      </c>
      <c r="M432" s="552">
        <v>0.19733285506850801</v>
      </c>
    </row>
    <row r="433" spans="2:13" ht="15.75" x14ac:dyDescent="0.25">
      <c r="B433" s="555">
        <v>2025</v>
      </c>
      <c r="C433" s="556">
        <v>1989</v>
      </c>
      <c r="D433" s="557" t="s">
        <v>3331</v>
      </c>
      <c r="E433" s="547">
        <v>6.2826155255411006E-2</v>
      </c>
      <c r="F433" s="548">
        <v>0.13333087892358575</v>
      </c>
      <c r="G433" s="549">
        <v>0.27578081996522502</v>
      </c>
      <c r="H433" s="550">
        <v>0.43297560301178001</v>
      </c>
      <c r="I433" s="551">
        <v>5.2845254180397001</v>
      </c>
      <c r="J433" s="551">
        <v>1.6747416322200701</v>
      </c>
      <c r="K433" s="551">
        <v>0.18781708953093401</v>
      </c>
      <c r="L433" s="551">
        <v>1.40192577181754E-2</v>
      </c>
      <c r="M433" s="552">
        <v>0.196309344893531</v>
      </c>
    </row>
    <row r="434" spans="2:13" ht="15.75" x14ac:dyDescent="0.25">
      <c r="B434" s="555">
        <v>2025</v>
      </c>
      <c r="C434" s="556">
        <v>1990</v>
      </c>
      <c r="D434" s="557" t="s">
        <v>3332</v>
      </c>
      <c r="E434" s="547">
        <v>6.2833348547290585E-2</v>
      </c>
      <c r="F434" s="548">
        <v>0.13418769424995039</v>
      </c>
      <c r="G434" s="549">
        <v>0.27619263872857902</v>
      </c>
      <c r="H434" s="550">
        <v>0.43842367802826798</v>
      </c>
      <c r="I434" s="551">
        <v>5.2866849383491301</v>
      </c>
      <c r="J434" s="551">
        <v>1.682017158394</v>
      </c>
      <c r="K434" s="551">
        <v>0.18809755356595001</v>
      </c>
      <c r="L434" s="551">
        <v>1.4277743625163699E-2</v>
      </c>
      <c r="M434" s="552">
        <v>0.19660249026766999</v>
      </c>
    </row>
    <row r="435" spans="2:13" ht="15.75" x14ac:dyDescent="0.25">
      <c r="B435" s="555">
        <v>2025</v>
      </c>
      <c r="C435" s="556">
        <v>1991</v>
      </c>
      <c r="D435" s="557" t="s">
        <v>3333</v>
      </c>
      <c r="E435" s="547">
        <v>6.3760276533048763E-2</v>
      </c>
      <c r="F435" s="548">
        <v>0.13380412466807565</v>
      </c>
      <c r="G435" s="549">
        <v>0.36444960018234501</v>
      </c>
      <c r="H435" s="550">
        <v>0.483955073819897</v>
      </c>
      <c r="I435" s="551">
        <v>9.2235398365595902</v>
      </c>
      <c r="J435" s="551">
        <v>2.9282889024809</v>
      </c>
      <c r="K435" s="551">
        <v>5.1650995936527298E-2</v>
      </c>
      <c r="L435" s="551">
        <v>7.7640850449257701E-3</v>
      </c>
      <c r="M435" s="552">
        <v>5.3986424774877202E-2</v>
      </c>
    </row>
    <row r="436" spans="2:13" ht="15.75" x14ac:dyDescent="0.25">
      <c r="B436" s="555">
        <v>2025</v>
      </c>
      <c r="C436" s="556">
        <v>1992</v>
      </c>
      <c r="D436" s="557" t="s">
        <v>3334</v>
      </c>
      <c r="E436" s="547">
        <v>6.3978453644781164E-2</v>
      </c>
      <c r="F436" s="548">
        <v>0.13461587489733087</v>
      </c>
      <c r="G436" s="549">
        <v>0.36714659824472901</v>
      </c>
      <c r="H436" s="550">
        <v>0.49117479639531803</v>
      </c>
      <c r="I436" s="551">
        <v>9.1910557101432904</v>
      </c>
      <c r="J436" s="551">
        <v>2.95086575234096</v>
      </c>
      <c r="K436" s="551">
        <v>5.2033223371792198E-2</v>
      </c>
      <c r="L436" s="551">
        <v>7.9130587306063902E-3</v>
      </c>
      <c r="M436" s="552">
        <v>5.43859348386556E-2</v>
      </c>
    </row>
    <row r="437" spans="2:13" ht="15.75" x14ac:dyDescent="0.25">
      <c r="B437" s="555">
        <v>2025</v>
      </c>
      <c r="C437" s="556">
        <v>1993</v>
      </c>
      <c r="D437" s="557" t="s">
        <v>3335</v>
      </c>
      <c r="E437" s="547">
        <v>6.403058902052941E-2</v>
      </c>
      <c r="F437" s="548">
        <v>0.13393669006140055</v>
      </c>
      <c r="G437" s="549">
        <v>0.36806078256093</v>
      </c>
      <c r="H437" s="550">
        <v>0.48346945697108801</v>
      </c>
      <c r="I437" s="551">
        <v>9.1850209627899098</v>
      </c>
      <c r="J437" s="551">
        <v>2.9331228052237401</v>
      </c>
      <c r="K437" s="551">
        <v>5.2162784579645703E-2</v>
      </c>
      <c r="L437" s="551">
        <v>7.8184900688946703E-3</v>
      </c>
      <c r="M437" s="552">
        <v>5.4521354229408799E-2</v>
      </c>
    </row>
    <row r="438" spans="2:13" ht="15.75" x14ac:dyDescent="0.25">
      <c r="B438" s="555">
        <v>2025</v>
      </c>
      <c r="C438" s="556">
        <v>1994</v>
      </c>
      <c r="D438" s="557" t="s">
        <v>3336</v>
      </c>
      <c r="E438" s="547">
        <v>6.3663425691625322E-2</v>
      </c>
      <c r="F438" s="548">
        <v>0.13297829139456485</v>
      </c>
      <c r="G438" s="549">
        <v>0.36195768622884</v>
      </c>
      <c r="H438" s="550">
        <v>0.47346913781153499</v>
      </c>
      <c r="I438" s="551">
        <v>9.2469519464155905</v>
      </c>
      <c r="J438" s="551">
        <v>2.9116703007090798</v>
      </c>
      <c r="K438" s="551">
        <v>5.18281309895905E-2</v>
      </c>
      <c r="L438" s="551">
        <v>7.6795912341527904E-3</v>
      </c>
      <c r="M438" s="552">
        <v>5.4171569089014701E-2</v>
      </c>
    </row>
    <row r="439" spans="2:13" ht="15.75" x14ac:dyDescent="0.25">
      <c r="B439" s="555">
        <v>2025</v>
      </c>
      <c r="C439" s="556">
        <v>1995</v>
      </c>
      <c r="D439" s="557" t="s">
        <v>3337</v>
      </c>
      <c r="E439" s="547">
        <v>6.4001391020689441E-2</v>
      </c>
      <c r="F439" s="548">
        <v>0.13224295451699747</v>
      </c>
      <c r="G439" s="549">
        <v>0.36610828266055301</v>
      </c>
      <c r="H439" s="550">
        <v>0.25284961030425102</v>
      </c>
      <c r="I439" s="551">
        <v>9.2231882053571699</v>
      </c>
      <c r="J439" s="551">
        <v>1.66201799545704</v>
      </c>
      <c r="K439" s="551">
        <v>5.2422448125908301E-2</v>
      </c>
      <c r="L439" s="551">
        <v>5.0170503616070502E-3</v>
      </c>
      <c r="M439" s="552">
        <v>5.4792758608993498E-2</v>
      </c>
    </row>
    <row r="440" spans="2:13" ht="15.75" x14ac:dyDescent="0.25">
      <c r="B440" s="555">
        <v>2025</v>
      </c>
      <c r="C440" s="556">
        <v>1996</v>
      </c>
      <c r="D440" s="557" t="s">
        <v>3338</v>
      </c>
      <c r="E440" s="547">
        <v>6.4021283474817545E-2</v>
      </c>
      <c r="F440" s="548">
        <v>0.13075539197414746</v>
      </c>
      <c r="G440" s="549">
        <v>0.366389126408451</v>
      </c>
      <c r="H440" s="550">
        <v>2.28859195026015E-2</v>
      </c>
      <c r="I440" s="551">
        <v>9.2186717281864805</v>
      </c>
      <c r="J440" s="551">
        <v>0.39548418809921498</v>
      </c>
      <c r="K440" s="551">
        <v>5.2462661684308798E-2</v>
      </c>
      <c r="L440" s="551">
        <v>2.2306588488688901E-3</v>
      </c>
      <c r="M440" s="552">
        <v>5.4834790446059899E-2</v>
      </c>
    </row>
    <row r="441" spans="2:13" ht="15.75" x14ac:dyDescent="0.25">
      <c r="B441" s="555">
        <v>2025</v>
      </c>
      <c r="C441" s="556">
        <v>1997</v>
      </c>
      <c r="D441" s="557" t="s">
        <v>3339</v>
      </c>
      <c r="E441" s="547">
        <v>6.4268423227640079E-2</v>
      </c>
      <c r="F441" s="548">
        <v>0.12939960084273988</v>
      </c>
      <c r="G441" s="549">
        <v>0.36920429991943099</v>
      </c>
      <c r="H441" s="550">
        <v>2.22634853782533E-2</v>
      </c>
      <c r="I441" s="551">
        <v>9.1770319367922593</v>
      </c>
      <c r="J441" s="551">
        <v>0.39148243390958198</v>
      </c>
      <c r="K441" s="551">
        <v>5.2865761789754002E-2</v>
      </c>
      <c r="L441" s="551">
        <v>2.1725129805688901E-3</v>
      </c>
      <c r="M441" s="552">
        <v>5.5256116949543098E-2</v>
      </c>
    </row>
    <row r="442" spans="2:13" ht="15.75" x14ac:dyDescent="0.25">
      <c r="B442" s="555">
        <v>2025</v>
      </c>
      <c r="C442" s="556">
        <v>1998</v>
      </c>
      <c r="D442" s="557" t="s">
        <v>3340</v>
      </c>
      <c r="E442" s="547">
        <v>6.4073300548184289E-2</v>
      </c>
      <c r="F442" s="548">
        <v>0.12993485443148889</v>
      </c>
      <c r="G442" s="549">
        <v>0.36775509512928101</v>
      </c>
      <c r="H442" s="550">
        <v>2.24973484177169E-2</v>
      </c>
      <c r="I442" s="551">
        <v>9.2146031933576094</v>
      </c>
      <c r="J442" s="551">
        <v>0.393198489119994</v>
      </c>
      <c r="K442" s="551">
        <v>5.2658252518498497E-2</v>
      </c>
      <c r="L442" s="551">
        <v>2.1992524659483099E-3</v>
      </c>
      <c r="M442" s="552">
        <v>5.5039225029850203E-2</v>
      </c>
    </row>
    <row r="443" spans="2:13" ht="15.75" x14ac:dyDescent="0.25">
      <c r="B443" s="555">
        <v>2025</v>
      </c>
      <c r="C443" s="556">
        <v>1999</v>
      </c>
      <c r="D443" s="557" t="s">
        <v>3341</v>
      </c>
      <c r="E443" s="547">
        <v>6.399461464389157E-2</v>
      </c>
      <c r="F443" s="548">
        <v>0.12979795807258832</v>
      </c>
      <c r="G443" s="549">
        <v>0.36707080930492197</v>
      </c>
      <c r="H443" s="550">
        <v>2.24821862369027E-2</v>
      </c>
      <c r="I443" s="551">
        <v>9.2179221390644006</v>
      </c>
      <c r="J443" s="551">
        <v>0.393284691391458</v>
      </c>
      <c r="K443" s="551">
        <v>5.2560270746903302E-2</v>
      </c>
      <c r="L443" s="551">
        <v>2.1934533059582702E-3</v>
      </c>
      <c r="M443" s="552">
        <v>5.4936812957331098E-2</v>
      </c>
    </row>
    <row r="444" spans="2:13" ht="15.75" x14ac:dyDescent="0.25">
      <c r="B444" s="555">
        <v>2025</v>
      </c>
      <c r="C444" s="556">
        <v>2000</v>
      </c>
      <c r="D444" s="557" t="s">
        <v>3342</v>
      </c>
      <c r="E444" s="547">
        <v>6.3749609312251099E-2</v>
      </c>
      <c r="F444" s="548">
        <v>0.13023269876674443</v>
      </c>
      <c r="G444" s="549">
        <v>0.36470469252264198</v>
      </c>
      <c r="H444" s="550">
        <v>2.26742337075896E-2</v>
      </c>
      <c r="I444" s="551">
        <v>9.2484456034931899</v>
      </c>
      <c r="J444" s="551">
        <v>0.395230600624637</v>
      </c>
      <c r="K444" s="551">
        <v>5.2221470342341397E-2</v>
      </c>
      <c r="L444" s="551">
        <v>2.2158319097290401E-3</v>
      </c>
      <c r="M444" s="552">
        <v>5.4582693501879401E-2</v>
      </c>
    </row>
    <row r="445" spans="2:13" ht="15.75" x14ac:dyDescent="0.25">
      <c r="B445" s="555">
        <v>2025</v>
      </c>
      <c r="C445" s="556">
        <v>2001</v>
      </c>
      <c r="D445" s="557" t="s">
        <v>3343</v>
      </c>
      <c r="E445" s="547">
        <v>6.3972205877634331E-2</v>
      </c>
      <c r="F445" s="548">
        <v>0.13041457145978042</v>
      </c>
      <c r="G445" s="549">
        <v>0.36725572556230401</v>
      </c>
      <c r="H445" s="550">
        <v>2.2772890037487899E-2</v>
      </c>
      <c r="I445" s="551">
        <v>9.2131367835722102</v>
      </c>
      <c r="J445" s="551">
        <v>0.39665587909424999</v>
      </c>
      <c r="K445" s="551">
        <v>5.2586748604328E-2</v>
      </c>
      <c r="L445" s="551">
        <v>2.22816526750338E-3</v>
      </c>
      <c r="M445" s="552">
        <v>5.4964488025974798E-2</v>
      </c>
    </row>
    <row r="446" spans="2:13" ht="15.75" x14ac:dyDescent="0.25">
      <c r="B446" s="555">
        <v>2025</v>
      </c>
      <c r="C446" s="556">
        <v>2002</v>
      </c>
      <c r="D446" s="557" t="s">
        <v>3344</v>
      </c>
      <c r="E446" s="547">
        <v>6.3817066707917466E-2</v>
      </c>
      <c r="F446" s="548">
        <v>0.13027122275681161</v>
      </c>
      <c r="G446" s="549">
        <v>0.283450943965813</v>
      </c>
      <c r="H446" s="550">
        <v>2.27087018029309E-2</v>
      </c>
      <c r="I446" s="551">
        <v>7.1078703906524696</v>
      </c>
      <c r="J446" s="551">
        <v>0.31848908357024902</v>
      </c>
      <c r="K446" s="551">
        <v>5.28624285382144E-2</v>
      </c>
      <c r="L446" s="551">
        <v>2.22569584060561E-3</v>
      </c>
      <c r="M446" s="552">
        <v>5.5252632983159897E-2</v>
      </c>
    </row>
    <row r="447" spans="2:13" ht="15.75" x14ac:dyDescent="0.25">
      <c r="B447" s="555">
        <v>2025</v>
      </c>
      <c r="C447" s="556">
        <v>2003</v>
      </c>
      <c r="D447" s="557" t="s">
        <v>3345</v>
      </c>
      <c r="E447" s="547">
        <v>6.351676887290672E-2</v>
      </c>
      <c r="F447" s="548">
        <v>0.12968663989591167</v>
      </c>
      <c r="G447" s="549">
        <v>0.28033462952955901</v>
      </c>
      <c r="H447" s="550">
        <v>2.241885133293E-2</v>
      </c>
      <c r="I447" s="551">
        <v>7.1336753947648699</v>
      </c>
      <c r="J447" s="551">
        <v>0.31634377030358701</v>
      </c>
      <c r="K447" s="551">
        <v>5.2342469681258698E-2</v>
      </c>
      <c r="L447" s="551">
        <v>2.20217828874433E-3</v>
      </c>
      <c r="M447" s="552">
        <v>5.4709163893975898E-2</v>
      </c>
    </row>
    <row r="448" spans="2:13" ht="15.75" x14ac:dyDescent="0.25">
      <c r="B448" s="555">
        <v>2025</v>
      </c>
      <c r="C448" s="556">
        <v>2004</v>
      </c>
      <c r="D448" s="557" t="s">
        <v>3346</v>
      </c>
      <c r="E448" s="547">
        <v>6.3289540935782443E-2</v>
      </c>
      <c r="F448" s="548">
        <v>0.12863968308435292</v>
      </c>
      <c r="G448" s="549">
        <v>0.23027089097129799</v>
      </c>
      <c r="H448" s="550">
        <v>1.46853205801676E-2</v>
      </c>
      <c r="I448" s="551">
        <v>5.9649945972828604</v>
      </c>
      <c r="J448" s="551">
        <v>0.264852071122472</v>
      </c>
      <c r="K448" s="551">
        <v>5.1894344222432602E-2</v>
      </c>
      <c r="L448" s="551">
        <v>1.4327839659831299E-4</v>
      </c>
      <c r="M448" s="552">
        <v>5.4240776190429101E-2</v>
      </c>
    </row>
    <row r="449" spans="2:13" ht="15.75" x14ac:dyDescent="0.25">
      <c r="B449" s="555">
        <v>2025</v>
      </c>
      <c r="C449" s="556">
        <v>2005</v>
      </c>
      <c r="D449" s="557" t="s">
        <v>3347</v>
      </c>
      <c r="E449" s="547">
        <v>6.3336870307587917E-2</v>
      </c>
      <c r="F449" s="548">
        <v>0.1290294802604055</v>
      </c>
      <c r="G449" s="549">
        <v>0.22912203888924701</v>
      </c>
      <c r="H449" s="550">
        <v>1.4564961141441899E-2</v>
      </c>
      <c r="I449" s="551">
        <v>5.9515253806370998</v>
      </c>
      <c r="J449" s="551">
        <v>0.26244878007036698</v>
      </c>
      <c r="K449" s="551">
        <v>5.17633014202162E-2</v>
      </c>
      <c r="L449" s="551">
        <v>1.44736933779584E-4</v>
      </c>
      <c r="M449" s="552">
        <v>5.4103808214190197E-2</v>
      </c>
    </row>
    <row r="450" spans="2:13" ht="15.75" x14ac:dyDescent="0.25">
      <c r="B450" s="555">
        <v>2025</v>
      </c>
      <c r="C450" s="556">
        <v>2006</v>
      </c>
      <c r="D450" s="557" t="s">
        <v>3348</v>
      </c>
      <c r="E450" s="547">
        <v>6.3166095367645628E-2</v>
      </c>
      <c r="F450" s="548">
        <v>0.1293334539035329</v>
      </c>
      <c r="G450" s="549">
        <v>0.22615839622393499</v>
      </c>
      <c r="H450" s="550">
        <v>1.44374274520498E-2</v>
      </c>
      <c r="I450" s="551">
        <v>5.9560847277151696</v>
      </c>
      <c r="J450" s="551">
        <v>0.25848978911160703</v>
      </c>
      <c r="K450" s="551">
        <v>5.1255387258629201E-2</v>
      </c>
      <c r="L450" s="551">
        <v>1.4586049379202099E-4</v>
      </c>
      <c r="M450" s="552">
        <v>5.3572928428052002E-2</v>
      </c>
    </row>
    <row r="451" spans="2:13" ht="15.75" x14ac:dyDescent="0.25">
      <c r="B451" s="555">
        <v>2025</v>
      </c>
      <c r="C451" s="556">
        <v>2007</v>
      </c>
      <c r="D451" s="557" t="s">
        <v>3349</v>
      </c>
      <c r="E451" s="547">
        <v>6.3331140846755285E-2</v>
      </c>
      <c r="F451" s="548">
        <v>0.12970263668800355</v>
      </c>
      <c r="G451" s="549">
        <v>0.16506718142951701</v>
      </c>
      <c r="H451" s="550">
        <v>1.4304262968372301E-2</v>
      </c>
      <c r="I451" s="551">
        <v>3.1041250981612301</v>
      </c>
      <c r="J451" s="551">
        <v>0.25695990626577397</v>
      </c>
      <c r="K451" s="551">
        <v>3.6635990266162002E-2</v>
      </c>
      <c r="L451" s="551">
        <v>1.47287532659756E-4</v>
      </c>
      <c r="M451" s="552">
        <v>3.8292507176198802E-2</v>
      </c>
    </row>
    <row r="452" spans="2:13" ht="15.75" x14ac:dyDescent="0.25">
      <c r="B452" s="555">
        <v>2025</v>
      </c>
      <c r="C452" s="556">
        <v>2008</v>
      </c>
      <c r="D452" s="557" t="s">
        <v>3350</v>
      </c>
      <c r="E452" s="547">
        <v>6.3567838243716673E-2</v>
      </c>
      <c r="F452" s="548">
        <v>0.13018480482927891</v>
      </c>
      <c r="G452" s="549">
        <v>0.16541554753537499</v>
      </c>
      <c r="H452" s="550">
        <v>1.12272879091488E-2</v>
      </c>
      <c r="I452" s="551">
        <v>3.0852506540668498</v>
      </c>
      <c r="J452" s="551">
        <v>0.17609133522886899</v>
      </c>
      <c r="K452" s="551">
        <v>3.6508650911016502E-2</v>
      </c>
      <c r="L452" s="551">
        <v>1.69980895329609E-4</v>
      </c>
      <c r="M452" s="552">
        <v>3.8159410100473599E-2</v>
      </c>
    </row>
    <row r="453" spans="2:13" ht="15.75" x14ac:dyDescent="0.25">
      <c r="B453" s="555">
        <v>2025</v>
      </c>
      <c r="C453" s="556">
        <v>2009</v>
      </c>
      <c r="D453" s="557" t="s">
        <v>3351</v>
      </c>
      <c r="E453" s="547">
        <v>6.356402824503693E-2</v>
      </c>
      <c r="F453" s="548">
        <v>0.12895761763876479</v>
      </c>
      <c r="G453" s="549">
        <v>0.16358363943385501</v>
      </c>
      <c r="H453" s="550">
        <v>8.0481902195108507E-3</v>
      </c>
      <c r="I453" s="551">
        <v>3.0775760476225802</v>
      </c>
      <c r="J453" s="551">
        <v>9.7625844078302104E-2</v>
      </c>
      <c r="K453" s="551">
        <v>3.6067508394716799E-2</v>
      </c>
      <c r="L453" s="551">
        <v>1.8635948740716799E-4</v>
      </c>
      <c r="M453" s="552">
        <v>3.7698321077127797E-2</v>
      </c>
    </row>
    <row r="454" spans="2:13" ht="15.75" x14ac:dyDescent="0.25">
      <c r="B454" s="555">
        <v>2025</v>
      </c>
      <c r="C454" s="556">
        <v>2010</v>
      </c>
      <c r="D454" s="557" t="s">
        <v>3352</v>
      </c>
      <c r="E454" s="547">
        <v>6.3577731209116001E-2</v>
      </c>
      <c r="F454" s="548">
        <v>0.12789277688832568</v>
      </c>
      <c r="G454" s="549">
        <v>0.10556969084324801</v>
      </c>
      <c r="H454" s="550">
        <v>7.8825733650325896E-3</v>
      </c>
      <c r="I454" s="551">
        <v>0.26314792665588499</v>
      </c>
      <c r="J454" s="551">
        <v>9.689673336804E-2</v>
      </c>
      <c r="K454" s="551">
        <v>2.08079402482601E-2</v>
      </c>
      <c r="L454" s="551">
        <v>2.2215807037083299E-4</v>
      </c>
      <c r="M454" s="552">
        <v>2.1748782972419101E-2</v>
      </c>
    </row>
    <row r="455" spans="2:13" ht="15.75" x14ac:dyDescent="0.25">
      <c r="B455" s="555">
        <v>2025</v>
      </c>
      <c r="C455" s="556">
        <v>2011</v>
      </c>
      <c r="D455" s="557" t="s">
        <v>3353</v>
      </c>
      <c r="E455" s="547">
        <v>6.3524088027278755E-2</v>
      </c>
      <c r="F455" s="548">
        <v>0.12958429643291366</v>
      </c>
      <c r="G455" s="549">
        <v>0.10421811989867499</v>
      </c>
      <c r="H455" s="550">
        <v>8.1893611437850195E-3</v>
      </c>
      <c r="I455" s="551">
        <v>0.25793850452963701</v>
      </c>
      <c r="J455" s="551">
        <v>9.8110662836024404E-2</v>
      </c>
      <c r="K455" s="551">
        <v>2.0179521400352899E-2</v>
      </c>
      <c r="L455" s="551">
        <v>3.1369401866578701E-4</v>
      </c>
      <c r="M455" s="552">
        <v>2.10919498127769E-2</v>
      </c>
    </row>
    <row r="456" spans="2:13" ht="15.75" x14ac:dyDescent="0.25">
      <c r="B456" s="555">
        <v>2025</v>
      </c>
      <c r="C456" s="556">
        <v>2012</v>
      </c>
      <c r="D456" s="557" t="s">
        <v>3354</v>
      </c>
      <c r="E456" s="547">
        <v>6.3641205345343066E-2</v>
      </c>
      <c r="F456" s="548">
        <v>0.12996782092768633</v>
      </c>
      <c r="G456" s="549">
        <v>0.10439583267512</v>
      </c>
      <c r="H456" s="550">
        <v>8.2834684321839002E-3</v>
      </c>
      <c r="I456" s="551">
        <v>0.25460523752416298</v>
      </c>
      <c r="J456" s="551">
        <v>9.8412173285828602E-2</v>
      </c>
      <c r="K456" s="551">
        <v>1.95951539213205E-2</v>
      </c>
      <c r="L456" s="551">
        <v>4.6309215733467699E-4</v>
      </c>
      <c r="M456" s="552">
        <v>2.0481159829434801E-2</v>
      </c>
    </row>
    <row r="457" spans="2:13" ht="15.75" x14ac:dyDescent="0.25">
      <c r="B457" s="555">
        <v>2025</v>
      </c>
      <c r="C457" s="556">
        <v>2013</v>
      </c>
      <c r="D457" s="557" t="s">
        <v>3355</v>
      </c>
      <c r="E457" s="547">
        <v>6.3500111597604034E-2</v>
      </c>
      <c r="F457" s="548">
        <v>0.12998824034045139</v>
      </c>
      <c r="G457" s="549">
        <v>0.102041608905356</v>
      </c>
      <c r="H457" s="550">
        <v>8.3448471519537906E-3</v>
      </c>
      <c r="I457" s="551">
        <v>0.24740297486274601</v>
      </c>
      <c r="J457" s="551">
        <v>9.7997773755330295E-2</v>
      </c>
      <c r="K457" s="551">
        <v>1.8807991482562299E-2</v>
      </c>
      <c r="L457" s="551">
        <v>6.9396035298237898E-4</v>
      </c>
      <c r="M457" s="552">
        <v>1.9658405398177699E-2</v>
      </c>
    </row>
    <row r="458" spans="2:13" ht="15.75" x14ac:dyDescent="0.25">
      <c r="B458" s="555">
        <v>2025</v>
      </c>
      <c r="C458" s="556">
        <v>2014</v>
      </c>
      <c r="D458" s="557" t="s">
        <v>3356</v>
      </c>
      <c r="E458" s="547">
        <v>6.1958411399219475E-2</v>
      </c>
      <c r="F458" s="548">
        <v>0.12785850812870042</v>
      </c>
      <c r="G458" s="549">
        <v>0.100097269969925</v>
      </c>
      <c r="H458" s="550">
        <v>8.3766198228127694E-3</v>
      </c>
      <c r="I458" s="551">
        <v>0.24036249880764701</v>
      </c>
      <c r="J458" s="551">
        <v>9.8063572490762502E-2</v>
      </c>
      <c r="K458" s="551">
        <v>1.79788851061496E-2</v>
      </c>
      <c r="L458" s="551">
        <v>9.6297128016475096E-4</v>
      </c>
      <c r="M458" s="552">
        <v>1.8791810510528601E-2</v>
      </c>
    </row>
    <row r="459" spans="2:13" ht="15.75" x14ac:dyDescent="0.25">
      <c r="B459" s="555">
        <v>2025</v>
      </c>
      <c r="C459" s="556">
        <v>2015</v>
      </c>
      <c r="D459" s="557" t="s">
        <v>3357</v>
      </c>
      <c r="E459" s="547">
        <v>6.1433465321899909E-2</v>
      </c>
      <c r="F459" s="548">
        <v>0.12783591161081737</v>
      </c>
      <c r="G459" s="549">
        <v>9.8065744578621494E-2</v>
      </c>
      <c r="H459" s="550">
        <v>8.5466257852089798E-3</v>
      </c>
      <c r="I459" s="551">
        <v>0.23294640095854999</v>
      </c>
      <c r="J459" s="551">
        <v>9.8421540958608195E-2</v>
      </c>
      <c r="K459" s="551">
        <v>1.7093213113740301E-2</v>
      </c>
      <c r="L459" s="551">
        <v>1.2317114206710201E-3</v>
      </c>
      <c r="M459" s="552">
        <v>1.7866092360733801E-2</v>
      </c>
    </row>
    <row r="460" spans="2:13" ht="15.75" x14ac:dyDescent="0.25">
      <c r="B460" s="555">
        <v>2025</v>
      </c>
      <c r="C460" s="556">
        <v>2016</v>
      </c>
      <c r="D460" s="557" t="s">
        <v>3358</v>
      </c>
      <c r="E460" s="547">
        <v>5.943441722940259E-2</v>
      </c>
      <c r="F460" s="548">
        <v>0.12393371531024176</v>
      </c>
      <c r="G460" s="549">
        <v>9.5788770515881499E-2</v>
      </c>
      <c r="H460" s="550">
        <v>7.8006766057230103E-3</v>
      </c>
      <c r="I460" s="551">
        <v>0.197117425624382</v>
      </c>
      <c r="J460" s="551">
        <v>8.56605718496639E-2</v>
      </c>
      <c r="K460" s="551">
        <v>1.6139748356697001E-2</v>
      </c>
      <c r="L460" s="551">
        <v>1.3863493398792101E-3</v>
      </c>
      <c r="M460" s="552">
        <v>1.68695161583143E-2</v>
      </c>
    </row>
    <row r="461" spans="2:13" ht="15.75" x14ac:dyDescent="0.25">
      <c r="B461" s="555">
        <v>2025</v>
      </c>
      <c r="C461" s="556">
        <v>2017</v>
      </c>
      <c r="D461" s="557" t="s">
        <v>3359</v>
      </c>
      <c r="E461" s="547">
        <v>5.5922220332708272E-2</v>
      </c>
      <c r="F461" s="548">
        <v>0.12003350201991138</v>
      </c>
      <c r="G461" s="549">
        <v>7.8656099413652203E-2</v>
      </c>
      <c r="H461" s="550">
        <v>6.9903471868263201E-3</v>
      </c>
      <c r="I461" s="551">
        <v>0.14853529075470401</v>
      </c>
      <c r="J461" s="551">
        <v>7.2618671859073697E-2</v>
      </c>
      <c r="K461" s="551">
        <v>1.4403899239740101E-2</v>
      </c>
      <c r="L461" s="551">
        <v>1.4448659108844001E-3</v>
      </c>
      <c r="M461" s="552">
        <v>1.5055179647004899E-2</v>
      </c>
    </row>
    <row r="462" spans="2:13" ht="15.75" x14ac:dyDescent="0.25">
      <c r="B462" s="555">
        <v>2025</v>
      </c>
      <c r="C462" s="556">
        <v>2018</v>
      </c>
      <c r="D462" s="557" t="s">
        <v>3360</v>
      </c>
      <c r="E462" s="547">
        <v>5.2216500625052363E-2</v>
      </c>
      <c r="F462" s="548">
        <v>0.11488302095483553</v>
      </c>
      <c r="G462" s="549">
        <v>7.7211037985029499E-2</v>
      </c>
      <c r="H462" s="550">
        <v>6.2140366130853898E-3</v>
      </c>
      <c r="I462" s="551">
        <v>0.116878139451802</v>
      </c>
      <c r="J462" s="551">
        <v>5.8943565020181297E-2</v>
      </c>
      <c r="K462" s="551">
        <v>1.34251479729983E-2</v>
      </c>
      <c r="L462" s="551">
        <v>1.50542475753405E-3</v>
      </c>
      <c r="M462" s="552">
        <v>1.4032173591125401E-2</v>
      </c>
    </row>
    <row r="463" spans="2:13" ht="15.75" x14ac:dyDescent="0.25">
      <c r="B463" s="555">
        <v>2025</v>
      </c>
      <c r="C463" s="556">
        <v>2019</v>
      </c>
      <c r="D463" s="557" t="s">
        <v>3361</v>
      </c>
      <c r="E463" s="547">
        <v>5.2197236198300974E-2</v>
      </c>
      <c r="F463" s="548">
        <v>0.11483179843376008</v>
      </c>
      <c r="G463" s="549">
        <v>7.5676625791118404E-2</v>
      </c>
      <c r="H463" s="550">
        <v>5.5238891689629102E-3</v>
      </c>
      <c r="I463" s="551">
        <v>9.66248664736718E-2</v>
      </c>
      <c r="J463" s="551">
        <v>4.9571437165477503E-2</v>
      </c>
      <c r="K463" s="551">
        <v>1.23878134663184E-2</v>
      </c>
      <c r="L463" s="551">
        <v>1.54599336860368E-3</v>
      </c>
      <c r="M463" s="552">
        <v>1.2947935421157099E-2</v>
      </c>
    </row>
    <row r="464" spans="2:13" ht="15.75" x14ac:dyDescent="0.25">
      <c r="B464" s="555">
        <v>2025</v>
      </c>
      <c r="C464" s="556">
        <v>2020</v>
      </c>
      <c r="D464" s="557" t="s">
        <v>3362</v>
      </c>
      <c r="E464" s="547">
        <v>5.2176938179944378E-2</v>
      </c>
      <c r="F464" s="548">
        <v>0.11477918061929998</v>
      </c>
      <c r="G464" s="549">
        <v>7.4052255895440802E-2</v>
      </c>
      <c r="H464" s="550">
        <v>4.9205221686111104E-3</v>
      </c>
      <c r="I464" s="551">
        <v>7.7255390012188896E-2</v>
      </c>
      <c r="J464" s="551">
        <v>4.1382838214739003E-2</v>
      </c>
      <c r="K464" s="551">
        <v>1.1291849984468401E-2</v>
      </c>
      <c r="L464" s="551">
        <v>1.5465032885026099E-3</v>
      </c>
      <c r="M464" s="552">
        <v>1.1802417333923799E-2</v>
      </c>
    </row>
    <row r="465" spans="2:13" ht="15.75" x14ac:dyDescent="0.25">
      <c r="B465" s="555">
        <v>2025</v>
      </c>
      <c r="C465" s="556">
        <v>2021</v>
      </c>
      <c r="D465" s="557" t="s">
        <v>3363</v>
      </c>
      <c r="E465" s="547">
        <v>5.0851406655695944E-2</v>
      </c>
      <c r="F465" s="548">
        <v>0.11186115436155805</v>
      </c>
      <c r="G465" s="549">
        <v>7.2338607180696193E-2</v>
      </c>
      <c r="H465" s="550">
        <v>4.4885138055443903E-3</v>
      </c>
      <c r="I465" s="551">
        <v>5.9364834719573698E-2</v>
      </c>
      <c r="J465" s="551">
        <v>3.4553835259805002E-2</v>
      </c>
      <c r="K465" s="551">
        <v>1.0137257597538101E-2</v>
      </c>
      <c r="L465" s="551">
        <v>1.5470334869172101E-3</v>
      </c>
      <c r="M465" s="552">
        <v>1.05956194026844E-2</v>
      </c>
    </row>
    <row r="466" spans="2:13" ht="15.75" x14ac:dyDescent="0.25">
      <c r="B466" s="555">
        <v>2025</v>
      </c>
      <c r="C466" s="556">
        <v>2022</v>
      </c>
      <c r="D466" s="557" t="s">
        <v>3364</v>
      </c>
      <c r="E466" s="547">
        <v>4.9577000055040905E-2</v>
      </c>
      <c r="F466" s="548">
        <v>0.10905905366843024</v>
      </c>
      <c r="G466" s="549">
        <v>7.0533509968812705E-2</v>
      </c>
      <c r="H466" s="550">
        <v>4.2734322268169903E-3</v>
      </c>
      <c r="I466" s="551">
        <v>4.2525846874270502E-2</v>
      </c>
      <c r="J466" s="551">
        <v>2.9017571977147501E-2</v>
      </c>
      <c r="K466" s="551">
        <v>8.9239206539974397E-3</v>
      </c>
      <c r="L466" s="551">
        <v>1.5475621084268601E-3</v>
      </c>
      <c r="M466" s="552">
        <v>9.3274207466597803E-3</v>
      </c>
    </row>
    <row r="467" spans="2:13" ht="15.75" x14ac:dyDescent="0.25">
      <c r="B467" s="555">
        <v>2025</v>
      </c>
      <c r="C467" s="556">
        <v>2023</v>
      </c>
      <c r="D467" s="557" t="s">
        <v>3365</v>
      </c>
      <c r="E467" s="547">
        <v>4.8300764991249127E-2</v>
      </c>
      <c r="F467" s="548">
        <v>0.10625660246174368</v>
      </c>
      <c r="G467" s="549">
        <v>6.8637978400308094E-2</v>
      </c>
      <c r="H467" s="550">
        <v>4.9437219466664803E-3</v>
      </c>
      <c r="I467" s="551">
        <v>3.9953832704919902E-2</v>
      </c>
      <c r="J467" s="551">
        <v>3.2763671603987597E-2</v>
      </c>
      <c r="K467" s="551">
        <v>7.6518511710483902E-3</v>
      </c>
      <c r="L467" s="551">
        <v>1.5481030239188299E-3</v>
      </c>
      <c r="M467" s="552">
        <v>7.9978339264165001E-3</v>
      </c>
    </row>
    <row r="468" spans="2:13" ht="15.75" x14ac:dyDescent="0.25">
      <c r="B468" s="555">
        <v>2025</v>
      </c>
      <c r="C468" s="556">
        <v>2024</v>
      </c>
      <c r="D468" s="557" t="s">
        <v>3366</v>
      </c>
      <c r="E468" s="547">
        <v>4.707277580765816E-2</v>
      </c>
      <c r="F468" s="548">
        <v>0.10355626189028951</v>
      </c>
      <c r="G468" s="549">
        <v>6.6650651934893099E-2</v>
      </c>
      <c r="H468" s="550">
        <v>5.6128395483163E-3</v>
      </c>
      <c r="I468" s="551">
        <v>3.7261552394832899E-2</v>
      </c>
      <c r="J468" s="551">
        <v>3.6580520477861998E-2</v>
      </c>
      <c r="K468" s="551">
        <v>6.3209774564617601E-3</v>
      </c>
      <c r="L468" s="551">
        <v>1.54864334310161E-3</v>
      </c>
      <c r="M468" s="552">
        <v>6.6067840081209198E-3</v>
      </c>
    </row>
    <row r="469" spans="2:13" ht="15.75" x14ac:dyDescent="0.25">
      <c r="B469" s="555">
        <v>2025</v>
      </c>
      <c r="C469" s="556">
        <v>2025</v>
      </c>
      <c r="D469" s="557" t="s">
        <v>3367</v>
      </c>
      <c r="E469" s="547">
        <v>4.5835575223515584E-2</v>
      </c>
      <c r="F469" s="548">
        <v>0.10081648885480485</v>
      </c>
      <c r="G469" s="549">
        <v>6.4572435643598297E-2</v>
      </c>
      <c r="H469" s="550">
        <v>5.4009859223971297E-3</v>
      </c>
      <c r="I469" s="551">
        <v>3.4449186878723503E-2</v>
      </c>
      <c r="J469" s="551">
        <v>3.4248373100556298E-2</v>
      </c>
      <c r="K469" s="551">
        <v>4.9312929209863699E-3</v>
      </c>
      <c r="L469" s="551">
        <v>1.5491967464890499E-3</v>
      </c>
      <c r="M469" s="552">
        <v>5.1542641045851196E-3</v>
      </c>
    </row>
    <row r="470" spans="2:13" ht="15.75" x14ac:dyDescent="0.25">
      <c r="B470" s="555">
        <v>2026</v>
      </c>
      <c r="C470" s="556">
        <v>1982</v>
      </c>
      <c r="D470" s="557" t="s">
        <v>3368</v>
      </c>
      <c r="E470" s="547">
        <v>6.459537253612746E-2</v>
      </c>
      <c r="F470" s="548">
        <v>0.14083765557187086</v>
      </c>
      <c r="G470" s="549">
        <v>0.22968961809772301</v>
      </c>
      <c r="H470" s="550">
        <v>2.4729061880402199</v>
      </c>
      <c r="I470" s="551">
        <v>5.0607336706782498</v>
      </c>
      <c r="J470" s="551">
        <v>4.0594205562029098</v>
      </c>
      <c r="K470" s="551">
        <v>0.17312508508166999</v>
      </c>
      <c r="L470" s="551">
        <v>1.52099121370471E-2</v>
      </c>
      <c r="M470" s="552">
        <v>0.18095303319787601</v>
      </c>
    </row>
    <row r="471" spans="2:13" ht="15.75" x14ac:dyDescent="0.25">
      <c r="B471" s="555">
        <v>2026</v>
      </c>
      <c r="C471" s="556">
        <v>1983</v>
      </c>
      <c r="D471" s="557" t="s">
        <v>3369</v>
      </c>
      <c r="E471" s="547">
        <v>6.2210074284403359E-2</v>
      </c>
      <c r="F471" s="548">
        <v>0.14563179039056393</v>
      </c>
      <c r="G471" s="549">
        <v>0.21325948165237901</v>
      </c>
      <c r="H471" s="550">
        <v>2.59515122037718</v>
      </c>
      <c r="I471" s="551">
        <v>5.2121236644120996</v>
      </c>
      <c r="J471" s="551">
        <v>4.0616768037315198</v>
      </c>
      <c r="K471" s="551">
        <v>0.16074111756254</v>
      </c>
      <c r="L471" s="551">
        <v>1.6217302436971601E-2</v>
      </c>
      <c r="M471" s="552">
        <v>0.168009117620573</v>
      </c>
    </row>
    <row r="472" spans="2:13" ht="15.75" x14ac:dyDescent="0.25">
      <c r="B472" s="555">
        <v>2026</v>
      </c>
      <c r="C472" s="556">
        <v>1984</v>
      </c>
      <c r="D472" s="557" t="s">
        <v>3370</v>
      </c>
      <c r="E472" s="547">
        <v>6.2717310186904893E-2</v>
      </c>
      <c r="F472" s="548">
        <v>0.14480474810472146</v>
      </c>
      <c r="G472" s="549">
        <v>0.21737483013962</v>
      </c>
      <c r="H472" s="550">
        <v>1.9054458254586599</v>
      </c>
      <c r="I472" s="551">
        <v>5.1919447995469303</v>
      </c>
      <c r="J472" s="551">
        <v>4.05303714826172</v>
      </c>
      <c r="K472" s="551">
        <v>0.16384299941029101</v>
      </c>
      <c r="L472" s="551">
        <v>1.5907392646315001E-2</v>
      </c>
      <c r="M472" s="552">
        <v>0.171251252801083</v>
      </c>
    </row>
    <row r="473" spans="2:13" ht="15.75" x14ac:dyDescent="0.25">
      <c r="B473" s="555">
        <v>2026</v>
      </c>
      <c r="C473" s="556">
        <v>1985</v>
      </c>
      <c r="D473" s="557" t="s">
        <v>3371</v>
      </c>
      <c r="E473" s="547">
        <v>6.4747751832970282E-2</v>
      </c>
      <c r="F473" s="548">
        <v>0.14291915235029387</v>
      </c>
      <c r="G473" s="549">
        <v>0.23090824896874601</v>
      </c>
      <c r="H473" s="550">
        <v>1.8433617001520599</v>
      </c>
      <c r="I473" s="551">
        <v>5.0381980282851604</v>
      </c>
      <c r="J473" s="551">
        <v>4.1087405335428802</v>
      </c>
      <c r="K473" s="551">
        <v>0.174043609719293</v>
      </c>
      <c r="L473" s="551">
        <v>1.5596411935251501E-2</v>
      </c>
      <c r="M473" s="552">
        <v>0.18191308944372001</v>
      </c>
    </row>
    <row r="474" spans="2:13" ht="15.75" x14ac:dyDescent="0.25">
      <c r="B474" s="555">
        <v>2026</v>
      </c>
      <c r="C474" s="556">
        <v>1986</v>
      </c>
      <c r="D474" s="557" t="s">
        <v>3372</v>
      </c>
      <c r="E474" s="547">
        <v>6.3966152967119494E-2</v>
      </c>
      <c r="F474" s="548">
        <v>0.14291711481810923</v>
      </c>
      <c r="G474" s="549">
        <v>0.22632384057998201</v>
      </c>
      <c r="H474" s="550">
        <v>1.83562038631917</v>
      </c>
      <c r="I474" s="551">
        <v>5.1060645024783202</v>
      </c>
      <c r="J474" s="551">
        <v>3.8714720173357402</v>
      </c>
      <c r="K474" s="551">
        <v>0.17058818104590801</v>
      </c>
      <c r="L474" s="551">
        <v>1.5619119385290399E-2</v>
      </c>
      <c r="M474" s="552">
        <v>0.17830142161896101</v>
      </c>
    </row>
    <row r="475" spans="2:13" ht="15.75" x14ac:dyDescent="0.25">
      <c r="B475" s="555">
        <v>2026</v>
      </c>
      <c r="C475" s="556">
        <v>1987</v>
      </c>
      <c r="D475" s="557" t="s">
        <v>3373</v>
      </c>
      <c r="E475" s="547">
        <v>6.3692156034830708E-2</v>
      </c>
      <c r="F475" s="548">
        <v>0.14100808963857189</v>
      </c>
      <c r="G475" s="549">
        <v>0.28222936410247101</v>
      </c>
      <c r="H475" s="550">
        <v>1.78476865303356</v>
      </c>
      <c r="I475" s="551">
        <v>5.2186169410913896</v>
      </c>
      <c r="J475" s="551">
        <v>3.9597893156477801</v>
      </c>
      <c r="K475" s="551">
        <v>0.19220879012752301</v>
      </c>
      <c r="L475" s="551">
        <v>1.52784722748139E-2</v>
      </c>
      <c r="M475" s="552">
        <v>0.20089961870321599</v>
      </c>
    </row>
    <row r="476" spans="2:13" ht="15.75" x14ac:dyDescent="0.25">
      <c r="B476" s="555">
        <v>2026</v>
      </c>
      <c r="C476" s="556">
        <v>1988</v>
      </c>
      <c r="D476" s="557" t="s">
        <v>3374</v>
      </c>
      <c r="E476" s="547">
        <v>6.308046486098226E-2</v>
      </c>
      <c r="F476" s="548">
        <v>0.13403824616258045</v>
      </c>
      <c r="G476" s="549">
        <v>0.27724653757161799</v>
      </c>
      <c r="H476" s="550">
        <v>0.43956999487778498</v>
      </c>
      <c r="I476" s="551">
        <v>5.2636953556945203</v>
      </c>
      <c r="J476" s="551">
        <v>1.68397709247549</v>
      </c>
      <c r="K476" s="551">
        <v>0.188815298235011</v>
      </c>
      <c r="L476" s="551">
        <v>1.41613207855155E-2</v>
      </c>
      <c r="M476" s="552">
        <v>0.19735268816572099</v>
      </c>
    </row>
    <row r="477" spans="2:13" ht="15.75" x14ac:dyDescent="0.25">
      <c r="B477" s="555">
        <v>2026</v>
      </c>
      <c r="C477" s="556">
        <v>1989</v>
      </c>
      <c r="D477" s="557" t="s">
        <v>3375</v>
      </c>
      <c r="E477" s="547">
        <v>6.2863261910697438E-2</v>
      </c>
      <c r="F477" s="548">
        <v>0.13344318445684414</v>
      </c>
      <c r="G477" s="549">
        <v>0.27581051741823598</v>
      </c>
      <c r="H477" s="550">
        <v>0.43304656555252602</v>
      </c>
      <c r="I477" s="551">
        <v>5.2843864978979598</v>
      </c>
      <c r="J477" s="551">
        <v>1.67484355964388</v>
      </c>
      <c r="K477" s="551">
        <v>0.18783731461109601</v>
      </c>
      <c r="L477" s="551">
        <v>1.4021580787338299E-2</v>
      </c>
      <c r="M477" s="552">
        <v>0.19633048446207099</v>
      </c>
    </row>
    <row r="478" spans="2:13" ht="15.75" x14ac:dyDescent="0.25">
      <c r="B478" s="555">
        <v>2026</v>
      </c>
      <c r="C478" s="556">
        <v>1990</v>
      </c>
      <c r="D478" s="557" t="s">
        <v>3376</v>
      </c>
      <c r="E478" s="547">
        <v>6.2869462780345345E-2</v>
      </c>
      <c r="F478" s="548">
        <v>0.13429732767923097</v>
      </c>
      <c r="G478" s="549">
        <v>0.27621914327349401</v>
      </c>
      <c r="H478" s="550">
        <v>0.43848910973677102</v>
      </c>
      <c r="I478" s="551">
        <v>5.2865780798723598</v>
      </c>
      <c r="J478" s="551">
        <v>1.68211350486579</v>
      </c>
      <c r="K478" s="551">
        <v>0.18811560415585599</v>
      </c>
      <c r="L478" s="551">
        <v>1.42798861389676E-2</v>
      </c>
      <c r="M478" s="552">
        <v>0.19662135702515299</v>
      </c>
    </row>
    <row r="479" spans="2:13" ht="15.75" x14ac:dyDescent="0.25">
      <c r="B479" s="555">
        <v>2026</v>
      </c>
      <c r="C479" s="556">
        <v>1991</v>
      </c>
      <c r="D479" s="557" t="s">
        <v>3377</v>
      </c>
      <c r="E479" s="547">
        <v>6.3797216573489662E-2</v>
      </c>
      <c r="F479" s="548">
        <v>0.13393484463616781</v>
      </c>
      <c r="G479" s="549">
        <v>0.36447952345981299</v>
      </c>
      <c r="H479" s="550">
        <v>0.48404541691248898</v>
      </c>
      <c r="I479" s="551">
        <v>9.2233608514119698</v>
      </c>
      <c r="J479" s="551">
        <v>2.9284981625787498</v>
      </c>
      <c r="K479" s="551">
        <v>5.1655236761821502E-2</v>
      </c>
      <c r="L479" s="551">
        <v>7.7655580478268298E-3</v>
      </c>
      <c r="M479" s="552">
        <v>5.3990857351472799E-2</v>
      </c>
    </row>
    <row r="480" spans="2:13" ht="15.75" x14ac:dyDescent="0.25">
      <c r="B480" s="555">
        <v>2026</v>
      </c>
      <c r="C480" s="556">
        <v>1992</v>
      </c>
      <c r="D480" s="557" t="s">
        <v>3378</v>
      </c>
      <c r="E480" s="547">
        <v>6.4015010785767448E-2</v>
      </c>
      <c r="F480" s="548">
        <v>0.13474256700351694</v>
      </c>
      <c r="G480" s="549">
        <v>0.36718277028250901</v>
      </c>
      <c r="H480" s="550">
        <v>0.49123981203387401</v>
      </c>
      <c r="I480" s="551">
        <v>9.1908006610607806</v>
      </c>
      <c r="J480" s="551">
        <v>2.9510021197206</v>
      </c>
      <c r="K480" s="551">
        <v>5.2038349791948699E-2</v>
      </c>
      <c r="L480" s="551">
        <v>7.9140902991370592E-3</v>
      </c>
      <c r="M480" s="552">
        <v>5.4391293052783403E-2</v>
      </c>
    </row>
    <row r="481" spans="2:13" ht="15.75" x14ac:dyDescent="0.25">
      <c r="B481" s="555">
        <v>2026</v>
      </c>
      <c r="C481" s="556">
        <v>1993</v>
      </c>
      <c r="D481" s="557" t="s">
        <v>3379</v>
      </c>
      <c r="E481" s="547">
        <v>6.4065671719863951E-2</v>
      </c>
      <c r="F481" s="548">
        <v>0.13406074831035059</v>
      </c>
      <c r="G481" s="549">
        <v>0.36808530613567297</v>
      </c>
      <c r="H481" s="550">
        <v>0.483533789887026</v>
      </c>
      <c r="I481" s="551">
        <v>9.1849049579920106</v>
      </c>
      <c r="J481" s="551">
        <v>2.9332613889516002</v>
      </c>
      <c r="K481" s="551">
        <v>5.2166260141311101E-2</v>
      </c>
      <c r="L481" s="551">
        <v>7.8195287477692502E-3</v>
      </c>
      <c r="M481" s="552">
        <v>5.4524986940550198E-2</v>
      </c>
    </row>
    <row r="482" spans="2:13" ht="15.75" x14ac:dyDescent="0.25">
      <c r="B482" s="555">
        <v>2026</v>
      </c>
      <c r="C482" s="556">
        <v>1994</v>
      </c>
      <c r="D482" s="557" t="s">
        <v>3380</v>
      </c>
      <c r="E482" s="547">
        <v>6.370247864911413E-2</v>
      </c>
      <c r="F482" s="548">
        <v>0.13310233207388497</v>
      </c>
      <c r="G482" s="549">
        <v>0.36198353775057102</v>
      </c>
      <c r="H482" s="550">
        <v>0.47354309850298998</v>
      </c>
      <c r="I482" s="551">
        <v>9.2468358913245794</v>
      </c>
      <c r="J482" s="551">
        <v>2.91182420260377</v>
      </c>
      <c r="K482" s="551">
        <v>5.18318326268414E-2</v>
      </c>
      <c r="L482" s="551">
        <v>7.6807873711903204E-3</v>
      </c>
      <c r="M482" s="552">
        <v>5.4175438097876297E-2</v>
      </c>
    </row>
    <row r="483" spans="2:13" ht="15.75" x14ac:dyDescent="0.25">
      <c r="B483" s="555">
        <v>2026</v>
      </c>
      <c r="C483" s="556">
        <v>1995</v>
      </c>
      <c r="D483" s="557" t="s">
        <v>3381</v>
      </c>
      <c r="E483" s="547">
        <v>6.403992916849402E-2</v>
      </c>
      <c r="F483" s="548">
        <v>0.13235102056702705</v>
      </c>
      <c r="G483" s="549">
        <v>0.36613753515890302</v>
      </c>
      <c r="H483" s="550">
        <v>0.25287970403743099</v>
      </c>
      <c r="I483" s="551">
        <v>9.2230025036467307</v>
      </c>
      <c r="J483" s="551">
        <v>1.6620958926937901</v>
      </c>
      <c r="K483" s="551">
        <v>5.2426636743456503E-2</v>
      </c>
      <c r="L483" s="551">
        <v>5.0176535074227101E-3</v>
      </c>
      <c r="M483" s="552">
        <v>5.4797136617240602E-2</v>
      </c>
    </row>
    <row r="484" spans="2:13" ht="15.75" x14ac:dyDescent="0.25">
      <c r="B484" s="555">
        <v>2026</v>
      </c>
      <c r="C484" s="556">
        <v>1996</v>
      </c>
      <c r="D484" s="557" t="s">
        <v>3382</v>
      </c>
      <c r="E484" s="547">
        <v>6.4060323011665657E-2</v>
      </c>
      <c r="F484" s="548">
        <v>0.13085314768456166</v>
      </c>
      <c r="G484" s="549">
        <v>0.36642398270425403</v>
      </c>
      <c r="H484" s="550">
        <v>2.28903846440245E-2</v>
      </c>
      <c r="I484" s="551">
        <v>9.2184229293600808</v>
      </c>
      <c r="J484" s="551">
        <v>0.39551254825170601</v>
      </c>
      <c r="K484" s="551">
        <v>5.2467652700478498E-2</v>
      </c>
      <c r="L484" s="551">
        <v>2.2310980655688602E-3</v>
      </c>
      <c r="M484" s="552">
        <v>5.4840007133833503E-2</v>
      </c>
    </row>
    <row r="485" spans="2:13" ht="15.75" x14ac:dyDescent="0.25">
      <c r="B485" s="555">
        <v>2026</v>
      </c>
      <c r="C485" s="556">
        <v>1997</v>
      </c>
      <c r="D485" s="557" t="s">
        <v>3383</v>
      </c>
      <c r="E485" s="547">
        <v>6.4306494668000494E-2</v>
      </c>
      <c r="F485" s="548">
        <v>0.12949589752931842</v>
      </c>
      <c r="G485" s="549">
        <v>0.36923205794379299</v>
      </c>
      <c r="H485" s="550">
        <v>2.2267561355136301E-2</v>
      </c>
      <c r="I485" s="551">
        <v>9.1768598842211109</v>
      </c>
      <c r="J485" s="551">
        <v>0.39150817946021399</v>
      </c>
      <c r="K485" s="551">
        <v>5.2869736416008201E-2</v>
      </c>
      <c r="L485" s="551">
        <v>2.17291459242255E-3</v>
      </c>
      <c r="M485" s="552">
        <v>5.5260271290759402E-2</v>
      </c>
    </row>
    <row r="486" spans="2:13" ht="15.75" x14ac:dyDescent="0.25">
      <c r="B486" s="555">
        <v>2026</v>
      </c>
      <c r="C486" s="556">
        <v>1998</v>
      </c>
      <c r="D486" s="557" t="s">
        <v>3384</v>
      </c>
      <c r="E486" s="547">
        <v>6.4110820228193963E-2</v>
      </c>
      <c r="F486" s="548">
        <v>0.13002998386133544</v>
      </c>
      <c r="G486" s="549">
        <v>0.36778657413910698</v>
      </c>
      <c r="H486" s="550">
        <v>2.25015835369183E-2</v>
      </c>
      <c r="I486" s="551">
        <v>9.2144205982505394</v>
      </c>
      <c r="J486" s="551">
        <v>0.39322477910410503</v>
      </c>
      <c r="K486" s="551">
        <v>5.2662759946595097E-2</v>
      </c>
      <c r="L486" s="551">
        <v>2.1996699472371099E-3</v>
      </c>
      <c r="M486" s="552">
        <v>5.50439362638439E-2</v>
      </c>
    </row>
    <row r="487" spans="2:13" ht="15.75" x14ac:dyDescent="0.25">
      <c r="B487" s="555">
        <v>2026</v>
      </c>
      <c r="C487" s="556">
        <v>1999</v>
      </c>
      <c r="D487" s="557" t="s">
        <v>3385</v>
      </c>
      <c r="E487" s="547">
        <v>6.4031541668970376E-2</v>
      </c>
      <c r="F487" s="548">
        <v>0.12988958213924293</v>
      </c>
      <c r="G487" s="549">
        <v>0.36710030384953302</v>
      </c>
      <c r="H487" s="550">
        <v>2.24854667436215E-2</v>
      </c>
      <c r="I487" s="551">
        <v>9.2177318455772905</v>
      </c>
      <c r="J487" s="551">
        <v>0.39330570220451599</v>
      </c>
      <c r="K487" s="551">
        <v>5.2564494022661098E-2</v>
      </c>
      <c r="L487" s="551">
        <v>2.19377626175852E-3</v>
      </c>
      <c r="M487" s="552">
        <v>5.4941227190878197E-2</v>
      </c>
    </row>
    <row r="488" spans="2:13" ht="15.75" x14ac:dyDescent="0.25">
      <c r="B488" s="555">
        <v>2026</v>
      </c>
      <c r="C488" s="556">
        <v>2000</v>
      </c>
      <c r="D488" s="557" t="s">
        <v>3386</v>
      </c>
      <c r="E488" s="547">
        <v>6.3786347055447903E-2</v>
      </c>
      <c r="F488" s="548">
        <v>0.13032249661803547</v>
      </c>
      <c r="G488" s="549">
        <v>0.36473575074250703</v>
      </c>
      <c r="H488" s="550">
        <v>2.2677099380513901E-2</v>
      </c>
      <c r="I488" s="551">
        <v>9.2482465933367006</v>
      </c>
      <c r="J488" s="551">
        <v>0.39524854878747101</v>
      </c>
      <c r="K488" s="551">
        <v>5.2225917518209299E-2</v>
      </c>
      <c r="L488" s="551">
        <v>2.21611078965779E-3</v>
      </c>
      <c r="M488" s="552">
        <v>5.4587341759306102E-2</v>
      </c>
    </row>
    <row r="489" spans="2:13" ht="15.75" x14ac:dyDescent="0.25">
      <c r="B489" s="555">
        <v>2026</v>
      </c>
      <c r="C489" s="556">
        <v>2001</v>
      </c>
      <c r="D489" s="557" t="s">
        <v>3387</v>
      </c>
      <c r="E489" s="547">
        <v>6.4008308002400427E-2</v>
      </c>
      <c r="F489" s="548">
        <v>0.13050532612034507</v>
      </c>
      <c r="G489" s="549">
        <v>0.36728349916500602</v>
      </c>
      <c r="H489" s="550">
        <v>2.2776993722931901E-2</v>
      </c>
      <c r="I489" s="551">
        <v>9.2129782778889204</v>
      </c>
      <c r="J489" s="551">
        <v>0.39668164590961902</v>
      </c>
      <c r="K489" s="551">
        <v>5.2590725461219297E-2</v>
      </c>
      <c r="L489" s="551">
        <v>2.2285694607908401E-3</v>
      </c>
      <c r="M489" s="552">
        <v>5.4968644698687702E-2</v>
      </c>
    </row>
    <row r="490" spans="2:13" ht="15.75" x14ac:dyDescent="0.25">
      <c r="B490" s="555">
        <v>2026</v>
      </c>
      <c r="C490" s="556">
        <v>2002</v>
      </c>
      <c r="D490" s="557" t="s">
        <v>3388</v>
      </c>
      <c r="E490" s="547">
        <v>6.3852491267264944E-2</v>
      </c>
      <c r="F490" s="548">
        <v>0.13035994370459433</v>
      </c>
      <c r="G490" s="549">
        <v>0.28386597758301702</v>
      </c>
      <c r="H490" s="550">
        <v>2.27298390869877E-2</v>
      </c>
      <c r="I490" s="551">
        <v>7.1086365027509899</v>
      </c>
      <c r="J490" s="551">
        <v>0.31929207449047903</v>
      </c>
      <c r="K490" s="551">
        <v>5.2912024193255899E-2</v>
      </c>
      <c r="L490" s="551">
        <v>2.22609010247648E-3</v>
      </c>
      <c r="M490" s="552">
        <v>5.5304471133644902E-2</v>
      </c>
    </row>
    <row r="491" spans="2:13" ht="15.75" x14ac:dyDescent="0.25">
      <c r="B491" s="555">
        <v>2026</v>
      </c>
      <c r="C491" s="556">
        <v>2003</v>
      </c>
      <c r="D491" s="557" t="s">
        <v>3389</v>
      </c>
      <c r="E491" s="547">
        <v>6.3552253897277936E-2</v>
      </c>
      <c r="F491" s="548">
        <v>0.12977394670634695</v>
      </c>
      <c r="G491" s="549">
        <v>0.28122750704136901</v>
      </c>
      <c r="H491" s="550">
        <v>2.2465398251339801E-2</v>
      </c>
      <c r="I491" s="551">
        <v>7.1355192436882398</v>
      </c>
      <c r="J491" s="551">
        <v>0.31829207910846902</v>
      </c>
      <c r="K491" s="551">
        <v>5.2447766749182403E-2</v>
      </c>
      <c r="L491" s="551">
        <v>2.2025400663440399E-3</v>
      </c>
      <c r="M491" s="552">
        <v>5.4819222028062303E-2</v>
      </c>
    </row>
    <row r="492" spans="2:13" ht="15.75" x14ac:dyDescent="0.25">
      <c r="B492" s="555">
        <v>2026</v>
      </c>
      <c r="C492" s="556">
        <v>2004</v>
      </c>
      <c r="D492" s="557" t="s">
        <v>3390</v>
      </c>
      <c r="E492" s="547">
        <v>6.3324874198376138E-2</v>
      </c>
      <c r="F492" s="548">
        <v>0.12873112202565104</v>
      </c>
      <c r="G492" s="549">
        <v>0.23139979320053</v>
      </c>
      <c r="H492" s="550">
        <v>1.47101700420906E-2</v>
      </c>
      <c r="I492" s="551">
        <v>5.9674280113752998</v>
      </c>
      <c r="J492" s="551">
        <v>0.26753297467398801</v>
      </c>
      <c r="K492" s="551">
        <v>5.2054499505812798E-2</v>
      </c>
      <c r="L492" s="551">
        <v>1.4330385377661899E-4</v>
      </c>
      <c r="M492" s="552">
        <v>5.4408172985045099E-2</v>
      </c>
    </row>
    <row r="493" spans="2:13" ht="15.75" x14ac:dyDescent="0.25">
      <c r="B493" s="555">
        <v>2026</v>
      </c>
      <c r="C493" s="556">
        <v>2005</v>
      </c>
      <c r="D493" s="557" t="s">
        <v>3391</v>
      </c>
      <c r="E493" s="547">
        <v>6.3371942325228525E-2</v>
      </c>
      <c r="F493" s="548">
        <v>0.12911853694099398</v>
      </c>
      <c r="G493" s="549">
        <v>0.23064607582281099</v>
      </c>
      <c r="H493" s="550">
        <v>1.4698095367857499E-2</v>
      </c>
      <c r="I493" s="551">
        <v>5.9548476258014604</v>
      </c>
      <c r="J493" s="551">
        <v>0.26629351855632699</v>
      </c>
      <c r="K493" s="551">
        <v>5.1978896689091898E-2</v>
      </c>
      <c r="L493" s="551">
        <v>1.4475780425907399E-4</v>
      </c>
      <c r="M493" s="552">
        <v>5.4329151744434603E-2</v>
      </c>
    </row>
    <row r="494" spans="2:13" ht="15.75" x14ac:dyDescent="0.25">
      <c r="B494" s="555">
        <v>2026</v>
      </c>
      <c r="C494" s="556">
        <v>2006</v>
      </c>
      <c r="D494" s="557" t="s">
        <v>3392</v>
      </c>
      <c r="E494" s="547">
        <v>6.3201375929335002E-2</v>
      </c>
      <c r="F494" s="548">
        <v>0.1294228174348088</v>
      </c>
      <c r="G494" s="549">
        <v>0.22806956196644801</v>
      </c>
      <c r="H494" s="550">
        <v>1.4608222036442299E-2</v>
      </c>
      <c r="I494" s="551">
        <v>5.9602856659887697</v>
      </c>
      <c r="J494" s="551">
        <v>0.26348396474967101</v>
      </c>
      <c r="K494" s="551">
        <v>5.1525525602329897E-2</v>
      </c>
      <c r="L494" s="551">
        <v>1.4588543093939599E-4</v>
      </c>
      <c r="M494" s="552">
        <v>5.3855281228933703E-2</v>
      </c>
    </row>
    <row r="495" spans="2:13" ht="15.75" x14ac:dyDescent="0.25">
      <c r="B495" s="555">
        <v>2026</v>
      </c>
      <c r="C495" s="556">
        <v>2007</v>
      </c>
      <c r="D495" s="557" t="s">
        <v>3393</v>
      </c>
      <c r="E495" s="547">
        <v>6.3365595803995284E-2</v>
      </c>
      <c r="F495" s="548">
        <v>0.1297906950738188</v>
      </c>
      <c r="G495" s="549">
        <v>0.16654273092361899</v>
      </c>
      <c r="H495" s="550">
        <v>1.4483473507906E-2</v>
      </c>
      <c r="I495" s="551">
        <v>3.10810003582904</v>
      </c>
      <c r="J495" s="551">
        <v>0.26180049615546602</v>
      </c>
      <c r="K495" s="551">
        <v>3.6977947229505898E-2</v>
      </c>
      <c r="L495" s="551">
        <v>1.4730831822021E-4</v>
      </c>
      <c r="M495" s="552">
        <v>3.86499259160136E-2</v>
      </c>
    </row>
    <row r="496" spans="2:13" ht="15.75" x14ac:dyDescent="0.25">
      <c r="B496" s="555">
        <v>2026</v>
      </c>
      <c r="C496" s="556">
        <v>2008</v>
      </c>
      <c r="D496" s="557" t="s">
        <v>3394</v>
      </c>
      <c r="E496" s="547">
        <v>6.360200737530515E-2</v>
      </c>
      <c r="F496" s="548">
        <v>0.13027198536879092</v>
      </c>
      <c r="G496" s="549">
        <v>0.167156552521252</v>
      </c>
      <c r="H496" s="550">
        <v>1.13034589674233E-2</v>
      </c>
      <c r="I496" s="551">
        <v>3.0899238866747001</v>
      </c>
      <c r="J496" s="551">
        <v>0.17973147798813299</v>
      </c>
      <c r="K496" s="551">
        <v>3.6911732249527401E-2</v>
      </c>
      <c r="L496" s="551">
        <v>1.70005583483783E-4</v>
      </c>
      <c r="M496" s="552">
        <v>3.8580716988465102E-2</v>
      </c>
    </row>
    <row r="497" spans="2:13" ht="15.75" x14ac:dyDescent="0.25">
      <c r="B497" s="555">
        <v>2026</v>
      </c>
      <c r="C497" s="556">
        <v>2009</v>
      </c>
      <c r="D497" s="557" t="s">
        <v>3395</v>
      </c>
      <c r="E497" s="547">
        <v>6.3598062803425129E-2</v>
      </c>
      <c r="F497" s="548">
        <v>0.12904619329428205</v>
      </c>
      <c r="G497" s="549">
        <v>0.16557889328570899</v>
      </c>
      <c r="H497" s="550">
        <v>7.9989802676993706E-3</v>
      </c>
      <c r="I497" s="551">
        <v>3.08293848690951</v>
      </c>
      <c r="J497" s="551">
        <v>9.8706737870757996E-2</v>
      </c>
      <c r="K497" s="551">
        <v>3.65296988681666E-2</v>
      </c>
      <c r="L497" s="551">
        <v>1.86399946773649E-4</v>
      </c>
      <c r="M497" s="552">
        <v>3.8181409752847097E-2</v>
      </c>
    </row>
    <row r="498" spans="2:13" ht="15.75" x14ac:dyDescent="0.25">
      <c r="B498" s="555">
        <v>2026</v>
      </c>
      <c r="C498" s="556">
        <v>2010</v>
      </c>
      <c r="D498" s="557" t="s">
        <v>3396</v>
      </c>
      <c r="E498" s="547">
        <v>6.3611415787441644E-2</v>
      </c>
      <c r="F498" s="548">
        <v>0.12798107342380882</v>
      </c>
      <c r="G498" s="549">
        <v>0.106548668461788</v>
      </c>
      <c r="H498" s="550">
        <v>7.8637145243878395E-3</v>
      </c>
      <c r="I498" s="551">
        <v>0.26746033883829601</v>
      </c>
      <c r="J498" s="551">
        <v>9.76799841192178E-2</v>
      </c>
      <c r="K498" s="551">
        <v>2.1354453459206401E-2</v>
      </c>
      <c r="L498" s="551">
        <v>2.2221008305613001E-4</v>
      </c>
      <c r="M498" s="552">
        <v>2.2320007085647901E-2</v>
      </c>
    </row>
    <row r="499" spans="2:13" ht="15.75" x14ac:dyDescent="0.25">
      <c r="B499" s="555">
        <v>2026</v>
      </c>
      <c r="C499" s="556">
        <v>2011</v>
      </c>
      <c r="D499" s="557" t="s">
        <v>3397</v>
      </c>
      <c r="E499" s="547">
        <v>6.3557714430623025E-2</v>
      </c>
      <c r="F499" s="548">
        <v>0.12966847754884434</v>
      </c>
      <c r="G499" s="549">
        <v>0.105302436404741</v>
      </c>
      <c r="H499" s="550">
        <v>8.1503543136615206E-3</v>
      </c>
      <c r="I499" s="551">
        <v>0.26272751011587903</v>
      </c>
      <c r="J499" s="551">
        <v>9.8658931475481604E-2</v>
      </c>
      <c r="K499" s="551">
        <v>2.078718309186E-2</v>
      </c>
      <c r="L499" s="551">
        <v>3.1374728274595698E-4</v>
      </c>
      <c r="M499" s="552">
        <v>2.17270872695151E-2</v>
      </c>
    </row>
    <row r="500" spans="2:13" ht="15.75" x14ac:dyDescent="0.25">
      <c r="B500" s="555">
        <v>2026</v>
      </c>
      <c r="C500" s="556">
        <v>2012</v>
      </c>
      <c r="D500" s="557" t="s">
        <v>3398</v>
      </c>
      <c r="E500" s="547">
        <v>6.3674439182726417E-2</v>
      </c>
      <c r="F500" s="548">
        <v>0.13005514614766425</v>
      </c>
      <c r="G500" s="549">
        <v>0.105600321425835</v>
      </c>
      <c r="H500" s="550">
        <v>8.2189787098002308E-3</v>
      </c>
      <c r="I500" s="551">
        <v>0.25991328962308502</v>
      </c>
      <c r="J500" s="551">
        <v>9.8753163493354001E-2</v>
      </c>
      <c r="K500" s="551">
        <v>2.0267179408022602E-2</v>
      </c>
      <c r="L500" s="551">
        <v>4.6319149310046801E-4</v>
      </c>
      <c r="M500" s="552">
        <v>2.1183571326576701E-2</v>
      </c>
    </row>
    <row r="501" spans="2:13" ht="15.75" x14ac:dyDescent="0.25">
      <c r="B501" s="555">
        <v>2026</v>
      </c>
      <c r="C501" s="556">
        <v>2013</v>
      </c>
      <c r="D501" s="557" t="s">
        <v>3399</v>
      </c>
      <c r="E501" s="547">
        <v>6.3533324920895168E-2</v>
      </c>
      <c r="F501" s="548">
        <v>0.13007297776491161</v>
      </c>
      <c r="G501" s="549">
        <v>0.10334014397931</v>
      </c>
      <c r="H501" s="550">
        <v>8.2557596985286703E-3</v>
      </c>
      <c r="I501" s="551">
        <v>0.253162409413204</v>
      </c>
      <c r="J501" s="551">
        <v>9.8121541326735007E-2</v>
      </c>
      <c r="K501" s="551">
        <v>1.9539738350408301E-2</v>
      </c>
      <c r="L501" s="551">
        <v>6.9407681979097497E-4</v>
      </c>
      <c r="M501" s="552">
        <v>2.0423238612308998E-2</v>
      </c>
    </row>
    <row r="502" spans="2:13" ht="15.75" x14ac:dyDescent="0.25">
      <c r="B502" s="555">
        <v>2026</v>
      </c>
      <c r="C502" s="556">
        <v>2014</v>
      </c>
      <c r="D502" s="557" t="s">
        <v>3400</v>
      </c>
      <c r="E502" s="547">
        <v>6.199092760334865E-2</v>
      </c>
      <c r="F502" s="548">
        <v>0.12794025249535568</v>
      </c>
      <c r="G502" s="549">
        <v>0.101494997851638</v>
      </c>
      <c r="H502" s="550">
        <v>8.2761708204306603E-3</v>
      </c>
      <c r="I502" s="551">
        <v>0.246583458955622</v>
      </c>
      <c r="J502" s="551">
        <v>9.81013042085781E-2</v>
      </c>
      <c r="K502" s="551">
        <v>1.8770716280732201E-2</v>
      </c>
      <c r="L502" s="551">
        <v>9.6308946493465705E-4</v>
      </c>
      <c r="M502" s="552">
        <v>1.9619444777127001E-2</v>
      </c>
    </row>
    <row r="503" spans="2:13" ht="15.75" x14ac:dyDescent="0.25">
      <c r="B503" s="555">
        <v>2026</v>
      </c>
      <c r="C503" s="556">
        <v>2015</v>
      </c>
      <c r="D503" s="557" t="s">
        <v>3401</v>
      </c>
      <c r="E503" s="547">
        <v>6.1465698275340354E-2</v>
      </c>
      <c r="F503" s="548">
        <v>0.12791758987799784</v>
      </c>
      <c r="G503" s="549">
        <v>9.9561081123340195E-2</v>
      </c>
      <c r="H503" s="550">
        <v>8.4602034014644705E-3</v>
      </c>
      <c r="I503" s="551">
        <v>0.23962657364275</v>
      </c>
      <c r="J503" s="551">
        <v>9.8611654378045796E-2</v>
      </c>
      <c r="K503" s="551">
        <v>1.79449302070104E-2</v>
      </c>
      <c r="L503" s="551">
        <v>1.2318568591074401E-3</v>
      </c>
      <c r="M503" s="552">
        <v>1.8756320321522999E-2</v>
      </c>
    </row>
    <row r="504" spans="2:13" ht="15.75" x14ac:dyDescent="0.25">
      <c r="B504" s="555">
        <v>2026</v>
      </c>
      <c r="C504" s="556">
        <v>2016</v>
      </c>
      <c r="D504" s="557" t="s">
        <v>3402</v>
      </c>
      <c r="E504" s="547">
        <v>5.9465927886865874E-2</v>
      </c>
      <c r="F504" s="548">
        <v>0.1240177767017512</v>
      </c>
      <c r="G504" s="549">
        <v>9.7380286689973006E-2</v>
      </c>
      <c r="H504" s="550">
        <v>7.7625468289590901E-3</v>
      </c>
      <c r="I504" s="551">
        <v>0.20336988876297099</v>
      </c>
      <c r="J504" s="551">
        <v>8.6302460648276805E-2</v>
      </c>
      <c r="K504" s="551">
        <v>1.7050726235270101E-2</v>
      </c>
      <c r="L504" s="551">
        <v>1.3865998833611001E-3</v>
      </c>
      <c r="M504" s="552">
        <v>1.7821684414151901E-2</v>
      </c>
    </row>
    <row r="505" spans="2:13" ht="15.75" x14ac:dyDescent="0.25">
      <c r="B505" s="555">
        <v>2026</v>
      </c>
      <c r="C505" s="556">
        <v>2017</v>
      </c>
      <c r="D505" s="557" t="s">
        <v>3403</v>
      </c>
      <c r="E505" s="547">
        <v>5.5953801122053996E-2</v>
      </c>
      <c r="F505" s="548">
        <v>0.1201147671946653</v>
      </c>
      <c r="G505" s="549">
        <v>8.00724545602471E-2</v>
      </c>
      <c r="H505" s="550">
        <v>7.0070400126043698E-3</v>
      </c>
      <c r="I505" s="551">
        <v>0.15373397536012801</v>
      </c>
      <c r="J505" s="551">
        <v>7.3844752005893105E-2</v>
      </c>
      <c r="K505" s="551">
        <v>1.5326889363987401E-2</v>
      </c>
      <c r="L505" s="551">
        <v>1.44499130805518E-3</v>
      </c>
      <c r="M505" s="552">
        <v>1.6019903288962599E-2</v>
      </c>
    </row>
    <row r="506" spans="2:13" ht="15.75" x14ac:dyDescent="0.25">
      <c r="B506" s="555">
        <v>2026</v>
      </c>
      <c r="C506" s="556">
        <v>2018</v>
      </c>
      <c r="D506" s="557" t="s">
        <v>3404</v>
      </c>
      <c r="E506" s="547">
        <v>5.2246420473786227E-2</v>
      </c>
      <c r="F506" s="548">
        <v>0.11496273433452049</v>
      </c>
      <c r="G506" s="549">
        <v>7.8716720888476602E-2</v>
      </c>
      <c r="H506" s="550">
        <v>6.2794251648520504E-3</v>
      </c>
      <c r="I506" s="551">
        <v>0.12139405861509001</v>
      </c>
      <c r="J506" s="551">
        <v>6.0575766994955899E-2</v>
      </c>
      <c r="K506" s="551">
        <v>1.440656570599E-2</v>
      </c>
      <c r="L506" s="551">
        <v>1.50555513083215E-3</v>
      </c>
      <c r="M506" s="552">
        <v>1.50579666790264E-2</v>
      </c>
    </row>
    <row r="507" spans="2:13" ht="15.75" x14ac:dyDescent="0.25">
      <c r="B507" s="555">
        <v>2026</v>
      </c>
      <c r="C507" s="556">
        <v>2019</v>
      </c>
      <c r="D507" s="557" t="s">
        <v>3405</v>
      </c>
      <c r="E507" s="547">
        <v>5.2227770069945577E-2</v>
      </c>
      <c r="F507" s="548">
        <v>0.1149129857740761</v>
      </c>
      <c r="G507" s="549">
        <v>7.7271768327726795E-2</v>
      </c>
      <c r="H507" s="550">
        <v>5.5998891324105602E-3</v>
      </c>
      <c r="I507" s="551">
        <v>0.100747836949097</v>
      </c>
      <c r="J507" s="551">
        <v>5.11819607413019E-2</v>
      </c>
      <c r="K507" s="551">
        <v>1.34276788932314E-2</v>
      </c>
      <c r="L507" s="551">
        <v>1.5461270880651899E-3</v>
      </c>
      <c r="M507" s="552">
        <v>1.40348189483407E-2</v>
      </c>
    </row>
    <row r="508" spans="2:13" ht="15.75" x14ac:dyDescent="0.25">
      <c r="B508" s="555">
        <v>2026</v>
      </c>
      <c r="C508" s="556">
        <v>2020</v>
      </c>
      <c r="D508" s="557" t="s">
        <v>3406</v>
      </c>
      <c r="E508" s="547">
        <v>5.2208355711949123E-2</v>
      </c>
      <c r="F508" s="548">
        <v>0.11486160348052954</v>
      </c>
      <c r="G508" s="549">
        <v>7.5736976852464402E-2</v>
      </c>
      <c r="H508" s="550">
        <v>4.91830080976236E-3</v>
      </c>
      <c r="I508" s="551">
        <v>8.0900152255842905E-2</v>
      </c>
      <c r="J508" s="551">
        <v>4.2205033745129301E-2</v>
      </c>
      <c r="K508" s="551">
        <v>1.2390182476354801E-2</v>
      </c>
      <c r="L508" s="551">
        <v>1.54663689962962E-3</v>
      </c>
      <c r="M508" s="552">
        <v>1.29504115473152E-2</v>
      </c>
    </row>
    <row r="509" spans="2:13" ht="15.75" x14ac:dyDescent="0.25">
      <c r="B509" s="555">
        <v>2026</v>
      </c>
      <c r="C509" s="556">
        <v>2021</v>
      </c>
      <c r="D509" s="557" t="s">
        <v>3407</v>
      </c>
      <c r="E509" s="547">
        <v>5.0883289628991878E-2</v>
      </c>
      <c r="F509" s="548">
        <v>0.11194198460437239</v>
      </c>
      <c r="G509" s="549">
        <v>7.4113059997594599E-2</v>
      </c>
      <c r="H509" s="550">
        <v>4.3097462200681102E-3</v>
      </c>
      <c r="I509" s="551">
        <v>6.2467772436265397E-2</v>
      </c>
      <c r="J509" s="551">
        <v>3.39030731567272E-2</v>
      </c>
      <c r="K509" s="551">
        <v>1.12940816022553E-2</v>
      </c>
      <c r="L509" s="551">
        <v>1.5471671047817799E-3</v>
      </c>
      <c r="M509" s="552">
        <v>1.18047498555644E-2</v>
      </c>
    </row>
    <row r="510" spans="2:13" ht="15.75" x14ac:dyDescent="0.25">
      <c r="B510" s="555">
        <v>2026</v>
      </c>
      <c r="C510" s="556">
        <v>2022</v>
      </c>
      <c r="D510" s="557" t="s">
        <v>3408</v>
      </c>
      <c r="E510" s="547">
        <v>4.9609920715664023E-2</v>
      </c>
      <c r="F510" s="548">
        <v>0.10913852790322219</v>
      </c>
      <c r="G510" s="549">
        <v>7.2397799815072605E-2</v>
      </c>
      <c r="H510" s="550">
        <v>3.8642060107567698E-3</v>
      </c>
      <c r="I510" s="551">
        <v>4.4995797785394601E-2</v>
      </c>
      <c r="J510" s="551">
        <v>2.68862710815772E-2</v>
      </c>
      <c r="K510" s="551">
        <v>1.0139252572391301E-2</v>
      </c>
      <c r="L510" s="551">
        <v>1.5476957772223099E-3</v>
      </c>
      <c r="M510" s="552">
        <v>1.05977045814479E-2</v>
      </c>
    </row>
    <row r="511" spans="2:13" ht="15.75" x14ac:dyDescent="0.25">
      <c r="B511" s="555">
        <v>2026</v>
      </c>
      <c r="C511" s="556">
        <v>2023</v>
      </c>
      <c r="D511" s="557" t="s">
        <v>3409</v>
      </c>
      <c r="E511" s="547">
        <v>4.8335665139878158E-2</v>
      </c>
      <c r="F511" s="548">
        <v>0.10633802611388034</v>
      </c>
      <c r="G511" s="549">
        <v>7.0592243512958897E-2</v>
      </c>
      <c r="H511" s="550">
        <v>4.2711280950122402E-3</v>
      </c>
      <c r="I511" s="551">
        <v>4.2542925907669199E-2</v>
      </c>
      <c r="J511" s="551">
        <v>2.8913592690096399E-2</v>
      </c>
      <c r="K511" s="551">
        <v>8.9257134652091091E-3</v>
      </c>
      <c r="L511" s="551">
        <v>1.5482367819058399E-3</v>
      </c>
      <c r="M511" s="552">
        <v>9.3292946208389602E-3</v>
      </c>
    </row>
    <row r="512" spans="2:13" ht="15.75" x14ac:dyDescent="0.25">
      <c r="B512" s="555">
        <v>2026</v>
      </c>
      <c r="C512" s="556">
        <v>2024</v>
      </c>
      <c r="D512" s="557" t="s">
        <v>3410</v>
      </c>
      <c r="E512" s="547">
        <v>4.7111640765133175E-2</v>
      </c>
      <c r="F512" s="548">
        <v>0.10365020173962752</v>
      </c>
      <c r="G512" s="549">
        <v>6.8694996192535399E-2</v>
      </c>
      <c r="H512" s="550">
        <v>4.94626519999902E-3</v>
      </c>
      <c r="I512" s="551">
        <v>3.9969854237738203E-2</v>
      </c>
      <c r="J512" s="551">
        <v>3.2964704059850802E-2</v>
      </c>
      <c r="K512" s="551">
        <v>7.6533874363309802E-3</v>
      </c>
      <c r="L512" s="551">
        <v>1.5487771519377099E-3</v>
      </c>
      <c r="M512" s="552">
        <v>7.9994396547981E-3</v>
      </c>
    </row>
    <row r="513" spans="2:13" ht="15.75" x14ac:dyDescent="0.25">
      <c r="B513" s="555">
        <v>2026</v>
      </c>
      <c r="C513" s="556">
        <v>2025</v>
      </c>
      <c r="D513" s="557" t="s">
        <v>3411</v>
      </c>
      <c r="E513" s="547">
        <v>4.5883940400485705E-2</v>
      </c>
      <c r="F513" s="548">
        <v>0.10095046041482543</v>
      </c>
      <c r="G513" s="549">
        <v>6.6707008487760303E-2</v>
      </c>
      <c r="H513" s="550">
        <v>5.6160764122236998E-3</v>
      </c>
      <c r="I513" s="551">
        <v>3.72767901265873E-2</v>
      </c>
      <c r="J513" s="551">
        <v>3.6455481638628398E-2</v>
      </c>
      <c r="K513" s="551">
        <v>6.3222744545469401E-3</v>
      </c>
      <c r="L513" s="551">
        <v>1.54933067770296E-3</v>
      </c>
      <c r="M513" s="552">
        <v>6.6081396507041597E-3</v>
      </c>
    </row>
    <row r="514" spans="2:13" ht="15.75" x14ac:dyDescent="0.25">
      <c r="B514" s="555">
        <v>2026</v>
      </c>
      <c r="C514" s="556">
        <v>2026</v>
      </c>
      <c r="D514" s="557" t="s">
        <v>3412</v>
      </c>
      <c r="E514" s="547">
        <v>4.4699143531332294E-2</v>
      </c>
      <c r="F514" s="548">
        <v>9.8325482940077175E-2</v>
      </c>
      <c r="G514" s="549">
        <v>6.4626928412493595E-2</v>
      </c>
      <c r="H514" s="550">
        <v>5.4001129039134999E-3</v>
      </c>
      <c r="I514" s="551">
        <v>3.4466978197384097E-2</v>
      </c>
      <c r="J514" s="551">
        <v>3.4318577679659498E-2</v>
      </c>
      <c r="K514" s="551">
        <v>4.9323037984148697E-3</v>
      </c>
      <c r="L514" s="551">
        <v>1.5498834116716301E-3</v>
      </c>
      <c r="M514" s="552">
        <v>5.1553206894052296E-3</v>
      </c>
    </row>
    <row r="515" spans="2:13" ht="15.75" x14ac:dyDescent="0.25">
      <c r="B515" s="555">
        <v>2027</v>
      </c>
      <c r="C515" s="556">
        <v>1983</v>
      </c>
      <c r="D515" s="557" t="s">
        <v>3413</v>
      </c>
      <c r="E515" s="547">
        <v>6.2250992295903314E-2</v>
      </c>
      <c r="F515" s="548">
        <v>0.14575202254945765</v>
      </c>
      <c r="G515" s="549">
        <v>0.21327038620712799</v>
      </c>
      <c r="H515" s="550">
        <v>2.5954942185567802</v>
      </c>
      <c r="I515" s="551">
        <v>5.2120260425897396</v>
      </c>
      <c r="J515" s="551">
        <v>4.0615620407834401</v>
      </c>
      <c r="K515" s="551">
        <v>0.16074933670620201</v>
      </c>
      <c r="L515" s="551">
        <v>1.62193107989884E-2</v>
      </c>
      <c r="M515" s="552">
        <v>0.16801770839743899</v>
      </c>
    </row>
    <row r="516" spans="2:13" ht="15.75" x14ac:dyDescent="0.25">
      <c r="B516" s="555">
        <v>2027</v>
      </c>
      <c r="C516" s="556">
        <v>1984</v>
      </c>
      <c r="D516" s="557" t="s">
        <v>3414</v>
      </c>
      <c r="E516" s="547">
        <v>6.2757891823014583E-2</v>
      </c>
      <c r="F516" s="548">
        <v>0.14496571807399811</v>
      </c>
      <c r="G516" s="549">
        <v>0.21739404503822299</v>
      </c>
      <c r="H516" s="550">
        <v>1.9058620220787801</v>
      </c>
      <c r="I516" s="551">
        <v>5.1918400229134196</v>
      </c>
      <c r="J516" s="551">
        <v>4.05263682858088</v>
      </c>
      <c r="K516" s="551">
        <v>0.163857482350283</v>
      </c>
      <c r="L516" s="551">
        <v>1.59100001554912E-2</v>
      </c>
      <c r="M516" s="552">
        <v>0.17126639059535301</v>
      </c>
    </row>
    <row r="517" spans="2:13" ht="15.75" x14ac:dyDescent="0.25">
      <c r="B517" s="555">
        <v>2027</v>
      </c>
      <c r="C517" s="556">
        <v>1985</v>
      </c>
      <c r="D517" s="557" t="s">
        <v>3415</v>
      </c>
      <c r="E517" s="547">
        <v>6.4786499992782132E-2</v>
      </c>
      <c r="F517" s="548">
        <v>0.14307194752786656</v>
      </c>
      <c r="G517" s="549">
        <v>0.230922973361326</v>
      </c>
      <c r="H517" s="550">
        <v>1.8435407276581599</v>
      </c>
      <c r="I517" s="551">
        <v>5.03805137830311</v>
      </c>
      <c r="J517" s="551">
        <v>4.1086962167473402</v>
      </c>
      <c r="K517" s="551">
        <v>0.17405470800810299</v>
      </c>
      <c r="L517" s="551">
        <v>1.5597851687679E-2</v>
      </c>
      <c r="M517" s="552">
        <v>0.181924689547901</v>
      </c>
    </row>
    <row r="518" spans="2:13" ht="15.75" x14ac:dyDescent="0.25">
      <c r="B518" s="555">
        <v>2027</v>
      </c>
      <c r="C518" s="556">
        <v>1986</v>
      </c>
      <c r="D518" s="557" t="s">
        <v>3416</v>
      </c>
      <c r="E518" s="547">
        <v>6.4005311689365393E-2</v>
      </c>
      <c r="F518" s="548">
        <v>0.14307238739138584</v>
      </c>
      <c r="G518" s="549">
        <v>0.22634559876589999</v>
      </c>
      <c r="H518" s="550">
        <v>1.8359318495624599</v>
      </c>
      <c r="I518" s="551">
        <v>5.1058891910927402</v>
      </c>
      <c r="J518" s="551">
        <v>3.8713254170241398</v>
      </c>
      <c r="K518" s="551">
        <v>0.170604580950351</v>
      </c>
      <c r="L518" s="551">
        <v>1.56215919506124E-2</v>
      </c>
      <c r="M518" s="552">
        <v>0.17831856305430999</v>
      </c>
    </row>
    <row r="519" spans="2:13" ht="15.75" x14ac:dyDescent="0.25">
      <c r="B519" s="555">
        <v>2027</v>
      </c>
      <c r="C519" s="556">
        <v>1987</v>
      </c>
      <c r="D519" s="557" t="s">
        <v>3417</v>
      </c>
      <c r="E519" s="547">
        <v>6.3730243845507878E-2</v>
      </c>
      <c r="F519" s="548">
        <v>0.1411601392868006</v>
      </c>
      <c r="G519" s="549">
        <v>0.28225352369378698</v>
      </c>
      <c r="H519" s="550">
        <v>1.78505490130206</v>
      </c>
      <c r="I519" s="551">
        <v>5.2184998950599404</v>
      </c>
      <c r="J519" s="551">
        <v>3.9596559441152599</v>
      </c>
      <c r="K519" s="551">
        <v>0.19222524371601399</v>
      </c>
      <c r="L519" s="551">
        <v>1.52808604092199E-2</v>
      </c>
      <c r="M519" s="552">
        <v>0.20091681624996599</v>
      </c>
    </row>
    <row r="520" spans="2:13" ht="15.75" x14ac:dyDescent="0.25">
      <c r="B520" s="555">
        <v>2027</v>
      </c>
      <c r="C520" s="556">
        <v>1988</v>
      </c>
      <c r="D520" s="557" t="s">
        <v>3418</v>
      </c>
      <c r="E520" s="547">
        <v>6.3118513418257388E-2</v>
      </c>
      <c r="F520" s="548">
        <v>0.13415193338664985</v>
      </c>
      <c r="G520" s="549">
        <v>0.27727198721756102</v>
      </c>
      <c r="H520" s="550">
        <v>0.43962443115989602</v>
      </c>
      <c r="I520" s="551">
        <v>5.2635608326910299</v>
      </c>
      <c r="J520" s="551">
        <v>1.68405256508339</v>
      </c>
      <c r="K520" s="551">
        <v>0.18883263039912401</v>
      </c>
      <c r="L520" s="551">
        <v>1.41630615408258E-2</v>
      </c>
      <c r="M520" s="552">
        <v>0.197370804013385</v>
      </c>
    </row>
    <row r="521" spans="2:13" ht="15.75" x14ac:dyDescent="0.25">
      <c r="B521" s="555">
        <v>2027</v>
      </c>
      <c r="C521" s="556">
        <v>1989</v>
      </c>
      <c r="D521" s="557" t="s">
        <v>3419</v>
      </c>
      <c r="E521" s="547">
        <v>6.2900292957240159E-2</v>
      </c>
      <c r="F521" s="548">
        <v>0.13355524300707661</v>
      </c>
      <c r="G521" s="549">
        <v>0.275837202325041</v>
      </c>
      <c r="H521" s="550">
        <v>0.43310898638106499</v>
      </c>
      <c r="I521" s="551">
        <v>5.2842633425910597</v>
      </c>
      <c r="J521" s="551">
        <v>1.67493001281659</v>
      </c>
      <c r="K521" s="551">
        <v>0.187855488034219</v>
      </c>
      <c r="L521" s="551">
        <v>1.4023613656173601E-2</v>
      </c>
      <c r="M521" s="552">
        <v>0.19634947960674401</v>
      </c>
    </row>
    <row r="522" spans="2:13" ht="15.75" x14ac:dyDescent="0.25">
      <c r="B522" s="555">
        <v>2027</v>
      </c>
      <c r="C522" s="556">
        <v>1990</v>
      </c>
      <c r="D522" s="557" t="s">
        <v>3420</v>
      </c>
      <c r="E522" s="547">
        <v>6.2905530333965579E-2</v>
      </c>
      <c r="F522" s="548">
        <v>0.13440690481606368</v>
      </c>
      <c r="G522" s="549">
        <v>0.27624293991109</v>
      </c>
      <c r="H522" s="550">
        <v>0.438547826188186</v>
      </c>
      <c r="I522" s="551">
        <v>5.2864832081716502</v>
      </c>
      <c r="J522" s="551">
        <v>1.68219719836717</v>
      </c>
      <c r="K522" s="551">
        <v>0.18813181055924</v>
      </c>
      <c r="L522" s="551">
        <v>1.4281800794285E-2</v>
      </c>
      <c r="M522" s="552">
        <v>0.196638296210184</v>
      </c>
    </row>
    <row r="523" spans="2:13" ht="15.75" x14ac:dyDescent="0.25">
      <c r="B523" s="555">
        <v>2027</v>
      </c>
      <c r="C523" s="556">
        <v>1991</v>
      </c>
      <c r="D523" s="557" t="s">
        <v>3421</v>
      </c>
      <c r="E523" s="547">
        <v>6.383414908936999E-2</v>
      </c>
      <c r="F523" s="548">
        <v>0.13406557030119035</v>
      </c>
      <c r="G523" s="549">
        <v>0.36450598375415599</v>
      </c>
      <c r="H523" s="550">
        <v>0.48412866365799501</v>
      </c>
      <c r="I523" s="551">
        <v>9.2232065831372605</v>
      </c>
      <c r="J523" s="551">
        <v>2.9286864329311499</v>
      </c>
      <c r="K523" s="551">
        <v>5.1658986801758101E-2</v>
      </c>
      <c r="L523" s="551">
        <v>7.7669113242656096E-3</v>
      </c>
      <c r="M523" s="552">
        <v>5.3994776951574702E-2</v>
      </c>
    </row>
    <row r="524" spans="2:13" ht="15.75" x14ac:dyDescent="0.25">
      <c r="B524" s="555">
        <v>2027</v>
      </c>
      <c r="C524" s="556">
        <v>1992</v>
      </c>
      <c r="D524" s="557" t="s">
        <v>3422</v>
      </c>
      <c r="E524" s="547">
        <v>6.4051460868585056E-2</v>
      </c>
      <c r="F524" s="548">
        <v>0.13486951735880928</v>
      </c>
      <c r="G524" s="549">
        <v>0.36721449791310001</v>
      </c>
      <c r="H524" s="550">
        <v>0.49130074201538598</v>
      </c>
      <c r="I524" s="551">
        <v>9.1905864742458299</v>
      </c>
      <c r="J524" s="551">
        <v>2.9511253220192</v>
      </c>
      <c r="K524" s="551">
        <v>5.2042846336101602E-2</v>
      </c>
      <c r="L524" s="551">
        <v>7.9150541628886396E-3</v>
      </c>
      <c r="M524" s="552">
        <v>5.4395992910709803E-2</v>
      </c>
    </row>
    <row r="525" spans="2:13" ht="15.75" x14ac:dyDescent="0.25">
      <c r="B525" s="555">
        <v>2027</v>
      </c>
      <c r="C525" s="556">
        <v>1993</v>
      </c>
      <c r="D525" s="557" t="s">
        <v>3423</v>
      </c>
      <c r="E525" s="547">
        <v>6.4100783942997258E-2</v>
      </c>
      <c r="F525" s="548">
        <v>0.13418481907495619</v>
      </c>
      <c r="G525" s="549">
        <v>0.368107224126414</v>
      </c>
      <c r="H525" s="550">
        <v>0.48359129574849402</v>
      </c>
      <c r="I525" s="551">
        <v>9.1848068021876408</v>
      </c>
      <c r="J525" s="551">
        <v>2.9333798755725402</v>
      </c>
      <c r="K525" s="551">
        <v>5.2169366431042599E-2</v>
      </c>
      <c r="L525" s="551">
        <v>7.8204523037444899E-3</v>
      </c>
      <c r="M525" s="552">
        <v>5.4528233682919397E-2</v>
      </c>
    </row>
    <row r="526" spans="2:13" ht="15.75" x14ac:dyDescent="0.25">
      <c r="B526" s="555">
        <v>2027</v>
      </c>
      <c r="C526" s="556">
        <v>1994</v>
      </c>
      <c r="D526" s="557" t="s">
        <v>3424</v>
      </c>
      <c r="E526" s="547">
        <v>6.3741546284810185E-2</v>
      </c>
      <c r="F526" s="548">
        <v>0.13322629419454896</v>
      </c>
      <c r="G526" s="549">
        <v>0.36200685043526898</v>
      </c>
      <c r="H526" s="550">
        <v>0.47361011631141797</v>
      </c>
      <c r="I526" s="551">
        <v>9.2467344088644001</v>
      </c>
      <c r="J526" s="551">
        <v>2.9119591441242898</v>
      </c>
      <c r="K526" s="551">
        <v>5.1835170732156398E-2</v>
      </c>
      <c r="L526" s="551">
        <v>7.6818676181964604E-3</v>
      </c>
      <c r="M526" s="552">
        <v>5.4178927137500998E-2</v>
      </c>
    </row>
    <row r="527" spans="2:13" ht="15.75" x14ac:dyDescent="0.25">
      <c r="B527" s="555">
        <v>2027</v>
      </c>
      <c r="C527" s="556">
        <v>1995</v>
      </c>
      <c r="D527" s="557" t="s">
        <v>3425</v>
      </c>
      <c r="E527" s="547">
        <v>6.4078438982031138E-2</v>
      </c>
      <c r="F527" s="548">
        <v>0.13245913878482732</v>
      </c>
      <c r="G527" s="549">
        <v>0.36616299545574499</v>
      </c>
      <c r="H527" s="550">
        <v>0.25290758603656899</v>
      </c>
      <c r="I527" s="551">
        <v>9.2228495747189001</v>
      </c>
      <c r="J527" s="551">
        <v>1.6621653529481299</v>
      </c>
      <c r="K527" s="551">
        <v>5.2430282361853403E-2</v>
      </c>
      <c r="L527" s="551">
        <v>5.0182100426038401E-3</v>
      </c>
      <c r="M527" s="552">
        <v>5.4800947074324202E-2</v>
      </c>
    </row>
    <row r="528" spans="2:13" ht="15.75" x14ac:dyDescent="0.25">
      <c r="B528" s="555">
        <v>2027</v>
      </c>
      <c r="C528" s="556">
        <v>1996</v>
      </c>
      <c r="D528" s="557" t="s">
        <v>3426</v>
      </c>
      <c r="E528" s="547">
        <v>6.4099303087442286E-2</v>
      </c>
      <c r="F528" s="548">
        <v>0.130950530560388</v>
      </c>
      <c r="G528" s="549">
        <v>0.36645493559089298</v>
      </c>
      <c r="H528" s="550">
        <v>2.2894477059031301E-2</v>
      </c>
      <c r="I528" s="551">
        <v>9.2182089532465596</v>
      </c>
      <c r="J528" s="551">
        <v>0.39553769106690401</v>
      </c>
      <c r="K528" s="551">
        <v>5.2472084793853603E-2</v>
      </c>
      <c r="L528" s="551">
        <v>2.2314988894750502E-3</v>
      </c>
      <c r="M528" s="552">
        <v>5.4844639626803901E-2</v>
      </c>
    </row>
    <row r="529" spans="2:13" ht="15.75" x14ac:dyDescent="0.25">
      <c r="B529" s="555">
        <v>2027</v>
      </c>
      <c r="C529" s="556">
        <v>1997</v>
      </c>
      <c r="D529" s="557" t="s">
        <v>3427</v>
      </c>
      <c r="E529" s="547">
        <v>6.4344532377900748E-2</v>
      </c>
      <c r="F529" s="548">
        <v>0.12959191552404006</v>
      </c>
      <c r="G529" s="549">
        <v>0.36925649397037502</v>
      </c>
      <c r="H529" s="550">
        <v>2.2271335547344201E-2</v>
      </c>
      <c r="I529" s="551">
        <v>9.1767166709023797</v>
      </c>
      <c r="J529" s="551">
        <v>0.39153135639185699</v>
      </c>
      <c r="K529" s="551">
        <v>5.2873235370816403E-2</v>
      </c>
      <c r="L529" s="551">
        <v>2.1732853737754798E-3</v>
      </c>
      <c r="M529" s="552">
        <v>5.5263928452777597E-2</v>
      </c>
    </row>
    <row r="530" spans="2:13" ht="15.75" x14ac:dyDescent="0.25">
      <c r="B530" s="555">
        <v>2027</v>
      </c>
      <c r="C530" s="556">
        <v>1998</v>
      </c>
      <c r="D530" s="557" t="s">
        <v>3428</v>
      </c>
      <c r="E530" s="547">
        <v>6.4148243240179731E-2</v>
      </c>
      <c r="F530" s="548">
        <v>0.13012474630324586</v>
      </c>
      <c r="G530" s="549">
        <v>0.367814194897014</v>
      </c>
      <c r="H530" s="550">
        <v>2.2505479822875599E-2</v>
      </c>
      <c r="I530" s="551">
        <v>9.2142750336432897</v>
      </c>
      <c r="J530" s="551">
        <v>0.393248507291101</v>
      </c>
      <c r="K530" s="551">
        <v>5.2666714917889497E-2</v>
      </c>
      <c r="L530" s="551">
        <v>2.2000533692120498E-3</v>
      </c>
      <c r="M530" s="552">
        <v>5.50480700613903E-2</v>
      </c>
    </row>
    <row r="531" spans="2:13" ht="15.75" x14ac:dyDescent="0.25">
      <c r="B531" s="555">
        <v>2027</v>
      </c>
      <c r="C531" s="556">
        <v>1999</v>
      </c>
      <c r="D531" s="557" t="s">
        <v>3429</v>
      </c>
      <c r="E531" s="547">
        <v>6.4068427997674274E-2</v>
      </c>
      <c r="F531" s="548">
        <v>0.12998097132522748</v>
      </c>
      <c r="G531" s="549">
        <v>0.36712662831026599</v>
      </c>
      <c r="H531" s="550">
        <v>2.24884952551315E-2</v>
      </c>
      <c r="I531" s="551">
        <v>9.2175679055113608</v>
      </c>
      <c r="J531" s="551">
        <v>0.39332447811643501</v>
      </c>
      <c r="K531" s="551">
        <v>5.2568263379276503E-2</v>
      </c>
      <c r="L531" s="551">
        <v>2.1940733016568401E-3</v>
      </c>
      <c r="M531" s="552">
        <v>5.4945166981073497E-2</v>
      </c>
    </row>
    <row r="532" spans="2:13" ht="15.75" x14ac:dyDescent="0.25">
      <c r="B532" s="555">
        <v>2027</v>
      </c>
      <c r="C532" s="556">
        <v>2000</v>
      </c>
      <c r="D532" s="557" t="s">
        <v>3430</v>
      </c>
      <c r="E532" s="547">
        <v>6.382300912602866E-2</v>
      </c>
      <c r="F532" s="548">
        <v>0.1304122920627116</v>
      </c>
      <c r="G532" s="549">
        <v>0.36476347484531602</v>
      </c>
      <c r="H532" s="550">
        <v>2.26798372913334E-2</v>
      </c>
      <c r="I532" s="551">
        <v>9.2480752180566892</v>
      </c>
      <c r="J532" s="551">
        <v>0.39526514591700601</v>
      </c>
      <c r="K532" s="551">
        <v>5.2229887287291797E-2</v>
      </c>
      <c r="L532" s="551">
        <v>2.2163766590084298E-3</v>
      </c>
      <c r="M532" s="552">
        <v>5.4591491023730801E-2</v>
      </c>
    </row>
    <row r="533" spans="2:13" ht="15.75" x14ac:dyDescent="0.25">
      <c r="B533" s="555">
        <v>2027</v>
      </c>
      <c r="C533" s="556">
        <v>2001</v>
      </c>
      <c r="D533" s="557" t="s">
        <v>3431</v>
      </c>
      <c r="E533" s="547">
        <v>6.4044327349317684E-2</v>
      </c>
      <c r="F533" s="548">
        <v>0.13059574023758139</v>
      </c>
      <c r="G533" s="549">
        <v>0.36730799865775599</v>
      </c>
      <c r="H533" s="550">
        <v>2.2780820390957301E-2</v>
      </c>
      <c r="I533" s="551">
        <v>9.2128468530815102</v>
      </c>
      <c r="J533" s="551">
        <v>0.39670519372364998</v>
      </c>
      <c r="K533" s="551">
        <v>5.2594233503644498E-2</v>
      </c>
      <c r="L533" s="551">
        <v>2.22894563718141E-3</v>
      </c>
      <c r="M533" s="552">
        <v>5.4972311359224701E-2</v>
      </c>
    </row>
    <row r="534" spans="2:13" ht="15.75" x14ac:dyDescent="0.25">
      <c r="B534" s="555">
        <v>2027</v>
      </c>
      <c r="C534" s="556">
        <v>2002</v>
      </c>
      <c r="D534" s="557" t="s">
        <v>3432</v>
      </c>
      <c r="E534" s="547">
        <v>6.3887830796716435E-2</v>
      </c>
      <c r="F534" s="548">
        <v>0.13044823712476339</v>
      </c>
      <c r="G534" s="549">
        <v>0.28388382871399997</v>
      </c>
      <c r="H534" s="550">
        <v>2.2733497142430201E-2</v>
      </c>
      <c r="I534" s="551">
        <v>7.1085388362494104</v>
      </c>
      <c r="J534" s="551">
        <v>0.319309741627129</v>
      </c>
      <c r="K534" s="551">
        <v>5.2915351606715101E-2</v>
      </c>
      <c r="L534" s="551">
        <v>2.2264489386242601E-3</v>
      </c>
      <c r="M534" s="552">
        <v>5.5307948997975601E-2</v>
      </c>
    </row>
    <row r="535" spans="2:13" ht="15.75" x14ac:dyDescent="0.25">
      <c r="B535" s="555">
        <v>2027</v>
      </c>
      <c r="C535" s="556">
        <v>2003</v>
      </c>
      <c r="D535" s="557" t="s">
        <v>3433</v>
      </c>
      <c r="E535" s="547">
        <v>6.3587590828266483E-2</v>
      </c>
      <c r="F535" s="548">
        <v>0.12986100722935853</v>
      </c>
      <c r="G535" s="549">
        <v>0.28164011891224</v>
      </c>
      <c r="H535" s="550">
        <v>2.24879877717723E-2</v>
      </c>
      <c r="I535" s="551">
        <v>7.1363035724326203</v>
      </c>
      <c r="J535" s="551">
        <v>0.319186223793818</v>
      </c>
      <c r="K535" s="551">
        <v>5.2497128794935302E-2</v>
      </c>
      <c r="L535" s="551">
        <v>2.2028754569085899E-3</v>
      </c>
      <c r="M535" s="552">
        <v>5.48708160064834E-2</v>
      </c>
    </row>
    <row r="536" spans="2:13" ht="15.75" x14ac:dyDescent="0.25">
      <c r="B536" s="555">
        <v>2027</v>
      </c>
      <c r="C536" s="556">
        <v>2004</v>
      </c>
      <c r="D536" s="557" t="s">
        <v>3434</v>
      </c>
      <c r="E536" s="547">
        <v>6.3360056707747012E-2</v>
      </c>
      <c r="F536" s="548">
        <v>0.12882234503830098</v>
      </c>
      <c r="G536" s="549">
        <v>0.232133775531985</v>
      </c>
      <c r="H536" s="550">
        <v>1.4726599157869899E-2</v>
      </c>
      <c r="I536" s="551">
        <v>5.9689710223295798</v>
      </c>
      <c r="J536" s="551">
        <v>0.269297412003349</v>
      </c>
      <c r="K536" s="551">
        <v>5.21590658551346E-2</v>
      </c>
      <c r="L536" s="551">
        <v>1.4332792620675201E-4</v>
      </c>
      <c r="M536" s="552">
        <v>5.4517467360677002E-2</v>
      </c>
    </row>
    <row r="537" spans="2:13" ht="15.75" x14ac:dyDescent="0.25">
      <c r="B537" s="555">
        <v>2027</v>
      </c>
      <c r="C537" s="556">
        <v>2005</v>
      </c>
      <c r="D537" s="557" t="s">
        <v>3435</v>
      </c>
      <c r="E537" s="547">
        <v>6.3406826006035213E-2</v>
      </c>
      <c r="F537" s="548">
        <v>0.12920740243800283</v>
      </c>
      <c r="G537" s="549">
        <v>0.231774517817364</v>
      </c>
      <c r="H537" s="550">
        <v>1.48162457339793E-2</v>
      </c>
      <c r="I537" s="551">
        <v>5.9572830572318596</v>
      </c>
      <c r="J537" s="551">
        <v>0.26920504422336899</v>
      </c>
      <c r="K537" s="551">
        <v>5.2138795615640901E-2</v>
      </c>
      <c r="L537" s="551">
        <v>1.4477760090806101E-4</v>
      </c>
      <c r="M537" s="552">
        <v>5.4496280590901197E-2</v>
      </c>
    </row>
    <row r="538" spans="2:13" ht="15.75" x14ac:dyDescent="0.25">
      <c r="B538" s="555">
        <v>2027</v>
      </c>
      <c r="C538" s="556">
        <v>2006</v>
      </c>
      <c r="D538" s="557" t="s">
        <v>3436</v>
      </c>
      <c r="E538" s="547">
        <v>6.3236425826390094E-2</v>
      </c>
      <c r="F538" s="548">
        <v>0.12951174373971927</v>
      </c>
      <c r="G538" s="549">
        <v>0.229586994372599</v>
      </c>
      <c r="H538" s="550">
        <v>1.4781666498775801E-2</v>
      </c>
      <c r="I538" s="551">
        <v>5.96359858620671</v>
      </c>
      <c r="J538" s="551">
        <v>0.26757687747741299</v>
      </c>
      <c r="K538" s="551">
        <v>5.1740219811154398E-2</v>
      </c>
      <c r="L538" s="551">
        <v>1.45908659264278E-4</v>
      </c>
      <c r="M538" s="552">
        <v>5.4079682957189699E-2</v>
      </c>
    </row>
    <row r="539" spans="2:13" ht="15.75" x14ac:dyDescent="0.25">
      <c r="B539" s="555">
        <v>2027</v>
      </c>
      <c r="C539" s="556">
        <v>2007</v>
      </c>
      <c r="D539" s="557" t="s">
        <v>3437</v>
      </c>
      <c r="E539" s="547">
        <v>6.3399785702750525E-2</v>
      </c>
      <c r="F539" s="548">
        <v>0.12987879051689946</v>
      </c>
      <c r="G539" s="549">
        <v>0.167765990968121</v>
      </c>
      <c r="H539" s="550">
        <v>1.4689628496938801E-2</v>
      </c>
      <c r="I539" s="551">
        <v>3.1113930334403501</v>
      </c>
      <c r="J539" s="551">
        <v>0.26585801553663801</v>
      </c>
      <c r="K539" s="551">
        <v>3.7261325697533702E-2</v>
      </c>
      <c r="L539" s="551">
        <v>1.4732818084818401E-4</v>
      </c>
      <c r="M539" s="552">
        <v>3.8946117500892198E-2</v>
      </c>
    </row>
    <row r="540" spans="2:13" ht="15.75" x14ac:dyDescent="0.25">
      <c r="B540" s="555">
        <v>2027</v>
      </c>
      <c r="C540" s="556">
        <v>2008</v>
      </c>
      <c r="D540" s="557" t="s">
        <v>3438</v>
      </c>
      <c r="E540" s="547">
        <v>6.3635916413866844E-2</v>
      </c>
      <c r="F540" s="548">
        <v>0.13035932349819809</v>
      </c>
      <c r="G540" s="549">
        <v>0.16864303820542401</v>
      </c>
      <c r="H540" s="550">
        <v>1.14295407936E-2</v>
      </c>
      <c r="I540" s="551">
        <v>3.09391283603571</v>
      </c>
      <c r="J540" s="551">
        <v>0.183166792684298</v>
      </c>
      <c r="K540" s="551">
        <v>3.7255822732016199E-2</v>
      </c>
      <c r="L540" s="551">
        <v>1.7002916918111899E-4</v>
      </c>
      <c r="M540" s="552">
        <v>3.8940365715693002E-2</v>
      </c>
    </row>
    <row r="541" spans="2:13" ht="15.75" x14ac:dyDescent="0.25">
      <c r="B541" s="555">
        <v>2027</v>
      </c>
      <c r="C541" s="556">
        <v>2009</v>
      </c>
      <c r="D541" s="557" t="s">
        <v>3439</v>
      </c>
      <c r="E541" s="547">
        <v>6.3631782145023574E-2</v>
      </c>
      <c r="F541" s="548">
        <v>0.12913460599633533</v>
      </c>
      <c r="G541" s="549">
        <v>0.167319246443631</v>
      </c>
      <c r="H541" s="550">
        <v>8.0058275300962396E-3</v>
      </c>
      <c r="I541" s="551">
        <v>3.0876178499434901</v>
      </c>
      <c r="J541" s="551">
        <v>0.100243089622484</v>
      </c>
      <c r="K541" s="551">
        <v>3.6932830446514998E-2</v>
      </c>
      <c r="L541" s="551">
        <v>1.8643770191245201E-4</v>
      </c>
      <c r="M541" s="552">
        <v>3.8602769152298599E-2</v>
      </c>
    </row>
    <row r="542" spans="2:13" ht="15.75" x14ac:dyDescent="0.25">
      <c r="B542" s="555">
        <v>2027</v>
      </c>
      <c r="C542" s="556">
        <v>2010</v>
      </c>
      <c r="D542" s="557" t="s">
        <v>3440</v>
      </c>
      <c r="E542" s="547">
        <v>6.3644786083578514E-2</v>
      </c>
      <c r="F542" s="548">
        <v>0.12806865081463867</v>
      </c>
      <c r="G542" s="549">
        <v>0.10741665689700899</v>
      </c>
      <c r="H542" s="550">
        <v>7.8874617248144204E-3</v>
      </c>
      <c r="I542" s="551">
        <v>0.27128408182576802</v>
      </c>
      <c r="J542" s="551">
        <v>9.8952931121013304E-2</v>
      </c>
      <c r="K542" s="551">
        <v>2.18390378448854E-2</v>
      </c>
      <c r="L542" s="551">
        <v>2.2225666668472299E-4</v>
      </c>
      <c r="M542" s="552">
        <v>2.2826502226936E-2</v>
      </c>
    </row>
    <row r="543" spans="2:13" ht="15.75" x14ac:dyDescent="0.25">
      <c r="B543" s="555">
        <v>2027</v>
      </c>
      <c r="C543" s="556">
        <v>2011</v>
      </c>
      <c r="D543" s="557" t="s">
        <v>3441</v>
      </c>
      <c r="E543" s="547">
        <v>6.359099846417933E-2</v>
      </c>
      <c r="F543" s="548">
        <v>0.12975210143106369</v>
      </c>
      <c r="G543" s="549">
        <v>0.106276200963468</v>
      </c>
      <c r="H543" s="550">
        <v>8.1618107731708297E-3</v>
      </c>
      <c r="I543" s="551">
        <v>0.26702901018950398</v>
      </c>
      <c r="J543" s="551">
        <v>9.9720556468874802E-2</v>
      </c>
      <c r="K543" s="551">
        <v>2.13330015659174E-2</v>
      </c>
      <c r="L543" s="551">
        <v>3.13796020397541E-4</v>
      </c>
      <c r="M543" s="552">
        <v>2.22975852329357E-2</v>
      </c>
    </row>
    <row r="544" spans="2:13" ht="15.75" x14ac:dyDescent="0.25">
      <c r="B544" s="555">
        <v>2027</v>
      </c>
      <c r="C544" s="556">
        <v>2012</v>
      </c>
      <c r="D544" s="557" t="s">
        <v>3442</v>
      </c>
      <c r="E544" s="547">
        <v>6.3707316523436197E-2</v>
      </c>
      <c r="F544" s="548">
        <v>0.1301420454078264</v>
      </c>
      <c r="G544" s="549">
        <v>0.106693137662839</v>
      </c>
      <c r="H544" s="550">
        <v>8.2104599505796495E-3</v>
      </c>
      <c r="I544" s="551">
        <v>0.26473062557617699</v>
      </c>
      <c r="J544" s="551">
        <v>9.9612361804658198E-2</v>
      </c>
      <c r="K544" s="551">
        <v>2.0877118231884199E-2</v>
      </c>
      <c r="L544" s="551">
        <v>4.6328452111196798E-4</v>
      </c>
      <c r="M544" s="552">
        <v>2.1821088877489899E-2</v>
      </c>
    </row>
    <row r="545" spans="2:13" ht="15.75" x14ac:dyDescent="0.25">
      <c r="B545" s="555">
        <v>2027</v>
      </c>
      <c r="C545" s="556">
        <v>2013</v>
      </c>
      <c r="D545" s="557" t="s">
        <v>3443</v>
      </c>
      <c r="E545" s="547">
        <v>6.3566150366303253E-2</v>
      </c>
      <c r="F545" s="548">
        <v>0.13015737558587054</v>
      </c>
      <c r="G545" s="549">
        <v>0.104528443688978</v>
      </c>
      <c r="H545" s="550">
        <v>8.2204105569798503E-3</v>
      </c>
      <c r="I545" s="551">
        <v>0.25843445355206401</v>
      </c>
      <c r="J545" s="551">
        <v>9.8723155366899296E-2</v>
      </c>
      <c r="K545" s="551">
        <v>2.0209603246618201E-2</v>
      </c>
      <c r="L545" s="551">
        <v>6.9418738416375796E-4</v>
      </c>
      <c r="M545" s="552">
        <v>2.1123391826644002E-2</v>
      </c>
    </row>
    <row r="546" spans="2:13" ht="15.75" x14ac:dyDescent="0.25">
      <c r="B546" s="555">
        <v>2027</v>
      </c>
      <c r="C546" s="556">
        <v>2014</v>
      </c>
      <c r="D546" s="557" t="s">
        <v>3444</v>
      </c>
      <c r="E546" s="547">
        <v>6.2023043830177142E-2</v>
      </c>
      <c r="F546" s="548">
        <v>0.12802159575273075</v>
      </c>
      <c r="G546" s="549">
        <v>0.102783488634408</v>
      </c>
      <c r="H546" s="550">
        <v>8.2147571633193299E-3</v>
      </c>
      <c r="I546" s="551">
        <v>0.25231930287790499</v>
      </c>
      <c r="J546" s="551">
        <v>9.84711934204546E-2</v>
      </c>
      <c r="K546" s="551">
        <v>1.9500821543236901E-2</v>
      </c>
      <c r="L546" s="551">
        <v>9.6320392390776902E-4</v>
      </c>
      <c r="M546" s="552">
        <v>2.0382562159808E-2</v>
      </c>
    </row>
    <row r="547" spans="2:13" ht="15.75" x14ac:dyDescent="0.25">
      <c r="B547" s="555">
        <v>2027</v>
      </c>
      <c r="C547" s="556">
        <v>2015</v>
      </c>
      <c r="D547" s="557" t="s">
        <v>3445</v>
      </c>
      <c r="E547" s="547">
        <v>6.1497444778153255E-2</v>
      </c>
      <c r="F547" s="548">
        <v>0.12799826346530582</v>
      </c>
      <c r="G547" s="549">
        <v>0.100947544799637</v>
      </c>
      <c r="H547" s="550">
        <v>8.3874312297689494E-3</v>
      </c>
      <c r="I547" s="551">
        <v>0.24582287282582199</v>
      </c>
      <c r="J547" s="551">
        <v>9.8855822169351695E-2</v>
      </c>
      <c r="K547" s="551">
        <v>1.87350285747831E-2</v>
      </c>
      <c r="L547" s="551">
        <v>1.23199270408834E-3</v>
      </c>
      <c r="M547" s="552">
        <v>1.9582143431476799E-2</v>
      </c>
    </row>
    <row r="548" spans="2:13" ht="15.75" x14ac:dyDescent="0.25">
      <c r="B548" s="555">
        <v>2027</v>
      </c>
      <c r="C548" s="556">
        <v>2016</v>
      </c>
      <c r="D548" s="557" t="s">
        <v>3446</v>
      </c>
      <c r="E548" s="547">
        <v>5.9496875669131317E-2</v>
      </c>
      <c r="F548" s="548">
        <v>0.12409993440898534</v>
      </c>
      <c r="G548" s="549">
        <v>9.8863721896576107E-2</v>
      </c>
      <c r="H548" s="550">
        <v>7.7096479189682002E-3</v>
      </c>
      <c r="I548" s="551">
        <v>0.209200090025883</v>
      </c>
      <c r="J548" s="551">
        <v>8.6657669394629697E-2</v>
      </c>
      <c r="K548" s="551">
        <v>1.7900254715048899E-2</v>
      </c>
      <c r="L548" s="551">
        <v>1.3868259437708401E-3</v>
      </c>
      <c r="M548" s="552">
        <v>1.87096248020596E-2</v>
      </c>
    </row>
    <row r="549" spans="2:13" ht="15.75" x14ac:dyDescent="0.25">
      <c r="B549" s="555">
        <v>2027</v>
      </c>
      <c r="C549" s="556">
        <v>2017</v>
      </c>
      <c r="D549" s="557" t="s">
        <v>3447</v>
      </c>
      <c r="E549" s="547">
        <v>5.598503709411505E-2</v>
      </c>
      <c r="F549" s="548">
        <v>0.12019477507743891</v>
      </c>
      <c r="G549" s="549">
        <v>8.1401622878992705E-2</v>
      </c>
      <c r="H549" s="550">
        <v>6.9902282166978101E-3</v>
      </c>
      <c r="I549" s="551">
        <v>0.15860676054862899</v>
      </c>
      <c r="J549" s="551">
        <v>7.4567617904477398E-2</v>
      </c>
      <c r="K549" s="551">
        <v>1.6191711127157699E-2</v>
      </c>
      <c r="L549" s="551">
        <v>1.44512761672574E-3</v>
      </c>
      <c r="M549" s="552">
        <v>1.69238284546738E-2</v>
      </c>
    </row>
    <row r="550" spans="2:13" ht="15.75" x14ac:dyDescent="0.25">
      <c r="B550" s="555">
        <v>2027</v>
      </c>
      <c r="C550" s="556">
        <v>2018</v>
      </c>
      <c r="D550" s="557" t="s">
        <v>3448</v>
      </c>
      <c r="E550" s="547">
        <v>5.2275893355318563E-2</v>
      </c>
      <c r="F550" s="548">
        <v>0.11504102296580394</v>
      </c>
      <c r="G550" s="549">
        <v>8.0135181146342896E-2</v>
      </c>
      <c r="H550" s="550">
        <v>6.3112932494344704E-3</v>
      </c>
      <c r="I550" s="551">
        <v>0.12564367172336399</v>
      </c>
      <c r="J550" s="551">
        <v>6.1763061327174303E-2</v>
      </c>
      <c r="K550" s="551">
        <v>1.5329805886161601E-2</v>
      </c>
      <c r="L550" s="551">
        <v>1.5056969461282601E-3</v>
      </c>
      <c r="M550" s="552">
        <v>1.6022951683327701E-2</v>
      </c>
    </row>
    <row r="551" spans="2:13" ht="15.75" x14ac:dyDescent="0.25">
      <c r="B551" s="555">
        <v>2027</v>
      </c>
      <c r="C551" s="556">
        <v>2019</v>
      </c>
      <c r="D551" s="557" t="s">
        <v>3449</v>
      </c>
      <c r="E551" s="547">
        <v>5.2257685504612211E-2</v>
      </c>
      <c r="F551" s="548">
        <v>0.11499292330036254</v>
      </c>
      <c r="G551" s="549">
        <v>7.8779647695103094E-2</v>
      </c>
      <c r="H551" s="550">
        <v>5.6782737699924398E-3</v>
      </c>
      <c r="I551" s="551">
        <v>0.104641284467426</v>
      </c>
      <c r="J551" s="551">
        <v>5.2741394082849502E-2</v>
      </c>
      <c r="K551" s="551">
        <v>1.4409356988022801E-2</v>
      </c>
      <c r="L551" s="551">
        <v>1.5462726147720499E-3</v>
      </c>
      <c r="M551" s="552">
        <v>1.5060884170446501E-2</v>
      </c>
    </row>
    <row r="552" spans="2:13" ht="15.75" x14ac:dyDescent="0.25">
      <c r="B552" s="555">
        <v>2027</v>
      </c>
      <c r="C552" s="556">
        <v>2020</v>
      </c>
      <c r="D552" s="557" t="s">
        <v>3450</v>
      </c>
      <c r="E552" s="547">
        <v>5.2238908196013019E-2</v>
      </c>
      <c r="F552" s="548">
        <v>0.1149432163883176</v>
      </c>
      <c r="G552" s="549">
        <v>7.7334391538220804E-2</v>
      </c>
      <c r="H552" s="550">
        <v>5.0003864160663601E-3</v>
      </c>
      <c r="I552" s="551">
        <v>8.4352768085814406E-2</v>
      </c>
      <c r="J552" s="551">
        <v>4.3701058362853797E-2</v>
      </c>
      <c r="K552" s="551">
        <v>1.3430317364828699E-2</v>
      </c>
      <c r="L552" s="551">
        <v>1.54678238331697E-3</v>
      </c>
      <c r="M552" s="552">
        <v>1.4037576719915601E-2</v>
      </c>
    </row>
    <row r="553" spans="2:13" ht="15.75" x14ac:dyDescent="0.25">
      <c r="B553" s="555">
        <v>2027</v>
      </c>
      <c r="C553" s="556">
        <v>2021</v>
      </c>
      <c r="D553" s="557" t="s">
        <v>3451</v>
      </c>
      <c r="E553" s="547">
        <v>5.0913965940186719E-2</v>
      </c>
      <c r="F553" s="548">
        <v>0.11202275976975574</v>
      </c>
      <c r="G553" s="549">
        <v>7.5800157775093996E-2</v>
      </c>
      <c r="H553" s="550">
        <v>4.3182892217286497E-3</v>
      </c>
      <c r="I553" s="551">
        <v>6.5415360422429902E-2</v>
      </c>
      <c r="J553" s="551">
        <v>3.4675416040803701E-2</v>
      </c>
      <c r="K553" s="551">
        <v>1.2392696990890999E-2</v>
      </c>
      <c r="L553" s="551">
        <v>1.5473126404684299E-3</v>
      </c>
      <c r="M553" s="552">
        <v>1.29530397570407E-2</v>
      </c>
    </row>
    <row r="554" spans="2:13" ht="15.75" x14ac:dyDescent="0.25">
      <c r="B554" s="555">
        <v>2027</v>
      </c>
      <c r="C554" s="556">
        <v>2022</v>
      </c>
      <c r="D554" s="557" t="s">
        <v>3452</v>
      </c>
      <c r="E554" s="547">
        <v>4.9641091444214122E-2</v>
      </c>
      <c r="F554" s="548">
        <v>0.10921769144106187</v>
      </c>
      <c r="G554" s="549">
        <v>7.4174683106074293E-2</v>
      </c>
      <c r="H554" s="550">
        <v>3.7144623755395599E-3</v>
      </c>
      <c r="I554" s="551">
        <v>4.7348013124290003E-2</v>
      </c>
      <c r="J554" s="551">
        <v>2.64842073334603E-2</v>
      </c>
      <c r="K554" s="551">
        <v>1.12963645566607E-2</v>
      </c>
      <c r="L554" s="551">
        <v>1.5478413989634199E-3</v>
      </c>
      <c r="M554" s="552">
        <v>1.1807136035037601E-2</v>
      </c>
    </row>
    <row r="555" spans="2:13" ht="15.75" x14ac:dyDescent="0.25">
      <c r="B555" s="555">
        <v>2027</v>
      </c>
      <c r="C555" s="556">
        <v>2023</v>
      </c>
      <c r="D555" s="557" t="s">
        <v>3453</v>
      </c>
      <c r="E555" s="547">
        <v>4.8367861067410541E-2</v>
      </c>
      <c r="F555" s="548">
        <v>0.10641577246138043</v>
      </c>
      <c r="G555" s="549">
        <v>7.2459046442446995E-2</v>
      </c>
      <c r="H555" s="550">
        <v>3.8628856579572398E-3</v>
      </c>
      <c r="I555" s="551">
        <v>4.5014243709147597E-2</v>
      </c>
      <c r="J555" s="551">
        <v>2.6774294490211001E-2</v>
      </c>
      <c r="K555" s="551">
        <v>1.01413439371997E-2</v>
      </c>
      <c r="L555" s="551">
        <v>1.54838252137931E-3</v>
      </c>
      <c r="M555" s="552">
        <v>1.05998905084927E-2</v>
      </c>
    </row>
    <row r="556" spans="2:13" ht="15.75" x14ac:dyDescent="0.25">
      <c r="B556" s="555">
        <v>2027</v>
      </c>
      <c r="C556" s="556">
        <v>2024</v>
      </c>
      <c r="D556" s="557" t="s">
        <v>3454</v>
      </c>
      <c r="E556" s="547">
        <v>4.7145823807931538E-2</v>
      </c>
      <c r="F556" s="548">
        <v>0.10372984898763152</v>
      </c>
      <c r="G556" s="549">
        <v>7.0651820120477604E-2</v>
      </c>
      <c r="H556" s="550">
        <v>4.27289766609732E-3</v>
      </c>
      <c r="I556" s="551">
        <v>4.25603398682785E-2</v>
      </c>
      <c r="J556" s="551">
        <v>2.92204890542993E-2</v>
      </c>
      <c r="K556" s="551">
        <v>8.9275533494405594E-3</v>
      </c>
      <c r="L556" s="551">
        <v>1.54892297216878E-3</v>
      </c>
      <c r="M556" s="552">
        <v>9.331217696471E-3</v>
      </c>
    </row>
    <row r="557" spans="2:13" ht="15.75" x14ac:dyDescent="0.25">
      <c r="B557" s="555">
        <v>2027</v>
      </c>
      <c r="C557" s="556">
        <v>2025</v>
      </c>
      <c r="D557" s="557" t="s">
        <v>3455</v>
      </c>
      <c r="E557" s="547">
        <v>4.5922028482832611E-2</v>
      </c>
      <c r="F557" s="548">
        <v>0.10104248405815747</v>
      </c>
      <c r="G557" s="549">
        <v>6.8753997839750294E-2</v>
      </c>
      <c r="H557" s="550">
        <v>4.9468154060171299E-3</v>
      </c>
      <c r="I557" s="551">
        <v>3.9986534360256502E-2</v>
      </c>
      <c r="J557" s="551">
        <v>3.2805892927121202E-2</v>
      </c>
      <c r="K557" s="551">
        <v>7.6549991086887099E-3</v>
      </c>
      <c r="L557" s="551">
        <v>1.54947663646234E-3</v>
      </c>
      <c r="M557" s="552">
        <v>8.0011241998281593E-3</v>
      </c>
    </row>
    <row r="558" spans="2:13" ht="15.75" x14ac:dyDescent="0.25">
      <c r="B558" s="555">
        <v>2027</v>
      </c>
      <c r="C558" s="556">
        <v>2026</v>
      </c>
      <c r="D558" s="557" t="s">
        <v>3456</v>
      </c>
      <c r="E558" s="547">
        <v>4.4746631371741487E-2</v>
      </c>
      <c r="F558" s="548">
        <v>9.8457513150401216E-2</v>
      </c>
      <c r="G558" s="549">
        <v>6.6764193209425393E-2</v>
      </c>
      <c r="H558" s="550">
        <v>5.6166035273232696E-3</v>
      </c>
      <c r="I558" s="551">
        <v>3.7296354395888402E-2</v>
      </c>
      <c r="J558" s="551">
        <v>3.6612058029487998E-2</v>
      </c>
      <c r="K558" s="551">
        <v>6.3236046097169801E-3</v>
      </c>
      <c r="L558" s="551">
        <v>1.5500295081895901E-3</v>
      </c>
      <c r="M558" s="552">
        <v>6.6095299495885201E-3</v>
      </c>
    </row>
    <row r="559" spans="2:13" ht="15.75" x14ac:dyDescent="0.25">
      <c r="B559" s="555">
        <v>2027</v>
      </c>
      <c r="C559" s="556">
        <v>2027</v>
      </c>
      <c r="D559" s="557" t="s">
        <v>3457</v>
      </c>
      <c r="E559" s="547">
        <v>4.3614465340828044E-2</v>
      </c>
      <c r="F559" s="548">
        <v>9.5948054381552336E-2</v>
      </c>
      <c r="G559" s="549">
        <v>6.4684242199207903E-2</v>
      </c>
      <c r="H559" s="550">
        <v>5.4018797107326299E-3</v>
      </c>
      <c r="I559" s="551">
        <v>3.4481894583490297E-2</v>
      </c>
      <c r="J559" s="551">
        <v>3.4259588194461302E-2</v>
      </c>
      <c r="K559" s="551">
        <v>4.9333864193620604E-3</v>
      </c>
      <c r="L559" s="551">
        <v>1.5506088222922701E-3</v>
      </c>
      <c r="M559" s="552">
        <v>5.1564522616675997E-3</v>
      </c>
    </row>
    <row r="560" spans="2:13" ht="15.75" x14ac:dyDescent="0.25">
      <c r="B560" s="555">
        <v>2028</v>
      </c>
      <c r="C560" s="556">
        <v>1984</v>
      </c>
      <c r="D560" s="557" t="s">
        <v>3458</v>
      </c>
      <c r="E560" s="547">
        <v>6.2798796304737239E-2</v>
      </c>
      <c r="F560" s="548">
        <v>0.14512803190514645</v>
      </c>
      <c r="G560" s="549">
        <v>0.217410724647289</v>
      </c>
      <c r="H560" s="550">
        <v>1.9062358206005501</v>
      </c>
      <c r="I560" s="551">
        <v>5.1917539914260802</v>
      </c>
      <c r="J560" s="551">
        <v>4.0522707154639699</v>
      </c>
      <c r="K560" s="551">
        <v>0.16387005435402699</v>
      </c>
      <c r="L560" s="551">
        <v>1.5912312331749799E-2</v>
      </c>
      <c r="M560" s="552">
        <v>0.17127953104931901</v>
      </c>
    </row>
    <row r="561" spans="2:13" ht="15.75" x14ac:dyDescent="0.25">
      <c r="B561" s="555">
        <v>2028</v>
      </c>
      <c r="C561" s="556">
        <v>1985</v>
      </c>
      <c r="D561" s="557" t="s">
        <v>3459</v>
      </c>
      <c r="E561" s="547">
        <v>6.4825663046661555E-2</v>
      </c>
      <c r="F561" s="548">
        <v>0.14322609481472218</v>
      </c>
      <c r="G561" s="549">
        <v>0.23093552389597799</v>
      </c>
      <c r="H561" s="550">
        <v>1.84368607895638</v>
      </c>
      <c r="I561" s="551">
        <v>5.0379254305325896</v>
      </c>
      <c r="J561" s="551">
        <v>4.1086631195910996</v>
      </c>
      <c r="K561" s="551">
        <v>0.17406416778428899</v>
      </c>
      <c r="L561" s="551">
        <v>1.5598995549167501E-2</v>
      </c>
      <c r="M561" s="552">
        <v>0.18193457705318999</v>
      </c>
    </row>
    <row r="562" spans="2:13" ht="15.75" x14ac:dyDescent="0.25">
      <c r="B562" s="555">
        <v>2028</v>
      </c>
      <c r="C562" s="556">
        <v>1986</v>
      </c>
      <c r="D562" s="557" t="s">
        <v>3460</v>
      </c>
      <c r="E562" s="547">
        <v>6.4044754044944419E-2</v>
      </c>
      <c r="F562" s="548">
        <v>0.14322882610979223</v>
      </c>
      <c r="G562" s="549">
        <v>0.22636449865747599</v>
      </c>
      <c r="H562" s="550">
        <v>1.83620681129041</v>
      </c>
      <c r="I562" s="551">
        <v>5.1057372739495204</v>
      </c>
      <c r="J562" s="551">
        <v>3.8711947247965801</v>
      </c>
      <c r="K562" s="551">
        <v>0.17061882645854601</v>
      </c>
      <c r="L562" s="551">
        <v>1.5623761073060599E-2</v>
      </c>
      <c r="M562" s="552">
        <v>0.17833345268117201</v>
      </c>
    </row>
    <row r="563" spans="2:13" ht="15.75" x14ac:dyDescent="0.25">
      <c r="B563" s="555">
        <v>2028</v>
      </c>
      <c r="C563" s="556">
        <v>1987</v>
      </c>
      <c r="D563" s="557" t="s">
        <v>3461</v>
      </c>
      <c r="E563" s="547">
        <v>6.3768659307518613E-2</v>
      </c>
      <c r="F563" s="548">
        <v>0.14131328651149933</v>
      </c>
      <c r="G563" s="549">
        <v>0.28227496263642898</v>
      </c>
      <c r="H563" s="550">
        <v>1.7853079261638001</v>
      </c>
      <c r="I563" s="551">
        <v>5.2183983417631898</v>
      </c>
      <c r="J563" s="551">
        <v>3.9595357242863498</v>
      </c>
      <c r="K563" s="551">
        <v>0.19223984444064099</v>
      </c>
      <c r="L563" s="551">
        <v>1.5282963670804599E-2</v>
      </c>
      <c r="M563" s="552">
        <v>0.20093207715457101</v>
      </c>
    </row>
    <row r="564" spans="2:13" ht="15.75" x14ac:dyDescent="0.25">
      <c r="B564" s="555">
        <v>2028</v>
      </c>
      <c r="C564" s="556">
        <v>1988</v>
      </c>
      <c r="D564" s="557" t="s">
        <v>3462</v>
      </c>
      <c r="E564" s="547">
        <v>6.3156891789087136E-2</v>
      </c>
      <c r="F564" s="548">
        <v>0.13426675837028343</v>
      </c>
      <c r="G564" s="549">
        <v>0.27729504895214702</v>
      </c>
      <c r="H564" s="550">
        <v>0.43967343774346501</v>
      </c>
      <c r="I564" s="551">
        <v>5.26343756445171</v>
      </c>
      <c r="J564" s="551">
        <v>1.68411898940745</v>
      </c>
      <c r="K564" s="551">
        <v>0.188848336305974</v>
      </c>
      <c r="L564" s="551">
        <v>1.41646245050193E-2</v>
      </c>
      <c r="M564" s="552">
        <v>0.19738722007164899</v>
      </c>
    </row>
    <row r="565" spans="2:13" ht="15.75" x14ac:dyDescent="0.25">
      <c r="B565" s="555">
        <v>2028</v>
      </c>
      <c r="C565" s="556">
        <v>1989</v>
      </c>
      <c r="D565" s="557" t="s">
        <v>3463</v>
      </c>
      <c r="E565" s="547">
        <v>6.293756041438632E-2</v>
      </c>
      <c r="F565" s="548">
        <v>0.13366816896081443</v>
      </c>
      <c r="G565" s="549">
        <v>0.275860533441038</v>
      </c>
      <c r="H565" s="550">
        <v>0.43316370641195701</v>
      </c>
      <c r="I565" s="551">
        <v>5.2841584222634896</v>
      </c>
      <c r="J565" s="551">
        <v>1.6750045017197499</v>
      </c>
      <c r="K565" s="551">
        <v>0.18787137739992199</v>
      </c>
      <c r="L565" s="551">
        <v>1.40253918944918E-2</v>
      </c>
      <c r="M565" s="552">
        <v>0.19636608741905601</v>
      </c>
    </row>
    <row r="566" spans="2:13" ht="15.75" x14ac:dyDescent="0.25">
      <c r="B566" s="555">
        <v>2028</v>
      </c>
      <c r="C566" s="556">
        <v>1990</v>
      </c>
      <c r="D566" s="557" t="s">
        <v>3464</v>
      </c>
      <c r="E566" s="547">
        <v>6.2941851473077168E-2</v>
      </c>
      <c r="F566" s="548">
        <v>0.13451748947241096</v>
      </c>
      <c r="G566" s="549">
        <v>0.27626369114966298</v>
      </c>
      <c r="H566" s="550">
        <v>0.438600788694747</v>
      </c>
      <c r="I566" s="551">
        <v>5.28640301514816</v>
      </c>
      <c r="J566" s="551">
        <v>1.68227132208957</v>
      </c>
      <c r="K566" s="551">
        <v>0.18814594293158299</v>
      </c>
      <c r="L566" s="551">
        <v>1.4283523983039099E-2</v>
      </c>
      <c r="M566" s="552">
        <v>0.19665306758569301</v>
      </c>
    </row>
    <row r="567" spans="2:13" ht="15.75" x14ac:dyDescent="0.25">
      <c r="B567" s="555">
        <v>2028</v>
      </c>
      <c r="C567" s="556">
        <v>1991</v>
      </c>
      <c r="D567" s="557" t="s">
        <v>3465</v>
      </c>
      <c r="E567" s="547">
        <v>6.3871413700137575E-2</v>
      </c>
      <c r="F567" s="548">
        <v>0.13419724720860307</v>
      </c>
      <c r="G567" s="549">
        <v>0.364528893750933</v>
      </c>
      <c r="H567" s="550">
        <v>0.48420152504106001</v>
      </c>
      <c r="I567" s="551">
        <v>9.2230787459065606</v>
      </c>
      <c r="J567" s="551">
        <v>2.9288492182724299</v>
      </c>
      <c r="K567" s="551">
        <v>5.1662233681847698E-2</v>
      </c>
      <c r="L567" s="551">
        <v>7.76809344805125E-3</v>
      </c>
      <c r="M567" s="552">
        <v>5.3998170641174098E-2</v>
      </c>
    </row>
    <row r="568" spans="2:13" ht="15.75" x14ac:dyDescent="0.25">
      <c r="B568" s="555">
        <v>2028</v>
      </c>
      <c r="C568" s="556">
        <v>1992</v>
      </c>
      <c r="D568" s="557" t="s">
        <v>3466</v>
      </c>
      <c r="E568" s="547">
        <v>6.4088182462230303E-2</v>
      </c>
      <c r="F568" s="548">
        <v>0.13499781382959489</v>
      </c>
      <c r="G568" s="549">
        <v>0.367242382916112</v>
      </c>
      <c r="H568" s="550">
        <v>0.49135682950855197</v>
      </c>
      <c r="I568" s="551">
        <v>9.1904039109998408</v>
      </c>
      <c r="J568" s="551">
        <v>2.95123607702853</v>
      </c>
      <c r="K568" s="551">
        <v>5.2046798290436298E-2</v>
      </c>
      <c r="L568" s="551">
        <v>7.91593925782756E-3</v>
      </c>
      <c r="M568" s="552">
        <v>5.4400123554883002E-2</v>
      </c>
    </row>
    <row r="569" spans="2:13" ht="15.75" x14ac:dyDescent="0.25">
      <c r="B569" s="555">
        <v>2028</v>
      </c>
      <c r="C569" s="556">
        <v>1993</v>
      </c>
      <c r="D569" s="557" t="s">
        <v>3467</v>
      </c>
      <c r="E569" s="547">
        <v>6.4136220384068479E-2</v>
      </c>
      <c r="F569" s="548">
        <v>0.13430982765345906</v>
      </c>
      <c r="G569" s="549">
        <v>0.36812595440923102</v>
      </c>
      <c r="H569" s="550">
        <v>0.48363960387612898</v>
      </c>
      <c r="I569" s="551">
        <v>9.1847328504518799</v>
      </c>
      <c r="J569" s="551">
        <v>2.9334753419459498</v>
      </c>
      <c r="K569" s="551">
        <v>5.2172020948323503E-2</v>
      </c>
      <c r="L569" s="551">
        <v>7.8212229905840792E-3</v>
      </c>
      <c r="M569" s="552">
        <v>5.4531008225692498E-2</v>
      </c>
    </row>
    <row r="570" spans="2:13" ht="15.75" x14ac:dyDescent="0.25">
      <c r="B570" s="555">
        <v>2028</v>
      </c>
      <c r="C570" s="556">
        <v>1994</v>
      </c>
      <c r="D570" s="557" t="s">
        <v>3468</v>
      </c>
      <c r="E570" s="547">
        <v>6.3780945860306873E-2</v>
      </c>
      <c r="F570" s="548">
        <v>0.13335123806228305</v>
      </c>
      <c r="G570" s="549">
        <v>0.36202698804943501</v>
      </c>
      <c r="H570" s="550">
        <v>0.47366996188723798</v>
      </c>
      <c r="I570" s="551">
        <v>9.2466558262611294</v>
      </c>
      <c r="J570" s="551">
        <v>2.91207702999478</v>
      </c>
      <c r="K570" s="551">
        <v>5.1838054204298399E-2</v>
      </c>
      <c r="L570" s="551">
        <v>7.6828297112916701E-3</v>
      </c>
      <c r="M570" s="552">
        <v>5.4181940987458002E-2</v>
      </c>
    </row>
    <row r="571" spans="2:13" ht="15.75" x14ac:dyDescent="0.25">
      <c r="B571" s="555">
        <v>2028</v>
      </c>
      <c r="C571" s="556">
        <v>1995</v>
      </c>
      <c r="D571" s="557" t="s">
        <v>3469</v>
      </c>
      <c r="E571" s="547">
        <v>6.4117306882050001E-2</v>
      </c>
      <c r="F571" s="548">
        <v>0.13256810889577278</v>
      </c>
      <c r="G571" s="549">
        <v>0.366185089370406</v>
      </c>
      <c r="H571" s="550">
        <v>0.252932283932436</v>
      </c>
      <c r="I571" s="551">
        <v>9.2227221233614696</v>
      </c>
      <c r="J571" s="551">
        <v>1.66222571694518</v>
      </c>
      <c r="K571" s="551">
        <v>5.2433445953473802E-2</v>
      </c>
      <c r="L571" s="551">
        <v>5.0187017298334398E-3</v>
      </c>
      <c r="M571" s="552">
        <v>5.4804253709519503E-2</v>
      </c>
    </row>
    <row r="572" spans="2:13" ht="15.75" x14ac:dyDescent="0.25">
      <c r="B572" s="555">
        <v>2028</v>
      </c>
      <c r="C572" s="556">
        <v>1996</v>
      </c>
      <c r="D572" s="557" t="s">
        <v>3470</v>
      </c>
      <c r="E572" s="547">
        <v>6.4138608103518527E-2</v>
      </c>
      <c r="F572" s="548">
        <v>0.13104830741270787</v>
      </c>
      <c r="G572" s="549">
        <v>0.366482340058218</v>
      </c>
      <c r="H572" s="550">
        <v>2.2898157174011301E-2</v>
      </c>
      <c r="I572" s="551">
        <v>9.2180231318969703</v>
      </c>
      <c r="J572" s="551">
        <v>0.39555974374936698</v>
      </c>
      <c r="K572" s="551">
        <v>5.2476008794852397E-2</v>
      </c>
      <c r="L572" s="551">
        <v>2.2318579974061601E-3</v>
      </c>
      <c r="M572" s="552">
        <v>5.4848741053715303E-2</v>
      </c>
    </row>
    <row r="573" spans="2:13" ht="15.75" x14ac:dyDescent="0.25">
      <c r="B573" s="555">
        <v>2028</v>
      </c>
      <c r="C573" s="556">
        <v>1997</v>
      </c>
      <c r="D573" s="557" t="s">
        <v>3471</v>
      </c>
      <c r="E573" s="547">
        <v>6.4382897342029774E-2</v>
      </c>
      <c r="F573" s="548">
        <v>0.12968830748962876</v>
      </c>
      <c r="G573" s="549">
        <v>0.36927778276234702</v>
      </c>
      <c r="H573" s="550">
        <v>2.22747269042965E-2</v>
      </c>
      <c r="I573" s="551">
        <v>9.1765983233006398</v>
      </c>
      <c r="J573" s="551">
        <v>0.39155184427398898</v>
      </c>
      <c r="K573" s="551">
        <v>5.2876283678231703E-2</v>
      </c>
      <c r="L573" s="551">
        <v>2.1736178740213901E-3</v>
      </c>
      <c r="M573" s="552">
        <v>5.52671145911275E-2</v>
      </c>
    </row>
    <row r="574" spans="2:13" ht="15.75" x14ac:dyDescent="0.25">
      <c r="B574" s="555">
        <v>2028</v>
      </c>
      <c r="C574" s="556">
        <v>1998</v>
      </c>
      <c r="D574" s="557" t="s">
        <v>3472</v>
      </c>
      <c r="E574" s="547">
        <v>6.4185959150575386E-2</v>
      </c>
      <c r="F574" s="548">
        <v>0.13021983968836054</v>
      </c>
      <c r="G574" s="549">
        <v>0.36783850354929898</v>
      </c>
      <c r="H574" s="550">
        <v>2.25089820181902E-2</v>
      </c>
      <c r="I574" s="551">
        <v>9.2141555716052608</v>
      </c>
      <c r="J574" s="551">
        <v>0.393269595673373</v>
      </c>
      <c r="K574" s="551">
        <v>5.2670195634179601E-2</v>
      </c>
      <c r="L574" s="551">
        <v>2.2003975929888501E-3</v>
      </c>
      <c r="M574" s="552">
        <v>5.5051708160225601E-2</v>
      </c>
    </row>
    <row r="575" spans="2:13" ht="15.75" x14ac:dyDescent="0.25">
      <c r="B575" s="555">
        <v>2028</v>
      </c>
      <c r="C575" s="556">
        <v>1999</v>
      </c>
      <c r="D575" s="557" t="s">
        <v>3473</v>
      </c>
      <c r="E575" s="547">
        <v>6.4105623915451632E-2</v>
      </c>
      <c r="F575" s="548">
        <v>0.13007269951536923</v>
      </c>
      <c r="G575" s="549">
        <v>0.36715000557078098</v>
      </c>
      <c r="H575" s="550">
        <v>2.24911580027908E-2</v>
      </c>
      <c r="I575" s="551">
        <v>9.2174250513615501</v>
      </c>
      <c r="J575" s="551">
        <v>0.39334067981977</v>
      </c>
      <c r="K575" s="551">
        <v>5.2571610731097701E-2</v>
      </c>
      <c r="L575" s="551">
        <v>2.1943337672468799E-3</v>
      </c>
      <c r="M575" s="552">
        <v>5.4948665685290297E-2</v>
      </c>
    </row>
    <row r="576" spans="2:13" ht="15.75" x14ac:dyDescent="0.25">
      <c r="B576" s="555">
        <v>2028</v>
      </c>
      <c r="C576" s="556">
        <v>2000</v>
      </c>
      <c r="D576" s="557" t="s">
        <v>3474</v>
      </c>
      <c r="E576" s="547">
        <v>6.3859928549610478E-2</v>
      </c>
      <c r="F576" s="548">
        <v>0.13050260068253766</v>
      </c>
      <c r="G576" s="549">
        <v>0.36478795729624502</v>
      </c>
      <c r="H576" s="550">
        <v>2.26823138078798E-2</v>
      </c>
      <c r="I576" s="551">
        <v>9.2479277662361401</v>
      </c>
      <c r="J576" s="551">
        <v>0.39527987540347698</v>
      </c>
      <c r="K576" s="551">
        <v>5.22333928895264E-2</v>
      </c>
      <c r="L576" s="551">
        <v>2.2166166451054298E-3</v>
      </c>
      <c r="M576" s="552">
        <v>5.4595155133742697E-2</v>
      </c>
    </row>
    <row r="577" spans="2:13" ht="15.75" x14ac:dyDescent="0.25">
      <c r="B577" s="555">
        <v>2028</v>
      </c>
      <c r="C577" s="556">
        <v>2001</v>
      </c>
      <c r="D577" s="557" t="s">
        <v>3475</v>
      </c>
      <c r="E577" s="547">
        <v>6.4080615229605481E-2</v>
      </c>
      <c r="F577" s="548">
        <v>0.13068638225149051</v>
      </c>
      <c r="G577" s="549">
        <v>0.36732956671628297</v>
      </c>
      <c r="H577" s="550">
        <v>2.27842685637278E-2</v>
      </c>
      <c r="I577" s="551">
        <v>9.2127358729867801</v>
      </c>
      <c r="J577" s="551">
        <v>0.39672616469861</v>
      </c>
      <c r="K577" s="551">
        <v>5.2597321798782598E-2</v>
      </c>
      <c r="L577" s="551">
        <v>2.2292841026688901E-3</v>
      </c>
      <c r="M577" s="552">
        <v>5.4975539293364802E-2</v>
      </c>
    </row>
    <row r="578" spans="2:13" ht="15.75" x14ac:dyDescent="0.25">
      <c r="B578" s="555">
        <v>2028</v>
      </c>
      <c r="C578" s="556">
        <v>2002</v>
      </c>
      <c r="D578" s="557" t="s">
        <v>3476</v>
      </c>
      <c r="E578" s="547">
        <v>6.3923410506921546E-2</v>
      </c>
      <c r="F578" s="548">
        <v>0.13053668529373713</v>
      </c>
      <c r="G578" s="549">
        <v>0.28389939209347798</v>
      </c>
      <c r="H578" s="550">
        <v>2.2736768170085801E-2</v>
      </c>
      <c r="I578" s="551">
        <v>7.1084571591258401</v>
      </c>
      <c r="J578" s="551">
        <v>0.31932531672730602</v>
      </c>
      <c r="K578" s="551">
        <v>5.2918252588081298E-2</v>
      </c>
      <c r="L578" s="551">
        <v>2.22676915677196E-3</v>
      </c>
      <c r="M578" s="552">
        <v>5.5310981148846299E-2</v>
      </c>
    </row>
    <row r="579" spans="2:13" ht="15.75" x14ac:dyDescent="0.25">
      <c r="B579" s="555">
        <v>2028</v>
      </c>
      <c r="C579" s="556">
        <v>2003</v>
      </c>
      <c r="D579" s="557" t="s">
        <v>3477</v>
      </c>
      <c r="E579" s="547">
        <v>6.362309909826791E-2</v>
      </c>
      <c r="F579" s="548">
        <v>0.12994833220262095</v>
      </c>
      <c r="G579" s="549">
        <v>0.28165837468719601</v>
      </c>
      <c r="H579" s="550">
        <v>2.2491020925721399E-2</v>
      </c>
      <c r="I579" s="551">
        <v>7.1362201367264104</v>
      </c>
      <c r="J579" s="551">
        <v>0.31920157858903903</v>
      </c>
      <c r="K579" s="551">
        <v>5.2500531633184501E-2</v>
      </c>
      <c r="L579" s="551">
        <v>2.2031748015378699E-3</v>
      </c>
      <c r="M579" s="552">
        <v>5.4874372705978301E-2</v>
      </c>
    </row>
    <row r="580" spans="2:13" ht="15.75" x14ac:dyDescent="0.25">
      <c r="B580" s="555">
        <v>2028</v>
      </c>
      <c r="C580" s="556">
        <v>2004</v>
      </c>
      <c r="D580" s="557" t="s">
        <v>3478</v>
      </c>
      <c r="E580" s="547">
        <v>6.3395401476711161E-2</v>
      </c>
      <c r="F580" s="548">
        <v>0.1289139175781219</v>
      </c>
      <c r="G580" s="549">
        <v>0.23247277969034599</v>
      </c>
      <c r="H580" s="550">
        <v>1.47350584393868E-2</v>
      </c>
      <c r="I580" s="551">
        <v>5.9696209308578503</v>
      </c>
      <c r="J580" s="551">
        <v>0.27010706962508702</v>
      </c>
      <c r="K580" s="551">
        <v>5.2208040004247003E-2</v>
      </c>
      <c r="L580" s="551">
        <v>1.4335002038091401E-4</v>
      </c>
      <c r="M580" s="552">
        <v>5.4568655903492601E-2</v>
      </c>
    </row>
    <row r="581" spans="2:13" ht="15.75" x14ac:dyDescent="0.25">
      <c r="B581" s="555">
        <v>2028</v>
      </c>
      <c r="C581" s="556">
        <v>2005</v>
      </c>
      <c r="D581" s="557" t="s">
        <v>3479</v>
      </c>
      <c r="E581" s="547">
        <v>6.3441841262921475E-2</v>
      </c>
      <c r="F581" s="548">
        <v>0.12929654074813157</v>
      </c>
      <c r="G581" s="549">
        <v>0.23250740088456001</v>
      </c>
      <c r="H581" s="550">
        <v>1.49026772703186E-2</v>
      </c>
      <c r="I581" s="551">
        <v>5.9588278089467304</v>
      </c>
      <c r="J581" s="551">
        <v>0.27111964584245202</v>
      </c>
      <c r="K581" s="551">
        <v>5.2243017228972802E-2</v>
      </c>
      <c r="L581" s="551">
        <v>1.4479540772775501E-4</v>
      </c>
      <c r="M581" s="552">
        <v>5.4605214643111397E-2</v>
      </c>
    </row>
    <row r="582" spans="2:13" ht="15.75" x14ac:dyDescent="0.25">
      <c r="B582" s="555">
        <v>2028</v>
      </c>
      <c r="C582" s="556">
        <v>2006</v>
      </c>
      <c r="D582" s="557" t="s">
        <v>3480</v>
      </c>
      <c r="E582" s="547">
        <v>6.3271535905313217E-2</v>
      </c>
      <c r="F582" s="548">
        <v>0.12960080528150544</v>
      </c>
      <c r="G582" s="549">
        <v>0.230710525438485</v>
      </c>
      <c r="H582" s="550">
        <v>1.4934559369282801E-2</v>
      </c>
      <c r="I582" s="551">
        <v>5.9660222845057902</v>
      </c>
      <c r="J582" s="551">
        <v>0.27067807802002802</v>
      </c>
      <c r="K582" s="551">
        <v>5.1899445398449602E-2</v>
      </c>
      <c r="L582" s="551">
        <v>1.4592980909125601E-4</v>
      </c>
      <c r="M582" s="552">
        <v>5.4246108018989297E-2</v>
      </c>
    </row>
    <row r="583" spans="2:13" ht="15.75" x14ac:dyDescent="0.25">
      <c r="B583" s="555">
        <v>2028</v>
      </c>
      <c r="C583" s="556">
        <v>2007</v>
      </c>
      <c r="D583" s="557" t="s">
        <v>3481</v>
      </c>
      <c r="E583" s="547">
        <v>6.3434020607951835E-2</v>
      </c>
      <c r="F583" s="548">
        <v>0.12996722649788822</v>
      </c>
      <c r="G583" s="549">
        <v>0.16873711628409599</v>
      </c>
      <c r="H583" s="550">
        <v>1.48972398715262E-2</v>
      </c>
      <c r="I583" s="551">
        <v>3.1140023212352199</v>
      </c>
      <c r="J583" s="551">
        <v>0.26910559500072201</v>
      </c>
      <c r="K583" s="551">
        <v>3.7486139919928399E-2</v>
      </c>
      <c r="L583" s="551">
        <v>1.4734631343336999E-4</v>
      </c>
      <c r="M583" s="552">
        <v>3.9181096824825297E-2</v>
      </c>
    </row>
    <row r="584" spans="2:13" ht="15.75" x14ac:dyDescent="0.25">
      <c r="B584" s="555">
        <v>2028</v>
      </c>
      <c r="C584" s="556">
        <v>2008</v>
      </c>
      <c r="D584" s="557" t="s">
        <v>3482</v>
      </c>
      <c r="E584" s="547">
        <v>6.3669860851950352E-2</v>
      </c>
      <c r="F584" s="548">
        <v>0.13044713415598611</v>
      </c>
      <c r="G584" s="549">
        <v>0.169875070809381</v>
      </c>
      <c r="H584" s="550">
        <v>1.15873660801942E-2</v>
      </c>
      <c r="I584" s="551">
        <v>3.0972163346274302</v>
      </c>
      <c r="J584" s="551">
        <v>0.18627542581353199</v>
      </c>
      <c r="K584" s="551">
        <v>3.7540924637342397E-2</v>
      </c>
      <c r="L584" s="551">
        <v>1.70050621230436E-4</v>
      </c>
      <c r="M584" s="552">
        <v>3.9238358664057199E-2</v>
      </c>
    </row>
    <row r="585" spans="2:13" ht="15.75" x14ac:dyDescent="0.25">
      <c r="B585" s="555">
        <v>2028</v>
      </c>
      <c r="C585" s="556">
        <v>2009</v>
      </c>
      <c r="D585" s="557" t="s">
        <v>3483</v>
      </c>
      <c r="E585" s="547">
        <v>6.3665477886922867E-2</v>
      </c>
      <c r="F585" s="548">
        <v>0.12922328067392921</v>
      </c>
      <c r="G585" s="549">
        <v>0.16880484771736701</v>
      </c>
      <c r="H585" s="550">
        <v>8.0613641902907898E-3</v>
      </c>
      <c r="I585" s="551">
        <v>3.09161266688655</v>
      </c>
      <c r="J585" s="551">
        <v>0.10207388359722799</v>
      </c>
      <c r="K585" s="551">
        <v>3.7276915831919603E-2</v>
      </c>
      <c r="L585" s="551">
        <v>1.8647197565893901E-4</v>
      </c>
      <c r="M585" s="552">
        <v>3.8962412551974898E-2</v>
      </c>
    </row>
    <row r="586" spans="2:13" ht="15.75" x14ac:dyDescent="0.25">
      <c r="B586" s="555">
        <v>2028</v>
      </c>
      <c r="C586" s="556">
        <v>2010</v>
      </c>
      <c r="D586" s="557" t="s">
        <v>3484</v>
      </c>
      <c r="E586" s="547">
        <v>6.3678143363461295E-2</v>
      </c>
      <c r="F586" s="548">
        <v>0.12815621178278616</v>
      </c>
      <c r="G586" s="549">
        <v>0.108174023723854</v>
      </c>
      <c r="H586" s="550">
        <v>7.9420384094629707E-3</v>
      </c>
      <c r="I586" s="551">
        <v>0.27461962729994499</v>
      </c>
      <c r="J586" s="551">
        <v>0.10059429334548101</v>
      </c>
      <c r="K586" s="551">
        <v>2.2261705817765799E-2</v>
      </c>
      <c r="L586" s="551">
        <v>2.22297928455828E-4</v>
      </c>
      <c r="M586" s="552">
        <v>2.3268281369988701E-2</v>
      </c>
    </row>
    <row r="587" spans="2:13" ht="15.75" x14ac:dyDescent="0.25">
      <c r="B587" s="555">
        <v>2028</v>
      </c>
      <c r="C587" s="556">
        <v>2011</v>
      </c>
      <c r="D587" s="557" t="s">
        <v>3485</v>
      </c>
      <c r="E587" s="547">
        <v>6.3624218750776965E-2</v>
      </c>
      <c r="F587" s="548">
        <v>0.12983570305266631</v>
      </c>
      <c r="G587" s="549">
        <v>0.107139563513772</v>
      </c>
      <c r="H587" s="550">
        <v>8.2118401755320002E-3</v>
      </c>
      <c r="I587" s="551">
        <v>0.27084311535783001</v>
      </c>
      <c r="J587" s="551">
        <v>0.101205967553007</v>
      </c>
      <c r="K587" s="551">
        <v>2.1816971337086499E-2</v>
      </c>
      <c r="L587" s="551">
        <v>3.1383877460200102E-4</v>
      </c>
      <c r="M587" s="552">
        <v>2.2803437969573102E-2</v>
      </c>
    </row>
    <row r="588" spans="2:13" ht="15.75" x14ac:dyDescent="0.25">
      <c r="B588" s="555">
        <v>2028</v>
      </c>
      <c r="C588" s="556">
        <v>2012</v>
      </c>
      <c r="D588" s="557" t="s">
        <v>3486</v>
      </c>
      <c r="E588" s="547">
        <v>6.3740101367741914E-2</v>
      </c>
      <c r="F588" s="548">
        <v>0.13022886020898836</v>
      </c>
      <c r="G588" s="549">
        <v>0.107674231905526</v>
      </c>
      <c r="H588" s="550">
        <v>8.2492939769374402E-3</v>
      </c>
      <c r="I588" s="551">
        <v>0.26905706478146402</v>
      </c>
      <c r="J588" s="551">
        <v>0.10094579834374399</v>
      </c>
      <c r="K588" s="551">
        <v>2.1424951685601198E-2</v>
      </c>
      <c r="L588" s="551">
        <v>4.63368807882606E-4</v>
      </c>
      <c r="M588" s="552">
        <v>2.2393692929009001E-2</v>
      </c>
    </row>
    <row r="589" spans="2:13" ht="15.75" x14ac:dyDescent="0.25">
      <c r="B589" s="555">
        <v>2028</v>
      </c>
      <c r="C589" s="556">
        <v>2013</v>
      </c>
      <c r="D589" s="557" t="s">
        <v>3487</v>
      </c>
      <c r="E589" s="547">
        <v>6.359884175884549E-2</v>
      </c>
      <c r="F589" s="548">
        <v>0.13024187891553649</v>
      </c>
      <c r="G589" s="549">
        <v>0.10560640863251</v>
      </c>
      <c r="H589" s="550">
        <v>8.2383104468152606E-3</v>
      </c>
      <c r="I589" s="551">
        <v>0.263218863205958</v>
      </c>
      <c r="J589" s="551">
        <v>9.9840584526645307E-2</v>
      </c>
      <c r="K589" s="551">
        <v>2.0817564824911601E-2</v>
      </c>
      <c r="L589" s="551">
        <v>6.9428875107484201E-4</v>
      </c>
      <c r="M589" s="552">
        <v>2.1758842729718401E-2</v>
      </c>
    </row>
    <row r="590" spans="2:13" ht="15.75" x14ac:dyDescent="0.25">
      <c r="B590" s="555">
        <v>2028</v>
      </c>
      <c r="C590" s="556">
        <v>2014</v>
      </c>
      <c r="D590" s="557" t="s">
        <v>3488</v>
      </c>
      <c r="E590" s="547">
        <v>6.20550053573031E-2</v>
      </c>
      <c r="F590" s="548">
        <v>0.1281029459502124</v>
      </c>
      <c r="G590" s="549">
        <v>0.103962521265619</v>
      </c>
      <c r="H590" s="550">
        <v>8.2032165201870802E-3</v>
      </c>
      <c r="I590" s="551">
        <v>0.25756962316145898</v>
      </c>
      <c r="J590" s="551">
        <v>9.9336551422004593E-2</v>
      </c>
      <c r="K590" s="551">
        <v>2.0169172970725398E-2</v>
      </c>
      <c r="L590" s="551">
        <v>9.6330612134044099E-4</v>
      </c>
      <c r="M590" s="552">
        <v>2.10811334730821E-2</v>
      </c>
    </row>
    <row r="591" spans="2:13" ht="15.75" x14ac:dyDescent="0.25">
      <c r="B591" s="555">
        <v>2028</v>
      </c>
      <c r="C591" s="556">
        <v>2015</v>
      </c>
      <c r="D591" s="557" t="s">
        <v>3489</v>
      </c>
      <c r="E591" s="547">
        <v>6.1528960744156633E-2</v>
      </c>
      <c r="F591" s="548">
        <v>0.12807855837723434</v>
      </c>
      <c r="G591" s="549">
        <v>0.102224998608398</v>
      </c>
      <c r="H591" s="550">
        <v>8.3497155439620097E-3</v>
      </c>
      <c r="I591" s="551">
        <v>0.25153499301349203</v>
      </c>
      <c r="J591" s="551">
        <v>9.94605459507856E-2</v>
      </c>
      <c r="K591" s="551">
        <v>1.9463484348755899E-2</v>
      </c>
      <c r="L591" s="551">
        <v>1.2321116508750801E-3</v>
      </c>
      <c r="M591" s="552">
        <v>2.0343536743074001E-2</v>
      </c>
    </row>
    <row r="592" spans="2:13" ht="15.75" x14ac:dyDescent="0.25">
      <c r="B592" s="555">
        <v>2028</v>
      </c>
      <c r="C592" s="556">
        <v>2016</v>
      </c>
      <c r="D592" s="557" t="s">
        <v>3490</v>
      </c>
      <c r="E592" s="547">
        <v>5.9527543916227998E-2</v>
      </c>
      <c r="F592" s="548">
        <v>0.12418071857779384</v>
      </c>
      <c r="G592" s="549">
        <v>0.100239241641311</v>
      </c>
      <c r="H592" s="550">
        <v>7.6654531099474904E-3</v>
      </c>
      <c r="I592" s="551">
        <v>0.21460813560101999</v>
      </c>
      <c r="J592" s="551">
        <v>8.7073195671575898E-2</v>
      </c>
      <c r="K592" s="551">
        <v>1.8688328126203801E-2</v>
      </c>
      <c r="L592" s="551">
        <v>1.38701536177971E-3</v>
      </c>
      <c r="M592" s="552">
        <v>1.9533331395842901E-2</v>
      </c>
    </row>
    <row r="593" spans="2:13" ht="15.75" x14ac:dyDescent="0.25">
      <c r="B593" s="555">
        <v>2028</v>
      </c>
      <c r="C593" s="556">
        <v>2017</v>
      </c>
      <c r="D593" s="557" t="s">
        <v>3491</v>
      </c>
      <c r="E593" s="547">
        <v>5.6016020769583917E-2</v>
      </c>
      <c r="F593" s="548">
        <v>0.12027379528287355</v>
      </c>
      <c r="G593" s="549">
        <v>8.2641687265101696E-2</v>
      </c>
      <c r="H593" s="550">
        <v>6.9558875476439797E-3</v>
      </c>
      <c r="I593" s="551">
        <v>0.163151686567681</v>
      </c>
      <c r="J593" s="551">
        <v>7.5039710231317197E-2</v>
      </c>
      <c r="K593" s="551">
        <v>1.6998255516834301E-2</v>
      </c>
      <c r="L593" s="551">
        <v>1.44525624056596E-3</v>
      </c>
      <c r="M593" s="552">
        <v>1.7766841202663801E-2</v>
      </c>
    </row>
    <row r="594" spans="2:13" ht="15.75" x14ac:dyDescent="0.25">
      <c r="B594" s="555">
        <v>2028</v>
      </c>
      <c r="C594" s="556">
        <v>2018</v>
      </c>
      <c r="D594" s="557" t="s">
        <v>3492</v>
      </c>
      <c r="E594" s="547">
        <v>5.2305030211091015E-2</v>
      </c>
      <c r="F594" s="548">
        <v>0.1151179023148424</v>
      </c>
      <c r="G594" s="549">
        <v>8.1464534825283902E-2</v>
      </c>
      <c r="H594" s="550">
        <v>6.30557694112886E-3</v>
      </c>
      <c r="I594" s="551">
        <v>0.129625429154067</v>
      </c>
      <c r="J594" s="551">
        <v>6.2513458041834197E-2</v>
      </c>
      <c r="K594" s="551">
        <v>1.6194766010586899E-2</v>
      </c>
      <c r="L594" s="551">
        <v>1.50583083838867E-3</v>
      </c>
      <c r="M594" s="552">
        <v>1.69270214663758E-2</v>
      </c>
    </row>
    <row r="595" spans="2:13" ht="15.75" x14ac:dyDescent="0.25">
      <c r="B595" s="555">
        <v>2028</v>
      </c>
      <c r="C595" s="556">
        <v>2019</v>
      </c>
      <c r="D595" s="557" t="s">
        <v>3493</v>
      </c>
      <c r="E595" s="547">
        <v>5.2287130683001171E-2</v>
      </c>
      <c r="F595" s="548">
        <v>0.11507123340799941</v>
      </c>
      <c r="G595" s="549">
        <v>8.0198415947454499E-2</v>
      </c>
      <c r="H595" s="550">
        <v>5.7189376499925601E-3</v>
      </c>
      <c r="I595" s="551">
        <v>0.108303921829366</v>
      </c>
      <c r="J595" s="551">
        <v>5.3900261078680303E-2</v>
      </c>
      <c r="K595" s="551">
        <v>1.53327521808037E-2</v>
      </c>
      <c r="L595" s="551">
        <v>1.5464100808796899E-3</v>
      </c>
      <c r="M595" s="552">
        <v>1.60260311963395E-2</v>
      </c>
    </row>
    <row r="596" spans="2:13" ht="15.75" x14ac:dyDescent="0.25">
      <c r="B596" s="555">
        <v>2028</v>
      </c>
      <c r="C596" s="556">
        <v>2020</v>
      </c>
      <c r="D596" s="557" t="s">
        <v>3494</v>
      </c>
      <c r="E596" s="547">
        <v>5.2268808938716937E-2</v>
      </c>
      <c r="F596" s="548">
        <v>0.11502322481032209</v>
      </c>
      <c r="G596" s="549">
        <v>7.8842689898598203E-2</v>
      </c>
      <c r="H596" s="550">
        <v>5.0830023652271503E-3</v>
      </c>
      <c r="I596" s="551">
        <v>8.7612202635031403E-2</v>
      </c>
      <c r="J596" s="551">
        <v>4.5162973172856898E-2</v>
      </c>
      <c r="K596" s="551">
        <v>1.4412166399258601E-2</v>
      </c>
      <c r="L596" s="551">
        <v>1.54691988106276E-3</v>
      </c>
      <c r="M596" s="552">
        <v>1.50638206107919E-2</v>
      </c>
    </row>
    <row r="597" spans="2:13" ht="15.75" x14ac:dyDescent="0.25">
      <c r="B597" s="555">
        <v>2028</v>
      </c>
      <c r="C597" s="556">
        <v>2021</v>
      </c>
      <c r="D597" s="557" t="s">
        <v>3495</v>
      </c>
      <c r="E597" s="547">
        <v>5.0943755266909412E-2</v>
      </c>
      <c r="F597" s="548">
        <v>0.11210262598179044</v>
      </c>
      <c r="G597" s="549">
        <v>7.7398131411567206E-2</v>
      </c>
      <c r="H597" s="550">
        <v>4.4019248829916501E-3</v>
      </c>
      <c r="I597" s="551">
        <v>6.82067988350544E-2</v>
      </c>
      <c r="J597" s="551">
        <v>3.6009788787569899E-2</v>
      </c>
      <c r="K597" s="551">
        <v>1.3433023254708E-2</v>
      </c>
      <c r="L597" s="551">
        <v>1.5474502557628999E-3</v>
      </c>
      <c r="M597" s="552">
        <v>1.4040404958128101E-2</v>
      </c>
    </row>
    <row r="598" spans="2:13" ht="15.75" x14ac:dyDescent="0.25">
      <c r="B598" s="555">
        <v>2028</v>
      </c>
      <c r="C598" s="556">
        <v>2022</v>
      </c>
      <c r="D598" s="557" t="s">
        <v>3496</v>
      </c>
      <c r="E598" s="547">
        <v>4.9671030199904376E-2</v>
      </c>
      <c r="F598" s="548">
        <v>0.10929671262049606</v>
      </c>
      <c r="G598" s="549">
        <v>7.5862434195962197E-2</v>
      </c>
      <c r="H598" s="550">
        <v>3.7289383756568201E-3</v>
      </c>
      <c r="I598" s="551">
        <v>4.9581916207724799E-2</v>
      </c>
      <c r="J598" s="551">
        <v>2.71845031847621E-2</v>
      </c>
      <c r="K598" s="551">
        <v>1.23951842348923E-2</v>
      </c>
      <c r="L598" s="551">
        <v>1.5479791600948401E-3</v>
      </c>
      <c r="M598" s="552">
        <v>1.29556394631787E-2</v>
      </c>
    </row>
    <row r="599" spans="2:13" ht="15.75" x14ac:dyDescent="0.25">
      <c r="B599" s="555">
        <v>2028</v>
      </c>
      <c r="C599" s="556">
        <v>2023</v>
      </c>
      <c r="D599" s="557" t="s">
        <v>3497</v>
      </c>
      <c r="E599" s="547">
        <v>4.8398282454659373E-2</v>
      </c>
      <c r="F599" s="548">
        <v>0.10649317364748954</v>
      </c>
      <c r="G599" s="549">
        <v>7.42367074205669E-2</v>
      </c>
      <c r="H599" s="550">
        <v>3.7167181188433999E-3</v>
      </c>
      <c r="I599" s="551">
        <v>4.7367240469642802E-2</v>
      </c>
      <c r="J599" s="551">
        <v>2.6363383220708001E-2</v>
      </c>
      <c r="K599" s="551">
        <v>1.1298678739102E-2</v>
      </c>
      <c r="L599" s="551">
        <v>1.54852045680864E-3</v>
      </c>
      <c r="M599" s="552">
        <v>1.18095548545398E-2</v>
      </c>
    </row>
    <row r="600" spans="2:13" ht="15.75" x14ac:dyDescent="0.25">
      <c r="B600" s="555">
        <v>2028</v>
      </c>
      <c r="C600" s="556">
        <v>2024</v>
      </c>
      <c r="D600" s="557" t="s">
        <v>3498</v>
      </c>
      <c r="E600" s="547">
        <v>4.7177282434537407E-2</v>
      </c>
      <c r="F600" s="548">
        <v>0.10380580858006662</v>
      </c>
      <c r="G600" s="549">
        <v>7.2519492036545605E-2</v>
      </c>
      <c r="H600" s="550">
        <v>3.8666488005534199E-3</v>
      </c>
      <c r="I600" s="551">
        <v>4.5032496057849397E-2</v>
      </c>
      <c r="J600" s="551">
        <v>2.7183482587104901E-2</v>
      </c>
      <c r="K600" s="551">
        <v>1.0143420255304901E-2</v>
      </c>
      <c r="L600" s="551">
        <v>1.54906104626778E-3</v>
      </c>
      <c r="M600" s="552">
        <v>1.0602060708489101E-2</v>
      </c>
    </row>
    <row r="601" spans="2:13" ht="15.75" x14ac:dyDescent="0.25">
      <c r="B601" s="555">
        <v>2028</v>
      </c>
      <c r="C601" s="556">
        <v>2025</v>
      </c>
      <c r="D601" s="557" t="s">
        <v>3499</v>
      </c>
      <c r="E601" s="547">
        <v>4.5955436583340316E-2</v>
      </c>
      <c r="F601" s="548">
        <v>0.1011201908861384</v>
      </c>
      <c r="G601" s="549">
        <v>7.0711822848815706E-2</v>
      </c>
      <c r="H601" s="550">
        <v>4.27415862116218E-3</v>
      </c>
      <c r="I601" s="551">
        <v>4.25779402281493E-2</v>
      </c>
      <c r="J601" s="551">
        <v>2.90512345124842E-2</v>
      </c>
      <c r="K601" s="551">
        <v>8.9294212301568206E-3</v>
      </c>
      <c r="L601" s="551">
        <v>1.54961490105325E-3</v>
      </c>
      <c r="M601" s="552">
        <v>9.3331700344646499E-3</v>
      </c>
    </row>
    <row r="602" spans="2:13" ht="15.75" x14ac:dyDescent="0.25">
      <c r="B602" s="555">
        <v>2028</v>
      </c>
      <c r="C602" s="556">
        <v>2026</v>
      </c>
      <c r="D602" s="557" t="s">
        <v>3500</v>
      </c>
      <c r="E602" s="547">
        <v>4.4783913669961317E-2</v>
      </c>
      <c r="F602" s="548">
        <v>9.8547529020680313E-2</v>
      </c>
      <c r="G602" s="549">
        <v>6.8812280147048197E-2</v>
      </c>
      <c r="H602" s="550">
        <v>4.9474499230823497E-3</v>
      </c>
      <c r="I602" s="551">
        <v>4.0007370916782303E-2</v>
      </c>
      <c r="J602" s="551">
        <v>3.3049316071512902E-2</v>
      </c>
      <c r="K602" s="551">
        <v>7.65659940597542E-3</v>
      </c>
      <c r="L602" s="551">
        <v>1.5501679576196601E-3</v>
      </c>
      <c r="M602" s="552">
        <v>8.00279685545696E-3</v>
      </c>
    </row>
    <row r="603" spans="2:13" ht="15.75" x14ac:dyDescent="0.25">
      <c r="B603" s="555">
        <v>2028</v>
      </c>
      <c r="C603" s="556">
        <v>2027</v>
      </c>
      <c r="D603" s="557" t="s">
        <v>3501</v>
      </c>
      <c r="E603" s="547">
        <v>4.366103812559511E-2</v>
      </c>
      <c r="F603" s="548">
        <v>9.6078006631471383E-2</v>
      </c>
      <c r="G603" s="549">
        <v>6.6822765074867396E-2</v>
      </c>
      <c r="H603" s="550">
        <v>5.62059270336898E-3</v>
      </c>
      <c r="I603" s="551">
        <v>3.7312355730142001E-2</v>
      </c>
      <c r="J603" s="551">
        <v>3.6528380327928801E-2</v>
      </c>
      <c r="K603" s="551">
        <v>6.3249841746423697E-3</v>
      </c>
      <c r="L603" s="551">
        <v>1.55074742041596E-3</v>
      </c>
      <c r="M603" s="552">
        <v>6.6109718923181102E-3</v>
      </c>
    </row>
    <row r="604" spans="2:13" ht="15.75" x14ac:dyDescent="0.25">
      <c r="B604" s="555">
        <v>2028</v>
      </c>
      <c r="C604" s="556">
        <v>2028</v>
      </c>
      <c r="D604" s="557" t="s">
        <v>3502</v>
      </c>
      <c r="E604" s="547">
        <v>4.3622352376621903E-2</v>
      </c>
      <c r="F604" s="548">
        <v>9.5971036551429342E-2</v>
      </c>
      <c r="G604" s="549">
        <v>6.4740333011896301E-2</v>
      </c>
      <c r="H604" s="550">
        <v>5.40329350908392E-3</v>
      </c>
      <c r="I604" s="551">
        <v>3.4496528266482397E-2</v>
      </c>
      <c r="J604" s="551">
        <v>3.4281585899178998E-2</v>
      </c>
      <c r="K604" s="551">
        <v>4.9344518297713101E-3</v>
      </c>
      <c r="L604" s="551">
        <v>1.55131936733401E-3</v>
      </c>
      <c r="M604" s="552">
        <v>5.1575658452078701E-3</v>
      </c>
    </row>
    <row r="605" spans="2:13" ht="15.75" x14ac:dyDescent="0.25">
      <c r="B605" s="555">
        <v>2029</v>
      </c>
      <c r="C605" s="556">
        <v>1985</v>
      </c>
      <c r="D605" s="557" t="s">
        <v>3503</v>
      </c>
      <c r="E605" s="547">
        <v>6.4865179565807243E-2</v>
      </c>
      <c r="F605" s="548">
        <v>0.14338154937855924</v>
      </c>
      <c r="G605" s="549">
        <v>0.23094679580959601</v>
      </c>
      <c r="H605" s="550">
        <v>1.84380941677404</v>
      </c>
      <c r="I605" s="551">
        <v>5.0378120215004696</v>
      </c>
      <c r="J605" s="551">
        <v>4.1086439330223703</v>
      </c>
      <c r="K605" s="551">
        <v>0.17407266381915701</v>
      </c>
      <c r="L605" s="551">
        <v>1.55999579698452E-2</v>
      </c>
      <c r="M605" s="552">
        <v>0.18194345724105301</v>
      </c>
    </row>
    <row r="606" spans="2:13" ht="15.75" x14ac:dyDescent="0.25">
      <c r="B606" s="555">
        <v>2029</v>
      </c>
      <c r="C606" s="556">
        <v>1986</v>
      </c>
      <c r="D606" s="557" t="s">
        <v>3504</v>
      </c>
      <c r="E606" s="547">
        <v>6.4084463283653637E-2</v>
      </c>
      <c r="F606" s="548">
        <v>0.14338622031855042</v>
      </c>
      <c r="G606" s="549">
        <v>0.22638160931078499</v>
      </c>
      <c r="H606" s="550">
        <v>1.83645356220169</v>
      </c>
      <c r="I606" s="551">
        <v>5.1056027258621297</v>
      </c>
      <c r="J606" s="551">
        <v>3.87108363522109</v>
      </c>
      <c r="K606" s="551">
        <v>0.17063172335538701</v>
      </c>
      <c r="L606" s="551">
        <v>1.56257115796616E-2</v>
      </c>
      <c r="M606" s="552">
        <v>0.178346932718459</v>
      </c>
    </row>
    <row r="607" spans="2:13" ht="15.75" x14ac:dyDescent="0.25">
      <c r="B607" s="555">
        <v>2029</v>
      </c>
      <c r="C607" s="556">
        <v>1987</v>
      </c>
      <c r="D607" s="557" t="s">
        <v>3505</v>
      </c>
      <c r="E607" s="547">
        <v>6.3807338767360333E-2</v>
      </c>
      <c r="F607" s="548">
        <v>0.14146730294536902</v>
      </c>
      <c r="G607" s="549">
        <v>0.282294349564016</v>
      </c>
      <c r="H607" s="550">
        <v>1.7855334858271801</v>
      </c>
      <c r="I607" s="551">
        <v>5.2183118294794504</v>
      </c>
      <c r="J607" s="551">
        <v>3.95943285743104</v>
      </c>
      <c r="K607" s="551">
        <v>0.19225304766599499</v>
      </c>
      <c r="L607" s="551">
        <v>1.5284839346359399E-2</v>
      </c>
      <c r="M607" s="552">
        <v>0.20094587737118699</v>
      </c>
    </row>
    <row r="608" spans="2:13" ht="15.75" x14ac:dyDescent="0.25">
      <c r="B608" s="555">
        <v>2029</v>
      </c>
      <c r="C608" s="556">
        <v>1988</v>
      </c>
      <c r="D608" s="557" t="s">
        <v>3506</v>
      </c>
      <c r="E608" s="547">
        <v>6.3195562470108532E-2</v>
      </c>
      <c r="F608" s="548">
        <v>0.13438241724993602</v>
      </c>
      <c r="G608" s="549">
        <v>0.27731663740790302</v>
      </c>
      <c r="H608" s="550">
        <v>0.43971698917383101</v>
      </c>
      <c r="I608" s="551">
        <v>5.2633244510366701</v>
      </c>
      <c r="J608" s="551">
        <v>1.68417597849573</v>
      </c>
      <c r="K608" s="551">
        <v>0.18886303885464301</v>
      </c>
      <c r="L608" s="551">
        <v>1.41660045284961E-2</v>
      </c>
      <c r="M608" s="552">
        <v>0.19740258740432701</v>
      </c>
    </row>
    <row r="609" spans="2:13" ht="15.75" x14ac:dyDescent="0.25">
      <c r="B609" s="555">
        <v>2029</v>
      </c>
      <c r="C609" s="556">
        <v>1989</v>
      </c>
      <c r="D609" s="557" t="s">
        <v>3507</v>
      </c>
      <c r="E609" s="547">
        <v>6.2974991482211862E-2</v>
      </c>
      <c r="F609" s="548">
        <v>0.13378157066171534</v>
      </c>
      <c r="G609" s="549">
        <v>0.275881124367713</v>
      </c>
      <c r="H609" s="550">
        <v>0.433209643787964</v>
      </c>
      <c r="I609" s="551">
        <v>5.28407527478406</v>
      </c>
      <c r="J609" s="551">
        <v>1.6750652780116499</v>
      </c>
      <c r="K609" s="551">
        <v>0.18788540059384501</v>
      </c>
      <c r="L609" s="551">
        <v>1.40268756592811E-2</v>
      </c>
      <c r="M609" s="552">
        <v>0.196380744679581</v>
      </c>
    </row>
    <row r="610" spans="2:13" ht="15.75" x14ac:dyDescent="0.25">
      <c r="B610" s="555">
        <v>2029</v>
      </c>
      <c r="C610" s="556">
        <v>1990</v>
      </c>
      <c r="D610" s="557" t="s">
        <v>3508</v>
      </c>
      <c r="E610" s="547">
        <v>6.2978363207738475E-2</v>
      </c>
      <c r="F610" s="548">
        <v>0.13462873563704714</v>
      </c>
      <c r="G610" s="549">
        <v>0.27628216044108</v>
      </c>
      <c r="H610" s="550">
        <v>0.43864746861769</v>
      </c>
      <c r="I610" s="551">
        <v>5.2863401676755899</v>
      </c>
      <c r="J610" s="551">
        <v>1.68233516821118</v>
      </c>
      <c r="K610" s="551">
        <v>0.18815852121226301</v>
      </c>
      <c r="L610" s="551">
        <v>1.4285035344108099E-2</v>
      </c>
      <c r="M610" s="552">
        <v>0.19666621460040901</v>
      </c>
    </row>
    <row r="611" spans="2:13" ht="15.75" x14ac:dyDescent="0.25">
      <c r="B611" s="555">
        <v>2029</v>
      </c>
      <c r="C611" s="556">
        <v>1991</v>
      </c>
      <c r="D611" s="557" t="s">
        <v>3509</v>
      </c>
      <c r="E611" s="547">
        <v>6.3908873533200905E-2</v>
      </c>
      <c r="F611" s="548">
        <v>0.13432988711937002</v>
      </c>
      <c r="G611" s="549">
        <v>0.36454846305418298</v>
      </c>
      <c r="H611" s="550">
        <v>0.48426913760220502</v>
      </c>
      <c r="I611" s="551">
        <v>9.2229884664002295</v>
      </c>
      <c r="J611" s="551">
        <v>2.92899817543503</v>
      </c>
      <c r="K611" s="551">
        <v>5.1665007107863502E-2</v>
      </c>
      <c r="L611" s="551">
        <v>7.7691879111647204E-3</v>
      </c>
      <c r="M611" s="552">
        <v>5.4001069469207498E-2</v>
      </c>
    </row>
    <row r="612" spans="2:13" ht="15.75" x14ac:dyDescent="0.25">
      <c r="B612" s="555">
        <v>2029</v>
      </c>
      <c r="C612" s="556">
        <v>1992</v>
      </c>
      <c r="D612" s="557" t="s">
        <v>3510</v>
      </c>
      <c r="E612" s="547">
        <v>6.412508080724251E-2</v>
      </c>
      <c r="F612" s="548">
        <v>0.13512707915422023</v>
      </c>
      <c r="G612" s="549">
        <v>0.36726714914618702</v>
      </c>
      <c r="H612" s="550">
        <v>0.49140762116610398</v>
      </c>
      <c r="I612" s="551">
        <v>9.1902565525402498</v>
      </c>
      <c r="J612" s="551">
        <v>2.9513342069009401</v>
      </c>
      <c r="K612" s="551">
        <v>5.2050308242013697E-2</v>
      </c>
      <c r="L612" s="551">
        <v>7.9167379079307498E-3</v>
      </c>
      <c r="M612" s="552">
        <v>5.4403792210895502E-2</v>
      </c>
    </row>
    <row r="613" spans="2:13" ht="15.75" x14ac:dyDescent="0.25">
      <c r="B613" s="555">
        <v>2029</v>
      </c>
      <c r="C613" s="556">
        <v>1993</v>
      </c>
      <c r="D613" s="557" t="s">
        <v>3511</v>
      </c>
      <c r="E613" s="547">
        <v>6.4171878270634461E-2</v>
      </c>
      <c r="F613" s="548">
        <v>0.1344358740759341</v>
      </c>
      <c r="G613" s="549">
        <v>0.36814222239272199</v>
      </c>
      <c r="H613" s="550">
        <v>0.48368420076984198</v>
      </c>
      <c r="I613" s="551">
        <v>9.1846872917836198</v>
      </c>
      <c r="J613" s="551">
        <v>2.93356198843319</v>
      </c>
      <c r="K613" s="551">
        <v>5.21743265004459E-2</v>
      </c>
      <c r="L613" s="551">
        <v>7.8219324952826502E-3</v>
      </c>
      <c r="M613" s="552">
        <v>5.4533418024651101E-2</v>
      </c>
    </row>
    <row r="614" spans="2:13" ht="15.75" x14ac:dyDescent="0.25">
      <c r="B614" s="555">
        <v>2029</v>
      </c>
      <c r="C614" s="556">
        <v>1994</v>
      </c>
      <c r="D614" s="557" t="s">
        <v>3512</v>
      </c>
      <c r="E614" s="547">
        <v>6.3820603318549121E-2</v>
      </c>
      <c r="F614" s="548">
        <v>0.13347695684002453</v>
      </c>
      <c r="G614" s="549">
        <v>0.362044987714922</v>
      </c>
      <c r="H614" s="550">
        <v>0.473723860136396</v>
      </c>
      <c r="I614" s="551">
        <v>9.2465995479511403</v>
      </c>
      <c r="J614" s="551">
        <v>2.9121816335626201</v>
      </c>
      <c r="K614" s="551">
        <v>5.1840631547054601E-2</v>
      </c>
      <c r="L614" s="551">
        <v>7.6836940308853104E-3</v>
      </c>
      <c r="M614" s="552">
        <v>5.4184634866216899E-2</v>
      </c>
    </row>
    <row r="615" spans="2:13" ht="15.75" x14ac:dyDescent="0.25">
      <c r="B615" s="555">
        <v>2029</v>
      </c>
      <c r="C615" s="556">
        <v>1995</v>
      </c>
      <c r="D615" s="557" t="s">
        <v>3513</v>
      </c>
      <c r="E615" s="547">
        <v>6.4156382714692428E-2</v>
      </c>
      <c r="F615" s="548">
        <v>0.132677942754024</v>
      </c>
      <c r="G615" s="549">
        <v>0.36620419216206801</v>
      </c>
      <c r="H615" s="550">
        <v>0.25295565548506499</v>
      </c>
      <c r="I615" s="551">
        <v>9.2226296357209101</v>
      </c>
      <c r="J615" s="551">
        <v>1.6622820641985601</v>
      </c>
      <c r="K615" s="551">
        <v>5.2436181251068498E-2</v>
      </c>
      <c r="L615" s="551">
        <v>5.01916620009358E-3</v>
      </c>
      <c r="M615" s="552">
        <v>5.4807112685133698E-2</v>
      </c>
    </row>
    <row r="616" spans="2:13" ht="15.75" x14ac:dyDescent="0.25">
      <c r="B616" s="555">
        <v>2029</v>
      </c>
      <c r="C616" s="556">
        <v>1996</v>
      </c>
      <c r="D616" s="557" t="s">
        <v>3514</v>
      </c>
      <c r="E616" s="547">
        <v>6.4178090787727737E-2</v>
      </c>
      <c r="F616" s="548">
        <v>0.13114635623411888</v>
      </c>
      <c r="G616" s="549">
        <v>0.36650659480595299</v>
      </c>
      <c r="H616" s="550">
        <v>2.2901491294489099E-2</v>
      </c>
      <c r="I616" s="551">
        <v>9.2178748203605991</v>
      </c>
      <c r="J616" s="551">
        <v>0.395579427598511</v>
      </c>
      <c r="K616" s="551">
        <v>5.2479481792637797E-2</v>
      </c>
      <c r="L616" s="551">
        <v>2.2321825011027202E-3</v>
      </c>
      <c r="M616" s="552">
        <v>5.4852371085049402E-2</v>
      </c>
    </row>
    <row r="617" spans="2:13" ht="15.75" x14ac:dyDescent="0.25">
      <c r="B617" s="555">
        <v>2029</v>
      </c>
      <c r="C617" s="556">
        <v>1997</v>
      </c>
      <c r="D617" s="557" t="s">
        <v>3515</v>
      </c>
      <c r="E617" s="547">
        <v>6.4421470433768127E-2</v>
      </c>
      <c r="F617" s="548">
        <v>0.12978509317695783</v>
      </c>
      <c r="G617" s="549">
        <v>0.36929664361565201</v>
      </c>
      <c r="H617" s="550">
        <v>2.22778578621564E-2</v>
      </c>
      <c r="I617" s="551">
        <v>9.1765085185011195</v>
      </c>
      <c r="J617" s="551">
        <v>0.39157063746267601</v>
      </c>
      <c r="K617" s="551">
        <v>5.2878984333067397E-2</v>
      </c>
      <c r="L617" s="551">
        <v>2.1739245688503E-3</v>
      </c>
      <c r="M617" s="552">
        <v>5.5269937357590997E-2</v>
      </c>
    </row>
    <row r="618" spans="2:13" ht="15.75" x14ac:dyDescent="0.25">
      <c r="B618" s="555">
        <v>2029</v>
      </c>
      <c r="C618" s="556">
        <v>1998</v>
      </c>
      <c r="D618" s="557" t="s">
        <v>3516</v>
      </c>
      <c r="E618" s="547">
        <v>6.4223778059416203E-2</v>
      </c>
      <c r="F618" s="548">
        <v>0.13031522580357771</v>
      </c>
      <c r="G618" s="549">
        <v>0.36785920306431502</v>
      </c>
      <c r="H618" s="550">
        <v>2.2512200213033601E-2</v>
      </c>
      <c r="I618" s="551">
        <v>9.2140825009365308</v>
      </c>
      <c r="J618" s="551">
        <v>0.39328891246613701</v>
      </c>
      <c r="K618" s="551">
        <v>5.2673159563988298E-2</v>
      </c>
      <c r="L618" s="551">
        <v>2.2007136540859698E-3</v>
      </c>
      <c r="M618" s="552">
        <v>5.5054806105788001E-2</v>
      </c>
    </row>
    <row r="619" spans="2:13" ht="15.75" x14ac:dyDescent="0.25">
      <c r="B619" s="555">
        <v>2029</v>
      </c>
      <c r="C619" s="556">
        <v>1999</v>
      </c>
      <c r="D619" s="557" t="s">
        <v>3517</v>
      </c>
      <c r="E619" s="547">
        <v>6.4142971875243482E-2</v>
      </c>
      <c r="F619" s="548">
        <v>0.13016471934014223</v>
      </c>
      <c r="G619" s="549">
        <v>0.36717055055700398</v>
      </c>
      <c r="H619" s="550">
        <v>2.2493538719348002E-2</v>
      </c>
      <c r="I619" s="551">
        <v>9.2173174446307709</v>
      </c>
      <c r="J619" s="551">
        <v>0.39335503882929101</v>
      </c>
      <c r="K619" s="551">
        <v>5.2574552534180197E-2</v>
      </c>
      <c r="L619" s="551">
        <v>2.1945660809101499E-3</v>
      </c>
      <c r="M619" s="552">
        <v>5.4951740503654201E-2</v>
      </c>
    </row>
    <row r="620" spans="2:13" ht="15.75" x14ac:dyDescent="0.25">
      <c r="B620" s="555">
        <v>2029</v>
      </c>
      <c r="C620" s="556">
        <v>2000</v>
      </c>
      <c r="D620" s="557" t="s">
        <v>3518</v>
      </c>
      <c r="E620" s="547">
        <v>6.3896978721979455E-2</v>
      </c>
      <c r="F620" s="548">
        <v>0.13059334753963583</v>
      </c>
      <c r="G620" s="549">
        <v>0.36480974969333702</v>
      </c>
      <c r="H620" s="550">
        <v>2.2684618576746099E-2</v>
      </c>
      <c r="I620" s="551">
        <v>9.24781340798617</v>
      </c>
      <c r="J620" s="551">
        <v>0.39529351701155202</v>
      </c>
      <c r="K620" s="551">
        <v>5.2236513307337799E-2</v>
      </c>
      <c r="L620" s="551">
        <v>2.2168397986566898E-3</v>
      </c>
      <c r="M620" s="552">
        <v>5.4598416643000899E-2</v>
      </c>
    </row>
    <row r="621" spans="2:13" ht="15.75" x14ac:dyDescent="0.25">
      <c r="B621" s="555">
        <v>2029</v>
      </c>
      <c r="C621" s="556">
        <v>2001</v>
      </c>
      <c r="D621" s="557" t="s">
        <v>3519</v>
      </c>
      <c r="E621" s="547">
        <v>6.4117019896195282E-2</v>
      </c>
      <c r="F621" s="548">
        <v>0.13077722627085597</v>
      </c>
      <c r="G621" s="549">
        <v>0.36734840038995897</v>
      </c>
      <c r="H621" s="550">
        <v>2.2787443453896099E-2</v>
      </c>
      <c r="I621" s="551">
        <v>9.2126579687006203</v>
      </c>
      <c r="J621" s="551">
        <v>0.39674543449042898</v>
      </c>
      <c r="K621" s="551">
        <v>5.2600018561811498E-2</v>
      </c>
      <c r="L621" s="551">
        <v>2.22959555006332E-3</v>
      </c>
      <c r="M621" s="552">
        <v>5.4978357992051197E-2</v>
      </c>
    </row>
    <row r="622" spans="2:13" ht="15.75" x14ac:dyDescent="0.25">
      <c r="B622" s="555">
        <v>2029</v>
      </c>
      <c r="C622" s="556">
        <v>2002</v>
      </c>
      <c r="D622" s="557" t="s">
        <v>3520</v>
      </c>
      <c r="E622" s="547">
        <v>6.3959087984240381E-2</v>
      </c>
      <c r="F622" s="548">
        <v>0.13062531140008138</v>
      </c>
      <c r="G622" s="549">
        <v>0.28391273275113799</v>
      </c>
      <c r="H622" s="550">
        <v>2.2739768727638599E-2</v>
      </c>
      <c r="I622" s="551">
        <v>7.1084036046862602</v>
      </c>
      <c r="J622" s="551">
        <v>0.31933955663715702</v>
      </c>
      <c r="K622" s="551">
        <v>5.2920739258752E-2</v>
      </c>
      <c r="L622" s="551">
        <v>2.2270625730292301E-3</v>
      </c>
      <c r="M622" s="552">
        <v>5.5313580255730299E-2</v>
      </c>
    </row>
    <row r="623" spans="2:13" ht="15.75" x14ac:dyDescent="0.25">
      <c r="B623" s="555">
        <v>2029</v>
      </c>
      <c r="C623" s="556">
        <v>2003</v>
      </c>
      <c r="D623" s="557" t="s">
        <v>3521</v>
      </c>
      <c r="E623" s="547">
        <v>6.3658657775795727E-2</v>
      </c>
      <c r="F623" s="548">
        <v>0.13003591821083682</v>
      </c>
      <c r="G623" s="549">
        <v>0.28167428748060602</v>
      </c>
      <c r="H623" s="550">
        <v>2.2493860214961699E-2</v>
      </c>
      <c r="I623" s="551">
        <v>7.13616524158535</v>
      </c>
      <c r="J623" s="551">
        <v>0.319215874099329</v>
      </c>
      <c r="K623" s="551">
        <v>5.2503497744576501E-2</v>
      </c>
      <c r="L623" s="551">
        <v>2.2034547043718999E-3</v>
      </c>
      <c r="M623" s="552">
        <v>5.4877472931765599E-2</v>
      </c>
    </row>
    <row r="624" spans="2:13" ht="15.75" x14ac:dyDescent="0.25">
      <c r="B624" s="555">
        <v>2029</v>
      </c>
      <c r="C624" s="556">
        <v>2004</v>
      </c>
      <c r="D624" s="557" t="s">
        <v>3522</v>
      </c>
      <c r="E624" s="547">
        <v>6.3430762609382491E-2</v>
      </c>
      <c r="F624" s="548">
        <v>0.12900570756993568</v>
      </c>
      <c r="G624" s="549">
        <v>0.232487504559348</v>
      </c>
      <c r="H624" s="550">
        <v>1.4737155484487801E-2</v>
      </c>
      <c r="I624" s="551">
        <v>5.9695523197215898</v>
      </c>
      <c r="J624" s="551">
        <v>0.27011979813968701</v>
      </c>
      <c r="K624" s="551">
        <v>5.2211346871188197E-2</v>
      </c>
      <c r="L624" s="551">
        <v>1.4337039110175101E-4</v>
      </c>
      <c r="M624" s="552">
        <v>5.4572112292283002E-2</v>
      </c>
    </row>
    <row r="625" spans="2:13" ht="15.75" x14ac:dyDescent="0.25">
      <c r="B625" s="555">
        <v>2029</v>
      </c>
      <c r="C625" s="556">
        <v>2005</v>
      </c>
      <c r="D625" s="557" t="s">
        <v>3523</v>
      </c>
      <c r="E625" s="547">
        <v>6.3476862276058657E-2</v>
      </c>
      <c r="F625" s="548">
        <v>0.12938596701514701</v>
      </c>
      <c r="G625" s="549">
        <v>0.23284480312045699</v>
      </c>
      <c r="H625" s="550">
        <v>1.49451323226811E-2</v>
      </c>
      <c r="I625" s="551">
        <v>5.9594908586357196</v>
      </c>
      <c r="J625" s="551">
        <v>0.27199589461328399</v>
      </c>
      <c r="K625" s="551">
        <v>5.2291587911006597E-2</v>
      </c>
      <c r="L625" s="551">
        <v>1.44811886255964E-4</v>
      </c>
      <c r="M625" s="552">
        <v>5.4655981475857603E-2</v>
      </c>
    </row>
    <row r="626" spans="2:13" ht="15.75" x14ac:dyDescent="0.25">
      <c r="B626" s="555">
        <v>2029</v>
      </c>
      <c r="C626" s="556">
        <v>2006</v>
      </c>
      <c r="D626" s="557" t="s">
        <v>3524</v>
      </c>
      <c r="E626" s="547">
        <v>6.3306609437017436E-2</v>
      </c>
      <c r="F626" s="548">
        <v>0.12968997575142019</v>
      </c>
      <c r="G626" s="549">
        <v>0.231440365123884</v>
      </c>
      <c r="H626" s="550">
        <v>1.5045948269914599E-2</v>
      </c>
      <c r="I626" s="551">
        <v>5.9675639553900099</v>
      </c>
      <c r="J626" s="551">
        <v>0.272718816404039</v>
      </c>
      <c r="K626" s="551">
        <v>5.2003260699000402E-2</v>
      </c>
      <c r="L626" s="551">
        <v>1.4594941609077E-4</v>
      </c>
      <c r="M626" s="552">
        <v>5.4354617386757502E-2</v>
      </c>
    </row>
    <row r="627" spans="2:13" ht="15.75" x14ac:dyDescent="0.25">
      <c r="B627" s="555">
        <v>2029</v>
      </c>
      <c r="C627" s="556">
        <v>2007</v>
      </c>
      <c r="D627" s="557" t="s">
        <v>3525</v>
      </c>
      <c r="E627" s="547">
        <v>6.3468181586839034E-2</v>
      </c>
      <c r="F627" s="548">
        <v>0.13005590809189241</v>
      </c>
      <c r="G627" s="549">
        <v>0.16945600241463399</v>
      </c>
      <c r="H627" s="550">
        <v>1.50792558464141E-2</v>
      </c>
      <c r="I627" s="551">
        <v>3.1159322193402299</v>
      </c>
      <c r="J627" s="551">
        <v>0.27152277787193502</v>
      </c>
      <c r="K627" s="551">
        <v>3.7652376250563703E-2</v>
      </c>
      <c r="L627" s="551">
        <v>1.4736358977843699E-4</v>
      </c>
      <c r="M627" s="552">
        <v>3.9354849624669098E-2</v>
      </c>
    </row>
    <row r="628" spans="2:13" ht="15.75" x14ac:dyDescent="0.25">
      <c r="B628" s="555">
        <v>2029</v>
      </c>
      <c r="C628" s="556">
        <v>2008</v>
      </c>
      <c r="D628" s="557" t="s">
        <v>3526</v>
      </c>
      <c r="E628" s="547">
        <v>6.370377019556657E-2</v>
      </c>
      <c r="F628" s="548">
        <v>0.13053523780900919</v>
      </c>
      <c r="G628" s="549">
        <v>0.17085289771244699</v>
      </c>
      <c r="H628" s="550">
        <v>1.17533077855088E-2</v>
      </c>
      <c r="I628" s="551">
        <v>3.0998365341347198</v>
      </c>
      <c r="J628" s="551">
        <v>0.18892850907560499</v>
      </c>
      <c r="K628" s="551">
        <v>3.7767071221607003E-2</v>
      </c>
      <c r="L628" s="551">
        <v>1.70070666993081E-4</v>
      </c>
      <c r="M628" s="552">
        <v>3.9474730593351597E-2</v>
      </c>
    </row>
    <row r="629" spans="2:13" ht="15.75" x14ac:dyDescent="0.25">
      <c r="B629" s="555">
        <v>2029</v>
      </c>
      <c r="C629" s="556">
        <v>2009</v>
      </c>
      <c r="D629" s="557" t="s">
        <v>3527</v>
      </c>
      <c r="E629" s="547">
        <v>6.3699087750689429E-2</v>
      </c>
      <c r="F629" s="548">
        <v>0.12931227688355951</v>
      </c>
      <c r="G629" s="549">
        <v>0.17003581842544299</v>
      </c>
      <c r="H629" s="550">
        <v>8.1508926663409007E-3</v>
      </c>
      <c r="I629" s="551">
        <v>3.0949253807099701</v>
      </c>
      <c r="J629" s="551">
        <v>0.104002101991528</v>
      </c>
      <c r="K629" s="551">
        <v>3.7561971203503498E-2</v>
      </c>
      <c r="L629" s="551">
        <v>1.8650414982539901E-4</v>
      </c>
      <c r="M629" s="552">
        <v>3.9260356862547301E-2</v>
      </c>
    </row>
    <row r="630" spans="2:13" ht="15.75" x14ac:dyDescent="0.25">
      <c r="B630" s="555">
        <v>2029</v>
      </c>
      <c r="C630" s="556">
        <v>2010</v>
      </c>
      <c r="D630" s="557" t="s">
        <v>3528</v>
      </c>
      <c r="E630" s="547">
        <v>6.3711372242506073E-2</v>
      </c>
      <c r="F630" s="548">
        <v>0.12824384617842718</v>
      </c>
      <c r="G630" s="549">
        <v>0.108820228968809</v>
      </c>
      <c r="H630" s="550">
        <v>8.0140048644847493E-3</v>
      </c>
      <c r="I630" s="551">
        <v>0.27746593814551501</v>
      </c>
      <c r="J630" s="551">
        <v>0.102437132527346</v>
      </c>
      <c r="K630" s="551">
        <v>2.2622390838860501E-2</v>
      </c>
      <c r="L630" s="551">
        <v>2.22335109589554E-4</v>
      </c>
      <c r="M630" s="552">
        <v>2.36452749672212E-2</v>
      </c>
    </row>
    <row r="631" spans="2:13" ht="15.75" x14ac:dyDescent="0.25">
      <c r="B631" s="555">
        <v>2029</v>
      </c>
      <c r="C631" s="556">
        <v>2011</v>
      </c>
      <c r="D631" s="557" t="s">
        <v>3529</v>
      </c>
      <c r="E631" s="547">
        <v>6.3657297393263285E-2</v>
      </c>
      <c r="F631" s="548">
        <v>0.12991963463401146</v>
      </c>
      <c r="G631" s="549">
        <v>0.107892348841319</v>
      </c>
      <c r="H631" s="550">
        <v>8.2852131438967795E-3</v>
      </c>
      <c r="I631" s="551">
        <v>0.27416933672083899</v>
      </c>
      <c r="J631" s="551">
        <v>0.10296524458681799</v>
      </c>
      <c r="K631" s="551">
        <v>2.2239050913037399E-2</v>
      </c>
      <c r="L631" s="551">
        <v>3.1387830478157597E-4</v>
      </c>
      <c r="M631" s="552">
        <v>2.3244602110998099E-2</v>
      </c>
    </row>
    <row r="632" spans="2:13" ht="15.75" x14ac:dyDescent="0.25">
      <c r="B632" s="555">
        <v>2029</v>
      </c>
      <c r="C632" s="556">
        <v>2012</v>
      </c>
      <c r="D632" s="557" t="s">
        <v>3530</v>
      </c>
      <c r="E632" s="547">
        <v>6.377273724956202E-2</v>
      </c>
      <c r="F632" s="548">
        <v>0.13031561067120942</v>
      </c>
      <c r="G632" s="549">
        <v>0.10854366894805</v>
      </c>
      <c r="H632" s="550">
        <v>8.3200770998243297E-3</v>
      </c>
      <c r="I632" s="551">
        <v>0.27289248491450602</v>
      </c>
      <c r="J632" s="551">
        <v>0.102620751792732</v>
      </c>
      <c r="K632" s="551">
        <v>2.1910655864440801E-2</v>
      </c>
      <c r="L632" s="551">
        <v>4.63447078399669E-4</v>
      </c>
      <c r="M632" s="552">
        <v>2.2901358495535401E-2</v>
      </c>
    </row>
    <row r="633" spans="2:13" ht="15.75" x14ac:dyDescent="0.25">
      <c r="B633" s="555">
        <v>2029</v>
      </c>
      <c r="C633" s="556">
        <v>2013</v>
      </c>
      <c r="D633" s="557" t="s">
        <v>3531</v>
      </c>
      <c r="E633" s="547">
        <v>6.3631391444740337E-2</v>
      </c>
      <c r="F633" s="548">
        <v>0.13032647627195984</v>
      </c>
      <c r="G633" s="549">
        <v>0.106574396097412</v>
      </c>
      <c r="H633" s="550">
        <v>8.2980974689255294E-3</v>
      </c>
      <c r="I633" s="551">
        <v>0.26751593798185203</v>
      </c>
      <c r="J633" s="551">
        <v>0.101382244220099</v>
      </c>
      <c r="K633" s="551">
        <v>2.1363619437802999E-2</v>
      </c>
      <c r="L633" s="551">
        <v>6.9438301183083798E-4</v>
      </c>
      <c r="M633" s="552">
        <v>2.2329587509123301E-2</v>
      </c>
    </row>
    <row r="634" spans="2:13" ht="15.75" x14ac:dyDescent="0.25">
      <c r="B634" s="555">
        <v>2029</v>
      </c>
      <c r="C634" s="556">
        <v>2014</v>
      </c>
      <c r="D634" s="557" t="s">
        <v>3532</v>
      </c>
      <c r="E634" s="547">
        <v>6.2086770287364076E-2</v>
      </c>
      <c r="F634" s="548">
        <v>0.12818461234772605</v>
      </c>
      <c r="G634" s="549">
        <v>0.105032042974672</v>
      </c>
      <c r="H634" s="550">
        <v>8.2391952533216201E-3</v>
      </c>
      <c r="I634" s="551">
        <v>0.26233411337931101</v>
      </c>
      <c r="J634" s="551">
        <v>0.10069512726213301</v>
      </c>
      <c r="K634" s="551">
        <v>2.0775738717761401E-2</v>
      </c>
      <c r="L634" s="551">
        <v>9.6340429598962404E-4</v>
      </c>
      <c r="M634" s="552">
        <v>2.1715125431603501E-2</v>
      </c>
    </row>
    <row r="635" spans="2:13" ht="15.75" x14ac:dyDescent="0.25">
      <c r="B635" s="555">
        <v>2029</v>
      </c>
      <c r="C635" s="556">
        <v>2015</v>
      </c>
      <c r="D635" s="557" t="s">
        <v>3533</v>
      </c>
      <c r="E635" s="547">
        <v>6.156023064513453E-2</v>
      </c>
      <c r="F635" s="548">
        <v>0.12815889036208153</v>
      </c>
      <c r="G635" s="549">
        <v>0.10339353326262</v>
      </c>
      <c r="H635" s="550">
        <v>8.3564425801221798E-3</v>
      </c>
      <c r="I635" s="551">
        <v>0.25676282878059198</v>
      </c>
      <c r="J635" s="551">
        <v>0.100563050824344</v>
      </c>
      <c r="K635" s="551">
        <v>2.0130274996612699E-2</v>
      </c>
      <c r="L635" s="551">
        <v>1.23222223430225E-3</v>
      </c>
      <c r="M635" s="552">
        <v>2.1040476705187199E-2</v>
      </c>
    </row>
    <row r="636" spans="2:13" ht="15.75" x14ac:dyDescent="0.25">
      <c r="B636" s="555">
        <v>2029</v>
      </c>
      <c r="C636" s="556">
        <v>2016</v>
      </c>
      <c r="D636" s="557" t="s">
        <v>3534</v>
      </c>
      <c r="E636" s="547">
        <v>5.9557913145029208E-2</v>
      </c>
      <c r="F636" s="548">
        <v>0.12426135983136125</v>
      </c>
      <c r="G636" s="549">
        <v>0.101506663234964</v>
      </c>
      <c r="H636" s="550">
        <v>7.6486113398171896E-3</v>
      </c>
      <c r="I636" s="551">
        <v>0.21959356666891799</v>
      </c>
      <c r="J636" s="551">
        <v>8.7806979795004E-2</v>
      </c>
      <c r="K636" s="551">
        <v>1.9414905077117101E-2</v>
      </c>
      <c r="L636" s="551">
        <v>1.38720132090299E-3</v>
      </c>
      <c r="M636" s="552">
        <v>2.0292760932339001E-2</v>
      </c>
    </row>
    <row r="637" spans="2:13" ht="15.75" x14ac:dyDescent="0.25">
      <c r="B637" s="555">
        <v>2029</v>
      </c>
      <c r="C637" s="556">
        <v>2017</v>
      </c>
      <c r="D637" s="557" t="s">
        <v>3535</v>
      </c>
      <c r="E637" s="547">
        <v>5.6046800885166434E-2</v>
      </c>
      <c r="F637" s="548">
        <v>0.12035223454924354</v>
      </c>
      <c r="G637" s="549">
        <v>8.3792988359948306E-2</v>
      </c>
      <c r="H637" s="550">
        <v>6.9262101725563602E-3</v>
      </c>
      <c r="I637" s="551">
        <v>0.167368998505388</v>
      </c>
      <c r="J637" s="551">
        <v>7.5560041988453105E-2</v>
      </c>
      <c r="K637" s="551">
        <v>1.7746525604327101E-2</v>
      </c>
      <c r="L637" s="551">
        <v>1.4453811365295599E-3</v>
      </c>
      <c r="M637" s="552">
        <v>1.85489447431137E-2</v>
      </c>
    </row>
    <row r="638" spans="2:13" ht="15.75" x14ac:dyDescent="0.25">
      <c r="B638" s="555">
        <v>2029</v>
      </c>
      <c r="C638" s="556">
        <v>2018</v>
      </c>
      <c r="D638" s="557" t="s">
        <v>3536</v>
      </c>
      <c r="E638" s="547">
        <v>5.2333897318689697E-2</v>
      </c>
      <c r="F638" s="548">
        <v>0.11519369639005177</v>
      </c>
      <c r="G638" s="549">
        <v>8.2705111076848206E-2</v>
      </c>
      <c r="H638" s="550">
        <v>6.2796352498573202E-3</v>
      </c>
      <c r="I638" s="551">
        <v>0.133339512099832</v>
      </c>
      <c r="J638" s="551">
        <v>6.3040608329501299E-2</v>
      </c>
      <c r="K638" s="551">
        <v>1.7001448130881901E-2</v>
      </c>
      <c r="L638" s="551">
        <v>1.50596088800141E-3</v>
      </c>
      <c r="M638" s="552">
        <v>1.77701781725517E-2</v>
      </c>
    </row>
    <row r="639" spans="2:13" ht="15.75" x14ac:dyDescent="0.25">
      <c r="B639" s="555">
        <v>2029</v>
      </c>
      <c r="C639" s="556">
        <v>2019</v>
      </c>
      <c r="D639" s="557" t="s">
        <v>3537</v>
      </c>
      <c r="E639" s="547">
        <v>5.231620615400806E-2</v>
      </c>
      <c r="F639" s="548">
        <v>0.11514799888694209</v>
      </c>
      <c r="G639" s="549">
        <v>8.1528390290696098E-2</v>
      </c>
      <c r="H639" s="550">
        <v>5.7197280381085401E-3</v>
      </c>
      <c r="I639" s="551">
        <v>0.11173589037946401</v>
      </c>
      <c r="J639" s="551">
        <v>5.4660458694607103E-2</v>
      </c>
      <c r="K639" s="551">
        <v>1.61978654672452E-2</v>
      </c>
      <c r="L639" s="551">
        <v>1.5465436313102201E-3</v>
      </c>
      <c r="M639" s="552">
        <v>1.69302610667105E-2</v>
      </c>
    </row>
    <row r="640" spans="2:13" ht="15.75" x14ac:dyDescent="0.25">
      <c r="B640" s="555">
        <v>2029</v>
      </c>
      <c r="C640" s="556">
        <v>2020</v>
      </c>
      <c r="D640" s="557" t="s">
        <v>3538</v>
      </c>
      <c r="E640" s="547">
        <v>5.2298205887059759E-2</v>
      </c>
      <c r="F640" s="548">
        <v>0.11510135005396926</v>
      </c>
      <c r="G640" s="549">
        <v>8.0262176881514505E-2</v>
      </c>
      <c r="H640" s="550">
        <v>5.1287947438173297E-3</v>
      </c>
      <c r="I640" s="551">
        <v>9.0678560995059804E-2</v>
      </c>
      <c r="J640" s="551">
        <v>4.6281444204615302E-2</v>
      </c>
      <c r="K640" s="551">
        <v>1.53357295055135E-2</v>
      </c>
      <c r="L640" s="551">
        <v>1.54705349218321E-3</v>
      </c>
      <c r="M640" s="552">
        <v>1.6029143142461E-2</v>
      </c>
    </row>
    <row r="641" spans="2:13" ht="15.75" x14ac:dyDescent="0.25">
      <c r="B641" s="555">
        <v>2029</v>
      </c>
      <c r="C641" s="556">
        <v>2021</v>
      </c>
      <c r="D641" s="557" t="s">
        <v>3539</v>
      </c>
      <c r="E641" s="547">
        <v>5.0972876007253774E-2</v>
      </c>
      <c r="F641" s="548">
        <v>0.1121808655629262</v>
      </c>
      <c r="G641" s="549">
        <v>7.8907273219660803E-2</v>
      </c>
      <c r="H641" s="550">
        <v>4.48468028031787E-3</v>
      </c>
      <c r="I641" s="551">
        <v>7.0842161092001199E-2</v>
      </c>
      <c r="J641" s="551">
        <v>3.7321609445459598E-2</v>
      </c>
      <c r="K641" s="551">
        <v>1.44150592240331E-2</v>
      </c>
      <c r="L641" s="551">
        <v>1.5475840026366401E-3</v>
      </c>
      <c r="M641" s="552">
        <v>1.50668442362659E-2</v>
      </c>
    </row>
    <row r="642" spans="2:13" ht="15.75" x14ac:dyDescent="0.25">
      <c r="B642" s="555">
        <v>2029</v>
      </c>
      <c r="C642" s="556">
        <v>2022</v>
      </c>
      <c r="D642" s="557" t="s">
        <v>3540</v>
      </c>
      <c r="E642" s="547">
        <v>4.9700070361100475E-2</v>
      </c>
      <c r="F642" s="548">
        <v>0.10937484629217578</v>
      </c>
      <c r="G642" s="549">
        <v>7.7461332746543807E-2</v>
      </c>
      <c r="H642" s="550">
        <v>3.8089556072697802E-3</v>
      </c>
      <c r="I642" s="551">
        <v>5.1697552847155999E-2</v>
      </c>
      <c r="J642" s="551">
        <v>2.8326272263091201E-2</v>
      </c>
      <c r="K642" s="551">
        <v>1.34357093411297E-2</v>
      </c>
      <c r="L642" s="551">
        <v>1.54811306668466E-3</v>
      </c>
      <c r="M642" s="552">
        <v>1.40432124974584E-2</v>
      </c>
    </row>
    <row r="643" spans="2:13" ht="15.75" x14ac:dyDescent="0.25">
      <c r="B643" s="555">
        <v>2029</v>
      </c>
      <c r="C643" s="556">
        <v>2023</v>
      </c>
      <c r="D643" s="557" t="s">
        <v>3541</v>
      </c>
      <c r="E643" s="547">
        <v>4.8427468106815801E-2</v>
      </c>
      <c r="F643" s="548">
        <v>0.10657051401363757</v>
      </c>
      <c r="G643" s="549">
        <v>7.5925493464970101E-2</v>
      </c>
      <c r="H643" s="550">
        <v>3.73648134685393E-3</v>
      </c>
      <c r="I643" s="551">
        <v>4.9601955356293297E-2</v>
      </c>
      <c r="J643" s="551">
        <v>2.7060164484237498E-2</v>
      </c>
      <c r="K643" s="551">
        <v>1.23977145106796E-2</v>
      </c>
      <c r="L643" s="551">
        <v>1.5486545496741901E-3</v>
      </c>
      <c r="M643" s="552">
        <v>1.2958284146809201E-2</v>
      </c>
    </row>
    <row r="644" spans="2:13" ht="15.75" x14ac:dyDescent="0.25">
      <c r="B644" s="555">
        <v>2029</v>
      </c>
      <c r="C644" s="556">
        <v>2024</v>
      </c>
      <c r="D644" s="557" t="s">
        <v>3542</v>
      </c>
      <c r="E644" s="547">
        <v>4.7206972308503244E-2</v>
      </c>
      <c r="F644" s="548">
        <v>0.10388156041176581</v>
      </c>
      <c r="G644" s="549">
        <v>7.4298266213442501E-2</v>
      </c>
      <c r="H644" s="550">
        <v>3.7248343390043999E-3</v>
      </c>
      <c r="I644" s="551">
        <v>4.7386355210156203E-2</v>
      </c>
      <c r="J644" s="551">
        <v>2.6869470385873201E-2</v>
      </c>
      <c r="K644" s="551">
        <v>1.13009837039088E-2</v>
      </c>
      <c r="L644" s="551">
        <v>1.5491952902426101E-3</v>
      </c>
      <c r="M644" s="552">
        <v>1.18119640396271E-2</v>
      </c>
    </row>
    <row r="645" spans="2:13" ht="15.75" x14ac:dyDescent="0.25">
      <c r="B645" s="555">
        <v>2029</v>
      </c>
      <c r="C645" s="556">
        <v>2025</v>
      </c>
      <c r="D645" s="557" t="s">
        <v>3543</v>
      </c>
      <c r="E645" s="547">
        <v>4.5986143978359116E-2</v>
      </c>
      <c r="F645" s="548">
        <v>0.10119440914103971</v>
      </c>
      <c r="G645" s="549">
        <v>7.2580725173958804E-2</v>
      </c>
      <c r="H645" s="550">
        <v>3.8726225727540101E-3</v>
      </c>
      <c r="I645" s="551">
        <v>4.50510332889845E-2</v>
      </c>
      <c r="J645" s="551">
        <v>2.7018075597817701E-2</v>
      </c>
      <c r="K645" s="551">
        <v>1.01455352829968E-2</v>
      </c>
      <c r="L645" s="551">
        <v>1.5497493441694299E-3</v>
      </c>
      <c r="M645" s="552">
        <v>1.0604271368347899E-2</v>
      </c>
    </row>
    <row r="646" spans="2:13" ht="15.75" x14ac:dyDescent="0.25">
      <c r="B646" s="555">
        <v>2029</v>
      </c>
      <c r="C646" s="556">
        <v>2026</v>
      </c>
      <c r="D646" s="557" t="s">
        <v>3544</v>
      </c>
      <c r="E646" s="547">
        <v>4.4816570354590204E-2</v>
      </c>
      <c r="F646" s="548">
        <v>9.8623444015427289E-2</v>
      </c>
      <c r="G646" s="549">
        <v>7.0771418649183002E-2</v>
      </c>
      <c r="H646" s="550">
        <v>4.2783850876843199E-3</v>
      </c>
      <c r="I646" s="551">
        <v>4.2600046464779197E-2</v>
      </c>
      <c r="J646" s="551">
        <v>2.9413490950665502E-2</v>
      </c>
      <c r="K646" s="551">
        <v>8.9312815805249399E-3</v>
      </c>
      <c r="L646" s="551">
        <v>1.5503025939407999E-3</v>
      </c>
      <c r="M646" s="552">
        <v>9.3351145016212292E-3</v>
      </c>
    </row>
    <row r="647" spans="2:13" ht="15.75" x14ac:dyDescent="0.25">
      <c r="B647" s="555">
        <v>2029</v>
      </c>
      <c r="C647" s="556">
        <v>2027</v>
      </c>
      <c r="D647" s="557" t="s">
        <v>3545</v>
      </c>
      <c r="E647" s="547">
        <v>4.3697542431210046E-2</v>
      </c>
      <c r="F647" s="548">
        <v>9.6166173884117051E-2</v>
      </c>
      <c r="G647" s="549">
        <v>6.8872310067290998E-2</v>
      </c>
      <c r="H647" s="550">
        <v>4.9522571126169399E-3</v>
      </c>
      <c r="I647" s="551">
        <v>4.0024458966729501E-2</v>
      </c>
      <c r="J647" s="551">
        <v>3.2959214489823099E-2</v>
      </c>
      <c r="K647" s="551">
        <v>7.65826425173541E-3</v>
      </c>
      <c r="L647" s="551">
        <v>1.5508822173016599E-3</v>
      </c>
      <c r="M647" s="552">
        <v>8.0045369781545708E-3</v>
      </c>
    </row>
    <row r="648" spans="2:13" ht="15.75" x14ac:dyDescent="0.25">
      <c r="B648" s="555">
        <v>2029</v>
      </c>
      <c r="C648" s="556">
        <v>2028</v>
      </c>
      <c r="D648" s="557" t="s">
        <v>3546</v>
      </c>
      <c r="E648" s="547">
        <v>4.3669163077848128E-2</v>
      </c>
      <c r="F648" s="548">
        <v>9.610166716383424E-2</v>
      </c>
      <c r="G648" s="549">
        <v>6.6880384443190402E-2</v>
      </c>
      <c r="H648" s="550">
        <v>5.6251660112695296E-3</v>
      </c>
      <c r="I648" s="551">
        <v>3.7328120162042101E-2</v>
      </c>
      <c r="J648" s="551">
        <v>3.6578554458714503E-2</v>
      </c>
      <c r="K648" s="551">
        <v>6.3263456152982704E-3</v>
      </c>
      <c r="L648" s="551">
        <v>1.5514543435898799E-3</v>
      </c>
      <c r="M648" s="552">
        <v>6.6123948912791596E-3</v>
      </c>
    </row>
    <row r="649" spans="2:13" ht="15.75" x14ac:dyDescent="0.25">
      <c r="B649" s="555">
        <v>2029</v>
      </c>
      <c r="C649" s="556">
        <v>2029</v>
      </c>
      <c r="D649" s="557" t="s">
        <v>3547</v>
      </c>
      <c r="E649" s="547">
        <v>4.3630136676167074E-2</v>
      </c>
      <c r="F649" s="548">
        <v>9.5993732345564603E-2</v>
      </c>
      <c r="G649" s="549">
        <v>6.4796323618504001E-2</v>
      </c>
      <c r="H649" s="550">
        <v>5.4047310518399701E-3</v>
      </c>
      <c r="I649" s="551">
        <v>3.4511154354022203E-2</v>
      </c>
      <c r="J649" s="551">
        <v>3.43213405518972E-2</v>
      </c>
      <c r="K649" s="551">
        <v>4.9355180414382797E-3</v>
      </c>
      <c r="L649" s="551">
        <v>1.5520291985754E-3</v>
      </c>
      <c r="M649" s="552">
        <v>5.1586802662351699E-3</v>
      </c>
    </row>
    <row r="650" spans="2:13" ht="15.75" x14ac:dyDescent="0.25">
      <c r="B650" s="555">
        <v>2030</v>
      </c>
      <c r="C650" s="556">
        <v>1986</v>
      </c>
      <c r="D650" s="557" t="s">
        <v>3548</v>
      </c>
      <c r="E650" s="547">
        <v>6.4124651576770567E-2</v>
      </c>
      <c r="F650" s="548">
        <v>0.14354525208602611</v>
      </c>
      <c r="G650" s="549">
        <v>0.22639804834391</v>
      </c>
      <c r="H650" s="550">
        <v>1.83668849745935</v>
      </c>
      <c r="I650" s="551">
        <v>5.1054675794410302</v>
      </c>
      <c r="J650" s="551">
        <v>3.8709712330110801</v>
      </c>
      <c r="K650" s="551">
        <v>0.17064411402864399</v>
      </c>
      <c r="L650" s="551">
        <v>1.56275723896309E-2</v>
      </c>
      <c r="M650" s="552">
        <v>0.178359883642978</v>
      </c>
    </row>
    <row r="651" spans="2:13" ht="15.75" x14ac:dyDescent="0.25">
      <c r="B651" s="555">
        <v>2030</v>
      </c>
      <c r="C651" s="556">
        <v>1987</v>
      </c>
      <c r="D651" s="557" t="s">
        <v>3549</v>
      </c>
      <c r="E651" s="547">
        <v>6.3846520927623177E-2</v>
      </c>
      <c r="F651" s="548">
        <v>0.14162305819548862</v>
      </c>
      <c r="G651" s="549">
        <v>0.28231345236852901</v>
      </c>
      <c r="H651" s="550">
        <v>1.78575160970596</v>
      </c>
      <c r="I651" s="551">
        <v>5.21821671305013</v>
      </c>
      <c r="J651" s="551">
        <v>3.9593259657759501</v>
      </c>
      <c r="K651" s="551">
        <v>0.192266057392871</v>
      </c>
      <c r="L651" s="551">
        <v>1.52866501989577E-2</v>
      </c>
      <c r="M651" s="552">
        <v>0.20095947534018299</v>
      </c>
    </row>
    <row r="652" spans="2:13" ht="15.75" x14ac:dyDescent="0.25">
      <c r="B652" s="555">
        <v>2030</v>
      </c>
      <c r="C652" s="556">
        <v>1988</v>
      </c>
      <c r="D652" s="557" t="s">
        <v>3550</v>
      </c>
      <c r="E652" s="547">
        <v>6.3234744914646146E-2</v>
      </c>
      <c r="F652" s="548">
        <v>0.13449977919966927</v>
      </c>
      <c r="G652" s="549">
        <v>0.27733829356961298</v>
      </c>
      <c r="H652" s="550">
        <v>0.43976264198321302</v>
      </c>
      <c r="I652" s="551">
        <v>5.2632001356068301</v>
      </c>
      <c r="J652" s="551">
        <v>1.6842343254502099</v>
      </c>
      <c r="K652" s="551">
        <v>0.18887778751360801</v>
      </c>
      <c r="L652" s="551">
        <v>1.41674515709225E-2</v>
      </c>
      <c r="M652" s="552">
        <v>0.19741800293220399</v>
      </c>
    </row>
    <row r="653" spans="2:13" ht="15.75" x14ac:dyDescent="0.25">
      <c r="B653" s="555">
        <v>2030</v>
      </c>
      <c r="C653" s="556">
        <v>1989</v>
      </c>
      <c r="D653" s="557" t="s">
        <v>3551</v>
      </c>
      <c r="E653" s="547">
        <v>6.3012930189266195E-2</v>
      </c>
      <c r="F653" s="548">
        <v>0.1338965855019445</v>
      </c>
      <c r="G653" s="549">
        <v>0.275901675825102</v>
      </c>
      <c r="H653" s="550">
        <v>0.43325702810460298</v>
      </c>
      <c r="I653" s="551">
        <v>5.2839805846164598</v>
      </c>
      <c r="J653" s="551">
        <v>1.6751265000554201</v>
      </c>
      <c r="K653" s="551">
        <v>0.18789939690770399</v>
      </c>
      <c r="L653" s="551">
        <v>1.40284036401036E-2</v>
      </c>
      <c r="M653" s="552">
        <v>0.196395373844645</v>
      </c>
    </row>
    <row r="654" spans="2:13" ht="15.75" x14ac:dyDescent="0.25">
      <c r="B654" s="555">
        <v>2030</v>
      </c>
      <c r="C654" s="556">
        <v>1990</v>
      </c>
      <c r="D654" s="557" t="s">
        <v>3552</v>
      </c>
      <c r="E654" s="547">
        <v>6.3015375656567965E-2</v>
      </c>
      <c r="F654" s="548">
        <v>0.13474156193419382</v>
      </c>
      <c r="G654" s="549">
        <v>0.27630059474422097</v>
      </c>
      <c r="H654" s="550">
        <v>0.438696421446575</v>
      </c>
      <c r="I654" s="551">
        <v>5.2862647677614296</v>
      </c>
      <c r="J654" s="551">
        <v>1.68240011657829</v>
      </c>
      <c r="K654" s="551">
        <v>0.188171075664613</v>
      </c>
      <c r="L654" s="551">
        <v>1.42866176528947E-2</v>
      </c>
      <c r="M654" s="552">
        <v>0.196679336709386</v>
      </c>
    </row>
    <row r="655" spans="2:13" ht="15.75" x14ac:dyDescent="0.25">
      <c r="B655" s="555">
        <v>2030</v>
      </c>
      <c r="C655" s="556">
        <v>1991</v>
      </c>
      <c r="D655" s="557" t="s">
        <v>3553</v>
      </c>
      <c r="E655" s="547">
        <v>6.3946854989675839E-2</v>
      </c>
      <c r="F655" s="548">
        <v>0.13446404414337218</v>
      </c>
      <c r="G655" s="549">
        <v>0.36456809232873399</v>
      </c>
      <c r="H655" s="550">
        <v>0.48433587412668799</v>
      </c>
      <c r="I655" s="551">
        <v>9.2228776252996294</v>
      </c>
      <c r="J655" s="551">
        <v>2.9291415486630199</v>
      </c>
      <c r="K655" s="551">
        <v>5.1667789033209503E-2</v>
      </c>
      <c r="L655" s="551">
        <v>7.7702646812333499E-3</v>
      </c>
      <c r="M655" s="552">
        <v>5.4003977180872999E-2</v>
      </c>
    </row>
    <row r="656" spans="2:13" ht="15.75" x14ac:dyDescent="0.25">
      <c r="B656" s="555">
        <v>2030</v>
      </c>
      <c r="C656" s="556">
        <v>1992</v>
      </c>
      <c r="D656" s="557" t="s">
        <v>3554</v>
      </c>
      <c r="E656" s="547">
        <v>6.4162452051661101E-2</v>
      </c>
      <c r="F656" s="548">
        <v>0.13525814637638087</v>
      </c>
      <c r="G656" s="549">
        <v>0.367291572332336</v>
      </c>
      <c r="H656" s="550">
        <v>0.491462327800468</v>
      </c>
      <c r="I656" s="551">
        <v>9.1900909610580204</v>
      </c>
      <c r="J656" s="551">
        <v>2.9514381821520499</v>
      </c>
      <c r="K656" s="551">
        <v>5.2053769576277401E-2</v>
      </c>
      <c r="L656" s="551">
        <v>7.9175993729143999E-3</v>
      </c>
      <c r="M656" s="552">
        <v>5.4407410051335203E-2</v>
      </c>
    </row>
    <row r="657" spans="2:13" ht="15.75" x14ac:dyDescent="0.25">
      <c r="B657" s="555">
        <v>2030</v>
      </c>
      <c r="C657" s="556">
        <v>1993</v>
      </c>
      <c r="D657" s="557" t="s">
        <v>3555</v>
      </c>
      <c r="E657" s="547">
        <v>6.4208054992686558E-2</v>
      </c>
      <c r="F657" s="548">
        <v>0.13456366098175179</v>
      </c>
      <c r="G657" s="549">
        <v>0.36815895401751703</v>
      </c>
      <c r="H657" s="550">
        <v>0.48373151140000498</v>
      </c>
      <c r="I657" s="551">
        <v>9.1846141947620001</v>
      </c>
      <c r="J657" s="551">
        <v>2.93365236770792</v>
      </c>
      <c r="K657" s="551">
        <v>5.2176697761338701E-2</v>
      </c>
      <c r="L657" s="551">
        <v>7.8226855006162093E-3</v>
      </c>
      <c r="M657" s="552">
        <v>5.45358965034392E-2</v>
      </c>
    </row>
    <row r="658" spans="2:13" ht="15.75" x14ac:dyDescent="0.25">
      <c r="B658" s="555">
        <v>2030</v>
      </c>
      <c r="C658" s="556">
        <v>1994</v>
      </c>
      <c r="D658" s="557" t="s">
        <v>3556</v>
      </c>
      <c r="E658" s="547">
        <v>6.3860821919738603E-2</v>
      </c>
      <c r="F658" s="548">
        <v>0.13360425393082109</v>
      </c>
      <c r="G658" s="549">
        <v>0.362063683145813</v>
      </c>
      <c r="H658" s="550">
        <v>0.47377984765374498</v>
      </c>
      <c r="I658" s="551">
        <v>9.2465119342903002</v>
      </c>
      <c r="J658" s="551">
        <v>2.91228889167065</v>
      </c>
      <c r="K658" s="551">
        <v>5.18433085153246E-2</v>
      </c>
      <c r="L658" s="551">
        <v>7.6845917286767901E-3</v>
      </c>
      <c r="M658" s="552">
        <v>5.4187432875113198E-2</v>
      </c>
    </row>
    <row r="659" spans="2:13" ht="15.75" x14ac:dyDescent="0.25">
      <c r="B659" s="555">
        <v>2030</v>
      </c>
      <c r="C659" s="556">
        <v>1995</v>
      </c>
      <c r="D659" s="557" t="s">
        <v>3557</v>
      </c>
      <c r="E659" s="547">
        <v>6.4195996639208816E-2</v>
      </c>
      <c r="F659" s="548">
        <v>0.13278931796500754</v>
      </c>
      <c r="G659" s="549">
        <v>0.36622351364015299</v>
      </c>
      <c r="H659" s="550">
        <v>0.25298103598569599</v>
      </c>
      <c r="I659" s="551">
        <v>9.2225119133761595</v>
      </c>
      <c r="J659" s="551">
        <v>1.66234120193928</v>
      </c>
      <c r="K659" s="551">
        <v>5.2438947862015702E-2</v>
      </c>
      <c r="L659" s="551">
        <v>5.019669599653E-3</v>
      </c>
      <c r="M659" s="552">
        <v>5.4810004389951199E-2</v>
      </c>
    </row>
    <row r="660" spans="2:13" ht="15.75" x14ac:dyDescent="0.25">
      <c r="B660" s="555">
        <v>2030</v>
      </c>
      <c r="C660" s="556">
        <v>1996</v>
      </c>
      <c r="D660" s="557" t="s">
        <v>3558</v>
      </c>
      <c r="E660" s="547">
        <v>6.4218070560593102E-2</v>
      </c>
      <c r="F660" s="548">
        <v>0.13124540859140102</v>
      </c>
      <c r="G660" s="549">
        <v>0.366530824717057</v>
      </c>
      <c r="H660" s="550">
        <v>2.2904827401163501E-2</v>
      </c>
      <c r="I660" s="551">
        <v>9.2177040983666405</v>
      </c>
      <c r="J660" s="551">
        <v>0.39559868196521503</v>
      </c>
      <c r="K660" s="551">
        <v>5.2482951234106602E-2</v>
      </c>
      <c r="L660" s="551">
        <v>2.2325064170649902E-3</v>
      </c>
      <c r="M660" s="552">
        <v>5.4855997399265999E-2</v>
      </c>
    </row>
    <row r="661" spans="2:13" ht="15.75" x14ac:dyDescent="0.25">
      <c r="B661" s="555">
        <v>2030</v>
      </c>
      <c r="C661" s="556">
        <v>1997</v>
      </c>
      <c r="D661" s="557" t="s">
        <v>3559</v>
      </c>
      <c r="E661" s="547">
        <v>6.4460544811201323E-2</v>
      </c>
      <c r="F661" s="548">
        <v>0.12988298335312518</v>
      </c>
      <c r="G661" s="549">
        <v>0.36931578847098501</v>
      </c>
      <c r="H661" s="550">
        <v>2.2281058064391301E-2</v>
      </c>
      <c r="I661" s="551">
        <v>9.1763927076962695</v>
      </c>
      <c r="J661" s="551">
        <v>0.39158944381453098</v>
      </c>
      <c r="K661" s="551">
        <v>5.2881725653690599E-2</v>
      </c>
      <c r="L661" s="551">
        <v>2.17423743122004E-3</v>
      </c>
      <c r="M661" s="552">
        <v>5.5272802628568297E-2</v>
      </c>
    </row>
    <row r="662" spans="2:13" ht="15.75" x14ac:dyDescent="0.25">
      <c r="B662" s="555">
        <v>2030</v>
      </c>
      <c r="C662" s="556">
        <v>1998</v>
      </c>
      <c r="D662" s="557" t="s">
        <v>3560</v>
      </c>
      <c r="E662" s="547">
        <v>6.4262090532445276E-2</v>
      </c>
      <c r="F662" s="548">
        <v>0.1304116828878138</v>
      </c>
      <c r="G662" s="549">
        <v>0.36788005389812001</v>
      </c>
      <c r="H662" s="550">
        <v>2.2515500892191901E-2</v>
      </c>
      <c r="I662" s="551">
        <v>9.2139796688680899</v>
      </c>
      <c r="J662" s="551">
        <v>0.39330842747408701</v>
      </c>
      <c r="K662" s="551">
        <v>5.2676145160887602E-2</v>
      </c>
      <c r="L662" s="551">
        <v>2.2010374392612301E-3</v>
      </c>
      <c r="M662" s="552">
        <v>5.5057926698130699E-2</v>
      </c>
    </row>
    <row r="663" spans="2:13" ht="15.75" x14ac:dyDescent="0.25">
      <c r="B663" s="555">
        <v>2030</v>
      </c>
      <c r="C663" s="556">
        <v>1999</v>
      </c>
      <c r="D663" s="557" t="s">
        <v>3561</v>
      </c>
      <c r="E663" s="547">
        <v>6.4180802285733599E-2</v>
      </c>
      <c r="F663" s="548">
        <v>0.13025792718865431</v>
      </c>
      <c r="G663" s="549">
        <v>0.36719150201428102</v>
      </c>
      <c r="H663" s="550">
        <v>2.24960752014399E-2</v>
      </c>
      <c r="I663" s="551">
        <v>9.2171821407439296</v>
      </c>
      <c r="J663" s="551">
        <v>0.39336995532193803</v>
      </c>
      <c r="K663" s="551">
        <v>5.2577552539190497E-2</v>
      </c>
      <c r="L663" s="551">
        <v>2.1948132474246301E-3</v>
      </c>
      <c r="M663" s="552">
        <v>5.4954876155578702E-2</v>
      </c>
    </row>
    <row r="664" spans="2:13" ht="15.75" x14ac:dyDescent="0.25">
      <c r="B664" s="555">
        <v>2030</v>
      </c>
      <c r="C664" s="556">
        <v>2000</v>
      </c>
      <c r="D664" s="557" t="s">
        <v>3562</v>
      </c>
      <c r="E664" s="547">
        <v>6.3934491929958648E-2</v>
      </c>
      <c r="F664" s="548">
        <v>0.13068526867908811</v>
      </c>
      <c r="G664" s="549">
        <v>0.36483186463850498</v>
      </c>
      <c r="H664" s="550">
        <v>2.2687092011609299E-2</v>
      </c>
      <c r="I664" s="551">
        <v>9.2476719696363503</v>
      </c>
      <c r="J664" s="551">
        <v>0.39530779855503001</v>
      </c>
      <c r="K664" s="551">
        <v>5.2239679910282402E-2</v>
      </c>
      <c r="L664" s="551">
        <v>2.2170792297853902E-3</v>
      </c>
      <c r="M664" s="552">
        <v>5.4601726425678898E-2</v>
      </c>
    </row>
    <row r="665" spans="2:13" ht="15.75" x14ac:dyDescent="0.25">
      <c r="B665" s="555">
        <v>2030</v>
      </c>
      <c r="C665" s="556">
        <v>2001</v>
      </c>
      <c r="D665" s="557" t="s">
        <v>3563</v>
      </c>
      <c r="E665" s="547">
        <v>6.4153881749074354E-2</v>
      </c>
      <c r="F665" s="548">
        <v>0.13086903457128451</v>
      </c>
      <c r="G665" s="549">
        <v>0.36736767179499202</v>
      </c>
      <c r="H665" s="550">
        <v>2.27907105370075E-2</v>
      </c>
      <c r="I665" s="551">
        <v>9.2125516513060202</v>
      </c>
      <c r="J665" s="551">
        <v>0.39676487413867401</v>
      </c>
      <c r="K665" s="551">
        <v>5.2602778002879998E-2</v>
      </c>
      <c r="L665" s="551">
        <v>2.2299155119361999E-3</v>
      </c>
      <c r="M665" s="552">
        <v>5.4981242202799901E-2</v>
      </c>
    </row>
    <row r="666" spans="2:13" ht="15.75" x14ac:dyDescent="0.25">
      <c r="B666" s="555">
        <v>2030</v>
      </c>
      <c r="C666" s="556">
        <v>2002</v>
      </c>
      <c r="D666" s="557" t="s">
        <v>3564</v>
      </c>
      <c r="E666" s="547">
        <v>6.3995236217985405E-2</v>
      </c>
      <c r="F666" s="548">
        <v>0.13071483779029178</v>
      </c>
      <c r="G666" s="549">
        <v>0.28392673277840602</v>
      </c>
      <c r="H666" s="550">
        <v>2.2742839236072801E-2</v>
      </c>
      <c r="I666" s="551">
        <v>7.1083248444324099</v>
      </c>
      <c r="J666" s="551">
        <v>0.31935391335079899</v>
      </c>
      <c r="K666" s="551">
        <v>5.2923348834537899E-2</v>
      </c>
      <c r="L666" s="551">
        <v>2.22736257170783E-3</v>
      </c>
      <c r="M666" s="552">
        <v>5.5316307824953302E-2</v>
      </c>
    </row>
    <row r="667" spans="2:13" ht="15.75" x14ac:dyDescent="0.25">
      <c r="B667" s="555">
        <v>2030</v>
      </c>
      <c r="C667" s="556">
        <v>2003</v>
      </c>
      <c r="D667" s="557" t="s">
        <v>3565</v>
      </c>
      <c r="E667" s="547">
        <v>6.3694656338702874E-2</v>
      </c>
      <c r="F667" s="548">
        <v>0.13012451271530218</v>
      </c>
      <c r="G667" s="549">
        <v>0.28169066989776798</v>
      </c>
      <c r="H667" s="550">
        <v>2.2496844795528902E-2</v>
      </c>
      <c r="I667" s="551">
        <v>7.1360850164596199</v>
      </c>
      <c r="J667" s="551">
        <v>0.31923056322183802</v>
      </c>
      <c r="K667" s="551">
        <v>5.2506551392852902E-2</v>
      </c>
      <c r="L667" s="551">
        <v>2.2037483942986599E-3</v>
      </c>
      <c r="M667" s="552">
        <v>5.4880664652466597E-2</v>
      </c>
    </row>
    <row r="668" spans="2:13" ht="15.75" x14ac:dyDescent="0.25">
      <c r="B668" s="555">
        <v>2030</v>
      </c>
      <c r="C668" s="556">
        <v>2004</v>
      </c>
      <c r="D668" s="557" t="s">
        <v>3566</v>
      </c>
      <c r="E668" s="547">
        <v>6.3466546406134264E-2</v>
      </c>
      <c r="F668" s="548">
        <v>0.12909842893132142</v>
      </c>
      <c r="G668" s="549">
        <v>0.232502652042792</v>
      </c>
      <c r="H668" s="550">
        <v>1.4739327838654399E-2</v>
      </c>
      <c r="I668" s="551">
        <v>5.9694616287627396</v>
      </c>
      <c r="J668" s="551">
        <v>0.27013279424068598</v>
      </c>
      <c r="K668" s="551">
        <v>5.2214748647614197E-2</v>
      </c>
      <c r="L668" s="551">
        <v>1.4339148086799899E-4</v>
      </c>
      <c r="M668" s="552">
        <v>5.4575667881943797E-2</v>
      </c>
    </row>
    <row r="669" spans="2:13" ht="15.75" x14ac:dyDescent="0.25">
      <c r="B669" s="555">
        <v>2030</v>
      </c>
      <c r="C669" s="556">
        <v>2005</v>
      </c>
      <c r="D669" s="557" t="s">
        <v>3567</v>
      </c>
      <c r="E669" s="547">
        <v>6.3512266754484376E-2</v>
      </c>
      <c r="F669" s="548">
        <v>0.12947649350058543</v>
      </c>
      <c r="G669" s="549">
        <v>0.23285972627659701</v>
      </c>
      <c r="H669" s="550">
        <v>1.4946966746650201E-2</v>
      </c>
      <c r="I669" s="551">
        <v>5.9593919746619299</v>
      </c>
      <c r="J669" s="551">
        <v>0.27200655414715602</v>
      </c>
      <c r="K669" s="551">
        <v>5.2294939308679102E-2</v>
      </c>
      <c r="L669" s="551">
        <v>1.44829529932604E-4</v>
      </c>
      <c r="M669" s="552">
        <v>5.4659484408861203E-2</v>
      </c>
    </row>
    <row r="670" spans="2:13" ht="15.75" x14ac:dyDescent="0.25">
      <c r="B670" s="555">
        <v>2030</v>
      </c>
      <c r="C670" s="556">
        <v>2006</v>
      </c>
      <c r="D670" s="557" t="s">
        <v>3568</v>
      </c>
      <c r="E670" s="547">
        <v>6.3342018599757036E-2</v>
      </c>
      <c r="F670" s="548">
        <v>0.1297800690413729</v>
      </c>
      <c r="G670" s="549">
        <v>0.23177863415059299</v>
      </c>
      <c r="H670" s="550">
        <v>1.51006406096713E-2</v>
      </c>
      <c r="I670" s="551">
        <v>5.9681823831379299</v>
      </c>
      <c r="J670" s="551">
        <v>0.27365467366117902</v>
      </c>
      <c r="K670" s="551">
        <v>5.2052150879694399E-2</v>
      </c>
      <c r="L670" s="551">
        <v>1.4596996938099599E-4</v>
      </c>
      <c r="M670" s="552">
        <v>5.4405718164475599E-2</v>
      </c>
    </row>
    <row r="671" spans="2:13" ht="15.75" x14ac:dyDescent="0.25">
      <c r="B671" s="555">
        <v>2030</v>
      </c>
      <c r="C671" s="556">
        <v>2007</v>
      </c>
      <c r="D671" s="557" t="s">
        <v>3569</v>
      </c>
      <c r="E671" s="547">
        <v>6.3502690425332964E-2</v>
      </c>
      <c r="F671" s="548">
        <v>0.130145375038561</v>
      </c>
      <c r="G671" s="549">
        <v>0.169926026678759</v>
      </c>
      <c r="H671" s="550">
        <v>1.5211485479528599E-2</v>
      </c>
      <c r="I671" s="551">
        <v>3.1171619942627302</v>
      </c>
      <c r="J671" s="551">
        <v>0.27309517588377202</v>
      </c>
      <c r="K671" s="551">
        <v>3.7760479827008302E-2</v>
      </c>
      <c r="L671" s="551">
        <v>1.4738215203182999E-4</v>
      </c>
      <c r="M671" s="552">
        <v>3.9467841165137997E-2</v>
      </c>
    </row>
    <row r="672" spans="2:13" ht="15.75" x14ac:dyDescent="0.25">
      <c r="B672" s="555">
        <v>2030</v>
      </c>
      <c r="C672" s="556">
        <v>2008</v>
      </c>
      <c r="D672" s="557" t="s">
        <v>3570</v>
      </c>
      <c r="E672" s="547">
        <v>6.3737984928840585E-2</v>
      </c>
      <c r="F672" s="548">
        <v>0.13062421960403039</v>
      </c>
      <c r="G672" s="549">
        <v>0.17157921632095</v>
      </c>
      <c r="H672" s="550">
        <v>1.1902430587107601E-2</v>
      </c>
      <c r="I672" s="551">
        <v>3.1017572130420601</v>
      </c>
      <c r="J672" s="551">
        <v>0.191005122414274</v>
      </c>
      <c r="K672" s="551">
        <v>3.7934617208177299E-2</v>
      </c>
      <c r="L672" s="551">
        <v>1.70092109300757E-4</v>
      </c>
      <c r="M672" s="552">
        <v>3.9649852265960198E-2</v>
      </c>
    </row>
    <row r="673" spans="2:13" ht="15.75" x14ac:dyDescent="0.25">
      <c r="B673" s="555">
        <v>2030</v>
      </c>
      <c r="C673" s="556">
        <v>2009</v>
      </c>
      <c r="D673" s="557" t="s">
        <v>3571</v>
      </c>
      <c r="E673" s="547">
        <v>6.3732966686879014E-2</v>
      </c>
      <c r="F673" s="548">
        <v>0.12940206435146026</v>
      </c>
      <c r="G673" s="549">
        <v>0.17101503591564499</v>
      </c>
      <c r="H673" s="550">
        <v>8.2552539527689598E-3</v>
      </c>
      <c r="I673" s="551">
        <v>3.09753900316311</v>
      </c>
      <c r="J673" s="551">
        <v>0.105822314296349</v>
      </c>
      <c r="K673" s="551">
        <v>3.7788374765026597E-2</v>
      </c>
      <c r="L673" s="551">
        <v>1.8653686210475001E-4</v>
      </c>
      <c r="M673" s="552">
        <v>3.9496997388471497E-2</v>
      </c>
    </row>
    <row r="674" spans="2:13" ht="15.75" x14ac:dyDescent="0.25">
      <c r="B674" s="555">
        <v>2030</v>
      </c>
      <c r="C674" s="556">
        <v>2010</v>
      </c>
      <c r="D674" s="557" t="s">
        <v>3572</v>
      </c>
      <c r="E674" s="547">
        <v>6.3744887212879894E-2</v>
      </c>
      <c r="F674" s="548">
        <v>0.12833239371370464</v>
      </c>
      <c r="G674" s="549">
        <v>0.10935952252423101</v>
      </c>
      <c r="H674" s="550">
        <v>8.0908260313125105E-3</v>
      </c>
      <c r="I674" s="551">
        <v>0.27982945145384402</v>
      </c>
      <c r="J674" s="551">
        <v>0.104298141260681</v>
      </c>
      <c r="K674" s="551">
        <v>2.2921403878014199E-2</v>
      </c>
      <c r="L674" s="551">
        <v>2.22372867346568E-4</v>
      </c>
      <c r="M674" s="552">
        <v>2.3957808049154702E-2</v>
      </c>
    </row>
    <row r="675" spans="2:13" ht="15.75" x14ac:dyDescent="0.25">
      <c r="B675" s="555">
        <v>2030</v>
      </c>
      <c r="C675" s="556">
        <v>2011</v>
      </c>
      <c r="D675" s="557" t="s">
        <v>3573</v>
      </c>
      <c r="E675" s="547">
        <v>6.3690625894387828E-2</v>
      </c>
      <c r="F675" s="548">
        <v>0.13000471403911121</v>
      </c>
      <c r="G675" s="549">
        <v>0.10853845644330599</v>
      </c>
      <c r="H675" s="550">
        <v>8.3671006709374E-3</v>
      </c>
      <c r="I675" s="551">
        <v>0.27701352394039802</v>
      </c>
      <c r="J675" s="551">
        <v>0.10482419220511401</v>
      </c>
      <c r="K675" s="551">
        <v>2.2599520157071201E-2</v>
      </c>
      <c r="L675" s="551">
        <v>3.1392006667694899E-4</v>
      </c>
      <c r="M675" s="552">
        <v>2.3621370174688499E-2</v>
      </c>
    </row>
    <row r="676" spans="2:13" ht="15.75" x14ac:dyDescent="0.25">
      <c r="B676" s="555">
        <v>2030</v>
      </c>
      <c r="C676" s="556">
        <v>2012</v>
      </c>
      <c r="D676" s="557" t="s">
        <v>3574</v>
      </c>
      <c r="E676" s="547">
        <v>6.3805607526821059E-2</v>
      </c>
      <c r="F676" s="548">
        <v>0.13040295121579817</v>
      </c>
      <c r="G676" s="549">
        <v>0.10930514867146</v>
      </c>
      <c r="H676" s="550">
        <v>8.40559864049778E-3</v>
      </c>
      <c r="I676" s="551">
        <v>0.27624242233895602</v>
      </c>
      <c r="J676" s="551">
        <v>0.10446179704674</v>
      </c>
      <c r="K676" s="551">
        <v>2.2334495119424501E-2</v>
      </c>
      <c r="L676" s="551">
        <v>4.6352710268759902E-4</v>
      </c>
      <c r="M676" s="552">
        <v>2.33443618808706E-2</v>
      </c>
    </row>
    <row r="677" spans="2:13" ht="15.75" x14ac:dyDescent="0.25">
      <c r="B677" s="555">
        <v>2030</v>
      </c>
      <c r="C677" s="556">
        <v>2013</v>
      </c>
      <c r="D677" s="557" t="s">
        <v>3575</v>
      </c>
      <c r="E677" s="547">
        <v>6.3664143032869769E-2</v>
      </c>
      <c r="F677" s="548">
        <v>0.13041194496918782</v>
      </c>
      <c r="G677" s="549">
        <v>0.107435580765291</v>
      </c>
      <c r="H677" s="550">
        <v>8.3827155343337307E-3</v>
      </c>
      <c r="I677" s="551">
        <v>0.27133039395395098</v>
      </c>
      <c r="J677" s="551">
        <v>0.103177371893747</v>
      </c>
      <c r="K677" s="551">
        <v>2.18479896953226E-2</v>
      </c>
      <c r="L677" s="551">
        <v>6.9448366997835402E-4</v>
      </c>
      <c r="M677" s="552">
        <v>2.2835858840326701E-2</v>
      </c>
    </row>
    <row r="678" spans="2:13" ht="15.75" x14ac:dyDescent="0.25">
      <c r="B678" s="555">
        <v>2030</v>
      </c>
      <c r="C678" s="556">
        <v>2014</v>
      </c>
      <c r="D678" s="557" t="s">
        <v>3576</v>
      </c>
      <c r="E678" s="547">
        <v>6.2118700440696388E-2</v>
      </c>
      <c r="F678" s="548">
        <v>0.12826717237353094</v>
      </c>
      <c r="G678" s="549">
        <v>0.105995397206881</v>
      </c>
      <c r="H678" s="550">
        <v>8.3104395934311803E-3</v>
      </c>
      <c r="I678" s="551">
        <v>0.26661769994938</v>
      </c>
      <c r="J678" s="551">
        <v>0.10241531595349</v>
      </c>
      <c r="K678" s="551">
        <v>2.1320749271671401E-2</v>
      </c>
      <c r="L678" s="551">
        <v>9.6351056238584904E-4</v>
      </c>
      <c r="M678" s="552">
        <v>2.2284778944312699E-2</v>
      </c>
    </row>
    <row r="679" spans="2:13" ht="15.75" x14ac:dyDescent="0.25">
      <c r="B679" s="555">
        <v>2030</v>
      </c>
      <c r="C679" s="556">
        <v>2015</v>
      </c>
      <c r="D679" s="557" t="s">
        <v>3577</v>
      </c>
      <c r="E679" s="547">
        <v>6.1591636706738673E-2</v>
      </c>
      <c r="F679" s="548">
        <v>0.12824011494741414</v>
      </c>
      <c r="G679" s="549">
        <v>0.104456641372369</v>
      </c>
      <c r="H679" s="550">
        <v>8.4046531095121699E-3</v>
      </c>
      <c r="I679" s="551">
        <v>0.26151149438871502</v>
      </c>
      <c r="J679" s="551">
        <v>0.102127184706905</v>
      </c>
      <c r="K679" s="551">
        <v>2.0735637685294701E-2</v>
      </c>
      <c r="L679" s="551">
        <v>1.2323446122003701E-3</v>
      </c>
      <c r="M679" s="552">
        <v>2.16732112083943E-2</v>
      </c>
    </row>
    <row r="680" spans="2:13" ht="15.75" x14ac:dyDescent="0.25">
      <c r="B680" s="555">
        <v>2030</v>
      </c>
      <c r="C680" s="556">
        <v>2016</v>
      </c>
      <c r="D680" s="557" t="s">
        <v>3578</v>
      </c>
      <c r="E680" s="547">
        <v>5.9588351713244475E-2</v>
      </c>
      <c r="F680" s="548">
        <v>0.12434206797271453</v>
      </c>
      <c r="G680" s="549">
        <v>0.102669270062276</v>
      </c>
      <c r="H680" s="550">
        <v>7.6671599817223603E-3</v>
      </c>
      <c r="I680" s="551">
        <v>0.22416055060697601</v>
      </c>
      <c r="J680" s="551">
        <v>8.8959418525518003E-2</v>
      </c>
      <c r="K680" s="551">
        <v>2.0080202755682699E-2</v>
      </c>
      <c r="L680" s="551">
        <v>1.3873792779193199E-3</v>
      </c>
      <c r="M680" s="552">
        <v>2.0988140419714699E-2</v>
      </c>
    </row>
    <row r="681" spans="2:13" ht="15.75" x14ac:dyDescent="0.25">
      <c r="B681" s="555">
        <v>2030</v>
      </c>
      <c r="C681" s="556">
        <v>2017</v>
      </c>
      <c r="D681" s="557" t="s">
        <v>3579</v>
      </c>
      <c r="E681" s="547">
        <v>5.6077605424386084E-2</v>
      </c>
      <c r="F681" s="548">
        <v>0.12043096366361378</v>
      </c>
      <c r="G681" s="549">
        <v>8.4857214083690805E-2</v>
      </c>
      <c r="H681" s="550">
        <v>6.9187787590046998E-3</v>
      </c>
      <c r="I681" s="551">
        <v>0.17126054151959999</v>
      </c>
      <c r="J681" s="551">
        <v>7.6343865131821606E-2</v>
      </c>
      <c r="K681" s="551">
        <v>1.8436636198232399E-2</v>
      </c>
      <c r="L681" s="551">
        <v>1.44551942621963E-3</v>
      </c>
      <c r="M681" s="552">
        <v>1.9270259075755001E-2</v>
      </c>
    </row>
    <row r="682" spans="2:13" ht="15.75" x14ac:dyDescent="0.25">
      <c r="B682" s="555">
        <v>2030</v>
      </c>
      <c r="C682" s="556">
        <v>2018</v>
      </c>
      <c r="D682" s="557" t="s">
        <v>3580</v>
      </c>
      <c r="E682" s="547">
        <v>5.2362723508640352E-2</v>
      </c>
      <c r="F682" s="548">
        <v>0.11526931512813775</v>
      </c>
      <c r="G682" s="549">
        <v>8.3858574539405498E-2</v>
      </c>
      <c r="H682" s="550">
        <v>6.2563946097756798E-3</v>
      </c>
      <c r="I682" s="551">
        <v>0.13678739068576101</v>
      </c>
      <c r="J682" s="551">
        <v>6.3594783666410901E-2</v>
      </c>
      <c r="K682" s="551">
        <v>1.7749962318554E-2</v>
      </c>
      <c r="L682" s="551">
        <v>1.5061049221004E-3</v>
      </c>
      <c r="M682" s="552">
        <v>1.8552536850307801E-2</v>
      </c>
    </row>
    <row r="683" spans="2:13" ht="15.75" x14ac:dyDescent="0.25">
      <c r="B683" s="555">
        <v>2030</v>
      </c>
      <c r="C683" s="556">
        <v>2019</v>
      </c>
      <c r="D683" s="557" t="s">
        <v>3581</v>
      </c>
      <c r="E683" s="547">
        <v>5.2345159528177393E-2</v>
      </c>
      <c r="F683" s="548">
        <v>0.11522404179669332</v>
      </c>
      <c r="G683" s="549">
        <v>8.2771210889113198E-2</v>
      </c>
      <c r="H683" s="550">
        <v>5.6989170532634496E-3</v>
      </c>
      <c r="I683" s="551">
        <v>0.11493842222659401</v>
      </c>
      <c r="J683" s="551">
        <v>5.5204888718623502E-2</v>
      </c>
      <c r="K683" s="551">
        <v>1.7004801821974301E-2</v>
      </c>
      <c r="L683" s="551">
        <v>1.5466915672289301E-3</v>
      </c>
      <c r="M683" s="552">
        <v>1.7773683502673401E-2</v>
      </c>
    </row>
    <row r="684" spans="2:13" ht="15.75" x14ac:dyDescent="0.25">
      <c r="B684" s="555">
        <v>2030</v>
      </c>
      <c r="C684" s="556">
        <v>2020</v>
      </c>
      <c r="D684" s="557" t="s">
        <v>3582</v>
      </c>
      <c r="E684" s="547">
        <v>5.2327379055086345E-2</v>
      </c>
      <c r="F684" s="548">
        <v>0.11517822135249718</v>
      </c>
      <c r="G684" s="549">
        <v>8.1594466681539995E-2</v>
      </c>
      <c r="H684" s="550">
        <v>5.1356367061941802E-3</v>
      </c>
      <c r="I684" s="551">
        <v>9.3552843474986797E-2</v>
      </c>
      <c r="J684" s="551">
        <v>4.7045243843806803E-2</v>
      </c>
      <c r="K684" s="551">
        <v>1.6201106187827899E-2</v>
      </c>
      <c r="L684" s="551">
        <v>1.5472015197472301E-3</v>
      </c>
      <c r="M684" s="552">
        <v>1.6933648318297499E-2</v>
      </c>
    </row>
    <row r="685" spans="2:13" ht="15.75" x14ac:dyDescent="0.25">
      <c r="B685" s="555">
        <v>2030</v>
      </c>
      <c r="C685" s="556">
        <v>2021</v>
      </c>
      <c r="D685" s="557" t="s">
        <v>3583</v>
      </c>
      <c r="E685" s="547">
        <v>5.1001645682155768E-2</v>
      </c>
      <c r="F685" s="548">
        <v>0.11225762535802228</v>
      </c>
      <c r="G685" s="549">
        <v>8.0329169984391893E-2</v>
      </c>
      <c r="H685" s="550">
        <v>4.5325786392782699E-3</v>
      </c>
      <c r="I685" s="551">
        <v>7.3322229253251797E-2</v>
      </c>
      <c r="J685" s="551">
        <v>3.8346979674068797E-2</v>
      </c>
      <c r="K685" s="551">
        <v>1.5338898550100099E-2</v>
      </c>
      <c r="L685" s="551">
        <v>1.54773218985338E-3</v>
      </c>
      <c r="M685" s="552">
        <v>1.60324554771814E-2</v>
      </c>
    </row>
    <row r="686" spans="2:13" ht="15.75" x14ac:dyDescent="0.25">
      <c r="B686" s="555">
        <v>2030</v>
      </c>
      <c r="C686" s="556">
        <v>2022</v>
      </c>
      <c r="D686" s="557" t="s">
        <v>3584</v>
      </c>
      <c r="E686" s="547">
        <v>4.9728592518991956E-2</v>
      </c>
      <c r="F686" s="548">
        <v>0.10945178149686668</v>
      </c>
      <c r="G686" s="549">
        <v>7.8972936657475096E-2</v>
      </c>
      <c r="H686" s="550">
        <v>3.8875079590956602E-3</v>
      </c>
      <c r="I686" s="551">
        <v>5.3695494561191798E-2</v>
      </c>
      <c r="J686" s="551">
        <v>2.94536342589727E-2</v>
      </c>
      <c r="K686" s="551">
        <v>1.44180272907671E-2</v>
      </c>
      <c r="L686" s="551">
        <v>1.5482614360276599E-3</v>
      </c>
      <c r="M686" s="552">
        <v>1.5069946505806999E-2</v>
      </c>
    </row>
    <row r="687" spans="2:13" ht="15.75" x14ac:dyDescent="0.25">
      <c r="B687" s="555">
        <v>2030</v>
      </c>
      <c r="C687" s="556">
        <v>2023</v>
      </c>
      <c r="D687" s="557" t="s">
        <v>3585</v>
      </c>
      <c r="E687" s="547">
        <v>4.8455905295168022E-2</v>
      </c>
      <c r="F687" s="548">
        <v>0.10664741659970699</v>
      </c>
      <c r="G687" s="549">
        <v>7.7526931939224303E-2</v>
      </c>
      <c r="H687" s="550">
        <v>3.8223285009067898E-3</v>
      </c>
      <c r="I687" s="551">
        <v>5.1718936818153802E-2</v>
      </c>
      <c r="J687" s="551">
        <v>2.8204098311998799E-2</v>
      </c>
      <c r="K687" s="551">
        <v>1.34385320366705E-2</v>
      </c>
      <c r="L687" s="551">
        <v>1.54880312656959E-3</v>
      </c>
      <c r="M687" s="552">
        <v>1.4046162822766E-2</v>
      </c>
    </row>
    <row r="688" spans="2:13" ht="15.75" x14ac:dyDescent="0.25">
      <c r="B688" s="555">
        <v>2030</v>
      </c>
      <c r="C688" s="556">
        <v>2024</v>
      </c>
      <c r="D688" s="557" t="s">
        <v>3586</v>
      </c>
      <c r="E688" s="547">
        <v>4.7235576960641908E-2</v>
      </c>
      <c r="F688" s="548">
        <v>0.10395772606850796</v>
      </c>
      <c r="G688" s="549">
        <v>7.5989638133662205E-2</v>
      </c>
      <c r="H688" s="550">
        <v>3.75007924683528E-3</v>
      </c>
      <c r="I688" s="551">
        <v>4.96224414367641E-2</v>
      </c>
      <c r="J688" s="551">
        <v>2.7656515308755101E-2</v>
      </c>
      <c r="K688" s="551">
        <v>1.24003174710739E-2</v>
      </c>
      <c r="L688" s="551">
        <v>1.5493440436517799E-3</v>
      </c>
      <c r="M688" s="552">
        <v>1.29610048015221E-2</v>
      </c>
    </row>
    <row r="689" spans="2:13" ht="15.75" x14ac:dyDescent="0.25">
      <c r="B689" s="555">
        <v>2030</v>
      </c>
      <c r="C689" s="556">
        <v>2025</v>
      </c>
      <c r="D689" s="557" t="s">
        <v>3587</v>
      </c>
      <c r="E689" s="547">
        <v>4.6015237865978852E-2</v>
      </c>
      <c r="F689" s="548">
        <v>0.10126894321990478</v>
      </c>
      <c r="G689" s="549">
        <v>7.4362166547960101E-2</v>
      </c>
      <c r="H689" s="550">
        <v>3.7375852199188399E-3</v>
      </c>
      <c r="I689" s="551">
        <v>4.7406311830487199E-2</v>
      </c>
      <c r="J689" s="551">
        <v>2.67087242842435E-2</v>
      </c>
      <c r="K689" s="551">
        <v>1.13034076198255E-2</v>
      </c>
      <c r="L689" s="551">
        <v>1.54989831650705E-3</v>
      </c>
      <c r="M689" s="552">
        <v>1.1814497554265601E-2</v>
      </c>
    </row>
    <row r="690" spans="2:13" ht="15.75" x14ac:dyDescent="0.25">
      <c r="B690" s="555">
        <v>2030</v>
      </c>
      <c r="C690" s="556">
        <v>2026</v>
      </c>
      <c r="D690" s="557" t="s">
        <v>3588</v>
      </c>
      <c r="E690" s="547">
        <v>4.4846690707814399E-2</v>
      </c>
      <c r="F690" s="548">
        <v>9.8696430011799882E-2</v>
      </c>
      <c r="G690" s="549">
        <v>7.2643035424594105E-2</v>
      </c>
      <c r="H690" s="550">
        <v>3.8832107572515698E-3</v>
      </c>
      <c r="I690" s="551">
        <v>4.5074852262846798E-2</v>
      </c>
      <c r="J690" s="551">
        <v>2.7515786208819001E-2</v>
      </c>
      <c r="K690" s="551">
        <v>1.0147709677801001E-2</v>
      </c>
      <c r="L690" s="551">
        <v>1.55045178331726E-3</v>
      </c>
      <c r="M690" s="552">
        <v>1.0606544079636401E-2</v>
      </c>
    </row>
    <row r="691" spans="2:13" ht="15.75" x14ac:dyDescent="0.25">
      <c r="B691" s="555">
        <v>2030</v>
      </c>
      <c r="C691" s="556">
        <v>2027</v>
      </c>
      <c r="D691" s="557" t="s">
        <v>3589</v>
      </c>
      <c r="E691" s="547">
        <v>4.3729608629236812E-2</v>
      </c>
      <c r="F691" s="548">
        <v>9.6240803188042595E-2</v>
      </c>
      <c r="G691" s="549">
        <v>7.0834267208851595E-2</v>
      </c>
      <c r="H691" s="550">
        <v>4.2880382697703797E-3</v>
      </c>
      <c r="I691" s="551">
        <v>4.2618646969468703E-2</v>
      </c>
      <c r="J691" s="551">
        <v>2.93649888255515E-2</v>
      </c>
      <c r="K691" s="551">
        <v>8.9332769869946392E-3</v>
      </c>
      <c r="L691" s="551">
        <v>1.5510315938532301E-3</v>
      </c>
      <c r="M691" s="552">
        <v>9.3372001315170008E-3</v>
      </c>
    </row>
    <row r="692" spans="2:13" ht="15.75" x14ac:dyDescent="0.25">
      <c r="B692" s="555">
        <v>2030</v>
      </c>
      <c r="C692" s="556">
        <v>2028</v>
      </c>
      <c r="D692" s="557" t="s">
        <v>3590</v>
      </c>
      <c r="E692" s="547">
        <v>4.3705925869876851E-2</v>
      </c>
      <c r="F692" s="548">
        <v>9.6190523257114233E-2</v>
      </c>
      <c r="G692" s="549">
        <v>6.8932779651852405E-2</v>
      </c>
      <c r="H692" s="550">
        <v>4.9584288699658996E-3</v>
      </c>
      <c r="I692" s="551">
        <v>4.0041750869793398E-2</v>
      </c>
      <c r="J692" s="551">
        <v>3.3084782930231198E-2</v>
      </c>
      <c r="K692" s="551">
        <v>7.65995857659097E-3</v>
      </c>
      <c r="L692" s="551">
        <v>1.55160392441483E-3</v>
      </c>
      <c r="M692" s="552">
        <v>8.0063079128616498E-3</v>
      </c>
    </row>
    <row r="693" spans="2:13" ht="15.75" x14ac:dyDescent="0.25">
      <c r="B693" s="555">
        <v>2030</v>
      </c>
      <c r="C693" s="556">
        <v>2029</v>
      </c>
      <c r="D693" s="557" t="s">
        <v>3591</v>
      </c>
      <c r="E693" s="547">
        <v>4.3677305712320987E-2</v>
      </c>
      <c r="F693" s="548">
        <v>9.6125418414800365E-2</v>
      </c>
      <c r="G693" s="549">
        <v>6.6939279058214493E-2</v>
      </c>
      <c r="H693" s="550">
        <v>5.6293979496316298E-3</v>
      </c>
      <c r="I693" s="551">
        <v>3.73443032589304E-2</v>
      </c>
      <c r="J693" s="551">
        <v>3.6638453913774398E-2</v>
      </c>
      <c r="K693" s="551">
        <v>6.3277505528338204E-3</v>
      </c>
      <c r="L693" s="551">
        <v>1.5521789862806799E-3</v>
      </c>
      <c r="M693" s="552">
        <v>6.6138633538557496E-3</v>
      </c>
    </row>
    <row r="694" spans="2:13" ht="15.75" x14ac:dyDescent="0.25">
      <c r="B694" s="555">
        <v>2030</v>
      </c>
      <c r="C694" s="556">
        <v>2030</v>
      </c>
      <c r="D694" s="557" t="s">
        <v>3592</v>
      </c>
      <c r="E694" s="547">
        <v>4.3638040862890998E-2</v>
      </c>
      <c r="F694" s="548">
        <v>9.6016812857831285E-2</v>
      </c>
      <c r="G694" s="549">
        <v>6.4854438553107893E-2</v>
      </c>
      <c r="H694" s="550">
        <v>5.4056507256847004E-3</v>
      </c>
      <c r="I694" s="551">
        <v>3.4526428448993798E-2</v>
      </c>
      <c r="J694" s="551">
        <v>3.4245806979067997E-2</v>
      </c>
      <c r="K694" s="551">
        <v>4.9366399143886E-3</v>
      </c>
      <c r="L694" s="551">
        <v>1.5527692315050101E-3</v>
      </c>
      <c r="M694" s="552">
        <v>5.1598528653020699E-3</v>
      </c>
    </row>
    <row r="695" spans="2:13" ht="15.75" x14ac:dyDescent="0.25">
      <c r="B695" s="555">
        <v>2031</v>
      </c>
      <c r="C695" s="556">
        <v>1987</v>
      </c>
      <c r="D695" s="557" t="s">
        <v>3593</v>
      </c>
      <c r="E695" s="547">
        <v>6.3893897011472106E-2</v>
      </c>
      <c r="F695" s="548">
        <v>0.14174834368578082</v>
      </c>
      <c r="G695" s="549">
        <v>0.28217651152460499</v>
      </c>
      <c r="H695" s="550">
        <v>1.78584235411794</v>
      </c>
      <c r="I695" s="551">
        <v>5.2136723823125797</v>
      </c>
      <c r="J695" s="551">
        <v>3.9523591599663499</v>
      </c>
      <c r="K695" s="551">
        <v>0.19217279553823199</v>
      </c>
      <c r="L695" s="551">
        <v>1.5287294198192899E-2</v>
      </c>
      <c r="M695" s="552">
        <v>0.20086199659832099</v>
      </c>
    </row>
    <row r="696" spans="2:13" ht="15.75" x14ac:dyDescent="0.25">
      <c r="B696" s="555">
        <v>2031</v>
      </c>
      <c r="C696" s="556">
        <v>1988</v>
      </c>
      <c r="D696" s="557" t="s">
        <v>3594</v>
      </c>
      <c r="E696" s="547">
        <v>6.3278509763340846E-2</v>
      </c>
      <c r="F696" s="548">
        <v>0.13459832949906622</v>
      </c>
      <c r="G696" s="549">
        <v>0.27713987993247802</v>
      </c>
      <c r="H696" s="550">
        <v>0.44017178952774999</v>
      </c>
      <c r="I696" s="551">
        <v>5.2576592937425</v>
      </c>
      <c r="J696" s="551">
        <v>1.6846872045347101</v>
      </c>
      <c r="K696" s="551">
        <v>0.18874266037947801</v>
      </c>
      <c r="L696" s="551">
        <v>1.4180409156873399E-2</v>
      </c>
      <c r="M696" s="552">
        <v>0.19727676594868701</v>
      </c>
    </row>
    <row r="697" spans="2:13" ht="15.75" x14ac:dyDescent="0.25">
      <c r="B697" s="555">
        <v>2031</v>
      </c>
      <c r="C697" s="556">
        <v>1989</v>
      </c>
      <c r="D697" s="557" t="s">
        <v>3595</v>
      </c>
      <c r="E697" s="547">
        <v>6.3059119357672347E-2</v>
      </c>
      <c r="F697" s="548">
        <v>0.13400834625490773</v>
      </c>
      <c r="G697" s="549">
        <v>0.27570414409360799</v>
      </c>
      <c r="H697" s="550">
        <v>0.43382088272062502</v>
      </c>
      <c r="I697" s="551">
        <v>5.2777800802260799</v>
      </c>
      <c r="J697" s="551">
        <v>1.67575497537253</v>
      </c>
      <c r="K697" s="551">
        <v>0.187764870384417</v>
      </c>
      <c r="L697" s="551">
        <v>1.4046388197352299E-2</v>
      </c>
      <c r="M697" s="552">
        <v>0.19625476462892699</v>
      </c>
    </row>
    <row r="698" spans="2:13" ht="15.75" x14ac:dyDescent="0.25">
      <c r="B698" s="555">
        <v>2031</v>
      </c>
      <c r="C698" s="556">
        <v>1990</v>
      </c>
      <c r="D698" s="557" t="s">
        <v>3596</v>
      </c>
      <c r="E698" s="547">
        <v>6.3060844899374524E-2</v>
      </c>
      <c r="F698" s="548">
        <v>0.13484417873626908</v>
      </c>
      <c r="G698" s="549">
        <v>0.27608772264120301</v>
      </c>
      <c r="H698" s="550">
        <v>0.43916200255038201</v>
      </c>
      <c r="I698" s="551">
        <v>5.2797881551215999</v>
      </c>
      <c r="J698" s="551">
        <v>1.68291509309565</v>
      </c>
      <c r="K698" s="551">
        <v>0.18802610177253401</v>
      </c>
      <c r="L698" s="551">
        <v>1.4301572533321301E-2</v>
      </c>
      <c r="M698" s="552">
        <v>0.196527807741219</v>
      </c>
    </row>
    <row r="699" spans="2:13" ht="15.75" x14ac:dyDescent="0.25">
      <c r="B699" s="555">
        <v>2031</v>
      </c>
      <c r="C699" s="556">
        <v>1991</v>
      </c>
      <c r="D699" s="557" t="s">
        <v>3597</v>
      </c>
      <c r="E699" s="547">
        <v>6.3995932873980435E-2</v>
      </c>
      <c r="F699" s="548">
        <v>0.13458533299286846</v>
      </c>
      <c r="G699" s="549">
        <v>0.36439034960595801</v>
      </c>
      <c r="H699" s="550">
        <v>0.48488527909923801</v>
      </c>
      <c r="I699" s="551">
        <v>9.2131379918696599</v>
      </c>
      <c r="J699" s="551">
        <v>2.9300736940062602</v>
      </c>
      <c r="K699" s="551">
        <v>5.1642598749979E-2</v>
      </c>
      <c r="L699" s="551">
        <v>7.7789652287074103E-3</v>
      </c>
      <c r="M699" s="552">
        <v>5.3977647904815101E-2</v>
      </c>
    </row>
    <row r="700" spans="2:13" ht="15.75" x14ac:dyDescent="0.25">
      <c r="B700" s="555">
        <v>2031</v>
      </c>
      <c r="C700" s="556">
        <v>1992</v>
      </c>
      <c r="D700" s="557" t="s">
        <v>3598</v>
      </c>
      <c r="E700" s="547">
        <v>6.420914697109173E-2</v>
      </c>
      <c r="F700" s="548">
        <v>0.13538348970387037</v>
      </c>
      <c r="G700" s="549">
        <v>0.36711593756653899</v>
      </c>
      <c r="H700" s="550">
        <v>0.49200432504265401</v>
      </c>
      <c r="I700" s="551">
        <v>9.1812169170989009</v>
      </c>
      <c r="J700" s="551">
        <v>2.95234078493792</v>
      </c>
      <c r="K700" s="551">
        <v>5.2028878039642602E-2</v>
      </c>
      <c r="L700" s="551">
        <v>7.9262123669373401E-3</v>
      </c>
      <c r="M700" s="552">
        <v>5.4381393029868198E-2</v>
      </c>
    </row>
    <row r="701" spans="2:13" ht="15.75" x14ac:dyDescent="0.25">
      <c r="B701" s="555">
        <v>2031</v>
      </c>
      <c r="C701" s="556">
        <v>1993</v>
      </c>
      <c r="D701" s="557" t="s">
        <v>3599</v>
      </c>
      <c r="E701" s="547">
        <v>6.4255327130416665E-2</v>
      </c>
      <c r="F701" s="548">
        <v>0.13467253497422177</v>
      </c>
      <c r="G701" s="549">
        <v>0.36798910274395302</v>
      </c>
      <c r="H701" s="550">
        <v>0.48421392060424201</v>
      </c>
      <c r="I701" s="551">
        <v>9.1757587818872999</v>
      </c>
      <c r="J701" s="551">
        <v>2.9345192543058198</v>
      </c>
      <c r="K701" s="551">
        <v>5.2152625880243803E-2</v>
      </c>
      <c r="L701" s="551">
        <v>7.8303627819959198E-3</v>
      </c>
      <c r="M701" s="552">
        <v>5.4510736198698603E-2</v>
      </c>
    </row>
    <row r="702" spans="2:13" ht="15.75" x14ac:dyDescent="0.25">
      <c r="B702" s="555">
        <v>2031</v>
      </c>
      <c r="C702" s="556">
        <v>1994</v>
      </c>
      <c r="D702" s="557" t="s">
        <v>3600</v>
      </c>
      <c r="E702" s="547">
        <v>6.3907646562753134E-2</v>
      </c>
      <c r="F702" s="548">
        <v>0.13371443655291823</v>
      </c>
      <c r="G702" s="549">
        <v>0.36184787410586899</v>
      </c>
      <c r="H702" s="550">
        <v>0.47429841732665401</v>
      </c>
      <c r="I702" s="551">
        <v>9.2373125959349007</v>
      </c>
      <c r="J702" s="551">
        <v>2.9131581844777399</v>
      </c>
      <c r="K702" s="551">
        <v>5.1812407170729602E-2</v>
      </c>
      <c r="L702" s="551">
        <v>7.6928890397589796E-3</v>
      </c>
      <c r="M702" s="552">
        <v>5.4155134308838303E-2</v>
      </c>
    </row>
    <row r="703" spans="2:13" ht="15.75" x14ac:dyDescent="0.25">
      <c r="B703" s="555">
        <v>2031</v>
      </c>
      <c r="C703" s="556">
        <v>1995</v>
      </c>
      <c r="D703" s="557" t="s">
        <v>3601</v>
      </c>
      <c r="E703" s="547">
        <v>6.4248047638423109E-2</v>
      </c>
      <c r="F703" s="548">
        <v>0.13287587700226652</v>
      </c>
      <c r="G703" s="549">
        <v>0.36603323227816498</v>
      </c>
      <c r="H703" s="550">
        <v>0.25321626833684302</v>
      </c>
      <c r="I703" s="551">
        <v>9.2120317521479205</v>
      </c>
      <c r="J703" s="551">
        <v>1.66280008255745</v>
      </c>
      <c r="K703" s="551">
        <v>5.2411701784009203E-2</v>
      </c>
      <c r="L703" s="551">
        <v>5.0242681555534296E-3</v>
      </c>
      <c r="M703" s="552">
        <v>5.4781526365199999E-2</v>
      </c>
    </row>
    <row r="704" spans="2:13" ht="15.75" x14ac:dyDescent="0.25">
      <c r="B704" s="555">
        <v>2031</v>
      </c>
      <c r="C704" s="556">
        <v>1996</v>
      </c>
      <c r="D704" s="557" t="s">
        <v>3602</v>
      </c>
      <c r="E704" s="547">
        <v>6.4268282541416588E-2</v>
      </c>
      <c r="F704" s="548">
        <v>0.13132341031672745</v>
      </c>
      <c r="G704" s="549">
        <v>0.36634593425216799</v>
      </c>
      <c r="H704" s="550">
        <v>2.2930684443377199E-2</v>
      </c>
      <c r="I704" s="551">
        <v>9.2077619241801205</v>
      </c>
      <c r="J704" s="551">
        <v>0.39572572781896498</v>
      </c>
      <c r="K704" s="551">
        <v>5.24564770698671E-2</v>
      </c>
      <c r="L704" s="551">
        <v>2.2349907358369101E-3</v>
      </c>
      <c r="M704" s="552">
        <v>5.4828326190796903E-2</v>
      </c>
    </row>
    <row r="705" spans="2:13" ht="15.75" x14ac:dyDescent="0.25">
      <c r="B705" s="555">
        <v>2031</v>
      </c>
      <c r="C705" s="556">
        <v>1997</v>
      </c>
      <c r="D705" s="557" t="s">
        <v>3603</v>
      </c>
      <c r="E705" s="547">
        <v>6.450835655650862E-2</v>
      </c>
      <c r="F705" s="548">
        <v>0.12994987386746745</v>
      </c>
      <c r="G705" s="549">
        <v>0.36913690023979601</v>
      </c>
      <c r="H705" s="550">
        <v>2.2305132716613899E-2</v>
      </c>
      <c r="I705" s="551">
        <v>9.1675626913147106</v>
      </c>
      <c r="J705" s="551">
        <v>0.39171360038154901</v>
      </c>
      <c r="K705" s="551">
        <v>5.2856110939509003E-2</v>
      </c>
      <c r="L705" s="551">
        <v>2.17655477811268E-3</v>
      </c>
      <c r="M705" s="552">
        <v>5.5246029730675099E-2</v>
      </c>
    </row>
    <row r="706" spans="2:13" ht="15.75" x14ac:dyDescent="0.25">
      <c r="B706" s="555">
        <v>2031</v>
      </c>
      <c r="C706" s="556">
        <v>1998</v>
      </c>
      <c r="D706" s="557" t="s">
        <v>3604</v>
      </c>
      <c r="E706" s="547">
        <v>6.4307199795322234E-2</v>
      </c>
      <c r="F706" s="548">
        <v>0.13048490268673327</v>
      </c>
      <c r="G706" s="549">
        <v>0.36766821641479203</v>
      </c>
      <c r="H706" s="550">
        <v>2.2541277775742202E-2</v>
      </c>
      <c r="I706" s="551">
        <v>9.2047635286512897</v>
      </c>
      <c r="J706" s="551">
        <v>0.39343629061525498</v>
      </c>
      <c r="K706" s="551">
        <v>5.26458124970096E-2</v>
      </c>
      <c r="L706" s="551">
        <v>2.2035269959984798E-3</v>
      </c>
      <c r="M706" s="552">
        <v>5.5026222525791403E-2</v>
      </c>
    </row>
    <row r="707" spans="2:13" ht="15.75" x14ac:dyDescent="0.25">
      <c r="B707" s="555">
        <v>2031</v>
      </c>
      <c r="C707" s="556">
        <v>1999</v>
      </c>
      <c r="D707" s="557" t="s">
        <v>3605</v>
      </c>
      <c r="E707" s="547">
        <v>6.4230305375527194E-2</v>
      </c>
      <c r="F707" s="548">
        <v>0.13031896747537436</v>
      </c>
      <c r="G707" s="549">
        <v>0.36700323138126001</v>
      </c>
      <c r="H707" s="550">
        <v>2.2519003568981798E-2</v>
      </c>
      <c r="I707" s="551">
        <v>9.2068534699797695</v>
      </c>
      <c r="J707" s="551">
        <v>0.39348938900944702</v>
      </c>
      <c r="K707" s="551">
        <v>5.2550594374186799E-2</v>
      </c>
      <c r="L707" s="551">
        <v>2.1970149685046499E-3</v>
      </c>
      <c r="M707" s="552">
        <v>5.4926699061978598E-2</v>
      </c>
    </row>
    <row r="708" spans="2:13" ht="15.75" x14ac:dyDescent="0.25">
      <c r="B708" s="555">
        <v>2031</v>
      </c>
      <c r="C708" s="556">
        <v>2000</v>
      </c>
      <c r="D708" s="557" t="s">
        <v>3606</v>
      </c>
      <c r="E708" s="547">
        <v>6.3982560560632548E-2</v>
      </c>
      <c r="F708" s="548">
        <v>0.13076219801321479</v>
      </c>
      <c r="G708" s="549">
        <v>0.36462014866498099</v>
      </c>
      <c r="H708" s="550">
        <v>2.2716881545437401E-2</v>
      </c>
      <c r="I708" s="551">
        <v>9.2368300806283798</v>
      </c>
      <c r="J708" s="551">
        <v>0.39545861915685598</v>
      </c>
      <c r="K708" s="551">
        <v>5.22093646451951E-2</v>
      </c>
      <c r="L708" s="551">
        <v>2.2199465671496501E-3</v>
      </c>
      <c r="M708" s="552">
        <v>5.4570040438826399E-2</v>
      </c>
    </row>
    <row r="709" spans="2:13" ht="15.75" x14ac:dyDescent="0.25">
      <c r="B709" s="555">
        <v>2031</v>
      </c>
      <c r="C709" s="556">
        <v>2001</v>
      </c>
      <c r="D709" s="557" t="s">
        <v>3607</v>
      </c>
      <c r="E709" s="547">
        <v>6.4199606429210396E-2</v>
      </c>
      <c r="F709" s="548">
        <v>0.13093503598056769</v>
      </c>
      <c r="G709" s="549">
        <v>0.36716671024719699</v>
      </c>
      <c r="H709" s="550">
        <v>2.2814921528553401E-2</v>
      </c>
      <c r="I709" s="551">
        <v>9.20249561955481</v>
      </c>
      <c r="J709" s="551">
        <v>0.39688964678105199</v>
      </c>
      <c r="K709" s="551">
        <v>5.2574002646479899E-2</v>
      </c>
      <c r="L709" s="551">
        <v>2.2322523133987801E-3</v>
      </c>
      <c r="M709" s="552">
        <v>5.4951165752472199E-2</v>
      </c>
    </row>
    <row r="710" spans="2:13" ht="15.75" x14ac:dyDescent="0.25">
      <c r="B710" s="555">
        <v>2031</v>
      </c>
      <c r="C710" s="556">
        <v>2002</v>
      </c>
      <c r="D710" s="557" t="s">
        <v>3608</v>
      </c>
      <c r="E710" s="547">
        <v>6.4040141366919115E-2</v>
      </c>
      <c r="F710" s="548">
        <v>0.13077904542110849</v>
      </c>
      <c r="G710" s="549">
        <v>0.28375200524469901</v>
      </c>
      <c r="H710" s="550">
        <v>2.2768123238508398E-2</v>
      </c>
      <c r="I710" s="551">
        <v>7.0999916175406197</v>
      </c>
      <c r="J710" s="551">
        <v>0.31946112464335502</v>
      </c>
      <c r="K710" s="551">
        <v>5.2890779987896E-2</v>
      </c>
      <c r="L710" s="551">
        <v>2.2298021462515E-3</v>
      </c>
      <c r="M710" s="552">
        <v>5.5282266359588397E-2</v>
      </c>
    </row>
    <row r="711" spans="2:13" ht="15.75" x14ac:dyDescent="0.25">
      <c r="B711" s="555">
        <v>2031</v>
      </c>
      <c r="C711" s="556">
        <v>2003</v>
      </c>
      <c r="D711" s="557" t="s">
        <v>3609</v>
      </c>
      <c r="E711" s="547">
        <v>6.3740110061096769E-2</v>
      </c>
      <c r="F711" s="548">
        <v>0.13019327618584256</v>
      </c>
      <c r="G711" s="549">
        <v>0.28151629699737002</v>
      </c>
      <c r="H711" s="550">
        <v>2.25257339288167E-2</v>
      </c>
      <c r="I711" s="551">
        <v>7.1276955702068596</v>
      </c>
      <c r="J711" s="551">
        <v>0.319354354654039</v>
      </c>
      <c r="K711" s="551">
        <v>5.2474048649117699E-2</v>
      </c>
      <c r="L711" s="551">
        <v>2.20654094814308E-3</v>
      </c>
      <c r="M711" s="552">
        <v>5.4846692278888602E-2</v>
      </c>
    </row>
    <row r="712" spans="2:13" ht="15.75" x14ac:dyDescent="0.25">
      <c r="B712" s="555">
        <v>2031</v>
      </c>
      <c r="C712" s="556">
        <v>2004</v>
      </c>
      <c r="D712" s="557" t="s">
        <v>3610</v>
      </c>
      <c r="E712" s="547">
        <v>6.3512535231389305E-2</v>
      </c>
      <c r="F712" s="548">
        <v>0.12916494720099145</v>
      </c>
      <c r="G712" s="549">
        <v>0.23234332382606801</v>
      </c>
      <c r="H712" s="550">
        <v>1.47593535874235E-2</v>
      </c>
      <c r="I712" s="551">
        <v>5.9616940891405799</v>
      </c>
      <c r="J712" s="551">
        <v>0.27024076842931699</v>
      </c>
      <c r="K712" s="551">
        <v>5.2178967194303302E-2</v>
      </c>
      <c r="L712" s="551">
        <v>1.4358357294296499E-4</v>
      </c>
      <c r="M712" s="552">
        <v>5.4538268550092001E-2</v>
      </c>
    </row>
    <row r="713" spans="2:13" ht="15.75" x14ac:dyDescent="0.25">
      <c r="B713" s="555">
        <v>2031</v>
      </c>
      <c r="C713" s="556">
        <v>2005</v>
      </c>
      <c r="D713" s="557" t="s">
        <v>3611</v>
      </c>
      <c r="E713" s="547">
        <v>6.3557633303425273E-2</v>
      </c>
      <c r="F713" s="548">
        <v>0.12953922169468776</v>
      </c>
      <c r="G713" s="549">
        <v>0.232705870758452</v>
      </c>
      <c r="H713" s="550">
        <v>1.4965872453863599E-2</v>
      </c>
      <c r="I713" s="551">
        <v>5.9517224150168797</v>
      </c>
      <c r="J713" s="551">
        <v>0.27211170864384499</v>
      </c>
      <c r="K713" s="551">
        <v>5.22603868976102E-2</v>
      </c>
      <c r="L713" s="551">
        <v>1.45009861865807E-4</v>
      </c>
      <c r="M713" s="552">
        <v>5.4623369691087803E-2</v>
      </c>
    </row>
    <row r="714" spans="2:13" ht="15.75" x14ac:dyDescent="0.25">
      <c r="B714" s="555">
        <v>2031</v>
      </c>
      <c r="C714" s="556">
        <v>2006</v>
      </c>
      <c r="D714" s="557" t="s">
        <v>3612</v>
      </c>
      <c r="E714" s="547">
        <v>6.338643204442343E-2</v>
      </c>
      <c r="F714" s="548">
        <v>0.12984842133255156</v>
      </c>
      <c r="G714" s="549">
        <v>0.23161633154931199</v>
      </c>
      <c r="H714" s="550">
        <v>1.51212902860279E-2</v>
      </c>
      <c r="I714" s="551">
        <v>5.9603297141181502</v>
      </c>
      <c r="J714" s="551">
        <v>0.27376949233494302</v>
      </c>
      <c r="K714" s="551">
        <v>5.20157014480159E-2</v>
      </c>
      <c r="L714" s="551">
        <v>1.4616652423372401E-4</v>
      </c>
      <c r="M714" s="552">
        <v>5.4367620651238499E-2</v>
      </c>
    </row>
    <row r="715" spans="2:13" ht="15.75" x14ac:dyDescent="0.25">
      <c r="B715" s="555">
        <v>2031</v>
      </c>
      <c r="C715" s="556">
        <v>2007</v>
      </c>
      <c r="D715" s="557" t="s">
        <v>3613</v>
      </c>
      <c r="E715" s="547">
        <v>6.3546510733804851E-2</v>
      </c>
      <c r="F715" s="548">
        <v>0.1302049252577884</v>
      </c>
      <c r="G715" s="549">
        <v>0.170147502000668</v>
      </c>
      <c r="H715" s="550">
        <v>1.5289792590316599E-2</v>
      </c>
      <c r="I715" s="551">
        <v>3.1142718025086999</v>
      </c>
      <c r="J715" s="551">
        <v>0.27388781180820398</v>
      </c>
      <c r="K715" s="551">
        <v>3.7804690083137998E-2</v>
      </c>
      <c r="L715" s="551">
        <v>1.47532426639282E-4</v>
      </c>
      <c r="M715" s="552">
        <v>3.9514050412869803E-2</v>
      </c>
    </row>
    <row r="716" spans="2:13" ht="15.75" x14ac:dyDescent="0.25">
      <c r="B716" s="555">
        <v>2031</v>
      </c>
      <c r="C716" s="556">
        <v>2008</v>
      </c>
      <c r="D716" s="557" t="s">
        <v>3614</v>
      </c>
      <c r="E716" s="547">
        <v>6.3779143526042414E-2</v>
      </c>
      <c r="F716" s="548">
        <v>0.13069982517908571</v>
      </c>
      <c r="G716" s="549">
        <v>0.172045877387493</v>
      </c>
      <c r="H716" s="550">
        <v>1.20265173997761E-2</v>
      </c>
      <c r="I716" s="551">
        <v>3.0999472270284598</v>
      </c>
      <c r="J716" s="551">
        <v>0.192471695690139</v>
      </c>
      <c r="K716" s="551">
        <v>3.8037665249278103E-2</v>
      </c>
      <c r="L716" s="551">
        <v>1.7031454094227499E-4</v>
      </c>
      <c r="M716" s="552">
        <v>3.9757559682210702E-2</v>
      </c>
    </row>
    <row r="717" spans="2:13" ht="15.75" x14ac:dyDescent="0.25">
      <c r="B717" s="555">
        <v>2031</v>
      </c>
      <c r="C717" s="556">
        <v>2009</v>
      </c>
      <c r="D717" s="557" t="s">
        <v>3615</v>
      </c>
      <c r="E717" s="547">
        <v>6.3771947491304798E-2</v>
      </c>
      <c r="F717" s="548">
        <v>0.12945564238207749</v>
      </c>
      <c r="G717" s="549">
        <v>0.17172598489194599</v>
      </c>
      <c r="H717" s="550">
        <v>8.3599843117244093E-3</v>
      </c>
      <c r="I717" s="551">
        <v>3.0966571112970098</v>
      </c>
      <c r="J717" s="551">
        <v>0.107366570253764</v>
      </c>
      <c r="K717" s="551">
        <v>3.7949450822573699E-2</v>
      </c>
      <c r="L717" s="551">
        <v>1.86701838360414E-4</v>
      </c>
      <c r="M717" s="552">
        <v>3.9665356590576503E-2</v>
      </c>
    </row>
    <row r="718" spans="2:13" ht="15.75" x14ac:dyDescent="0.25">
      <c r="B718" s="555">
        <v>2031</v>
      </c>
      <c r="C718" s="556">
        <v>2010</v>
      </c>
      <c r="D718" s="557" t="s">
        <v>3616</v>
      </c>
      <c r="E718" s="547">
        <v>6.3784352586512855E-2</v>
      </c>
      <c r="F718" s="548">
        <v>0.12837017926270361</v>
      </c>
      <c r="G718" s="549">
        <v>0.109921675685951</v>
      </c>
      <c r="H718" s="550">
        <v>8.1673504976893692E-3</v>
      </c>
      <c r="I718" s="551">
        <v>0.28202472580876897</v>
      </c>
      <c r="J718" s="551">
        <v>0.106021244570058</v>
      </c>
      <c r="K718" s="551">
        <v>2.3180920997728501E-2</v>
      </c>
      <c r="L718" s="551">
        <v>2.2255167717348699E-4</v>
      </c>
      <c r="M718" s="552">
        <v>2.42290593814323E-2</v>
      </c>
    </row>
    <row r="719" spans="2:13" ht="15.75" x14ac:dyDescent="0.25">
      <c r="B719" s="555">
        <v>2031</v>
      </c>
      <c r="C719" s="556">
        <v>2011</v>
      </c>
      <c r="D719" s="557" t="s">
        <v>3617</v>
      </c>
      <c r="E719" s="547">
        <v>6.3729987159742749E-2</v>
      </c>
      <c r="F719" s="548">
        <v>0.13005245792996412</v>
      </c>
      <c r="G719" s="549">
        <v>0.109213645120291</v>
      </c>
      <c r="H719" s="550">
        <v>8.4509277634695207E-3</v>
      </c>
      <c r="I719" s="551">
        <v>0.27970371425294999</v>
      </c>
      <c r="J719" s="551">
        <v>0.106637983039805</v>
      </c>
      <c r="K719" s="551">
        <v>2.2921399351163999E-2</v>
      </c>
      <c r="L719" s="551">
        <v>3.1416545171331799E-4</v>
      </c>
      <c r="M719" s="552">
        <v>2.3957803317620499E-2</v>
      </c>
    </row>
    <row r="720" spans="2:13" ht="15.75" x14ac:dyDescent="0.25">
      <c r="B720" s="555">
        <v>2031</v>
      </c>
      <c r="C720" s="556">
        <v>2012</v>
      </c>
      <c r="D720" s="557" t="s">
        <v>3618</v>
      </c>
      <c r="E720" s="547">
        <v>6.3843660077366846E-2</v>
      </c>
      <c r="F720" s="548">
        <v>0.13045197796754829</v>
      </c>
      <c r="G720" s="549">
        <v>0.110083636503848</v>
      </c>
      <c r="H720" s="550">
        <v>8.4961295460036102E-3</v>
      </c>
      <c r="I720" s="551">
        <v>0.27941110803257901</v>
      </c>
      <c r="J720" s="551">
        <v>0.106314340706767</v>
      </c>
      <c r="K720" s="551">
        <v>2.2717828313282201E-2</v>
      </c>
      <c r="L720" s="551">
        <v>4.6390206115843398E-4</v>
      </c>
      <c r="M720" s="552">
        <v>2.3745027700738702E-2</v>
      </c>
    </row>
    <row r="721" spans="2:13" ht="15.75" x14ac:dyDescent="0.25">
      <c r="B721" s="555">
        <v>2031</v>
      </c>
      <c r="C721" s="556">
        <v>2013</v>
      </c>
      <c r="D721" s="557" t="s">
        <v>3619</v>
      </c>
      <c r="E721" s="547">
        <v>6.3699502193185778E-2</v>
      </c>
      <c r="F721" s="548">
        <v>0.13046039331907003</v>
      </c>
      <c r="G721" s="549">
        <v>0.10828628303301401</v>
      </c>
      <c r="H721" s="550">
        <v>8.4804115458306396E-3</v>
      </c>
      <c r="I721" s="551">
        <v>0.274936326534513</v>
      </c>
      <c r="J721" s="551">
        <v>0.105056745004243</v>
      </c>
      <c r="K721" s="551">
        <v>2.22910253192901E-2</v>
      </c>
      <c r="L721" s="551">
        <v>6.9508144241066903E-4</v>
      </c>
      <c r="M721" s="552">
        <v>2.3298926569268501E-2</v>
      </c>
    </row>
    <row r="722" spans="2:13" ht="15.75" x14ac:dyDescent="0.25">
      <c r="B722" s="555">
        <v>2031</v>
      </c>
      <c r="C722" s="556">
        <v>2014</v>
      </c>
      <c r="D722" s="557" t="s">
        <v>3620</v>
      </c>
      <c r="E722" s="547">
        <v>6.2155833241448841E-2</v>
      </c>
      <c r="F722" s="548">
        <v>0.12832048611026156</v>
      </c>
      <c r="G722" s="549">
        <v>0.10697713387359201</v>
      </c>
      <c r="H722" s="550">
        <v>8.4076582628151205E-3</v>
      </c>
      <c r="I722" s="551">
        <v>0.270729690329441</v>
      </c>
      <c r="J722" s="551">
        <v>0.104328471950904</v>
      </c>
      <c r="K722" s="551">
        <v>2.1825890629359801E-2</v>
      </c>
      <c r="L722" s="551">
        <v>9.6451903873915896E-4</v>
      </c>
      <c r="M722" s="552">
        <v>2.28127605526642E-2</v>
      </c>
    </row>
    <row r="723" spans="2:13" ht="15.75" x14ac:dyDescent="0.25">
      <c r="B723" s="555">
        <v>2031</v>
      </c>
      <c r="C723" s="556">
        <v>2015</v>
      </c>
      <c r="D723" s="557" t="s">
        <v>3621</v>
      </c>
      <c r="E723" s="547">
        <v>6.1628127590414604E-2</v>
      </c>
      <c r="F723" s="548">
        <v>0.12829083884362372</v>
      </c>
      <c r="G723" s="549">
        <v>0.10553731906175801</v>
      </c>
      <c r="H723" s="550">
        <v>8.4890779911721195E-3</v>
      </c>
      <c r="I723" s="551">
        <v>0.26608440194121902</v>
      </c>
      <c r="J723" s="551">
        <v>0.104017830235071</v>
      </c>
      <c r="K723" s="551">
        <v>2.13006792344098E-2</v>
      </c>
      <c r="L723" s="551">
        <v>1.23347305804573E-3</v>
      </c>
      <c r="M723" s="552">
        <v>2.2263801429025599E-2</v>
      </c>
    </row>
    <row r="724" spans="2:13" ht="15.75" x14ac:dyDescent="0.25">
      <c r="B724" s="555">
        <v>2031</v>
      </c>
      <c r="C724" s="556">
        <v>2016</v>
      </c>
      <c r="D724" s="557" t="s">
        <v>3622</v>
      </c>
      <c r="E724" s="547">
        <v>5.9623095148392737E-2</v>
      </c>
      <c r="F724" s="548">
        <v>0.1243730417498073</v>
      </c>
      <c r="G724" s="549">
        <v>0.103845072788615</v>
      </c>
      <c r="H724" s="550">
        <v>7.7218314491996603E-3</v>
      </c>
      <c r="I724" s="551">
        <v>0.22857455779920799</v>
      </c>
      <c r="J724" s="551">
        <v>9.0490919363966596E-2</v>
      </c>
      <c r="K724" s="551">
        <v>2.07054439171547E-2</v>
      </c>
      <c r="L724" s="551">
        <v>1.38816204734217E-3</v>
      </c>
      <c r="M724" s="552">
        <v>2.1641652212041899E-2</v>
      </c>
    </row>
    <row r="725" spans="2:13" ht="15.75" x14ac:dyDescent="0.25">
      <c r="B725" s="555">
        <v>2031</v>
      </c>
      <c r="C725" s="556">
        <v>2017</v>
      </c>
      <c r="D725" s="557" t="s">
        <v>3623</v>
      </c>
      <c r="E725" s="547">
        <v>5.6113535774375264E-2</v>
      </c>
      <c r="F725" s="548">
        <v>0.12047290796432177</v>
      </c>
      <c r="G725" s="549">
        <v>8.5958950443588797E-2</v>
      </c>
      <c r="H725" s="550">
        <v>6.9469964655587196E-3</v>
      </c>
      <c r="I725" s="551">
        <v>0.17506574516803899</v>
      </c>
      <c r="J725" s="551">
        <v>7.7483714765135506E-2</v>
      </c>
      <c r="K725" s="551">
        <v>1.9090910025264599E-2</v>
      </c>
      <c r="L725" s="551">
        <v>1.4468452278456399E-3</v>
      </c>
      <c r="M725" s="552">
        <v>1.9954116261948499E-2</v>
      </c>
    </row>
    <row r="726" spans="2:13" ht="15.75" x14ac:dyDescent="0.25">
      <c r="B726" s="555">
        <v>2031</v>
      </c>
      <c r="C726" s="556">
        <v>2018</v>
      </c>
      <c r="D726" s="557" t="s">
        <v>3624</v>
      </c>
      <c r="E726" s="547">
        <v>5.2396301746340093E-2</v>
      </c>
      <c r="F726" s="548">
        <v>0.11530945154544239</v>
      </c>
      <c r="G726" s="549">
        <v>8.5048477643126494E-2</v>
      </c>
      <c r="H726" s="550">
        <v>6.2586806038892996E-3</v>
      </c>
      <c r="I726" s="551">
        <v>0.140161216034659</v>
      </c>
      <c r="J726" s="551">
        <v>6.4367368464751801E-2</v>
      </c>
      <c r="K726" s="551">
        <v>1.84619288374713E-2</v>
      </c>
      <c r="L726" s="551">
        <v>1.5074884210239199E-3</v>
      </c>
      <c r="M726" s="552">
        <v>1.9296695335905899E-2</v>
      </c>
    </row>
    <row r="727" spans="2:13" ht="15.75" x14ac:dyDescent="0.25">
      <c r="B727" s="555">
        <v>2031</v>
      </c>
      <c r="C727" s="556">
        <v>2019</v>
      </c>
      <c r="D727" s="557" t="s">
        <v>3625</v>
      </c>
      <c r="E727" s="547">
        <v>5.2378818649913506E-2</v>
      </c>
      <c r="F727" s="548">
        <v>0.11526416265739765</v>
      </c>
      <c r="G727" s="549">
        <v>8.4049275255427505E-2</v>
      </c>
      <c r="H727" s="550">
        <v>5.6842336268122396E-3</v>
      </c>
      <c r="I727" s="551">
        <v>0.118073750349033</v>
      </c>
      <c r="J727" s="551">
        <v>5.5762035080284503E-2</v>
      </c>
      <c r="K727" s="551">
        <v>1.7774411244957301E-2</v>
      </c>
      <c r="L727" s="551">
        <v>1.54811482876892E-3</v>
      </c>
      <c r="M727" s="552">
        <v>1.8578091248672501E-2</v>
      </c>
    </row>
    <row r="728" spans="2:13" ht="15.75" x14ac:dyDescent="0.25">
      <c r="B728" s="555">
        <v>2031</v>
      </c>
      <c r="C728" s="556">
        <v>2020</v>
      </c>
      <c r="D728" s="557" t="s">
        <v>3626</v>
      </c>
      <c r="E728" s="547">
        <v>5.2361196855348617E-2</v>
      </c>
      <c r="F728" s="548">
        <v>0.11521866716104823</v>
      </c>
      <c r="G728" s="549">
        <v>8.2960688948175501E-2</v>
      </c>
      <c r="H728" s="550">
        <v>5.1245551436301202E-3</v>
      </c>
      <c r="I728" s="551">
        <v>9.6367787382031403E-2</v>
      </c>
      <c r="J728" s="551">
        <v>4.7610287562040901E-2</v>
      </c>
      <c r="K728" s="551">
        <v>1.702830577746E-2</v>
      </c>
      <c r="L728" s="551">
        <v>1.54862804426734E-3</v>
      </c>
      <c r="M728" s="552">
        <v>1.7798250202728901E-2</v>
      </c>
    </row>
    <row r="729" spans="2:13" ht="15.75" x14ac:dyDescent="0.25">
      <c r="B729" s="555">
        <v>2031</v>
      </c>
      <c r="C729" s="556">
        <v>2021</v>
      </c>
      <c r="D729" s="557" t="s">
        <v>3627</v>
      </c>
      <c r="E729" s="547">
        <v>5.1034866016760536E-2</v>
      </c>
      <c r="F729" s="548">
        <v>0.11229837881505077</v>
      </c>
      <c r="G729" s="549">
        <v>8.1783556826464099E-2</v>
      </c>
      <c r="H729" s="550">
        <v>4.5472460112264499E-3</v>
      </c>
      <c r="I729" s="551">
        <v>7.5751629620160396E-2</v>
      </c>
      <c r="J729" s="551">
        <v>3.9073772937188597E-2</v>
      </c>
      <c r="K729" s="551">
        <v>1.62236386178819E-2</v>
      </c>
      <c r="L729" s="551">
        <v>1.54916227099544E-3</v>
      </c>
      <c r="M729" s="552">
        <v>1.69571995648523E-2</v>
      </c>
    </row>
    <row r="730" spans="2:13" ht="15.75" x14ac:dyDescent="0.25">
      <c r="B730" s="555">
        <v>2031</v>
      </c>
      <c r="C730" s="556">
        <v>2022</v>
      </c>
      <c r="D730" s="557" t="s">
        <v>3628</v>
      </c>
      <c r="E730" s="547">
        <v>4.9761349454263117E-2</v>
      </c>
      <c r="F730" s="548">
        <v>0.10949343108263944</v>
      </c>
      <c r="G730" s="549">
        <v>8.0515466838793195E-2</v>
      </c>
      <c r="H730" s="550">
        <v>3.93759787356279E-3</v>
      </c>
      <c r="I730" s="551">
        <v>5.5652862670222902E-2</v>
      </c>
      <c r="J730" s="551">
        <v>3.0360338648626198E-2</v>
      </c>
      <c r="K730" s="551">
        <v>1.53602519664568E-2</v>
      </c>
      <c r="L730" s="551">
        <v>1.5496954148866799E-3</v>
      </c>
      <c r="M730" s="552">
        <v>1.60547744002713E-2</v>
      </c>
    </row>
    <row r="731" spans="2:13" ht="15.75" x14ac:dyDescent="0.25">
      <c r="B731" s="555">
        <v>2031</v>
      </c>
      <c r="C731" s="556">
        <v>2023</v>
      </c>
      <c r="D731" s="557" t="s">
        <v>3629</v>
      </c>
      <c r="E731" s="547">
        <v>4.8488321378801477E-2</v>
      </c>
      <c r="F731" s="548">
        <v>0.10669024843268154</v>
      </c>
      <c r="G731" s="549">
        <v>7.9157577409750796E-2</v>
      </c>
      <c r="H731" s="550">
        <v>3.9093681613037697E-3</v>
      </c>
      <c r="I731" s="551">
        <v>5.3792884445072402E-2</v>
      </c>
      <c r="J731" s="551">
        <v>2.9340855169706401E-2</v>
      </c>
      <c r="K731" s="551">
        <v>1.4438188639926099E-2</v>
      </c>
      <c r="L731" s="551">
        <v>1.5502410190612499E-3</v>
      </c>
      <c r="M731" s="552">
        <v>1.50910194617104E-2</v>
      </c>
    </row>
    <row r="732" spans="2:13" ht="15.75" x14ac:dyDescent="0.25">
      <c r="B732" s="555">
        <v>2031</v>
      </c>
      <c r="C732" s="556">
        <v>2024</v>
      </c>
      <c r="D732" s="557" t="s">
        <v>3630</v>
      </c>
      <c r="E732" s="547">
        <v>4.7267845567155999E-2</v>
      </c>
      <c r="F732" s="548">
        <v>0.10400148027500448</v>
      </c>
      <c r="G732" s="549">
        <v>7.7708346587470695E-2</v>
      </c>
      <c r="H732" s="550">
        <v>3.84441202666528E-3</v>
      </c>
      <c r="I732" s="551">
        <v>5.1812852351590701E-2</v>
      </c>
      <c r="J732" s="551">
        <v>2.8887778094063801E-2</v>
      </c>
      <c r="K732" s="551">
        <v>1.34573484100958E-2</v>
      </c>
      <c r="L732" s="551">
        <v>1.5507858234525499E-3</v>
      </c>
      <c r="M732" s="552">
        <v>1.40658299891012E-2</v>
      </c>
    </row>
    <row r="733" spans="2:13" ht="15.75" x14ac:dyDescent="0.25">
      <c r="B733" s="555">
        <v>2031</v>
      </c>
      <c r="C733" s="556">
        <v>2025</v>
      </c>
      <c r="D733" s="557" t="s">
        <v>3631</v>
      </c>
      <c r="E733" s="547">
        <v>4.6047576054570098E-2</v>
      </c>
      <c r="F733" s="548">
        <v>0.10131283847409413</v>
      </c>
      <c r="G733" s="549">
        <v>7.61689206920763E-2</v>
      </c>
      <c r="H733" s="550">
        <v>3.77253394305062E-3</v>
      </c>
      <c r="I733" s="551">
        <v>4.9713091554208097E-2</v>
      </c>
      <c r="J733" s="551">
        <v>2.7495957854589598E-2</v>
      </c>
      <c r="K733" s="551">
        <v>1.2417760725472699E-2</v>
      </c>
      <c r="L733" s="551">
        <v>1.5513440358915301E-3</v>
      </c>
      <c r="M733" s="552">
        <v>1.2979236762481401E-2</v>
      </c>
    </row>
    <row r="734" spans="2:13" ht="15.75" x14ac:dyDescent="0.25">
      <c r="B734" s="555">
        <v>2031</v>
      </c>
      <c r="C734" s="556">
        <v>2026</v>
      </c>
      <c r="D734" s="557" t="s">
        <v>3632</v>
      </c>
      <c r="E734" s="547">
        <v>4.4879449256486376E-2</v>
      </c>
      <c r="F734" s="548">
        <v>9.8739572789608362E-2</v>
      </c>
      <c r="G734" s="549">
        <v>7.4537778914093397E-2</v>
      </c>
      <c r="H734" s="550">
        <v>3.7581063593263701E-3</v>
      </c>
      <c r="I734" s="551">
        <v>4.7498146419164999E-2</v>
      </c>
      <c r="J734" s="551">
        <v>2.7338656492073999E-2</v>
      </c>
      <c r="K734" s="551">
        <v>1.1319327543031801E-2</v>
      </c>
      <c r="L734" s="551">
        <v>1.55190136351168E-3</v>
      </c>
      <c r="M734" s="552">
        <v>1.1831137305755701E-2</v>
      </c>
    </row>
    <row r="735" spans="2:13" ht="15.75" x14ac:dyDescent="0.25">
      <c r="B735" s="555">
        <v>2031</v>
      </c>
      <c r="C735" s="556">
        <v>2027</v>
      </c>
      <c r="D735" s="557" t="s">
        <v>3633</v>
      </c>
      <c r="E735" s="547">
        <v>4.3763322013861496E-2</v>
      </c>
      <c r="F735" s="548">
        <v>9.6283198642925297E-2</v>
      </c>
      <c r="G735" s="549">
        <v>7.28170032393025E-2</v>
      </c>
      <c r="H735" s="550">
        <v>3.90351002016726E-3</v>
      </c>
      <c r="I735" s="551">
        <v>4.5158127285673803E-2</v>
      </c>
      <c r="J735" s="551">
        <v>2.7536182527609102E-2</v>
      </c>
      <c r="K735" s="551">
        <v>1.01621123737302E-2</v>
      </c>
      <c r="L735" s="551">
        <v>1.5524849711164E-3</v>
      </c>
      <c r="M735" s="552">
        <v>1.06215980015645E-2</v>
      </c>
    </row>
    <row r="736" spans="2:13" ht="15.75" x14ac:dyDescent="0.25">
      <c r="B736" s="555">
        <v>2031</v>
      </c>
      <c r="C736" s="556">
        <v>2028</v>
      </c>
      <c r="D736" s="557" t="s">
        <v>3634</v>
      </c>
      <c r="E736" s="547">
        <v>4.3742375735179632E-2</v>
      </c>
      <c r="F736" s="548">
        <v>9.6236418433290005E-2</v>
      </c>
      <c r="G736" s="549">
        <v>7.1003443246551404E-2</v>
      </c>
      <c r="H736" s="550">
        <v>4.3038563130619002E-3</v>
      </c>
      <c r="I736" s="551">
        <v>4.2697292398848397E-2</v>
      </c>
      <c r="J736" s="551">
        <v>2.9616061888996199E-2</v>
      </c>
      <c r="K736" s="551">
        <v>8.9459519892920794E-3</v>
      </c>
      <c r="L736" s="551">
        <v>1.55306105358031E-3</v>
      </c>
      <c r="M736" s="552">
        <v>9.3504482411738508E-3</v>
      </c>
    </row>
    <row r="737" spans="2:13" ht="15.75" x14ac:dyDescent="0.25">
      <c r="B737" s="555">
        <v>2031</v>
      </c>
      <c r="C737" s="556">
        <v>2029</v>
      </c>
      <c r="D737" s="557" t="s">
        <v>3635</v>
      </c>
      <c r="E737" s="547">
        <v>4.3718525599034178E-2</v>
      </c>
      <c r="F737" s="548">
        <v>9.6185695229944732E-2</v>
      </c>
      <c r="G737" s="549">
        <v>6.9097851662203197E-2</v>
      </c>
      <c r="H737" s="550">
        <v>4.9688212531285303E-3</v>
      </c>
      <c r="I737" s="551">
        <v>4.0115801999945397E-2</v>
      </c>
      <c r="J737" s="551">
        <v>3.3245691256235402E-2</v>
      </c>
      <c r="K737" s="551">
        <v>7.6708467076483898E-3</v>
      </c>
      <c r="L737" s="551">
        <v>1.5536400874533701E-3</v>
      </c>
      <c r="M737" s="552">
        <v>8.0176883568901201E-3</v>
      </c>
    </row>
    <row r="738" spans="2:13" ht="15.75" x14ac:dyDescent="0.25">
      <c r="B738" s="555">
        <v>2031</v>
      </c>
      <c r="C738" s="556">
        <v>2030</v>
      </c>
      <c r="D738" s="557" t="s">
        <v>3636</v>
      </c>
      <c r="E738" s="547">
        <v>4.3689789007567342E-2</v>
      </c>
      <c r="F738" s="548">
        <v>9.6120379675719625E-2</v>
      </c>
      <c r="G738" s="549">
        <v>6.7100918667071102E-2</v>
      </c>
      <c r="H738" s="550">
        <v>5.6400045162222998E-3</v>
      </c>
      <c r="I738" s="551">
        <v>3.7413795523783697E-2</v>
      </c>
      <c r="J738" s="551">
        <v>3.6487472627258898E-2</v>
      </c>
      <c r="K738" s="551">
        <v>6.3367887291234E-3</v>
      </c>
      <c r="L738" s="551">
        <v>1.5542343355229001E-3</v>
      </c>
      <c r="M738" s="552">
        <v>6.6233101963708296E-3</v>
      </c>
    </row>
    <row r="739" spans="2:13" ht="15.75" x14ac:dyDescent="0.25">
      <c r="B739" s="555">
        <v>2031</v>
      </c>
      <c r="C739" s="556">
        <v>2031</v>
      </c>
      <c r="D739" s="557" t="s">
        <v>3637</v>
      </c>
      <c r="E739" s="547">
        <v>4.365015148141764E-2</v>
      </c>
      <c r="F739" s="548">
        <v>9.6010671397432232E-2</v>
      </c>
      <c r="G739" s="549">
        <v>6.5010562827800003E-2</v>
      </c>
      <c r="H739" s="550">
        <v>5.4112473468887904E-3</v>
      </c>
      <c r="I739" s="551">
        <v>3.4590564843454699E-2</v>
      </c>
      <c r="J739" s="551">
        <v>3.4346073205024898E-2</v>
      </c>
      <c r="K739" s="551">
        <v>4.94368403108818E-3</v>
      </c>
      <c r="L739" s="551">
        <v>1.5548191768657901E-3</v>
      </c>
      <c r="M739" s="552">
        <v>5.1672154857010004E-3</v>
      </c>
    </row>
    <row r="740" spans="2:13" ht="15.75" x14ac:dyDescent="0.25">
      <c r="B740" s="555">
        <v>2032</v>
      </c>
      <c r="C740" s="556">
        <v>1988</v>
      </c>
      <c r="D740" s="557" t="s">
        <v>3638</v>
      </c>
      <c r="E740" s="547">
        <v>6.3318120126608021E-2</v>
      </c>
      <c r="F740" s="548">
        <v>0.13471728813434117</v>
      </c>
      <c r="G740" s="549">
        <v>0.27715806696754702</v>
      </c>
      <c r="H740" s="550">
        <v>0.44020870898077702</v>
      </c>
      <c r="I740" s="551">
        <v>5.2575582242580703</v>
      </c>
      <c r="J740" s="551">
        <v>1.68473098345098</v>
      </c>
      <c r="K740" s="551">
        <v>0.18875504643299101</v>
      </c>
      <c r="L740" s="551">
        <v>1.41815666846472E-2</v>
      </c>
      <c r="M740" s="552">
        <v>0.19728971204457699</v>
      </c>
    </row>
    <row r="741" spans="2:13" ht="15.75" x14ac:dyDescent="0.25">
      <c r="B741" s="555">
        <v>2032</v>
      </c>
      <c r="C741" s="556">
        <v>1989</v>
      </c>
      <c r="D741" s="557" t="s">
        <v>3639</v>
      </c>
      <c r="E741" s="547">
        <v>6.3097362648431243E-2</v>
      </c>
      <c r="F741" s="548">
        <v>0.13412456715506438</v>
      </c>
      <c r="G741" s="549">
        <v>0.27571997532581199</v>
      </c>
      <c r="H741" s="550">
        <v>0.43385687320794503</v>
      </c>
      <c r="I741" s="551">
        <v>5.27771876457766</v>
      </c>
      <c r="J741" s="551">
        <v>1.6757993505920099</v>
      </c>
      <c r="K741" s="551">
        <v>0.18777565204775601</v>
      </c>
      <c r="L741" s="551">
        <v>1.4047539641418E-2</v>
      </c>
      <c r="M741" s="552">
        <v>0.19626603379124</v>
      </c>
    </row>
    <row r="742" spans="2:13" ht="15.75" x14ac:dyDescent="0.25">
      <c r="B742" s="555">
        <v>2032</v>
      </c>
      <c r="C742" s="556">
        <v>1990</v>
      </c>
      <c r="D742" s="557" t="s">
        <v>3640</v>
      </c>
      <c r="E742" s="547">
        <v>6.3098246804842564E-2</v>
      </c>
      <c r="F742" s="548">
        <v>0.13495835004110143</v>
      </c>
      <c r="G742" s="549">
        <v>0.27610251935931301</v>
      </c>
      <c r="H742" s="550">
        <v>0.43920144707918302</v>
      </c>
      <c r="I742" s="551">
        <v>5.2797362332142397</v>
      </c>
      <c r="J742" s="551">
        <v>1.6829651858252599</v>
      </c>
      <c r="K742" s="551">
        <v>0.18803617889294599</v>
      </c>
      <c r="L742" s="551">
        <v>1.4302838494668501E-2</v>
      </c>
      <c r="M742" s="552">
        <v>0.196538340504299</v>
      </c>
    </row>
    <row r="743" spans="2:13" ht="15.75" x14ac:dyDescent="0.25">
      <c r="B743" s="555">
        <v>2032</v>
      </c>
      <c r="C743" s="556">
        <v>1991</v>
      </c>
      <c r="D743" s="557" t="s">
        <v>3641</v>
      </c>
      <c r="E743" s="547">
        <v>6.4034381632553011E-2</v>
      </c>
      <c r="F743" s="548">
        <v>0.13472110641587087</v>
      </c>
      <c r="G743" s="549">
        <v>0.36440546118795603</v>
      </c>
      <c r="H743" s="550">
        <v>0.48494064791123698</v>
      </c>
      <c r="I743" s="551">
        <v>9.2130718776235199</v>
      </c>
      <c r="J743" s="551">
        <v>2.9301878011275502</v>
      </c>
      <c r="K743" s="551">
        <v>5.1644740413078601E-2</v>
      </c>
      <c r="L743" s="551">
        <v>7.7798523763663897E-3</v>
      </c>
      <c r="M743" s="552">
        <v>5.3979886404416498E-2</v>
      </c>
    </row>
    <row r="744" spans="2:13" ht="15.75" x14ac:dyDescent="0.25">
      <c r="B744" s="555">
        <v>2032</v>
      </c>
      <c r="C744" s="556">
        <v>1992</v>
      </c>
      <c r="D744" s="557" t="s">
        <v>3642</v>
      </c>
      <c r="E744" s="547">
        <v>6.4246892677456591E-2</v>
      </c>
      <c r="F744" s="548">
        <v>0.13551646850751622</v>
      </c>
      <c r="G744" s="549">
        <v>0.36713553198633497</v>
      </c>
      <c r="H744" s="550">
        <v>0.49205265904784201</v>
      </c>
      <c r="I744" s="551">
        <v>9.1811022000910594</v>
      </c>
      <c r="J744" s="551">
        <v>2.9524293018441998</v>
      </c>
      <c r="K744" s="551">
        <v>5.2031655025258E-2</v>
      </c>
      <c r="L744" s="551">
        <v>7.9269705532841097E-3</v>
      </c>
      <c r="M744" s="552">
        <v>5.4384295578450502E-2</v>
      </c>
    </row>
    <row r="745" spans="2:13" ht="15.75" x14ac:dyDescent="0.25">
      <c r="B745" s="555">
        <v>2032</v>
      </c>
      <c r="C745" s="556">
        <v>1993</v>
      </c>
      <c r="D745" s="557" t="s">
        <v>3643</v>
      </c>
      <c r="E745" s="547">
        <v>6.4292038938804502E-2</v>
      </c>
      <c r="F745" s="548">
        <v>0.13480184608624063</v>
      </c>
      <c r="G745" s="549">
        <v>0.36800308065898402</v>
      </c>
      <c r="H745" s="550">
        <v>0.48425155676382697</v>
      </c>
      <c r="I745" s="551">
        <v>9.1757113414284408</v>
      </c>
      <c r="J745" s="551">
        <v>2.9345868807343698</v>
      </c>
      <c r="K745" s="551">
        <v>5.2154606876332402E-2</v>
      </c>
      <c r="L745" s="551">
        <v>7.8309563010191905E-3</v>
      </c>
      <c r="M745" s="552">
        <v>5.45128067666397E-2</v>
      </c>
    </row>
    <row r="746" spans="2:13" ht="15.75" x14ac:dyDescent="0.25">
      <c r="B746" s="555">
        <v>2032</v>
      </c>
      <c r="C746" s="556">
        <v>1994</v>
      </c>
      <c r="D746" s="557" t="s">
        <v>3644</v>
      </c>
      <c r="E746" s="547">
        <v>6.3948312464064697E-2</v>
      </c>
      <c r="F746" s="548">
        <v>0.13384295037107871</v>
      </c>
      <c r="G746" s="549">
        <v>0.36186271572198297</v>
      </c>
      <c r="H746" s="550">
        <v>0.47434321911830502</v>
      </c>
      <c r="I746" s="551">
        <v>9.2372597513769001</v>
      </c>
      <c r="J746" s="551">
        <v>2.9132403608064998</v>
      </c>
      <c r="K746" s="551">
        <v>5.1814532317544598E-2</v>
      </c>
      <c r="L746" s="551">
        <v>7.6936027421828099E-3</v>
      </c>
      <c r="M746" s="552">
        <v>5.41573555453621E-2</v>
      </c>
    </row>
    <row r="747" spans="2:13" ht="15.75" x14ac:dyDescent="0.25">
      <c r="B747" s="555">
        <v>2032</v>
      </c>
      <c r="C747" s="556">
        <v>1995</v>
      </c>
      <c r="D747" s="557" t="s">
        <v>3645</v>
      </c>
      <c r="E747" s="547">
        <v>6.4288216971804341E-2</v>
      </c>
      <c r="F747" s="548">
        <v>0.13298848053433138</v>
      </c>
      <c r="G747" s="549">
        <v>0.36604938739140003</v>
      </c>
      <c r="H747" s="550">
        <v>0.25323760997691502</v>
      </c>
      <c r="I747" s="551">
        <v>9.2119478602364495</v>
      </c>
      <c r="J747" s="551">
        <v>1.66284798687763</v>
      </c>
      <c r="K747" s="551">
        <v>5.2414015008335701E-2</v>
      </c>
      <c r="L747" s="551">
        <v>5.0246891917654401E-3</v>
      </c>
      <c r="M747" s="552">
        <v>5.4783944183265702E-2</v>
      </c>
    </row>
    <row r="748" spans="2:13" ht="15.75" x14ac:dyDescent="0.25">
      <c r="B748" s="555">
        <v>2032</v>
      </c>
      <c r="C748" s="556">
        <v>1996</v>
      </c>
      <c r="D748" s="557" t="s">
        <v>3646</v>
      </c>
      <c r="E748" s="547">
        <v>6.4308686738500348E-2</v>
      </c>
      <c r="F748" s="548">
        <v>0.1314227991476562</v>
      </c>
      <c r="G748" s="549">
        <v>0.36636578638582001</v>
      </c>
      <c r="H748" s="550">
        <v>2.2933348996812999E-2</v>
      </c>
      <c r="I748" s="551">
        <v>9.20764112839049</v>
      </c>
      <c r="J748" s="551">
        <v>0.39574029729733401</v>
      </c>
      <c r="K748" s="551">
        <v>5.24593196645197E-2</v>
      </c>
      <c r="L748" s="551">
        <v>2.2352471761606899E-3</v>
      </c>
      <c r="M748" s="552">
        <v>5.4831297314965902E-2</v>
      </c>
    </row>
    <row r="749" spans="2:13" ht="15.75" x14ac:dyDescent="0.25">
      <c r="B749" s="555">
        <v>2032</v>
      </c>
      <c r="C749" s="556">
        <v>1997</v>
      </c>
      <c r="D749" s="557" t="s">
        <v>3647</v>
      </c>
      <c r="E749" s="547">
        <v>6.4547841308531861E-2</v>
      </c>
      <c r="F749" s="548">
        <v>0.13004807179567446</v>
      </c>
      <c r="G749" s="549">
        <v>0.36915172030680898</v>
      </c>
      <c r="H749" s="550">
        <v>2.23077202863247E-2</v>
      </c>
      <c r="I749" s="551">
        <v>9.1674958334127208</v>
      </c>
      <c r="J749" s="551">
        <v>0.39172833307764299</v>
      </c>
      <c r="K749" s="551">
        <v>5.28582330007435E-2</v>
      </c>
      <c r="L749" s="551">
        <v>2.1768064930744201E-3</v>
      </c>
      <c r="M749" s="552">
        <v>5.5248247742101998E-2</v>
      </c>
    </row>
    <row r="750" spans="2:13" ht="15.75" x14ac:dyDescent="0.25">
      <c r="B750" s="555">
        <v>2032</v>
      </c>
      <c r="C750" s="556">
        <v>1998</v>
      </c>
      <c r="D750" s="557" t="s">
        <v>3648</v>
      </c>
      <c r="E750" s="547">
        <v>6.4345818928042572E-2</v>
      </c>
      <c r="F750" s="548">
        <v>0.13058158365438235</v>
      </c>
      <c r="G750" s="549">
        <v>0.36768410180855698</v>
      </c>
      <c r="H750" s="550">
        <v>2.2543960254052999E-2</v>
      </c>
      <c r="I750" s="551">
        <v>9.2047188352428293</v>
      </c>
      <c r="J750" s="551">
        <v>0.39345192963035402</v>
      </c>
      <c r="K750" s="551">
        <v>5.2648087100644801E-2</v>
      </c>
      <c r="L750" s="551">
        <v>2.2037894691074198E-3</v>
      </c>
      <c r="M750" s="552">
        <v>5.5028599976909502E-2</v>
      </c>
    </row>
    <row r="751" spans="2:13" ht="15.75" x14ac:dyDescent="0.25">
      <c r="B751" s="555">
        <v>2032</v>
      </c>
      <c r="C751" s="556">
        <v>1999</v>
      </c>
      <c r="D751" s="557" t="s">
        <v>3649</v>
      </c>
      <c r="E751" s="547">
        <v>6.4268513319720846E-2</v>
      </c>
      <c r="F751" s="548">
        <v>0.13041254246482045</v>
      </c>
      <c r="G751" s="549">
        <v>0.36702032076654501</v>
      </c>
      <c r="H751" s="550">
        <v>2.25210117892078E-2</v>
      </c>
      <c r="I751" s="551">
        <v>9.2067645646422704</v>
      </c>
      <c r="J751" s="551">
        <v>0.39350078955593598</v>
      </c>
      <c r="K751" s="551">
        <v>5.2553041375404903E-2</v>
      </c>
      <c r="L751" s="551">
        <v>2.1972093867764701E-3</v>
      </c>
      <c r="M751" s="552">
        <v>5.4929256705733398E-2</v>
      </c>
    </row>
    <row r="752" spans="2:13" ht="15.75" x14ac:dyDescent="0.25">
      <c r="B752" s="555">
        <v>2032</v>
      </c>
      <c r="C752" s="556">
        <v>2000</v>
      </c>
      <c r="D752" s="557" t="s">
        <v>3650</v>
      </c>
      <c r="E752" s="547">
        <v>6.4020392080743727E-2</v>
      </c>
      <c r="F752" s="548">
        <v>0.13085463631601055</v>
      </c>
      <c r="G752" s="549">
        <v>0.36463824968134501</v>
      </c>
      <c r="H752" s="550">
        <v>2.2718931618699201E-2</v>
      </c>
      <c r="I752" s="551">
        <v>9.2367362075813997</v>
      </c>
      <c r="J752" s="551">
        <v>0.39547000353170603</v>
      </c>
      <c r="K752" s="551">
        <v>5.22119565002181E-2</v>
      </c>
      <c r="L752" s="551">
        <v>2.2201438177142101E-3</v>
      </c>
      <c r="M752" s="552">
        <v>5.4572749486032399E-2</v>
      </c>
    </row>
    <row r="753" spans="2:13" ht="15.75" x14ac:dyDescent="0.25">
      <c r="B753" s="555">
        <v>2032</v>
      </c>
      <c r="C753" s="556">
        <v>2001</v>
      </c>
      <c r="D753" s="557" t="s">
        <v>3651</v>
      </c>
      <c r="E753" s="547">
        <v>6.4236740147256013E-2</v>
      </c>
      <c r="F753" s="548">
        <v>0.13102691121566287</v>
      </c>
      <c r="G753" s="549">
        <v>0.36718181111014198</v>
      </c>
      <c r="H753" s="550">
        <v>2.2817574945899099E-2</v>
      </c>
      <c r="I753" s="551">
        <v>9.2024364018174794</v>
      </c>
      <c r="J753" s="551">
        <v>0.39690510516878402</v>
      </c>
      <c r="K753" s="551">
        <v>5.2576164914425898E-2</v>
      </c>
      <c r="L753" s="551">
        <v>2.2325111200765702E-3</v>
      </c>
      <c r="M753" s="552">
        <v>5.4953425788579799E-2</v>
      </c>
    </row>
    <row r="754" spans="2:13" ht="15.75" x14ac:dyDescent="0.25">
      <c r="B754" s="555">
        <v>2032</v>
      </c>
      <c r="C754" s="556">
        <v>2002</v>
      </c>
      <c r="D754" s="557" t="s">
        <v>3652</v>
      </c>
      <c r="E754" s="547">
        <v>6.4076579850083623E-2</v>
      </c>
      <c r="F754" s="548">
        <v>0.1308687050349315</v>
      </c>
      <c r="G754" s="549">
        <v>0.28376309006359401</v>
      </c>
      <c r="H754" s="550">
        <v>2.2770633389027101E-2</v>
      </c>
      <c r="I754" s="551">
        <v>7.0999478391169797</v>
      </c>
      <c r="J754" s="551">
        <v>0.31947258769711201</v>
      </c>
      <c r="K754" s="551">
        <v>5.2892846174941402E-2</v>
      </c>
      <c r="L754" s="551">
        <v>2.23004634990799E-3</v>
      </c>
      <c r="M754" s="552">
        <v>5.5284425970443501E-2</v>
      </c>
    </row>
    <row r="755" spans="2:13" ht="15.75" x14ac:dyDescent="0.25">
      <c r="B755" s="555">
        <v>2032</v>
      </c>
      <c r="C755" s="556">
        <v>2003</v>
      </c>
      <c r="D755" s="557" t="s">
        <v>3653</v>
      </c>
      <c r="E755" s="547">
        <v>6.3776269060544608E-2</v>
      </c>
      <c r="F755" s="548">
        <v>0.13028206017625185</v>
      </c>
      <c r="G755" s="549">
        <v>0.28152909888415301</v>
      </c>
      <c r="H755" s="550">
        <v>2.2528246626922901E-2</v>
      </c>
      <c r="I755" s="551">
        <v>7.1276549379967804</v>
      </c>
      <c r="J755" s="551">
        <v>0.31936648746075602</v>
      </c>
      <c r="K755" s="551">
        <v>5.2476434894024399E-2</v>
      </c>
      <c r="L755" s="551">
        <v>2.2067873613267099E-3</v>
      </c>
      <c r="M755" s="552">
        <v>5.4849186419201203E-2</v>
      </c>
    </row>
    <row r="756" spans="2:13" ht="15.75" x14ac:dyDescent="0.25">
      <c r="B756" s="555">
        <v>2032</v>
      </c>
      <c r="C756" s="556">
        <v>2004</v>
      </c>
      <c r="D756" s="557" t="s">
        <v>3654</v>
      </c>
      <c r="E756" s="547">
        <v>6.3548441135607162E-2</v>
      </c>
      <c r="F756" s="548">
        <v>0.12925776516120582</v>
      </c>
      <c r="G756" s="549">
        <v>0.232355426454704</v>
      </c>
      <c r="H756" s="550">
        <v>1.4761181196338E-2</v>
      </c>
      <c r="I756" s="551">
        <v>5.9616395494154304</v>
      </c>
      <c r="J756" s="551">
        <v>0.27025153958805598</v>
      </c>
      <c r="K756" s="551">
        <v>5.2181685166363602E-2</v>
      </c>
      <c r="L756" s="551">
        <v>1.4360126872929501E-4</v>
      </c>
      <c r="M756" s="552">
        <v>5.4541109416788101E-2</v>
      </c>
    </row>
    <row r="757" spans="2:13" ht="15.75" x14ac:dyDescent="0.25">
      <c r="B757" s="555">
        <v>2032</v>
      </c>
      <c r="C757" s="556">
        <v>2005</v>
      </c>
      <c r="D757" s="557" t="s">
        <v>3655</v>
      </c>
      <c r="E757" s="547">
        <v>6.3593141743220352E-2</v>
      </c>
      <c r="F757" s="548">
        <v>0.12962989236749101</v>
      </c>
      <c r="G757" s="549">
        <v>0.23271788328603699</v>
      </c>
      <c r="H757" s="550">
        <v>1.49673979292403E-2</v>
      </c>
      <c r="I757" s="551">
        <v>5.9516576608490297</v>
      </c>
      <c r="J757" s="551">
        <v>0.27212041089111799</v>
      </c>
      <c r="K757" s="551">
        <v>5.2263084635046503E-2</v>
      </c>
      <c r="L757" s="551">
        <v>1.45024490295519E-4</v>
      </c>
      <c r="M757" s="552">
        <v>5.4626189408240003E-2</v>
      </c>
    </row>
    <row r="758" spans="2:13" ht="15.75" x14ac:dyDescent="0.25">
      <c r="B758" s="555">
        <v>2032</v>
      </c>
      <c r="C758" s="556">
        <v>2006</v>
      </c>
      <c r="D758" s="557" t="s">
        <v>3656</v>
      </c>
      <c r="E758" s="547">
        <v>6.3421839091970217E-2</v>
      </c>
      <c r="F758" s="548">
        <v>0.12993843167514202</v>
      </c>
      <c r="G758" s="549">
        <v>0.23163005894400901</v>
      </c>
      <c r="H758" s="550">
        <v>1.5123062452625799E-2</v>
      </c>
      <c r="I758" s="551">
        <v>5.9602418810314797</v>
      </c>
      <c r="J758" s="551">
        <v>0.27377978285997001</v>
      </c>
      <c r="K758" s="551">
        <v>5.2018784305167598E-2</v>
      </c>
      <c r="L758" s="551">
        <v>1.46183541933789E-4</v>
      </c>
      <c r="M758" s="552">
        <v>5.4370842901510598E-2</v>
      </c>
    </row>
    <row r="759" spans="2:13" ht="15.75" x14ac:dyDescent="0.25">
      <c r="B759" s="555">
        <v>2032</v>
      </c>
      <c r="C759" s="556">
        <v>2007</v>
      </c>
      <c r="D759" s="557" t="s">
        <v>3657</v>
      </c>
      <c r="E759" s="547">
        <v>6.3581004921323583E-2</v>
      </c>
      <c r="F759" s="548">
        <v>0.13029375214523026</v>
      </c>
      <c r="G759" s="549">
        <v>0.17015932591834201</v>
      </c>
      <c r="H759" s="550">
        <v>1.5291442732612801E-2</v>
      </c>
      <c r="I759" s="551">
        <v>3.1142586218349502</v>
      </c>
      <c r="J759" s="551">
        <v>0.27389775787411602</v>
      </c>
      <c r="K759" s="551">
        <v>3.7806293852466297E-2</v>
      </c>
      <c r="L759" s="551">
        <v>1.4754828525364601E-4</v>
      </c>
      <c r="M759" s="552">
        <v>3.95157266975305E-2</v>
      </c>
    </row>
    <row r="760" spans="2:13" ht="15.75" x14ac:dyDescent="0.25">
      <c r="B760" s="555">
        <v>2032</v>
      </c>
      <c r="C760" s="556">
        <v>2008</v>
      </c>
      <c r="D760" s="557" t="s">
        <v>3658</v>
      </c>
      <c r="E760" s="547">
        <v>6.3813374115217036E-2</v>
      </c>
      <c r="F760" s="548">
        <v>0.13078804107299444</v>
      </c>
      <c r="G760" s="549">
        <v>0.17226461724279099</v>
      </c>
      <c r="H760" s="550">
        <v>1.2080103099368E-2</v>
      </c>
      <c r="I760" s="551">
        <v>3.1004949430317699</v>
      </c>
      <c r="J760" s="551">
        <v>0.19311954756222199</v>
      </c>
      <c r="K760" s="551">
        <v>3.80874225514269E-2</v>
      </c>
      <c r="L760" s="551">
        <v>1.7033267933696701E-4</v>
      </c>
      <c r="M760" s="552">
        <v>3.9809566788768E-2</v>
      </c>
    </row>
    <row r="761" spans="2:13" ht="15.75" x14ac:dyDescent="0.25">
      <c r="B761" s="555">
        <v>2032</v>
      </c>
      <c r="C761" s="556">
        <v>2009</v>
      </c>
      <c r="D761" s="557" t="s">
        <v>3659</v>
      </c>
      <c r="E761" s="547">
        <v>6.3805772837560781E-2</v>
      </c>
      <c r="F761" s="548">
        <v>0.12954456471132261</v>
      </c>
      <c r="G761" s="549">
        <v>0.17219703107654299</v>
      </c>
      <c r="H761" s="550">
        <v>8.4345380828708405E-3</v>
      </c>
      <c r="I761" s="551">
        <v>3.0978982199056602</v>
      </c>
      <c r="J761" s="551">
        <v>0.108433495170926</v>
      </c>
      <c r="K761" s="551">
        <v>3.8057966166207602E-2</v>
      </c>
      <c r="L761" s="551">
        <v>1.8672940988296999E-4</v>
      </c>
      <c r="M761" s="552">
        <v>3.97787785165198E-2</v>
      </c>
    </row>
    <row r="762" spans="2:13" ht="15.75" x14ac:dyDescent="0.25">
      <c r="B762" s="555">
        <v>2032</v>
      </c>
      <c r="C762" s="556">
        <v>2010</v>
      </c>
      <c r="D762" s="557" t="s">
        <v>3660</v>
      </c>
      <c r="E762" s="547">
        <v>6.3817801674460245E-2</v>
      </c>
      <c r="F762" s="548">
        <v>0.12845777002912948</v>
      </c>
      <c r="G762" s="549">
        <v>0.110241202832837</v>
      </c>
      <c r="H762" s="550">
        <v>8.2251688741634792E-3</v>
      </c>
      <c r="I762" s="551">
        <v>0.28341432712523401</v>
      </c>
      <c r="J762" s="551">
        <v>0.10741048010903601</v>
      </c>
      <c r="K762" s="551">
        <v>2.3356260944685899E-2</v>
      </c>
      <c r="L762" s="551">
        <v>2.22581097782961E-4</v>
      </c>
      <c r="M762" s="552">
        <v>2.4412327422731701E-2</v>
      </c>
    </row>
    <row r="763" spans="2:13" ht="15.75" x14ac:dyDescent="0.25">
      <c r="B763" s="555">
        <v>2032</v>
      </c>
      <c r="C763" s="556">
        <v>2011</v>
      </c>
      <c r="D763" s="557" t="s">
        <v>3661</v>
      </c>
      <c r="E763" s="547">
        <v>6.376320008367227E-2</v>
      </c>
      <c r="F763" s="548">
        <v>0.13013753464189648</v>
      </c>
      <c r="G763" s="549">
        <v>0.10964081702139</v>
      </c>
      <c r="H763" s="550">
        <v>8.51727104328894E-3</v>
      </c>
      <c r="I763" s="551">
        <v>0.281576530848757</v>
      </c>
      <c r="J763" s="551">
        <v>0.10821068573229101</v>
      </c>
      <c r="K763" s="551">
        <v>2.31584103208675E-2</v>
      </c>
      <c r="L763" s="551">
        <v>3.1420046859300001E-4</v>
      </c>
      <c r="M763" s="552">
        <v>2.4205530871653301E-2</v>
      </c>
    </row>
    <row r="764" spans="2:13" ht="15.75" x14ac:dyDescent="0.25">
      <c r="B764" s="555">
        <v>2032</v>
      </c>
      <c r="C764" s="556">
        <v>2012</v>
      </c>
      <c r="D764" s="557" t="s">
        <v>3662</v>
      </c>
      <c r="E764" s="547">
        <v>6.3876393876105067E-2</v>
      </c>
      <c r="F764" s="548">
        <v>0.13053803925313737</v>
      </c>
      <c r="G764" s="549">
        <v>0.110623874359494</v>
      </c>
      <c r="H764" s="550">
        <v>8.56980209577754E-3</v>
      </c>
      <c r="I764" s="551">
        <v>0.28178347015036798</v>
      </c>
      <c r="J764" s="551">
        <v>0.107981700519275</v>
      </c>
      <c r="K764" s="551">
        <v>2.30177619582781E-2</v>
      </c>
      <c r="L764" s="551">
        <v>4.6396823735442798E-4</v>
      </c>
      <c r="M764" s="552">
        <v>2.4058523014225501E-2</v>
      </c>
    </row>
    <row r="765" spans="2:13" ht="15.75" x14ac:dyDescent="0.25">
      <c r="B765" s="555">
        <v>2032</v>
      </c>
      <c r="C765" s="556">
        <v>2013</v>
      </c>
      <c r="D765" s="557" t="s">
        <v>3663</v>
      </c>
      <c r="E765" s="547">
        <v>6.3732079550649856E-2</v>
      </c>
      <c r="F765" s="548">
        <v>0.13054490310438233</v>
      </c>
      <c r="G765" s="549">
        <v>0.10892873859865</v>
      </c>
      <c r="H765" s="550">
        <v>8.5641579319163108E-3</v>
      </c>
      <c r="I765" s="551">
        <v>0.27777964686458301</v>
      </c>
      <c r="J765" s="551">
        <v>0.106790201161854</v>
      </c>
      <c r="K765" s="551">
        <v>2.2651928081763299E-2</v>
      </c>
      <c r="L765" s="551">
        <v>6.9516592578711795E-4</v>
      </c>
      <c r="M765" s="552">
        <v>2.36761477531785E-2</v>
      </c>
    </row>
    <row r="766" spans="2:13" ht="15.75" x14ac:dyDescent="0.25">
      <c r="B766" s="555">
        <v>2032</v>
      </c>
      <c r="C766" s="556">
        <v>2014</v>
      </c>
      <c r="D766" s="557" t="s">
        <v>3664</v>
      </c>
      <c r="E766" s="547">
        <v>6.2187537589393729E-2</v>
      </c>
      <c r="F766" s="548">
        <v>0.12840252779500111</v>
      </c>
      <c r="G766" s="549">
        <v>0.107723404788855</v>
      </c>
      <c r="H766" s="550">
        <v>8.4976980267361703E-3</v>
      </c>
      <c r="I766" s="551">
        <v>0.27404671293407501</v>
      </c>
      <c r="J766" s="551">
        <v>0.106159506500352</v>
      </c>
      <c r="K766" s="551">
        <v>2.2247793298157299E-2</v>
      </c>
      <c r="L766" s="551">
        <v>9.6460954507492395E-4</v>
      </c>
      <c r="M766" s="552">
        <v>2.3253739787979399E-2</v>
      </c>
    </row>
    <row r="767" spans="2:13" ht="15.75" x14ac:dyDescent="0.25">
      <c r="B767" s="555">
        <v>2032</v>
      </c>
      <c r="C767" s="556">
        <v>2015</v>
      </c>
      <c r="D767" s="557" t="s">
        <v>3665</v>
      </c>
      <c r="E767" s="547">
        <v>6.1659238848575118E-2</v>
      </c>
      <c r="F767" s="548">
        <v>0.12837160739048992</v>
      </c>
      <c r="G767" s="549">
        <v>0.106384567564074</v>
      </c>
      <c r="H767" s="550">
        <v>8.5789800807942098E-3</v>
      </c>
      <c r="I767" s="551">
        <v>0.26987001244560499</v>
      </c>
      <c r="J767" s="551">
        <v>0.10595047245995701</v>
      </c>
      <c r="K767" s="551">
        <v>2.1783230947442798E-2</v>
      </c>
      <c r="L767" s="551">
        <v>1.2335734845639601E-3</v>
      </c>
      <c r="M767" s="552">
        <v>2.2768171989230399E-2</v>
      </c>
    </row>
    <row r="768" spans="2:13" ht="15.75" x14ac:dyDescent="0.25">
      <c r="B768" s="555">
        <v>2032</v>
      </c>
      <c r="C768" s="556">
        <v>2016</v>
      </c>
      <c r="D768" s="557" t="s">
        <v>3666</v>
      </c>
      <c r="E768" s="547">
        <v>5.9653175948736196E-2</v>
      </c>
      <c r="F768" s="548">
        <v>0.12445286819398464</v>
      </c>
      <c r="G768" s="549">
        <v>0.10479357947441199</v>
      </c>
      <c r="H768" s="550">
        <v>7.7948123970278402E-3</v>
      </c>
      <c r="I768" s="551">
        <v>0.23230167072514199</v>
      </c>
      <c r="J768" s="551">
        <v>9.2206747008929002E-2</v>
      </c>
      <c r="K768" s="551">
        <v>2.1248340963719001E-2</v>
      </c>
      <c r="L768" s="551">
        <v>1.3883016382825299E-3</v>
      </c>
      <c r="M768" s="552">
        <v>2.22090966539818E-2</v>
      </c>
    </row>
    <row r="769" spans="2:13" ht="15.75" x14ac:dyDescent="0.25">
      <c r="B769" s="555">
        <v>2032</v>
      </c>
      <c r="C769" s="556">
        <v>2017</v>
      </c>
      <c r="D769" s="557" t="s">
        <v>3667</v>
      </c>
      <c r="E769" s="547">
        <v>5.6143964829089718E-2</v>
      </c>
      <c r="F769" s="548">
        <v>0.12055126701116971</v>
      </c>
      <c r="G769" s="549">
        <v>8.6845669485978105E-2</v>
      </c>
      <c r="H769" s="550">
        <v>6.9967034263976498E-3</v>
      </c>
      <c r="I769" s="551">
        <v>0.17830509943225301</v>
      </c>
      <c r="J769" s="551">
        <v>7.8883367425164497E-2</v>
      </c>
      <c r="K769" s="551">
        <v>1.96650652441945E-2</v>
      </c>
      <c r="L769" s="551">
        <v>1.44696679649304E-3</v>
      </c>
      <c r="M769" s="552">
        <v>2.0554232232102398E-2</v>
      </c>
    </row>
    <row r="770" spans="2:13" ht="15.75" x14ac:dyDescent="0.25">
      <c r="B770" s="555">
        <v>2032</v>
      </c>
      <c r="C770" s="556">
        <v>2018</v>
      </c>
      <c r="D770" s="557" t="s">
        <v>3668</v>
      </c>
      <c r="E770" s="547">
        <v>5.242468329747281E-2</v>
      </c>
      <c r="F770" s="548">
        <v>0.11538429736269269</v>
      </c>
      <c r="G770" s="549">
        <v>8.6024549526754299E-2</v>
      </c>
      <c r="H770" s="550">
        <v>6.2834873273695403E-3</v>
      </c>
      <c r="I770" s="551">
        <v>0.14307663272049101</v>
      </c>
      <c r="J770" s="551">
        <v>6.53858735263768E-2</v>
      </c>
      <c r="K770" s="551">
        <v>1.9094552455156899E-2</v>
      </c>
      <c r="L770" s="551">
        <v>1.5076150826863401E-3</v>
      </c>
      <c r="M770" s="552">
        <v>1.99579233863575E-2</v>
      </c>
    </row>
    <row r="771" spans="2:13" ht="15.75" x14ac:dyDescent="0.25">
      <c r="B771" s="555">
        <v>2032</v>
      </c>
      <c r="C771" s="556">
        <v>2019</v>
      </c>
      <c r="D771" s="557" t="s">
        <v>3669</v>
      </c>
      <c r="E771" s="547">
        <v>5.2407211721936478E-2</v>
      </c>
      <c r="F771" s="548">
        <v>0.11533863877065646</v>
      </c>
      <c r="G771" s="549">
        <v>8.5114817399429707E-2</v>
      </c>
      <c r="H771" s="550">
        <v>5.6835614490098703E-3</v>
      </c>
      <c r="I771" s="551">
        <v>0.120817780409154</v>
      </c>
      <c r="J771" s="551">
        <v>5.6458889550364003E-2</v>
      </c>
      <c r="K771" s="551">
        <v>1.84655219550428E-2</v>
      </c>
      <c r="L771" s="551">
        <v>1.5482449561285601E-3</v>
      </c>
      <c r="M771" s="552">
        <v>1.93004509183098E-2</v>
      </c>
    </row>
    <row r="772" spans="2:13" ht="15.75" x14ac:dyDescent="0.25">
      <c r="B772" s="555">
        <v>2032</v>
      </c>
      <c r="C772" s="556">
        <v>2020</v>
      </c>
      <c r="D772" s="557" t="s">
        <v>3670</v>
      </c>
      <c r="E772" s="547">
        <v>5.2389664817936048E-2</v>
      </c>
      <c r="F772" s="548">
        <v>0.11529300337452875</v>
      </c>
      <c r="G772" s="549">
        <v>8.4115814199781203E-2</v>
      </c>
      <c r="H772" s="550">
        <v>5.1082301452788801E-3</v>
      </c>
      <c r="I772" s="551">
        <v>9.8858587019738306E-2</v>
      </c>
      <c r="J772" s="551">
        <v>4.8132010913275403E-2</v>
      </c>
      <c r="K772" s="551">
        <v>1.77779219942059E-2</v>
      </c>
      <c r="L772" s="551">
        <v>1.54875828955572E-3</v>
      </c>
      <c r="M772" s="552">
        <v>1.8581760738423402E-2</v>
      </c>
    </row>
    <row r="773" spans="2:13" ht="15.75" x14ac:dyDescent="0.25">
      <c r="B773" s="555">
        <v>2032</v>
      </c>
      <c r="C773" s="556">
        <v>2021</v>
      </c>
      <c r="D773" s="557" t="s">
        <v>3671</v>
      </c>
      <c r="E773" s="547">
        <v>5.106276911262269E-2</v>
      </c>
      <c r="F773" s="548">
        <v>0.1123714868845013</v>
      </c>
      <c r="G773" s="549">
        <v>8.3028400010869904E-2</v>
      </c>
      <c r="H773" s="550">
        <v>4.5360801139829503E-3</v>
      </c>
      <c r="I773" s="551">
        <v>7.7921946995195904E-2</v>
      </c>
      <c r="J773" s="551">
        <v>3.9593379255899501E-2</v>
      </c>
      <c r="K773" s="551">
        <v>1.7031782429623801E-2</v>
      </c>
      <c r="L773" s="551">
        <v>1.5492926869271201E-3</v>
      </c>
      <c r="M773" s="552">
        <v>1.7801884053676199E-2</v>
      </c>
    </row>
    <row r="774" spans="2:13" ht="15.75" x14ac:dyDescent="0.25">
      <c r="B774" s="555">
        <v>2032</v>
      </c>
      <c r="C774" s="556">
        <v>2022</v>
      </c>
      <c r="D774" s="557" t="s">
        <v>3672</v>
      </c>
      <c r="E774" s="547">
        <v>4.9788798551377106E-2</v>
      </c>
      <c r="F774" s="548">
        <v>0.10956604510557669</v>
      </c>
      <c r="G774" s="549">
        <v>8.1850130761772902E-2</v>
      </c>
      <c r="H774" s="550">
        <v>3.9503165141814602E-3</v>
      </c>
      <c r="I774" s="551">
        <v>5.7416281433768097E-2</v>
      </c>
      <c r="J774" s="551">
        <v>3.1005946931141899E-2</v>
      </c>
      <c r="K774" s="551">
        <v>1.6226940026852099E-2</v>
      </c>
      <c r="L774" s="551">
        <v>1.5498260181749999E-3</v>
      </c>
      <c r="M774" s="552">
        <v>1.6960650248886398E-2</v>
      </c>
    </row>
    <row r="775" spans="2:13" ht="15.75" x14ac:dyDescent="0.25">
      <c r="B775" s="555">
        <v>2032</v>
      </c>
      <c r="C775" s="556">
        <v>2023</v>
      </c>
      <c r="D775" s="557" t="s">
        <v>3673</v>
      </c>
      <c r="E775" s="547">
        <v>4.8515412497133571E-2</v>
      </c>
      <c r="F775" s="548">
        <v>0.10676297504180658</v>
      </c>
      <c r="G775" s="549">
        <v>8.0582188533969604E-2</v>
      </c>
      <c r="H775" s="550">
        <v>3.9598979395281796E-3</v>
      </c>
      <c r="I775" s="551">
        <v>5.5675495245442803E-2</v>
      </c>
      <c r="J775" s="551">
        <v>3.02358484539916E-2</v>
      </c>
      <c r="K775" s="551">
        <v>1.53634419650304E-2</v>
      </c>
      <c r="L775" s="551">
        <v>1.55037182970341E-3</v>
      </c>
      <c r="M775" s="552">
        <v>1.6058108636425102E-2</v>
      </c>
    </row>
    <row r="776" spans="2:13" ht="15.75" x14ac:dyDescent="0.25">
      <c r="B776" s="555">
        <v>2032</v>
      </c>
      <c r="C776" s="556">
        <v>2024</v>
      </c>
      <c r="D776" s="557" t="s">
        <v>3674</v>
      </c>
      <c r="E776" s="547">
        <v>4.7294729021156084E-2</v>
      </c>
      <c r="F776" s="548">
        <v>0.10407458629302732</v>
      </c>
      <c r="G776" s="549">
        <v>7.9223006150450401E-2</v>
      </c>
      <c r="H776" s="550">
        <v>3.9322124588470897E-3</v>
      </c>
      <c r="I776" s="551">
        <v>5.3814722293943303E-2</v>
      </c>
      <c r="J776" s="551">
        <v>3.00846819261073E-2</v>
      </c>
      <c r="K776" s="551">
        <v>1.44411841747858E-2</v>
      </c>
      <c r="L776" s="551">
        <v>1.5509168142181101E-3</v>
      </c>
      <c r="M776" s="552">
        <v>1.5094150441363899E-2</v>
      </c>
    </row>
    <row r="777" spans="2:13" ht="15.75" x14ac:dyDescent="0.25">
      <c r="B777" s="555">
        <v>2032</v>
      </c>
      <c r="C777" s="556">
        <v>2025</v>
      </c>
      <c r="D777" s="557" t="s">
        <v>3675</v>
      </c>
      <c r="E777" s="547">
        <v>4.607440812714883E-2</v>
      </c>
      <c r="F777" s="548">
        <v>0.10138603529759806</v>
      </c>
      <c r="G777" s="549">
        <v>7.7773762892949599E-2</v>
      </c>
      <c r="H777" s="550">
        <v>3.86831252788744E-3</v>
      </c>
      <c r="I777" s="551">
        <v>5.18343081271131E-2</v>
      </c>
      <c r="J777" s="551">
        <v>2.8696358371179599E-2</v>
      </c>
      <c r="K777" s="551">
        <v>1.3460201260847999E-2</v>
      </c>
      <c r="L777" s="551">
        <v>1.5514752383254901E-3</v>
      </c>
      <c r="M777" s="552">
        <v>1.4068811833105099E-2</v>
      </c>
    </row>
    <row r="778" spans="2:13" ht="15.75" x14ac:dyDescent="0.25">
      <c r="B778" s="555">
        <v>2032</v>
      </c>
      <c r="C778" s="556">
        <v>2026</v>
      </c>
      <c r="D778" s="557" t="s">
        <v>3676</v>
      </c>
      <c r="E778" s="547">
        <v>4.4906473932302848E-2</v>
      </c>
      <c r="F778" s="548">
        <v>9.8812134984811825E-2</v>
      </c>
      <c r="G778" s="549">
        <v>7.62329109607668E-2</v>
      </c>
      <c r="H778" s="550">
        <v>3.7949826683454399E-3</v>
      </c>
      <c r="I778" s="551">
        <v>4.9739021356046402E-2</v>
      </c>
      <c r="J778" s="551">
        <v>2.8215590369364E-2</v>
      </c>
      <c r="K778" s="551">
        <v>1.2420390575097799E-2</v>
      </c>
      <c r="L778" s="551">
        <v>1.55203277442728E-3</v>
      </c>
      <c r="M778" s="552">
        <v>1.29819855222368E-2</v>
      </c>
    </row>
    <row r="779" spans="2:13" ht="15.75" x14ac:dyDescent="0.25">
      <c r="B779" s="555">
        <v>2032</v>
      </c>
      <c r="C779" s="556">
        <v>2027</v>
      </c>
      <c r="D779" s="557" t="s">
        <v>3677</v>
      </c>
      <c r="E779" s="547">
        <v>4.3790881834624373E-2</v>
      </c>
      <c r="F779" s="548">
        <v>9.635423305716688E-2</v>
      </c>
      <c r="G779" s="549">
        <v>7.4602585869392099E-2</v>
      </c>
      <c r="H779" s="550">
        <v>3.7818222882009199E-3</v>
      </c>
      <c r="I779" s="551">
        <v>4.7518538917142202E-2</v>
      </c>
      <c r="J779" s="551">
        <v>2.7400159758498899E-2</v>
      </c>
      <c r="K779" s="551">
        <v>1.13218261280082E-2</v>
      </c>
      <c r="L779" s="551">
        <v>1.5526165661786E-3</v>
      </c>
      <c r="M779" s="552">
        <v>1.1833748865657299E-2</v>
      </c>
    </row>
    <row r="780" spans="2:13" ht="15.75" x14ac:dyDescent="0.25">
      <c r="B780" s="555">
        <v>2032</v>
      </c>
      <c r="C780" s="556">
        <v>2028</v>
      </c>
      <c r="D780" s="557" t="s">
        <v>3678</v>
      </c>
      <c r="E780" s="547">
        <v>4.3771693736364713E-2</v>
      </c>
      <c r="F780" s="548">
        <v>9.6307613764287495E-2</v>
      </c>
      <c r="G780" s="549">
        <v>7.2879575654601098E-2</v>
      </c>
      <c r="H780" s="550">
        <v>3.9238747864166201E-3</v>
      </c>
      <c r="I780" s="551">
        <v>4.5177304137668697E-2</v>
      </c>
      <c r="J780" s="551">
        <v>2.7900766878568801E-2</v>
      </c>
      <c r="K780" s="551">
        <v>1.0164332763822099E-2</v>
      </c>
      <c r="L780" s="551">
        <v>1.5531928421878001E-3</v>
      </c>
      <c r="M780" s="552">
        <v>1.06239187878435E-2</v>
      </c>
    </row>
    <row r="781" spans="2:13" ht="15.75" x14ac:dyDescent="0.25">
      <c r="B781" s="555">
        <v>2032</v>
      </c>
      <c r="C781" s="556">
        <v>2029</v>
      </c>
      <c r="D781" s="557" t="s">
        <v>3679</v>
      </c>
      <c r="E781" s="547">
        <v>4.3750590797208597E-2</v>
      </c>
      <c r="F781" s="548">
        <v>9.6260344930488101E-2</v>
      </c>
      <c r="G781" s="549">
        <v>7.1064655964035703E-2</v>
      </c>
      <c r="H781" s="550">
        <v>4.3168956152416999E-3</v>
      </c>
      <c r="I781" s="551">
        <v>4.2715491444268797E-2</v>
      </c>
      <c r="J781" s="551">
        <v>2.9896539451457101E-2</v>
      </c>
      <c r="K781" s="551">
        <v>8.9479143067561599E-3</v>
      </c>
      <c r="L781" s="551">
        <v>1.5537720723385101E-3</v>
      </c>
      <c r="M781" s="552">
        <v>9.3524992859259897E-3</v>
      </c>
    </row>
    <row r="782" spans="2:13" ht="15.75" x14ac:dyDescent="0.25">
      <c r="B782" s="555">
        <v>2032</v>
      </c>
      <c r="C782" s="556">
        <v>2030</v>
      </c>
      <c r="D782" s="557" t="s">
        <v>3680</v>
      </c>
      <c r="E782" s="547">
        <v>4.3726649605943448E-2</v>
      </c>
      <c r="F782" s="548">
        <v>9.6209385040746123E-2</v>
      </c>
      <c r="G782" s="549">
        <v>6.9158547769647902E-2</v>
      </c>
      <c r="H782" s="550">
        <v>4.9775744371890699E-3</v>
      </c>
      <c r="I782" s="551">
        <v>4.0133261146508399E-2</v>
      </c>
      <c r="J782" s="551">
        <v>3.3103536255641899E-2</v>
      </c>
      <c r="K782" s="551">
        <v>7.67256886135713E-3</v>
      </c>
      <c r="L782" s="551">
        <v>1.55436653293831E-3</v>
      </c>
      <c r="M782" s="552">
        <v>8.01948837874762E-3</v>
      </c>
    </row>
    <row r="783" spans="2:13" ht="15.75" x14ac:dyDescent="0.25">
      <c r="B783" s="555">
        <v>2032</v>
      </c>
      <c r="C783" s="556">
        <v>2031</v>
      </c>
      <c r="D783" s="557" t="s">
        <v>3681</v>
      </c>
      <c r="E783" s="547">
        <v>4.3697609720185583E-2</v>
      </c>
      <c r="F783" s="548">
        <v>9.6143276818481574E-2</v>
      </c>
      <c r="G783" s="549">
        <v>6.7159114280492704E-2</v>
      </c>
      <c r="H783" s="550">
        <v>5.6457940882845802E-3</v>
      </c>
      <c r="I783" s="551">
        <v>3.7429865682640201E-2</v>
      </c>
      <c r="J783" s="551">
        <v>3.6636788517686002E-2</v>
      </c>
      <c r="K783" s="551">
        <v>6.3381916885129298E-3</v>
      </c>
      <c r="L783" s="551">
        <v>1.5549515668693201E-3</v>
      </c>
      <c r="M783" s="552">
        <v>6.6247765913584099E-3</v>
      </c>
    </row>
    <row r="784" spans="2:13" ht="15.75" x14ac:dyDescent="0.25">
      <c r="B784" s="555">
        <v>2032</v>
      </c>
      <c r="C784" s="556">
        <v>2032</v>
      </c>
      <c r="D784" s="557" t="s">
        <v>3682</v>
      </c>
      <c r="E784" s="547">
        <v>4.3657738290918936E-2</v>
      </c>
      <c r="F784" s="548">
        <v>9.6032865298373224E-2</v>
      </c>
      <c r="G784" s="549">
        <v>6.5067681384804205E-2</v>
      </c>
      <c r="H784" s="550">
        <v>5.4120460835475398E-3</v>
      </c>
      <c r="I784" s="551">
        <v>3.4605648775319499E-2</v>
      </c>
      <c r="J784" s="551">
        <v>3.4312494943764198E-2</v>
      </c>
      <c r="K784" s="551">
        <v>4.9447978460120199E-3</v>
      </c>
      <c r="L784" s="551">
        <v>1.55554745486931E-3</v>
      </c>
      <c r="M784" s="552">
        <v>5.16837966239322E-3</v>
      </c>
    </row>
    <row r="785" spans="2:13" ht="15.75" x14ac:dyDescent="0.25">
      <c r="B785" s="555">
        <v>2033</v>
      </c>
      <c r="C785" s="556">
        <v>1989</v>
      </c>
      <c r="D785" s="557" t="s">
        <v>3683</v>
      </c>
      <c r="E785" s="547">
        <v>6.3135829097618459E-2</v>
      </c>
      <c r="F785" s="548">
        <v>0.13424158824167609</v>
      </c>
      <c r="G785" s="549">
        <v>0.27573336391488401</v>
      </c>
      <c r="H785" s="550">
        <v>0.43388653387148801</v>
      </c>
      <c r="I785" s="551">
        <v>5.2776744868979</v>
      </c>
      <c r="J785" s="551">
        <v>1.6758339087354399</v>
      </c>
      <c r="K785" s="551">
        <v>0.18778477017944001</v>
      </c>
      <c r="L785" s="551">
        <v>1.4048479310480699E-2</v>
      </c>
      <c r="M785" s="552">
        <v>0.196275564204378</v>
      </c>
    </row>
    <row r="786" spans="2:13" ht="15.75" x14ac:dyDescent="0.25">
      <c r="B786" s="555">
        <v>2033</v>
      </c>
      <c r="C786" s="556">
        <v>1990</v>
      </c>
      <c r="D786" s="557" t="s">
        <v>3684</v>
      </c>
      <c r="E786" s="547">
        <v>6.3135825344653243E-2</v>
      </c>
      <c r="F786" s="548">
        <v>0.1350731928965295</v>
      </c>
      <c r="G786" s="549">
        <v>0.276114499480064</v>
      </c>
      <c r="H786" s="550">
        <v>0.43923426229566498</v>
      </c>
      <c r="I786" s="551">
        <v>5.2797046336048696</v>
      </c>
      <c r="J786" s="551">
        <v>1.6830048157741599</v>
      </c>
      <c r="K786" s="551">
        <v>0.18804433780483801</v>
      </c>
      <c r="L786" s="551">
        <v>1.43038820423683E-2</v>
      </c>
      <c r="M786" s="552">
        <v>0.196546868325982</v>
      </c>
    </row>
    <row r="787" spans="2:13" ht="15.75" x14ac:dyDescent="0.25">
      <c r="B787" s="555">
        <v>2033</v>
      </c>
      <c r="C787" s="556">
        <v>1991</v>
      </c>
      <c r="D787" s="557" t="s">
        <v>3685</v>
      </c>
      <c r="E787" s="547">
        <v>6.4073057029035735E-2</v>
      </c>
      <c r="F787" s="548">
        <v>0.13485753925461186</v>
      </c>
      <c r="G787" s="549">
        <v>0.36441736014263398</v>
      </c>
      <c r="H787" s="550">
        <v>0.48498560954131098</v>
      </c>
      <c r="I787" s="551">
        <v>9.2130374558602899</v>
      </c>
      <c r="J787" s="551">
        <v>2.9302783367214</v>
      </c>
      <c r="K787" s="551">
        <v>5.1646426772068599E-2</v>
      </c>
      <c r="L787" s="551">
        <v>7.7805690960520701E-3</v>
      </c>
      <c r="M787" s="552">
        <v>5.3981649013076997E-2</v>
      </c>
    </row>
    <row r="788" spans="2:13" ht="15.75" x14ac:dyDescent="0.25">
      <c r="B788" s="555">
        <v>2033</v>
      </c>
      <c r="C788" s="556">
        <v>1992</v>
      </c>
      <c r="D788" s="557" t="s">
        <v>3686</v>
      </c>
      <c r="E788" s="547">
        <v>6.4284834504787322E-2</v>
      </c>
      <c r="F788" s="548">
        <v>0.13565020737832553</v>
      </c>
      <c r="G788" s="549">
        <v>0.36715161841893301</v>
      </c>
      <c r="H788" s="550">
        <v>0.492092826841729</v>
      </c>
      <c r="I788" s="551">
        <v>9.1810212383587295</v>
      </c>
      <c r="J788" s="551">
        <v>2.9524995249621102</v>
      </c>
      <c r="K788" s="551">
        <v>5.2033934847390703E-2</v>
      </c>
      <c r="L788" s="551">
        <v>7.9275951881788397E-3</v>
      </c>
      <c r="M788" s="552">
        <v>5.4386678484023503E-2</v>
      </c>
    </row>
    <row r="789" spans="2:13" ht="15.75" x14ac:dyDescent="0.25">
      <c r="B789" s="555">
        <v>2033</v>
      </c>
      <c r="C789" s="556">
        <v>1993</v>
      </c>
      <c r="D789" s="557" t="s">
        <v>3687</v>
      </c>
      <c r="E789" s="547">
        <v>6.432892587664199E-2</v>
      </c>
      <c r="F789" s="548">
        <v>0.13493201037683425</v>
      </c>
      <c r="G789" s="549">
        <v>0.36801339516978998</v>
      </c>
      <c r="H789" s="550">
        <v>0.484282491268967</v>
      </c>
      <c r="I789" s="551">
        <v>9.1757018760878104</v>
      </c>
      <c r="J789" s="551">
        <v>2.9346384869531001</v>
      </c>
      <c r="K789" s="551">
        <v>5.2156068682726098E-2</v>
      </c>
      <c r="L789" s="551">
        <v>7.8314379736124408E-3</v>
      </c>
      <c r="M789" s="552">
        <v>5.4514334669431903E-2</v>
      </c>
    </row>
    <row r="790" spans="2:13" ht="15.75" x14ac:dyDescent="0.25">
      <c r="B790" s="555">
        <v>2033</v>
      </c>
      <c r="C790" s="556">
        <v>1994</v>
      </c>
      <c r="D790" s="557" t="s">
        <v>3688</v>
      </c>
      <c r="E790" s="547">
        <v>6.3989187535098663E-2</v>
      </c>
      <c r="F790" s="548">
        <v>0.13397214197868137</v>
      </c>
      <c r="G790" s="549">
        <v>0.36187403848363098</v>
      </c>
      <c r="H790" s="550">
        <v>0.47438096728507501</v>
      </c>
      <c r="I790" s="551">
        <v>9.2372420009251606</v>
      </c>
      <c r="J790" s="551">
        <v>2.91330591689379</v>
      </c>
      <c r="K790" s="551">
        <v>5.1816153605325398E-2</v>
      </c>
      <c r="L790" s="551">
        <v>7.6941983744176603E-3</v>
      </c>
      <c r="M790" s="552">
        <v>5.4159050140581998E-2</v>
      </c>
    </row>
    <row r="791" spans="2:13" ht="15.75" x14ac:dyDescent="0.25">
      <c r="B791" s="555">
        <v>2033</v>
      </c>
      <c r="C791" s="556">
        <v>1995</v>
      </c>
      <c r="D791" s="557" t="s">
        <v>3689</v>
      </c>
      <c r="E791" s="547">
        <v>6.4328588443958071E-2</v>
      </c>
      <c r="F791" s="548">
        <v>0.13310172439591855</v>
      </c>
      <c r="G791" s="549">
        <v>0.36606197623891201</v>
      </c>
      <c r="H791" s="550">
        <v>0.25325588365034202</v>
      </c>
      <c r="I791" s="551">
        <v>9.2119007264383601</v>
      </c>
      <c r="J791" s="551">
        <v>1.6628878923993999</v>
      </c>
      <c r="K791" s="551">
        <v>5.2415817584887198E-2</v>
      </c>
      <c r="L791" s="551">
        <v>5.0250476489865498E-3</v>
      </c>
      <c r="M791" s="552">
        <v>5.4785828264330101E-2</v>
      </c>
    </row>
    <row r="792" spans="2:13" ht="15.75" x14ac:dyDescent="0.25">
      <c r="B792" s="555">
        <v>2033</v>
      </c>
      <c r="C792" s="556">
        <v>1996</v>
      </c>
      <c r="D792" s="557" t="s">
        <v>3690</v>
      </c>
      <c r="E792" s="547">
        <v>6.4349267049557374E-2</v>
      </c>
      <c r="F792" s="548">
        <v>0.13152234751844608</v>
      </c>
      <c r="G792" s="549">
        <v>0.366381945436134</v>
      </c>
      <c r="H792" s="550">
        <v>2.2935584961650698E-2</v>
      </c>
      <c r="I792" s="551">
        <v>9.2075586307226995</v>
      </c>
      <c r="J792" s="551">
        <v>0.395752055603038</v>
      </c>
      <c r="K792" s="551">
        <v>5.2461633452589897E-2</v>
      </c>
      <c r="L792" s="551">
        <v>2.23546081299405E-3</v>
      </c>
      <c r="M792" s="552">
        <v>5.4833715722265398E-2</v>
      </c>
    </row>
    <row r="793" spans="2:13" ht="15.75" x14ac:dyDescent="0.25">
      <c r="B793" s="555">
        <v>2033</v>
      </c>
      <c r="C793" s="556">
        <v>1997</v>
      </c>
      <c r="D793" s="557" t="s">
        <v>3691</v>
      </c>
      <c r="E793" s="547">
        <v>6.4587546630248335E-2</v>
      </c>
      <c r="F793" s="548">
        <v>0.13014650848623571</v>
      </c>
      <c r="G793" s="549">
        <v>0.36916370135061199</v>
      </c>
      <c r="H793" s="550">
        <v>2.2309939528206198E-2</v>
      </c>
      <c r="I793" s="551">
        <v>9.1674559570421597</v>
      </c>
      <c r="J793" s="551">
        <v>0.39174066403964702</v>
      </c>
      <c r="K793" s="551">
        <v>5.2859948546872801E-2</v>
      </c>
      <c r="L793" s="551">
        <v>2.17702147118406E-3</v>
      </c>
      <c r="M793" s="552">
        <v>5.5250040857614702E-2</v>
      </c>
    </row>
    <row r="794" spans="2:13" ht="15.75" x14ac:dyDescent="0.25">
      <c r="B794" s="555">
        <v>2033</v>
      </c>
      <c r="C794" s="556">
        <v>1998</v>
      </c>
      <c r="D794" s="557" t="s">
        <v>3692</v>
      </c>
      <c r="E794" s="547">
        <v>6.438462144432873E-2</v>
      </c>
      <c r="F794" s="548">
        <v>0.13067842379733582</v>
      </c>
      <c r="G794" s="549">
        <v>0.367696755957715</v>
      </c>
      <c r="H794" s="550">
        <v>2.25462705211774E-2</v>
      </c>
      <c r="I794" s="551">
        <v>9.2047046967563606</v>
      </c>
      <c r="J794" s="551">
        <v>0.39346505637257501</v>
      </c>
      <c r="K794" s="551">
        <v>5.2649899027632598E-2</v>
      </c>
      <c r="L794" s="551">
        <v>2.2040144238007599E-3</v>
      </c>
      <c r="M794" s="552">
        <v>5.5030493831195397E-2</v>
      </c>
    </row>
    <row r="795" spans="2:13" ht="15.75" x14ac:dyDescent="0.25">
      <c r="B795" s="555">
        <v>2033</v>
      </c>
      <c r="C795" s="556">
        <v>1999</v>
      </c>
      <c r="D795" s="557" t="s">
        <v>3693</v>
      </c>
      <c r="E795" s="547">
        <v>6.4306871205649985E-2</v>
      </c>
      <c r="F795" s="548">
        <v>0.13050635526862822</v>
      </c>
      <c r="G795" s="549">
        <v>0.36703416521904703</v>
      </c>
      <c r="H795" s="550">
        <v>2.2522689327253102E-2</v>
      </c>
      <c r="I795" s="551">
        <v>9.2067095681734799</v>
      </c>
      <c r="J795" s="551">
        <v>0.39350994750017498</v>
      </c>
      <c r="K795" s="551">
        <v>5.2555023739987897E-2</v>
      </c>
      <c r="L795" s="551">
        <v>2.1973706269113901E-3</v>
      </c>
      <c r="M795" s="552">
        <v>5.4931328704046302E-2</v>
      </c>
    </row>
    <row r="796" spans="2:13" ht="15.75" x14ac:dyDescent="0.25">
      <c r="B796" s="555">
        <v>2033</v>
      </c>
      <c r="C796" s="556">
        <v>2000</v>
      </c>
      <c r="D796" s="557" t="s">
        <v>3694</v>
      </c>
      <c r="E796" s="547">
        <v>6.4058340527573782E-2</v>
      </c>
      <c r="F796" s="548">
        <v>0.13094725901114995</v>
      </c>
      <c r="G796" s="549">
        <v>0.36465295544047599</v>
      </c>
      <c r="H796" s="550">
        <v>2.2720657564344E-2</v>
      </c>
      <c r="I796" s="551">
        <v>9.2366783087050894</v>
      </c>
      <c r="J796" s="551">
        <v>0.39547922365611998</v>
      </c>
      <c r="K796" s="551">
        <v>5.2214062193893102E-2</v>
      </c>
      <c r="L796" s="551">
        <v>2.2203086735887601E-3</v>
      </c>
      <c r="M796" s="552">
        <v>5.4574950389831497E-2</v>
      </c>
    </row>
    <row r="797" spans="2:13" ht="15.75" x14ac:dyDescent="0.25">
      <c r="B797" s="555">
        <v>2033</v>
      </c>
      <c r="C797" s="556">
        <v>2001</v>
      </c>
      <c r="D797" s="557" t="s">
        <v>3695</v>
      </c>
      <c r="E797" s="547">
        <v>6.4274002058214832E-2</v>
      </c>
      <c r="F797" s="548">
        <v>0.13111881283155272</v>
      </c>
      <c r="G797" s="549">
        <v>0.36719372537045802</v>
      </c>
      <c r="H797" s="550">
        <v>2.2819838028517898E-2</v>
      </c>
      <c r="I797" s="551">
        <v>9.2024101374195002</v>
      </c>
      <c r="J797" s="551">
        <v>0.39691802446421598</v>
      </c>
      <c r="K797" s="551">
        <v>5.2577870897936703E-2</v>
      </c>
      <c r="L797" s="551">
        <v>2.2327309686650601E-3</v>
      </c>
      <c r="M797" s="552">
        <v>5.4955208909094798E-2</v>
      </c>
    </row>
    <row r="798" spans="2:13" ht="15.75" x14ac:dyDescent="0.25">
      <c r="B798" s="555">
        <v>2033</v>
      </c>
      <c r="C798" s="556">
        <v>2002</v>
      </c>
      <c r="D798" s="557" t="s">
        <v>3696</v>
      </c>
      <c r="E798" s="547">
        <v>6.4113143431069775E-2</v>
      </c>
      <c r="F798" s="548">
        <v>0.1309584258500639</v>
      </c>
      <c r="G798" s="549">
        <v>0.28377186722224301</v>
      </c>
      <c r="H798" s="550">
        <v>2.2772796426046502E-2</v>
      </c>
      <c r="I798" s="551">
        <v>7.0999285305362401</v>
      </c>
      <c r="J798" s="551">
        <v>0.31948217895383701</v>
      </c>
      <c r="K798" s="551">
        <v>5.2894482218946201E-2</v>
      </c>
      <c r="L798" s="551">
        <v>2.23025565461116E-3</v>
      </c>
      <c r="M798" s="552">
        <v>5.5286135989098401E-2</v>
      </c>
    </row>
    <row r="799" spans="2:13" ht="15.75" x14ac:dyDescent="0.25">
      <c r="B799" s="555">
        <v>2033</v>
      </c>
      <c r="C799" s="556">
        <v>2003</v>
      </c>
      <c r="D799" s="557" t="s">
        <v>3697</v>
      </c>
      <c r="E799" s="547">
        <v>6.381251902730338E-2</v>
      </c>
      <c r="F799" s="548">
        <v>0.13037084724613932</v>
      </c>
      <c r="G799" s="549">
        <v>0.28153949244500298</v>
      </c>
      <c r="H799" s="550">
        <v>2.2530393855938202E-2</v>
      </c>
      <c r="I799" s="551">
        <v>7.1276380899002598</v>
      </c>
      <c r="J799" s="551">
        <v>0.31937661397098699</v>
      </c>
      <c r="K799" s="551">
        <v>5.2478372232016998E-2</v>
      </c>
      <c r="L799" s="551">
        <v>2.2069969945230999E-3</v>
      </c>
      <c r="M799" s="552">
        <v>5.4851211355020899E-2</v>
      </c>
    </row>
    <row r="800" spans="2:13" ht="15.75" x14ac:dyDescent="0.25">
      <c r="B800" s="555">
        <v>2033</v>
      </c>
      <c r="C800" s="556">
        <v>2004</v>
      </c>
      <c r="D800" s="557" t="s">
        <v>3698</v>
      </c>
      <c r="E800" s="547">
        <v>6.358438447179271E-2</v>
      </c>
      <c r="F800" s="548">
        <v>0.12935055293177367</v>
      </c>
      <c r="G800" s="549">
        <v>0.232365299382256</v>
      </c>
      <c r="H800" s="550">
        <v>1.4762761372045E-2</v>
      </c>
      <c r="I800" s="551">
        <v>5.9616082501350798</v>
      </c>
      <c r="J800" s="551">
        <v>0.27026064897140001</v>
      </c>
      <c r="K800" s="551">
        <v>5.2183902398838099E-2</v>
      </c>
      <c r="L800" s="551">
        <v>1.4361650597136699E-4</v>
      </c>
      <c r="M800" s="552">
        <v>5.4543426902676197E-2</v>
      </c>
    </row>
    <row r="801" spans="2:13" ht="15.75" x14ac:dyDescent="0.25">
      <c r="B801" s="555">
        <v>2033</v>
      </c>
      <c r="C801" s="556">
        <v>2005</v>
      </c>
      <c r="D801" s="557" t="s">
        <v>3699</v>
      </c>
      <c r="E801" s="547">
        <v>6.3628661927235736E-2</v>
      </c>
      <c r="F801" s="548">
        <v>0.12972062228550388</v>
      </c>
      <c r="G801" s="549">
        <v>0.23272757063829599</v>
      </c>
      <c r="H801" s="550">
        <v>1.49687134644269E-2</v>
      </c>
      <c r="I801" s="551">
        <v>5.9516173191046597</v>
      </c>
      <c r="J801" s="551">
        <v>0.27212769086120497</v>
      </c>
      <c r="K801" s="551">
        <v>5.2265260191578101E-2</v>
      </c>
      <c r="L801" s="551">
        <v>1.45037037603651E-4</v>
      </c>
      <c r="M801" s="552">
        <v>5.4628463333784003E-2</v>
      </c>
    </row>
    <row r="802" spans="2:13" ht="15.75" x14ac:dyDescent="0.25">
      <c r="B802" s="555">
        <v>2033</v>
      </c>
      <c r="C802" s="556">
        <v>2006</v>
      </c>
      <c r="D802" s="557" t="s">
        <v>3700</v>
      </c>
      <c r="E802" s="547">
        <v>6.3457237811105377E-2</v>
      </c>
      <c r="F802" s="548">
        <v>0.13002848343030896</v>
      </c>
      <c r="G802" s="549">
        <v>0.23164148624157699</v>
      </c>
      <c r="H802" s="550">
        <v>1.51246346468242E-2</v>
      </c>
      <c r="I802" s="551">
        <v>5.9601788023491897</v>
      </c>
      <c r="J802" s="551">
        <v>0.27378874159277999</v>
      </c>
      <c r="K802" s="551">
        <v>5.2021350613401199E-2</v>
      </c>
      <c r="L802" s="551">
        <v>1.4619858911546301E-4</v>
      </c>
      <c r="M802" s="552">
        <v>5.43735252468147E-2</v>
      </c>
    </row>
    <row r="803" spans="2:13" ht="15.75" x14ac:dyDescent="0.25">
      <c r="B803" s="555">
        <v>2033</v>
      </c>
      <c r="C803" s="556">
        <v>2007</v>
      </c>
      <c r="D803" s="557" t="s">
        <v>3701</v>
      </c>
      <c r="E803" s="547">
        <v>6.3615474113642836E-2</v>
      </c>
      <c r="F803" s="548">
        <v>0.1303825131852871</v>
      </c>
      <c r="G803" s="549">
        <v>0.17016831750494199</v>
      </c>
      <c r="H803" s="550">
        <v>1.52928670696168E-2</v>
      </c>
      <c r="I803" s="551">
        <v>3.1142551640215399</v>
      </c>
      <c r="J803" s="551">
        <v>0.27390619903689001</v>
      </c>
      <c r="K803" s="551">
        <v>3.78075176695419E-2</v>
      </c>
      <c r="L803" s="551">
        <v>1.4756192738090299E-4</v>
      </c>
      <c r="M803" s="552">
        <v>3.9517005850183598E-2</v>
      </c>
    </row>
    <row r="804" spans="2:13" ht="15.75" x14ac:dyDescent="0.25">
      <c r="B804" s="555">
        <v>2033</v>
      </c>
      <c r="C804" s="556">
        <v>2008</v>
      </c>
      <c r="D804" s="557" t="s">
        <v>3702</v>
      </c>
      <c r="E804" s="547">
        <v>6.3847580603652823E-2</v>
      </c>
      <c r="F804" s="548">
        <v>0.13087569455610945</v>
      </c>
      <c r="G804" s="549">
        <v>0.17227392830889399</v>
      </c>
      <c r="H804" s="550">
        <v>1.2081229482067499E-2</v>
      </c>
      <c r="I804" s="551">
        <v>3.1004845932102301</v>
      </c>
      <c r="J804" s="551">
        <v>0.19312490669897001</v>
      </c>
      <c r="K804" s="551">
        <v>3.8088680366924699E-2</v>
      </c>
      <c r="L804" s="551">
        <v>1.70348219747483E-4</v>
      </c>
      <c r="M804" s="552">
        <v>3.9810881477101198E-2</v>
      </c>
    </row>
    <row r="805" spans="2:13" ht="15.75" x14ac:dyDescent="0.25">
      <c r="B805" s="555">
        <v>2033</v>
      </c>
      <c r="C805" s="556">
        <v>2009</v>
      </c>
      <c r="D805" s="557" t="s">
        <v>3703</v>
      </c>
      <c r="E805" s="547">
        <v>6.383954902103961E-2</v>
      </c>
      <c r="F805" s="548">
        <v>0.12963283578171658</v>
      </c>
      <c r="G805" s="549">
        <v>0.17241309658401399</v>
      </c>
      <c r="H805" s="550">
        <v>8.4715450522093692E-3</v>
      </c>
      <c r="I805" s="551">
        <v>3.0984566392006601</v>
      </c>
      <c r="J805" s="551">
        <v>0.108938559025369</v>
      </c>
      <c r="K805" s="551">
        <v>3.8107376421423297E-2</v>
      </c>
      <c r="L805" s="551">
        <v>1.8675430634369501E-4</v>
      </c>
      <c r="M805" s="552">
        <v>3.9830422884221603E-2</v>
      </c>
    </row>
    <row r="806" spans="2:13" ht="15.75" x14ac:dyDescent="0.25">
      <c r="B806" s="555">
        <v>2033</v>
      </c>
      <c r="C806" s="556">
        <v>2010</v>
      </c>
      <c r="D806" s="557" t="s">
        <v>3704</v>
      </c>
      <c r="E806" s="547">
        <v>6.3851176874441098E-2</v>
      </c>
      <c r="F806" s="548">
        <v>0.12854484136772851</v>
      </c>
      <c r="G806" s="549">
        <v>0.110449166041459</v>
      </c>
      <c r="H806" s="550">
        <v>8.2648073116975591E-3</v>
      </c>
      <c r="I806" s="551">
        <v>0.28431343227223999</v>
      </c>
      <c r="J806" s="551">
        <v>0.108368716057982</v>
      </c>
      <c r="K806" s="551">
        <v>2.3469511232903601E-2</v>
      </c>
      <c r="L806" s="551">
        <v>2.2260697802338201E-4</v>
      </c>
      <c r="M806" s="552">
        <v>2.4530698386441799E-2</v>
      </c>
    </row>
    <row r="807" spans="2:13" ht="15.75" x14ac:dyDescent="0.25">
      <c r="B807" s="555">
        <v>2033</v>
      </c>
      <c r="C807" s="556">
        <v>2011</v>
      </c>
      <c r="D807" s="557" t="s">
        <v>3705</v>
      </c>
      <c r="E807" s="547">
        <v>6.3796297043905478E-2</v>
      </c>
      <c r="F807" s="548">
        <v>0.13022239526933241</v>
      </c>
      <c r="G807" s="549">
        <v>0.10995652345540401</v>
      </c>
      <c r="H807" s="550">
        <v>8.5674375346391704E-3</v>
      </c>
      <c r="I807" s="551">
        <v>0.28295937565511498</v>
      </c>
      <c r="J807" s="551">
        <v>0.109455390029885</v>
      </c>
      <c r="K807" s="551">
        <v>2.3333380630482702E-2</v>
      </c>
      <c r="L807" s="551">
        <v>3.1423126883916598E-4</v>
      </c>
      <c r="M807" s="552">
        <v>2.4388412562250099E-2</v>
      </c>
    </row>
    <row r="808" spans="2:13" ht="15.75" x14ac:dyDescent="0.25">
      <c r="B808" s="555">
        <v>2033</v>
      </c>
      <c r="C808" s="556">
        <v>2012</v>
      </c>
      <c r="D808" s="557" t="s">
        <v>3706</v>
      </c>
      <c r="E808" s="547">
        <v>6.3909016612606728E-2</v>
      </c>
      <c r="F808" s="548">
        <v>0.13062346449356677</v>
      </c>
      <c r="G808" s="549">
        <v>0.11105156980946</v>
      </c>
      <c r="H808" s="550">
        <v>8.6267950165982293E-3</v>
      </c>
      <c r="I808" s="551">
        <v>0.28366277243067101</v>
      </c>
      <c r="J808" s="551">
        <v>0.109378919447019</v>
      </c>
      <c r="K808" s="551">
        <v>2.3255422086307299E-2</v>
      </c>
      <c r="L808" s="551">
        <v>4.6402638153701398E-4</v>
      </c>
      <c r="M808" s="552">
        <v>2.4306929078643E-2</v>
      </c>
    </row>
    <row r="809" spans="2:13" ht="15.75" x14ac:dyDescent="0.25">
      <c r="B809" s="555">
        <v>2033</v>
      </c>
      <c r="C809" s="556">
        <v>2013</v>
      </c>
      <c r="D809" s="557" t="s">
        <v>3707</v>
      </c>
      <c r="E809" s="547">
        <v>6.3764570075531588E-2</v>
      </c>
      <c r="F809" s="548">
        <v>0.13062891259723006</v>
      </c>
      <c r="G809" s="549">
        <v>0.109460423547017</v>
      </c>
      <c r="H809" s="550">
        <v>8.6312547441304097E-3</v>
      </c>
      <c r="I809" s="551">
        <v>0.28013375581704397</v>
      </c>
      <c r="J809" s="551">
        <v>0.108278571461082</v>
      </c>
      <c r="K809" s="551">
        <v>2.29507870699233E-2</v>
      </c>
      <c r="L809" s="551">
        <v>6.9524170038762602E-4</v>
      </c>
      <c r="M809" s="552">
        <v>2.3988519818615901E-2</v>
      </c>
    </row>
    <row r="810" spans="2:13" ht="15.75" x14ac:dyDescent="0.25">
      <c r="B810" s="555">
        <v>2033</v>
      </c>
      <c r="C810" s="556">
        <v>2014</v>
      </c>
      <c r="D810" s="557" t="s">
        <v>3708</v>
      </c>
      <c r="E810" s="547">
        <v>6.2219100134112873E-2</v>
      </c>
      <c r="F810" s="548">
        <v>0.12848399873865274</v>
      </c>
      <c r="G810" s="549">
        <v>0.10835923760895599</v>
      </c>
      <c r="H810" s="550">
        <v>8.5753856136640307E-3</v>
      </c>
      <c r="I810" s="551">
        <v>0.27687579196220602</v>
      </c>
      <c r="J810" s="551">
        <v>0.107772530285905</v>
      </c>
      <c r="K810" s="551">
        <v>2.26077604166047E-2</v>
      </c>
      <c r="L810" s="551">
        <v>9.6468686173078804E-4</v>
      </c>
      <c r="M810" s="552">
        <v>2.3629983022192502E-2</v>
      </c>
    </row>
    <row r="811" spans="2:13" ht="15.75" x14ac:dyDescent="0.25">
      <c r="B811" s="555">
        <v>2033</v>
      </c>
      <c r="C811" s="556">
        <v>2015</v>
      </c>
      <c r="D811" s="557" t="s">
        <v>3709</v>
      </c>
      <c r="E811" s="547">
        <v>6.1690199696200217E-2</v>
      </c>
      <c r="F811" s="548">
        <v>0.12845197245748025</v>
      </c>
      <c r="G811" s="549">
        <v>0.107122210586806</v>
      </c>
      <c r="H811" s="550">
        <v>8.6654390727053596E-3</v>
      </c>
      <c r="I811" s="551">
        <v>0.27316960750319202</v>
      </c>
      <c r="J811" s="551">
        <v>0.10773727202486701</v>
      </c>
      <c r="K811" s="551">
        <v>2.22039870392137E-2</v>
      </c>
      <c r="L811" s="551">
        <v>1.23366019452909E-3</v>
      </c>
      <c r="M811" s="552">
        <v>2.3207952804393799E-2</v>
      </c>
    </row>
    <row r="812" spans="2:13" ht="15.75" x14ac:dyDescent="0.25">
      <c r="B812" s="555">
        <v>2033</v>
      </c>
      <c r="C812" s="556">
        <v>2016</v>
      </c>
      <c r="D812" s="557" t="s">
        <v>3710</v>
      </c>
      <c r="E812" s="547">
        <v>5.9683087831381557E-2</v>
      </c>
      <c r="F812" s="548">
        <v>0.12453257267470955</v>
      </c>
      <c r="G812" s="549">
        <v>0.10563347321552199</v>
      </c>
      <c r="H812" s="550">
        <v>7.8753421423078101E-3</v>
      </c>
      <c r="I812" s="551">
        <v>0.23560483153082801</v>
      </c>
      <c r="J812" s="551">
        <v>9.3912911038421906E-2</v>
      </c>
      <c r="K812" s="551">
        <v>2.1729616618658201E-2</v>
      </c>
      <c r="L812" s="551">
        <v>1.3884333667538299E-3</v>
      </c>
      <c r="M812" s="552">
        <v>2.27121334584083E-2</v>
      </c>
    </row>
    <row r="813" spans="2:13" ht="15.75" x14ac:dyDescent="0.25">
      <c r="B813" s="555">
        <v>2033</v>
      </c>
      <c r="C813" s="556">
        <v>2017</v>
      </c>
      <c r="D813" s="557" t="s">
        <v>3711</v>
      </c>
      <c r="E813" s="547">
        <v>5.6174214084308831E-2</v>
      </c>
      <c r="F813" s="548">
        <v>0.1206293255677154</v>
      </c>
      <c r="G813" s="549">
        <v>8.7641900636536596E-2</v>
      </c>
      <c r="H813" s="550">
        <v>7.0636723195461101E-3</v>
      </c>
      <c r="I813" s="551">
        <v>0.18121449469898299</v>
      </c>
      <c r="J813" s="551">
        <v>8.0407024203206307E-2</v>
      </c>
      <c r="K813" s="551">
        <v>2.0180756914732E-2</v>
      </c>
      <c r="L813" s="551">
        <v>1.4470725255192E-3</v>
      </c>
      <c r="M813" s="552">
        <v>2.1093241191633701E-2</v>
      </c>
    </row>
    <row r="814" spans="2:13" ht="15.75" x14ac:dyDescent="0.25">
      <c r="B814" s="555">
        <v>2033</v>
      </c>
      <c r="C814" s="556">
        <v>2018</v>
      </c>
      <c r="D814" s="557" t="s">
        <v>3712</v>
      </c>
      <c r="E814" s="547">
        <v>5.2452857455997405E-2</v>
      </c>
      <c r="F814" s="548">
        <v>0.11545886309349558</v>
      </c>
      <c r="G814" s="549">
        <v>8.6910125948075997E-2</v>
      </c>
      <c r="H814" s="550">
        <v>6.33320215493748E-3</v>
      </c>
      <c r="I814" s="551">
        <v>0.14572247813023501</v>
      </c>
      <c r="J814" s="551">
        <v>6.6607761995546799E-2</v>
      </c>
      <c r="K814" s="551">
        <v>1.9668710838409799E-2</v>
      </c>
      <c r="L814" s="551">
        <v>1.5077252600786499E-3</v>
      </c>
      <c r="M814" s="552">
        <v>2.0558042663911001E-2</v>
      </c>
    </row>
    <row r="815" spans="2:13" ht="15.75" x14ac:dyDescent="0.25">
      <c r="B815" s="555">
        <v>2033</v>
      </c>
      <c r="C815" s="556">
        <v>2019</v>
      </c>
      <c r="D815" s="557" t="s">
        <v>3713</v>
      </c>
      <c r="E815" s="547">
        <v>5.2435353145712384E-2</v>
      </c>
      <c r="F815" s="548">
        <v>0.11541269513289765</v>
      </c>
      <c r="G815" s="549">
        <v>8.6089856522298905E-2</v>
      </c>
      <c r="H815" s="550">
        <v>5.70887885424445E-3</v>
      </c>
      <c r="I815" s="551">
        <v>0.12332952391027199</v>
      </c>
      <c r="J815" s="551">
        <v>5.73575637609956E-2</v>
      </c>
      <c r="K815" s="551">
        <v>1.9098165837932401E-2</v>
      </c>
      <c r="L815" s="551">
        <v>1.54835817161469E-3</v>
      </c>
      <c r="M815" s="552">
        <v>1.9961700150267998E-2</v>
      </c>
    </row>
    <row r="816" spans="2:13" ht="15.75" x14ac:dyDescent="0.25">
      <c r="B816" s="555">
        <v>2033</v>
      </c>
      <c r="C816" s="556">
        <v>2020</v>
      </c>
      <c r="D816" s="557" t="s">
        <v>3714</v>
      </c>
      <c r="E816" s="547">
        <v>5.2417826615308007E-2</v>
      </c>
      <c r="F816" s="548">
        <v>0.115366678344883</v>
      </c>
      <c r="G816" s="549">
        <v>8.5180429323909901E-2</v>
      </c>
      <c r="H816" s="550">
        <v>5.1072788533773096E-3</v>
      </c>
      <c r="I816" s="551">
        <v>0.10115497293619501</v>
      </c>
      <c r="J816" s="551">
        <v>4.8750154480680798E-2</v>
      </c>
      <c r="K816" s="551">
        <v>1.8469069935989901E-2</v>
      </c>
      <c r="L816" s="551">
        <v>1.54887163116634E-3</v>
      </c>
      <c r="M816" s="552">
        <v>1.9304159323211299E-2</v>
      </c>
    </row>
    <row r="817" spans="2:13" ht="15.75" x14ac:dyDescent="0.25">
      <c r="B817" s="555">
        <v>2033</v>
      </c>
      <c r="C817" s="556">
        <v>2021</v>
      </c>
      <c r="D817" s="557" t="s">
        <v>3715</v>
      </c>
      <c r="E817" s="547">
        <v>5.1090308963231787E-2</v>
      </c>
      <c r="F817" s="548">
        <v>0.11244340613453099</v>
      </c>
      <c r="G817" s="549">
        <v>8.4182724662866804E-2</v>
      </c>
      <c r="H817" s="550">
        <v>4.5222755676513401E-3</v>
      </c>
      <c r="I817" s="551">
        <v>7.9935122758164806E-2</v>
      </c>
      <c r="J817" s="551">
        <v>4.0055596071583703E-2</v>
      </c>
      <c r="K817" s="551">
        <v>1.7781456423530601E-2</v>
      </c>
      <c r="L817" s="551">
        <v>1.54940619791323E-3</v>
      </c>
      <c r="M817" s="552">
        <v>1.8585454978958402E-2</v>
      </c>
    </row>
    <row r="818" spans="2:13" ht="15.75" x14ac:dyDescent="0.25">
      <c r="B818" s="555">
        <v>2033</v>
      </c>
      <c r="C818" s="556">
        <v>2022</v>
      </c>
      <c r="D818" s="557" t="s">
        <v>3716</v>
      </c>
      <c r="E818" s="547">
        <v>4.98158130300397E-2</v>
      </c>
      <c r="F818" s="548">
        <v>0.1096368615805081</v>
      </c>
      <c r="G818" s="549">
        <v>8.3094269297923004E-2</v>
      </c>
      <c r="H818" s="550">
        <v>3.9420200208577297E-3</v>
      </c>
      <c r="I818" s="551">
        <v>5.9060641304589899E-2</v>
      </c>
      <c r="J818" s="551">
        <v>3.1474480718377697E-2</v>
      </c>
      <c r="K818" s="551">
        <v>1.7035157087120702E-2</v>
      </c>
      <c r="L818" s="551">
        <v>1.54993971159658E-3</v>
      </c>
      <c r="M818" s="552">
        <v>1.78054112982103E-2</v>
      </c>
    </row>
    <row r="819" spans="2:13" ht="15.75" x14ac:dyDescent="0.25">
      <c r="B819" s="555">
        <v>2033</v>
      </c>
      <c r="C819" s="556">
        <v>2023</v>
      </c>
      <c r="D819" s="557" t="s">
        <v>3717</v>
      </c>
      <c r="E819" s="547">
        <v>4.8541981959937995E-2</v>
      </c>
      <c r="F819" s="548">
        <v>0.10683341144043965</v>
      </c>
      <c r="G819" s="549">
        <v>8.1916267750781493E-2</v>
      </c>
      <c r="H819" s="550">
        <v>3.9744643221553601E-3</v>
      </c>
      <c r="I819" s="551">
        <v>5.74390428666482E-2</v>
      </c>
      <c r="J819" s="551">
        <v>3.08621784118778E-2</v>
      </c>
      <c r="K819" s="551">
        <v>1.62302232090227E-2</v>
      </c>
      <c r="L819" s="551">
        <v>1.5504857252587999E-3</v>
      </c>
      <c r="M819" s="552">
        <v>1.69640818819859E-2</v>
      </c>
    </row>
    <row r="820" spans="2:13" ht="15.75" x14ac:dyDescent="0.25">
      <c r="B820" s="555">
        <v>2033</v>
      </c>
      <c r="C820" s="556">
        <v>2024</v>
      </c>
      <c r="D820" s="557" t="s">
        <v>3718</v>
      </c>
      <c r="E820" s="547">
        <v>4.7320975949809302E-2</v>
      </c>
      <c r="F820" s="548">
        <v>0.10414522409855656</v>
      </c>
      <c r="G820" s="549">
        <v>8.0647129248338806E-2</v>
      </c>
      <c r="H820" s="550">
        <v>3.9849979973360797E-3</v>
      </c>
      <c r="I820" s="551">
        <v>5.5697526186782399E-2</v>
      </c>
      <c r="J820" s="551">
        <v>3.1028844206785301E-2</v>
      </c>
      <c r="K820" s="551">
        <v>1.53665471284262E-2</v>
      </c>
      <c r="L820" s="551">
        <v>1.5510308881574199E-3</v>
      </c>
      <c r="M820" s="552">
        <v>1.6061354201530698E-2</v>
      </c>
    </row>
    <row r="821" spans="2:13" ht="15.75" x14ac:dyDescent="0.25">
      <c r="B821" s="555">
        <v>2033</v>
      </c>
      <c r="C821" s="556">
        <v>2025</v>
      </c>
      <c r="D821" s="557" t="s">
        <v>3719</v>
      </c>
      <c r="E821" s="547">
        <v>4.6100451311307536E-2</v>
      </c>
      <c r="F821" s="548">
        <v>0.10145707878160018</v>
      </c>
      <c r="G821" s="549">
        <v>7.9288063833356598E-2</v>
      </c>
      <c r="H821" s="550">
        <v>3.9582003315256596E-3</v>
      </c>
      <c r="I821" s="551">
        <v>5.38364560175211E-2</v>
      </c>
      <c r="J821" s="551">
        <v>2.98486164837325E-2</v>
      </c>
      <c r="K821" s="551">
        <v>1.44441683251854E-2</v>
      </c>
      <c r="L821" s="551">
        <v>1.55158951793025E-3</v>
      </c>
      <c r="M821" s="552">
        <v>1.5097269521802599E-2</v>
      </c>
    </row>
    <row r="822" spans="2:13" ht="15.75" x14ac:dyDescent="0.25">
      <c r="B822" s="555">
        <v>2033</v>
      </c>
      <c r="C822" s="556">
        <v>2026</v>
      </c>
      <c r="D822" s="557" t="s">
        <v>3720</v>
      </c>
      <c r="E822" s="547">
        <v>4.4932495937613441E-2</v>
      </c>
      <c r="F822" s="548">
        <v>9.8883366869757891E-2</v>
      </c>
      <c r="G822" s="549">
        <v>7.7837498665107502E-2</v>
      </c>
      <c r="H822" s="550">
        <v>3.89323433826157E-3</v>
      </c>
      <c r="I822" s="551">
        <v>5.18608135665116E-2</v>
      </c>
      <c r="J822" s="551">
        <v>2.9473502681166702E-2</v>
      </c>
      <c r="K822" s="551">
        <v>1.34629798386328E-2</v>
      </c>
      <c r="L822" s="551">
        <v>1.55214725940119E-3</v>
      </c>
      <c r="M822" s="552">
        <v>1.4071716045847499E-2</v>
      </c>
    </row>
    <row r="823" spans="2:13" ht="15.75" x14ac:dyDescent="0.25">
      <c r="B823" s="555">
        <v>2033</v>
      </c>
      <c r="C823" s="556">
        <v>2027</v>
      </c>
      <c r="D823" s="557" t="s">
        <v>3721</v>
      </c>
      <c r="E823" s="547">
        <v>4.3817123195317324E-2</v>
      </c>
      <c r="F823" s="548">
        <v>9.6424908802687073E-2</v>
      </c>
      <c r="G823" s="549">
        <v>7.6297619643270503E-2</v>
      </c>
      <c r="H823" s="550">
        <v>3.82256895126263E-3</v>
      </c>
      <c r="I823" s="551">
        <v>4.9759866047230303E-2</v>
      </c>
      <c r="J823" s="551">
        <v>2.8286772110099102E-2</v>
      </c>
      <c r="K823" s="551">
        <v>1.2423065617815299E-2</v>
      </c>
      <c r="L823" s="551">
        <v>1.55273123359859E-3</v>
      </c>
      <c r="M823" s="552">
        <v>1.29847815185157E-2</v>
      </c>
    </row>
    <row r="824" spans="2:13" ht="15.75" x14ac:dyDescent="0.25">
      <c r="B824" s="555">
        <v>2033</v>
      </c>
      <c r="C824" s="556">
        <v>2028</v>
      </c>
      <c r="D824" s="557" t="s">
        <v>3722</v>
      </c>
      <c r="E824" s="547">
        <v>4.3799147890090463E-2</v>
      </c>
      <c r="F824" s="548">
        <v>9.6378411834432604E-2</v>
      </c>
      <c r="G824" s="549">
        <v>7.4665156523209306E-2</v>
      </c>
      <c r="H824" s="550">
        <v>3.8089491943385399E-3</v>
      </c>
      <c r="I824" s="551">
        <v>4.7538231473292197E-2</v>
      </c>
      <c r="J824" s="551">
        <v>2.7850318627386302E-2</v>
      </c>
      <c r="K824" s="551">
        <v>1.13242392471947E-2</v>
      </c>
      <c r="L824" s="551">
        <v>1.55330770062421E-3</v>
      </c>
      <c r="M824" s="552">
        <v>1.18362710953854E-2</v>
      </c>
    </row>
    <row r="825" spans="2:13" ht="15.75" x14ac:dyDescent="0.25">
      <c r="B825" s="555">
        <v>2033</v>
      </c>
      <c r="C825" s="556">
        <v>2029</v>
      </c>
      <c r="D825" s="557" t="s">
        <v>3723</v>
      </c>
      <c r="E825" s="547">
        <v>4.3779824558260287E-2</v>
      </c>
      <c r="F825" s="548">
        <v>9.6331362436592058E-2</v>
      </c>
      <c r="G825" s="549">
        <v>7.2940906574369704E-2</v>
      </c>
      <c r="H825" s="550">
        <v>3.9457747220012496E-3</v>
      </c>
      <c r="I825" s="551">
        <v>4.5196097749120603E-2</v>
      </c>
      <c r="J825" s="551">
        <v>2.8292725161929599E-2</v>
      </c>
      <c r="K825" s="551">
        <v>1.01665078753225E-2</v>
      </c>
      <c r="L825" s="551">
        <v>1.5538871244238899E-3</v>
      </c>
      <c r="M825" s="552">
        <v>1.0626192248234001E-2</v>
      </c>
    </row>
    <row r="826" spans="2:13" ht="15.75" x14ac:dyDescent="0.25">
      <c r="B826" s="555">
        <v>2033</v>
      </c>
      <c r="C826" s="556">
        <v>2030</v>
      </c>
      <c r="D826" s="557" t="s">
        <v>3724</v>
      </c>
      <c r="E826" s="547">
        <v>4.3758659745604722E-2</v>
      </c>
      <c r="F826" s="548">
        <v>9.6283869849410758E-2</v>
      </c>
      <c r="G826" s="549">
        <v>7.1125620020058899E-2</v>
      </c>
      <c r="H826" s="550">
        <v>4.3327473169276799E-3</v>
      </c>
      <c r="I826" s="551">
        <v>4.2733645203166998E-2</v>
      </c>
      <c r="J826" s="551">
        <v>2.98045837731662E-2</v>
      </c>
      <c r="K826" s="551">
        <v>8.9498752670994497E-3</v>
      </c>
      <c r="L826" s="551">
        <v>1.55448179282098E-3</v>
      </c>
      <c r="M826" s="552">
        <v>9.3545489121943798E-3</v>
      </c>
    </row>
    <row r="827" spans="2:13" ht="15.75" x14ac:dyDescent="0.25">
      <c r="B827" s="555">
        <v>2033</v>
      </c>
      <c r="C827" s="556">
        <v>2031</v>
      </c>
      <c r="D827" s="557" t="s">
        <v>3725</v>
      </c>
      <c r="E827" s="547">
        <v>4.3734459741788391E-2</v>
      </c>
      <c r="F827" s="548">
        <v>9.6232154226166017E-2</v>
      </c>
      <c r="G827" s="549">
        <v>6.9217107135877198E-2</v>
      </c>
      <c r="H827" s="550">
        <v>4.9847320799469904E-3</v>
      </c>
      <c r="I827" s="551">
        <v>4.0150088632849898E-2</v>
      </c>
      <c r="J827" s="551">
        <v>3.3411868762146898E-2</v>
      </c>
      <c r="K827" s="551">
        <v>7.6742264334219001E-3</v>
      </c>
      <c r="L827" s="551">
        <v>1.5550670173336101E-3</v>
      </c>
      <c r="M827" s="552">
        <v>8.0212208988657899E-3</v>
      </c>
    </row>
    <row r="828" spans="2:13" ht="15.75" x14ac:dyDescent="0.25">
      <c r="B828" s="555">
        <v>2033</v>
      </c>
      <c r="C828" s="556">
        <v>2032</v>
      </c>
      <c r="D828" s="557" t="s">
        <v>3726</v>
      </c>
      <c r="E828" s="547">
        <v>4.3705273173297671E-2</v>
      </c>
      <c r="F828" s="548">
        <v>9.616576488365576E-2</v>
      </c>
      <c r="G828" s="549">
        <v>6.7216742858630996E-2</v>
      </c>
      <c r="H828" s="550">
        <v>5.6520500958358397E-3</v>
      </c>
      <c r="I828" s="551">
        <v>3.7445805055210897E-2</v>
      </c>
      <c r="J828" s="551">
        <v>3.66001223175118E-2</v>
      </c>
      <c r="K828" s="551">
        <v>6.3395857359967098E-3</v>
      </c>
      <c r="L828" s="551">
        <v>1.55566310794835E-3</v>
      </c>
      <c r="M828" s="552">
        <v>6.6262336714834197E-3</v>
      </c>
    </row>
    <row r="829" spans="2:13" ht="15.75" x14ac:dyDescent="0.25">
      <c r="B829" s="555">
        <v>2033</v>
      </c>
      <c r="C829" s="556">
        <v>2033</v>
      </c>
      <c r="D829" s="557" t="s">
        <v>3727</v>
      </c>
      <c r="E829" s="547">
        <v>4.3665079007941969E-2</v>
      </c>
      <c r="F829" s="548">
        <v>9.6054368450005478E-2</v>
      </c>
      <c r="G829" s="549">
        <v>6.5123186678407594E-2</v>
      </c>
      <c r="H829" s="550">
        <v>5.4127596952304102E-3</v>
      </c>
      <c r="I829" s="551">
        <v>3.4620301888744202E-2</v>
      </c>
      <c r="J829" s="551">
        <v>3.4309343107651998E-2</v>
      </c>
      <c r="K829" s="551">
        <v>4.9458791883021198E-3</v>
      </c>
      <c r="L829" s="551">
        <v>1.5562558151321099E-3</v>
      </c>
      <c r="M829" s="552">
        <v>5.16950989818329E-3</v>
      </c>
    </row>
    <row r="830" spans="2:13" ht="15.75" x14ac:dyDescent="0.25">
      <c r="B830" s="555">
        <v>2034</v>
      </c>
      <c r="C830" s="556">
        <v>1990</v>
      </c>
      <c r="D830" s="557" t="s">
        <v>3728</v>
      </c>
      <c r="E830" s="547">
        <v>6.3173742595974983E-2</v>
      </c>
      <c r="F830" s="548">
        <v>0.13518907861442755</v>
      </c>
      <c r="G830" s="549">
        <v>0.27612573495638199</v>
      </c>
      <c r="H830" s="550">
        <v>0.43926519729082197</v>
      </c>
      <c r="I830" s="551">
        <v>5.2796785353695403</v>
      </c>
      <c r="J830" s="551">
        <v>1.6830421697940501</v>
      </c>
      <c r="K830" s="551">
        <v>0.18805198958592201</v>
      </c>
      <c r="L830" s="551">
        <v>1.4304864487617801E-2</v>
      </c>
      <c r="M830" s="552">
        <v>0.19655486608665301</v>
      </c>
    </row>
    <row r="831" spans="2:13" ht="15.75" x14ac:dyDescent="0.25">
      <c r="B831" s="555">
        <v>2034</v>
      </c>
      <c r="C831" s="556">
        <v>1991</v>
      </c>
      <c r="D831" s="557" t="s">
        <v>3729</v>
      </c>
      <c r="E831" s="547">
        <v>6.4112032933395929E-2</v>
      </c>
      <c r="F831" s="548">
        <v>0.13499505254079455</v>
      </c>
      <c r="G831" s="549">
        <v>0.36442747453892299</v>
      </c>
      <c r="H831" s="550">
        <v>0.485026346192932</v>
      </c>
      <c r="I831" s="551">
        <v>9.2130251999234094</v>
      </c>
      <c r="J831" s="551">
        <v>2.9303593950981601</v>
      </c>
      <c r="K831" s="551">
        <v>5.1647860217575003E-2</v>
      </c>
      <c r="L831" s="551">
        <v>7.78121623324183E-3</v>
      </c>
      <c r="M831" s="552">
        <v>5.3983147272628297E-2</v>
      </c>
    </row>
    <row r="832" spans="2:13" ht="15.75" x14ac:dyDescent="0.25">
      <c r="B832" s="555">
        <v>2034</v>
      </c>
      <c r="C832" s="556">
        <v>1992</v>
      </c>
      <c r="D832" s="557" t="s">
        <v>3730</v>
      </c>
      <c r="E832" s="547">
        <v>6.4323039652778732E-2</v>
      </c>
      <c r="F832" s="548">
        <v>0.13578529351339569</v>
      </c>
      <c r="G832" s="549">
        <v>0.36716588624864099</v>
      </c>
      <c r="H832" s="550">
        <v>0.49213295603903001</v>
      </c>
      <c r="I832" s="551">
        <v>9.1809638295806</v>
      </c>
      <c r="J832" s="551">
        <v>2.9525699201190299</v>
      </c>
      <c r="K832" s="551">
        <v>5.2035956931140902E-2</v>
      </c>
      <c r="L832" s="551">
        <v>7.9282197180631005E-3</v>
      </c>
      <c r="M832" s="552">
        <v>5.4388791997428E-2</v>
      </c>
    </row>
    <row r="833" spans="2:13" ht="15.75" x14ac:dyDescent="0.25">
      <c r="B833" s="555">
        <v>2034</v>
      </c>
      <c r="C833" s="556">
        <v>1993</v>
      </c>
      <c r="D833" s="557" t="s">
        <v>3731</v>
      </c>
      <c r="E833" s="547">
        <v>6.4366127305327134E-2</v>
      </c>
      <c r="F833" s="548">
        <v>0.13506313163339587</v>
      </c>
      <c r="G833" s="549">
        <v>0.36802270487109701</v>
      </c>
      <c r="H833" s="550">
        <v>0.48430896914528498</v>
      </c>
      <c r="I833" s="551">
        <v>9.1757064798691701</v>
      </c>
      <c r="J833" s="551">
        <v>2.9346813845855002</v>
      </c>
      <c r="K833" s="551">
        <v>5.2157388084212997E-2</v>
      </c>
      <c r="L833" s="551">
        <v>7.8318475175336803E-3</v>
      </c>
      <c r="M833" s="552">
        <v>5.45157137283993E-2</v>
      </c>
    </row>
    <row r="834" spans="2:13" ht="15.75" x14ac:dyDescent="0.25">
      <c r="B834" s="555">
        <v>2034</v>
      </c>
      <c r="C834" s="556">
        <v>1994</v>
      </c>
      <c r="D834" s="557" t="s">
        <v>3732</v>
      </c>
      <c r="E834" s="547">
        <v>6.403034063395506E-2</v>
      </c>
      <c r="F834" s="548">
        <v>0.13410216360890659</v>
      </c>
      <c r="G834" s="549">
        <v>0.36188387996770999</v>
      </c>
      <c r="H834" s="550">
        <v>0.47441423838986202</v>
      </c>
      <c r="I834" s="551">
        <v>9.2372454094009608</v>
      </c>
      <c r="J834" s="551">
        <v>2.9133629080637502</v>
      </c>
      <c r="K834" s="551">
        <v>5.1817562791386197E-2</v>
      </c>
      <c r="L834" s="551">
        <v>7.6947213482411398E-3</v>
      </c>
      <c r="M834" s="552">
        <v>5.4160523043783201E-2</v>
      </c>
    </row>
    <row r="835" spans="2:13" ht="15.75" x14ac:dyDescent="0.25">
      <c r="B835" s="555">
        <v>2034</v>
      </c>
      <c r="C835" s="556">
        <v>1995</v>
      </c>
      <c r="D835" s="557" t="s">
        <v>3733</v>
      </c>
      <c r="E835" s="547">
        <v>6.4369303715588105E-2</v>
      </c>
      <c r="F835" s="548">
        <v>0.13321584710096507</v>
      </c>
      <c r="G835" s="549">
        <v>0.36607360682468798</v>
      </c>
      <c r="H835" s="550">
        <v>0.25327312569156701</v>
      </c>
      <c r="I835" s="551">
        <v>9.21186597644774</v>
      </c>
      <c r="J835" s="551">
        <v>1.66292530734958</v>
      </c>
      <c r="K835" s="551">
        <v>5.2417482949503102E-2</v>
      </c>
      <c r="L835" s="551">
        <v>5.0253851841545703E-3</v>
      </c>
      <c r="M835" s="552">
        <v>5.4787568929343902E-2</v>
      </c>
    </row>
    <row r="836" spans="2:13" ht="15.75" x14ac:dyDescent="0.25">
      <c r="B836" s="555">
        <v>2034</v>
      </c>
      <c r="C836" s="556">
        <v>1996</v>
      </c>
      <c r="D836" s="557" t="s">
        <v>3734</v>
      </c>
      <c r="E836" s="547">
        <v>6.4390136847218171E-2</v>
      </c>
      <c r="F836" s="548">
        <v>0.13162229938520742</v>
      </c>
      <c r="G836" s="549">
        <v>0.36639654355838203</v>
      </c>
      <c r="H836" s="550">
        <v>2.29375573185952E-2</v>
      </c>
      <c r="I836" s="551">
        <v>9.2074956933634002</v>
      </c>
      <c r="J836" s="551">
        <v>0.39576208127277701</v>
      </c>
      <c r="K836" s="551">
        <v>5.2463723733915203E-2</v>
      </c>
      <c r="L836" s="551">
        <v>2.23564798373126E-3</v>
      </c>
      <c r="M836" s="552">
        <v>5.4835900516836698E-2</v>
      </c>
    </row>
    <row r="837" spans="2:13" ht="15.75" x14ac:dyDescent="0.25">
      <c r="B837" s="555">
        <v>2034</v>
      </c>
      <c r="C837" s="556">
        <v>1997</v>
      </c>
      <c r="D837" s="557" t="s">
        <v>3735</v>
      </c>
      <c r="E837" s="547">
        <v>6.4627530440827738E-2</v>
      </c>
      <c r="F837" s="548">
        <v>0.13024547234201123</v>
      </c>
      <c r="G837" s="549">
        <v>0.36917426255086999</v>
      </c>
      <c r="H837" s="550">
        <v>2.2311996315319198E-2</v>
      </c>
      <c r="I837" s="551">
        <v>9.1674356129425298</v>
      </c>
      <c r="J837" s="551">
        <v>0.39175207503034398</v>
      </c>
      <c r="K837" s="551">
        <v>5.2861460787919798E-2</v>
      </c>
      <c r="L837" s="551">
        <v>2.17722039114334E-3</v>
      </c>
      <c r="M837" s="552">
        <v>5.5251621475491397E-2</v>
      </c>
    </row>
    <row r="838" spans="2:13" ht="15.75" x14ac:dyDescent="0.25">
      <c r="B838" s="555">
        <v>2034</v>
      </c>
      <c r="C838" s="556">
        <v>1998</v>
      </c>
      <c r="D838" s="557" t="s">
        <v>3736</v>
      </c>
      <c r="E838" s="547">
        <v>6.4423646023661879E-2</v>
      </c>
      <c r="F838" s="548">
        <v>0.13077571122139547</v>
      </c>
      <c r="G838" s="549">
        <v>0.36770757604333898</v>
      </c>
      <c r="H838" s="550">
        <v>2.2548405290888699E-2</v>
      </c>
      <c r="I838" s="551">
        <v>9.2047166468672792</v>
      </c>
      <c r="J838" s="551">
        <v>0.39347729343883697</v>
      </c>
      <c r="K838" s="551">
        <v>5.2651448338053103E-2</v>
      </c>
      <c r="L838" s="551">
        <v>2.20422224977253E-3</v>
      </c>
      <c r="M838" s="552">
        <v>5.5032113194558099E-2</v>
      </c>
    </row>
    <row r="839" spans="2:13" ht="15.75" x14ac:dyDescent="0.25">
      <c r="B839" s="555">
        <v>2034</v>
      </c>
      <c r="C839" s="556">
        <v>1999</v>
      </c>
      <c r="D839" s="557" t="s">
        <v>3737</v>
      </c>
      <c r="E839" s="547">
        <v>6.4345491040003769E-2</v>
      </c>
      <c r="F839" s="548">
        <v>0.13060064439033431</v>
      </c>
      <c r="G839" s="549">
        <v>0.367046828791665</v>
      </c>
      <c r="H839" s="550">
        <v>2.2524205905747101E-2</v>
      </c>
      <c r="I839" s="551">
        <v>9.2066705962235602</v>
      </c>
      <c r="J839" s="551">
        <v>0.39351823856652501</v>
      </c>
      <c r="K839" s="551">
        <v>5.2556837016305702E-2</v>
      </c>
      <c r="L839" s="551">
        <v>2.19751603180365E-3</v>
      </c>
      <c r="M839" s="552">
        <v>5.4933223968672798E-2</v>
      </c>
    </row>
    <row r="840" spans="2:13" ht="15.75" x14ac:dyDescent="0.25">
      <c r="B840" s="555">
        <v>2034</v>
      </c>
      <c r="C840" s="556">
        <v>2000</v>
      </c>
      <c r="D840" s="557" t="s">
        <v>3738</v>
      </c>
      <c r="E840" s="547">
        <v>6.4096533489779714E-2</v>
      </c>
      <c r="F840" s="548">
        <v>0.13104038945993771</v>
      </c>
      <c r="G840" s="549">
        <v>0.36466654720459002</v>
      </c>
      <c r="H840" s="550">
        <v>2.27222623694153E-2</v>
      </c>
      <c r="I840" s="551">
        <v>9.2366351711013301</v>
      </c>
      <c r="J840" s="551">
        <v>0.39548783211337102</v>
      </c>
      <c r="K840" s="551">
        <v>5.2216008376438E-2</v>
      </c>
      <c r="L840" s="551">
        <v>2.2204617652977101E-3</v>
      </c>
      <c r="M840" s="552">
        <v>5.4576984570114999E-2</v>
      </c>
    </row>
    <row r="841" spans="2:13" ht="15.75" x14ac:dyDescent="0.25">
      <c r="B841" s="555">
        <v>2034</v>
      </c>
      <c r="C841" s="556">
        <v>2001</v>
      </c>
      <c r="D841" s="557" t="s">
        <v>3739</v>
      </c>
      <c r="E841" s="547">
        <v>6.4311481671454687E-2</v>
      </c>
      <c r="F841" s="548">
        <v>0.13121108541283533</v>
      </c>
      <c r="G841" s="549">
        <v>0.367204408935701</v>
      </c>
      <c r="H841" s="550">
        <v>2.2821935131605801E-2</v>
      </c>
      <c r="I841" s="551">
        <v>9.2024001089440297</v>
      </c>
      <c r="J841" s="551">
        <v>0.39692998778327998</v>
      </c>
      <c r="K841" s="551">
        <v>5.25794006602264E-2</v>
      </c>
      <c r="L841" s="551">
        <v>2.2329342978788199E-3</v>
      </c>
      <c r="M841" s="552">
        <v>5.4956807840447E-2</v>
      </c>
    </row>
    <row r="842" spans="2:13" ht="15.75" x14ac:dyDescent="0.25">
      <c r="B842" s="555">
        <v>2034</v>
      </c>
      <c r="C842" s="556">
        <v>2002</v>
      </c>
      <c r="D842" s="557" t="s">
        <v>3740</v>
      </c>
      <c r="E842" s="547">
        <v>6.4149938686708471E-2</v>
      </c>
      <c r="F842" s="548">
        <v>0.13104843586520892</v>
      </c>
      <c r="G842" s="549">
        <v>0.28377993857957801</v>
      </c>
      <c r="H842" s="550">
        <v>2.27747546682854E-2</v>
      </c>
      <c r="I842" s="551">
        <v>7.0999190768574696</v>
      </c>
      <c r="J842" s="551">
        <v>0.31949088411946702</v>
      </c>
      <c r="K842" s="551">
        <v>5.28959867030631E-2</v>
      </c>
      <c r="L842" s="551">
        <v>2.2304448295638402E-3</v>
      </c>
      <c r="M842" s="552">
        <v>5.5287708499311E-2</v>
      </c>
    </row>
    <row r="843" spans="2:13" ht="15.75" x14ac:dyDescent="0.25">
      <c r="B843" s="555">
        <v>2034</v>
      </c>
      <c r="C843" s="556">
        <v>2003</v>
      </c>
      <c r="D843" s="557" t="s">
        <v>3741</v>
      </c>
      <c r="E843" s="547">
        <v>6.3848920459371183E-2</v>
      </c>
      <c r="F843" s="548">
        <v>0.13046003007529341</v>
      </c>
      <c r="G843" s="549">
        <v>0.281548597606953</v>
      </c>
      <c r="H843" s="550">
        <v>2.2532427114511599E-2</v>
      </c>
      <c r="I843" s="551">
        <v>7.12763796798769</v>
      </c>
      <c r="J843" s="551">
        <v>0.31938625368131102</v>
      </c>
      <c r="K843" s="551">
        <v>5.2480069415150599E-2</v>
      </c>
      <c r="L843" s="551">
        <v>2.2071953570063502E-3</v>
      </c>
      <c r="M843" s="552">
        <v>5.4852985277244699E-2</v>
      </c>
    </row>
    <row r="844" spans="2:13" ht="15.75" x14ac:dyDescent="0.25">
      <c r="B844" s="555">
        <v>2034</v>
      </c>
      <c r="C844" s="556">
        <v>2004</v>
      </c>
      <c r="D844" s="557" t="s">
        <v>3742</v>
      </c>
      <c r="E844" s="547">
        <v>6.3620476512883287E-2</v>
      </c>
      <c r="F844" s="548">
        <v>0.12944369525031041</v>
      </c>
      <c r="G844" s="549">
        <v>0.23237417618880801</v>
      </c>
      <c r="H844" s="550">
        <v>1.4764244548641199E-2</v>
      </c>
      <c r="I844" s="551">
        <v>5.9615902073473999</v>
      </c>
      <c r="J844" s="551">
        <v>0.27026926156341802</v>
      </c>
      <c r="K844" s="551">
        <v>5.2185895925444502E-2</v>
      </c>
      <c r="L844" s="551">
        <v>1.43630804116618E-4</v>
      </c>
      <c r="M844" s="552">
        <v>5.4545510567709697E-2</v>
      </c>
    </row>
    <row r="845" spans="2:13" ht="15.75" x14ac:dyDescent="0.25">
      <c r="B845" s="555">
        <v>2034</v>
      </c>
      <c r="C845" s="556">
        <v>2005</v>
      </c>
      <c r="D845" s="557" t="s">
        <v>3743</v>
      </c>
      <c r="E845" s="547">
        <v>6.3664333350177446E-2</v>
      </c>
      <c r="F845" s="548">
        <v>0.12981175567827702</v>
      </c>
      <c r="G845" s="549">
        <v>0.23273644165302701</v>
      </c>
      <c r="H845" s="550">
        <v>1.4969963796623E-2</v>
      </c>
      <c r="I845" s="551">
        <v>5.9515877231918797</v>
      </c>
      <c r="J845" s="551">
        <v>0.27213472111289799</v>
      </c>
      <c r="K845" s="551">
        <v>5.2267252417474701E-2</v>
      </c>
      <c r="L845" s="551">
        <v>1.4504897340954101E-4</v>
      </c>
      <c r="M845" s="552">
        <v>5.46305456392953E-2</v>
      </c>
    </row>
    <row r="846" spans="2:13" ht="15.75" x14ac:dyDescent="0.25">
      <c r="B846" s="555">
        <v>2034</v>
      </c>
      <c r="C846" s="556">
        <v>2006</v>
      </c>
      <c r="D846" s="557" t="s">
        <v>3744</v>
      </c>
      <c r="E846" s="547">
        <v>6.3492756320978838E-2</v>
      </c>
      <c r="F846" s="548">
        <v>0.13011881659188748</v>
      </c>
      <c r="G846" s="549">
        <v>0.23165202409407901</v>
      </c>
      <c r="H846" s="550">
        <v>1.5126114070090201E-2</v>
      </c>
      <c r="I846" s="551">
        <v>5.9601266044131096</v>
      </c>
      <c r="J846" s="551">
        <v>0.27379721585893602</v>
      </c>
      <c r="K846" s="551">
        <v>5.2023717172727899E-2</v>
      </c>
      <c r="L846" s="551">
        <v>1.46212741214652E-4</v>
      </c>
      <c r="M846" s="552">
        <v>5.4375998811452698E-2</v>
      </c>
    </row>
    <row r="847" spans="2:13" ht="15.75" x14ac:dyDescent="0.25">
      <c r="B847" s="555">
        <v>2034</v>
      </c>
      <c r="C847" s="556">
        <v>2007</v>
      </c>
      <c r="D847" s="557" t="s">
        <v>3745</v>
      </c>
      <c r="E847" s="547">
        <v>6.3650050836673605E-2</v>
      </c>
      <c r="F847" s="548">
        <v>0.13047162839334372</v>
      </c>
      <c r="G847" s="549">
        <v>0.17017624346930799</v>
      </c>
      <c r="H847" s="550">
        <v>1.5294245737464299E-2</v>
      </c>
      <c r="I847" s="551">
        <v>3.1142564391520602</v>
      </c>
      <c r="J847" s="551">
        <v>0.27391448452106698</v>
      </c>
      <c r="K847" s="551">
        <v>3.7808601471646497E-2</v>
      </c>
      <c r="L847" s="551">
        <v>1.4757514754533499E-4</v>
      </c>
      <c r="M847" s="552">
        <v>3.95181386570101E-2</v>
      </c>
    </row>
    <row r="848" spans="2:13" ht="15.75" x14ac:dyDescent="0.25">
      <c r="B848" s="555">
        <v>2034</v>
      </c>
      <c r="C848" s="556">
        <v>2008</v>
      </c>
      <c r="D848" s="557" t="s">
        <v>3746</v>
      </c>
      <c r="E848" s="547">
        <v>6.3881902913300287E-2</v>
      </c>
      <c r="F848" s="548">
        <v>0.13096362516155138</v>
      </c>
      <c r="G848" s="549">
        <v>0.172282490076479</v>
      </c>
      <c r="H848" s="550">
        <v>1.20823139580894E-2</v>
      </c>
      <c r="I848" s="551">
        <v>3.1004774315311598</v>
      </c>
      <c r="J848" s="551">
        <v>0.193130092509637</v>
      </c>
      <c r="K848" s="551">
        <v>3.8089841046557202E-2</v>
      </c>
      <c r="L848" s="551">
        <v>1.7036317371101899E-4</v>
      </c>
      <c r="M848" s="552">
        <v>3.9812094637516199E-2</v>
      </c>
    </row>
    <row r="849" spans="2:13" ht="15.75" x14ac:dyDescent="0.25">
      <c r="B849" s="555">
        <v>2034</v>
      </c>
      <c r="C849" s="556">
        <v>2009</v>
      </c>
      <c r="D849" s="557" t="s">
        <v>3747</v>
      </c>
      <c r="E849" s="547">
        <v>6.3873400634528371E-2</v>
      </c>
      <c r="F849" s="548">
        <v>0.12972042768270858</v>
      </c>
      <c r="G849" s="549">
        <v>0.172421263861503</v>
      </c>
      <c r="H849" s="550">
        <v>8.4725608886933208E-3</v>
      </c>
      <c r="I849" s="551">
        <v>3.09845182181733</v>
      </c>
      <c r="J849" s="551">
        <v>0.10894276629354301</v>
      </c>
      <c r="K849" s="551">
        <v>3.81084796783068E-2</v>
      </c>
      <c r="L849" s="551">
        <v>1.8677656778708001E-4</v>
      </c>
      <c r="M849" s="552">
        <v>3.9831576025485801E-2</v>
      </c>
    </row>
    <row r="850" spans="2:13" ht="15.75" x14ac:dyDescent="0.25">
      <c r="B850" s="555">
        <v>2034</v>
      </c>
      <c r="C850" s="556">
        <v>2010</v>
      </c>
      <c r="D850" s="557" t="s">
        <v>3748</v>
      </c>
      <c r="E850" s="547">
        <v>6.3884636034977862E-2</v>
      </c>
      <c r="F850" s="548">
        <v>0.12863129726547337</v>
      </c>
      <c r="G850" s="549">
        <v>0.110547920308277</v>
      </c>
      <c r="H850" s="550">
        <v>8.2835889794752298E-3</v>
      </c>
      <c r="I850" s="551">
        <v>0.28472564302146097</v>
      </c>
      <c r="J850" s="551">
        <v>0.108817909430166</v>
      </c>
      <c r="K850" s="551">
        <v>2.3520834352652301E-2</v>
      </c>
      <c r="L850" s="551">
        <v>2.22630351865592E-4</v>
      </c>
      <c r="M850" s="552">
        <v>2.4584342109922601E-2</v>
      </c>
    </row>
    <row r="851" spans="2:13" ht="15.75" x14ac:dyDescent="0.25">
      <c r="B851" s="555">
        <v>2034</v>
      </c>
      <c r="C851" s="556">
        <v>2011</v>
      </c>
      <c r="D851" s="557" t="s">
        <v>3749</v>
      </c>
      <c r="E851" s="547">
        <v>6.382947587116658E-2</v>
      </c>
      <c r="F851" s="548">
        <v>0.13030699708701707</v>
      </c>
      <c r="G851" s="549">
        <v>0.110163658811434</v>
      </c>
      <c r="H851" s="550">
        <v>8.6000037748028696E-3</v>
      </c>
      <c r="I851" s="551">
        <v>0.283856701930499</v>
      </c>
      <c r="J851" s="551">
        <v>0.110295142714825</v>
      </c>
      <c r="K851" s="551">
        <v>2.34465127746178E-2</v>
      </c>
      <c r="L851" s="551">
        <v>3.1425999855944699E-4</v>
      </c>
      <c r="M851" s="552">
        <v>2.4506660039926499E-2</v>
      </c>
    </row>
    <row r="852" spans="2:13" ht="15.75" x14ac:dyDescent="0.25">
      <c r="B852" s="555">
        <v>2034</v>
      </c>
      <c r="C852" s="556">
        <v>2012</v>
      </c>
      <c r="D852" s="557" t="s">
        <v>3750</v>
      </c>
      <c r="E852" s="547">
        <v>6.394168572072069E-2</v>
      </c>
      <c r="F852" s="548">
        <v>0.13070856462433184</v>
      </c>
      <c r="G852" s="549">
        <v>0.111369136975321</v>
      </c>
      <c r="H852" s="550">
        <v>8.6662687457714493E-3</v>
      </c>
      <c r="I852" s="551">
        <v>0.28505272053352598</v>
      </c>
      <c r="J852" s="551">
        <v>0.11044089713569701</v>
      </c>
      <c r="K852" s="551">
        <v>2.3430974345930899E-2</v>
      </c>
      <c r="L852" s="551">
        <v>4.64081062205339E-4</v>
      </c>
      <c r="M852" s="552">
        <v>2.4490419032445102E-2</v>
      </c>
    </row>
    <row r="853" spans="2:13" ht="15.75" x14ac:dyDescent="0.25">
      <c r="B853" s="555">
        <v>2034</v>
      </c>
      <c r="C853" s="556">
        <v>2013</v>
      </c>
      <c r="D853" s="557" t="s">
        <v>3751</v>
      </c>
      <c r="E853" s="547">
        <v>6.3797103940510178E-2</v>
      </c>
      <c r="F853" s="548">
        <v>0.13071259878417063</v>
      </c>
      <c r="G853" s="549">
        <v>0.10988327629971099</v>
      </c>
      <c r="H853" s="550">
        <v>8.6787751872802205E-3</v>
      </c>
      <c r="I853" s="551">
        <v>0.28200161902062298</v>
      </c>
      <c r="J853" s="551">
        <v>0.10945391998725</v>
      </c>
      <c r="K853" s="551">
        <v>2.3187733211010499E-2</v>
      </c>
      <c r="L853" s="551">
        <v>6.95313617879047E-4</v>
      </c>
      <c r="M853" s="552">
        <v>2.4236179612770199E-2</v>
      </c>
    </row>
    <row r="854" spans="2:13" ht="15.75" x14ac:dyDescent="0.25">
      <c r="B854" s="555">
        <v>2034</v>
      </c>
      <c r="C854" s="556">
        <v>2014</v>
      </c>
      <c r="D854" s="557" t="s">
        <v>3752</v>
      </c>
      <c r="E854" s="547">
        <v>6.2250698040746538E-2</v>
      </c>
      <c r="F854" s="548">
        <v>0.12856501816828569</v>
      </c>
      <c r="G854" s="549">
        <v>0.108887029776275</v>
      </c>
      <c r="H854" s="550">
        <v>8.63361755903049E-3</v>
      </c>
      <c r="I854" s="551">
        <v>0.279220579644954</v>
      </c>
      <c r="J854" s="551">
        <v>0.109067108996484</v>
      </c>
      <c r="K854" s="551">
        <v>2.2905954606669901E-2</v>
      </c>
      <c r="L854" s="551">
        <v>9.6475738993414E-4</v>
      </c>
      <c r="M854" s="552">
        <v>2.3941660230315399E-2</v>
      </c>
    </row>
    <row r="855" spans="2:13" ht="15.75" x14ac:dyDescent="0.25">
      <c r="B855" s="555">
        <v>2034</v>
      </c>
      <c r="C855" s="556">
        <v>2015</v>
      </c>
      <c r="D855" s="557" t="s">
        <v>3753</v>
      </c>
      <c r="E855" s="547">
        <v>6.1721159329822216E-2</v>
      </c>
      <c r="F855" s="548">
        <v>0.12853204827131076</v>
      </c>
      <c r="G855" s="549">
        <v>0.10775230389382499</v>
      </c>
      <c r="H855" s="550">
        <v>8.7367477176103197E-3</v>
      </c>
      <c r="I855" s="551">
        <v>0.27598628951993798</v>
      </c>
      <c r="J855" s="551">
        <v>0.109219221435576</v>
      </c>
      <c r="K855" s="551">
        <v>2.2563082989323201E-2</v>
      </c>
      <c r="L855" s="551">
        <v>1.2337435701187799E-3</v>
      </c>
      <c r="M855" s="552">
        <v>2.3583285479902499E-2</v>
      </c>
    </row>
    <row r="856" spans="2:13" ht="15.75" x14ac:dyDescent="0.25">
      <c r="B856" s="555">
        <v>2034</v>
      </c>
      <c r="C856" s="556">
        <v>2016</v>
      </c>
      <c r="D856" s="557" t="s">
        <v>3754</v>
      </c>
      <c r="E856" s="547">
        <v>5.9712974951526228E-2</v>
      </c>
      <c r="F856" s="548">
        <v>0.12461156660183162</v>
      </c>
      <c r="G856" s="549">
        <v>0.106366551016896</v>
      </c>
      <c r="H856" s="550">
        <v>7.9496966175360301E-3</v>
      </c>
      <c r="I856" s="551">
        <v>0.23848640218263101</v>
      </c>
      <c r="J856" s="551">
        <v>9.5417272330368993E-2</v>
      </c>
      <c r="K856" s="551">
        <v>2.2149387058985601E-2</v>
      </c>
      <c r="L856" s="551">
        <v>1.3885443757683301E-3</v>
      </c>
      <c r="M856" s="552">
        <v>2.3150884055343501E-2</v>
      </c>
    </row>
    <row r="857" spans="2:13" ht="15.75" x14ac:dyDescent="0.25">
      <c r="B857" s="555">
        <v>2034</v>
      </c>
      <c r="C857" s="556">
        <v>2017</v>
      </c>
      <c r="D857" s="557" t="s">
        <v>3755</v>
      </c>
      <c r="E857" s="547">
        <v>5.6204380282101098E-2</v>
      </c>
      <c r="F857" s="548">
        <v>0.12070717188781123</v>
      </c>
      <c r="G857" s="549">
        <v>8.8348665060368398E-2</v>
      </c>
      <c r="H857" s="550">
        <v>7.1346832635444503E-3</v>
      </c>
      <c r="I857" s="551">
        <v>0.18379499905244201</v>
      </c>
      <c r="J857" s="551">
        <v>8.1868076277408303E-2</v>
      </c>
      <c r="K857" s="551">
        <v>2.0638041222804802E-2</v>
      </c>
      <c r="L857" s="551">
        <v>1.4471718596153699E-3</v>
      </c>
      <c r="M857" s="552">
        <v>2.1571201866948501E-2</v>
      </c>
    </row>
    <row r="858" spans="2:13" ht="15.75" x14ac:dyDescent="0.25">
      <c r="B858" s="555">
        <v>2034</v>
      </c>
      <c r="C858" s="556">
        <v>2018</v>
      </c>
      <c r="D858" s="557" t="s">
        <v>3756</v>
      </c>
      <c r="E858" s="547">
        <v>5.2480923382942142E-2</v>
      </c>
      <c r="F858" s="548">
        <v>0.11553331974589008</v>
      </c>
      <c r="G858" s="549">
        <v>8.7706214523586998E-2</v>
      </c>
      <c r="H858" s="550">
        <v>6.3976353568231496E-3</v>
      </c>
      <c r="I858" s="551">
        <v>0.148099595491856</v>
      </c>
      <c r="J858" s="551">
        <v>6.7899882701356495E-2</v>
      </c>
      <c r="K858" s="551">
        <v>2.0184457764253899E-2</v>
      </c>
      <c r="L858" s="551">
        <v>1.50782880137932E-3</v>
      </c>
      <c r="M858" s="552">
        <v>2.10971093771487E-2</v>
      </c>
    </row>
    <row r="859" spans="2:13" ht="15.75" x14ac:dyDescent="0.25">
      <c r="B859" s="555">
        <v>2034</v>
      </c>
      <c r="C859" s="556">
        <v>2019</v>
      </c>
      <c r="D859" s="557" t="s">
        <v>3757</v>
      </c>
      <c r="E859" s="547">
        <v>5.2463347138063082E-2</v>
      </c>
      <c r="F859" s="548">
        <v>0.11548665119310343</v>
      </c>
      <c r="G859" s="549">
        <v>8.6975385403988401E-2</v>
      </c>
      <c r="H859" s="550">
        <v>5.7571623586222401E-3</v>
      </c>
      <c r="I859" s="551">
        <v>0.1256096837175</v>
      </c>
      <c r="J859" s="551">
        <v>5.8409039695846099E-2</v>
      </c>
      <c r="K859" s="551">
        <v>1.9672394046958801E-2</v>
      </c>
      <c r="L859" s="551">
        <v>1.5484645950604699E-3</v>
      </c>
      <c r="M859" s="552">
        <v>2.0561892410806599E-2</v>
      </c>
    </row>
    <row r="860" spans="2:13" ht="15.75" x14ac:dyDescent="0.25">
      <c r="B860" s="555">
        <v>2034</v>
      </c>
      <c r="C860" s="556">
        <v>2020</v>
      </c>
      <c r="D860" s="557" t="s">
        <v>3758</v>
      </c>
      <c r="E860" s="547">
        <v>5.2445796905366472E-2</v>
      </c>
      <c r="F860" s="548">
        <v>0.11544019747343763</v>
      </c>
      <c r="G860" s="549">
        <v>8.6155511208883803E-2</v>
      </c>
      <c r="H860" s="550">
        <v>5.1286129123175803E-3</v>
      </c>
      <c r="I860" s="551">
        <v>0.10325751120474599</v>
      </c>
      <c r="J860" s="551">
        <v>4.9510104209891499E-2</v>
      </c>
      <c r="K860" s="551">
        <v>1.9101797929731198E-2</v>
      </c>
      <c r="L860" s="551">
        <v>1.5489781990223801E-3</v>
      </c>
      <c r="M860" s="552">
        <v>1.9965496469140798E-2</v>
      </c>
    </row>
    <row r="861" spans="2:13" ht="15.75" x14ac:dyDescent="0.25">
      <c r="B861" s="555">
        <v>2034</v>
      </c>
      <c r="C861" s="556">
        <v>2021</v>
      </c>
      <c r="D861" s="557" t="s">
        <v>3759</v>
      </c>
      <c r="E861" s="547">
        <v>5.1117608994962219E-2</v>
      </c>
      <c r="F861" s="548">
        <v>0.11251482429449064</v>
      </c>
      <c r="G861" s="549">
        <v>8.5247491160847205E-2</v>
      </c>
      <c r="H861" s="550">
        <v>4.5207903518203196E-3</v>
      </c>
      <c r="I861" s="551">
        <v>8.1791594524265002E-2</v>
      </c>
      <c r="J861" s="551">
        <v>4.0566784765559499E-2</v>
      </c>
      <c r="K861" s="551">
        <v>1.8472705918005299E-2</v>
      </c>
      <c r="L861" s="551">
        <v>1.54951294903661E-3</v>
      </c>
      <c r="M861" s="552">
        <v>1.93079597081991E-2</v>
      </c>
    </row>
    <row r="862" spans="2:13" ht="15.75" x14ac:dyDescent="0.25">
      <c r="B862" s="555">
        <v>2034</v>
      </c>
      <c r="C862" s="556">
        <v>2022</v>
      </c>
      <c r="D862" s="557" t="s">
        <v>3760</v>
      </c>
      <c r="E862" s="547">
        <v>4.9842530439559801E-2</v>
      </c>
      <c r="F862" s="548">
        <v>0.10970663869236538</v>
      </c>
      <c r="G862" s="549">
        <v>8.4248825404055094E-2</v>
      </c>
      <c r="H862" s="550">
        <v>3.9297513070216299E-3</v>
      </c>
      <c r="I862" s="551">
        <v>6.0586255926704601E-2</v>
      </c>
      <c r="J862" s="551">
        <v>3.1871762633487101E-2</v>
      </c>
      <c r="K862" s="551">
        <v>1.7784945256857101E-2</v>
      </c>
      <c r="L862" s="551">
        <v>1.5500466573405199E-3</v>
      </c>
      <c r="M862" s="552">
        <v>1.85891015618465E-2</v>
      </c>
    </row>
    <row r="863" spans="2:13" ht="15.75" x14ac:dyDescent="0.25">
      <c r="B863" s="555">
        <v>2034</v>
      </c>
      <c r="C863" s="556">
        <v>2023</v>
      </c>
      <c r="D863" s="557" t="s">
        <v>3761</v>
      </c>
      <c r="E863" s="547">
        <v>4.8568183378950275E-2</v>
      </c>
      <c r="F863" s="548">
        <v>0.10690219706204682</v>
      </c>
      <c r="G863" s="549">
        <v>8.3160739135536593E-2</v>
      </c>
      <c r="H863" s="550">
        <v>3.9660779526544798E-3</v>
      </c>
      <c r="I863" s="551">
        <v>5.9083827922964398E-2</v>
      </c>
      <c r="J863" s="551">
        <v>3.1292864181270703E-2</v>
      </c>
      <c r="K863" s="551">
        <v>1.7038571038117001E-2</v>
      </c>
      <c r="L863" s="551">
        <v>1.5505928809907701E-3</v>
      </c>
      <c r="M863" s="552">
        <v>1.7808979612921501E-2</v>
      </c>
    </row>
    <row r="864" spans="2:13" ht="15.75" x14ac:dyDescent="0.25">
      <c r="B864" s="555">
        <v>2034</v>
      </c>
      <c r="C864" s="556">
        <v>2024</v>
      </c>
      <c r="D864" s="557" t="s">
        <v>3762</v>
      </c>
      <c r="E864" s="547">
        <v>4.7346768028445597E-2</v>
      </c>
      <c r="F864" s="548">
        <v>0.10421371130284728</v>
      </c>
      <c r="G864" s="549">
        <v>8.1981619861979105E-2</v>
      </c>
      <c r="H864" s="550">
        <v>3.9999789325874903E-3</v>
      </c>
      <c r="I864" s="551">
        <v>5.7461550770031601E-2</v>
      </c>
      <c r="J864" s="551">
        <v>3.1684638117731402E-2</v>
      </c>
      <c r="K864" s="551">
        <v>1.6233472277514899E-2</v>
      </c>
      <c r="L864" s="551">
        <v>1.5511382316527301E-3</v>
      </c>
      <c r="M864" s="552">
        <v>1.69674778589377E-2</v>
      </c>
    </row>
    <row r="865" spans="2:13" ht="15.75" x14ac:dyDescent="0.25">
      <c r="B865" s="555">
        <v>2034</v>
      </c>
      <c r="C865" s="556">
        <v>2025</v>
      </c>
      <c r="D865" s="557" t="s">
        <v>3763</v>
      </c>
      <c r="E865" s="547">
        <v>4.6125925953531724E-2</v>
      </c>
      <c r="F865" s="548">
        <v>0.10152577997335131</v>
      </c>
      <c r="G865" s="549">
        <v>8.0712706363474801E-2</v>
      </c>
      <c r="H865" s="550">
        <v>4.0106202068206703E-3</v>
      </c>
      <c r="I865" s="551">
        <v>5.5719807287275998E-2</v>
      </c>
      <c r="J865" s="551">
        <v>3.0729715862953401E-2</v>
      </c>
      <c r="K865" s="551">
        <v>1.5369693051756899E-2</v>
      </c>
      <c r="L865" s="551">
        <v>1.5516970722653099E-3</v>
      </c>
      <c r="M865" s="552">
        <v>1.6064642369554599E-2</v>
      </c>
    </row>
    <row r="866" spans="2:13" ht="15.75" x14ac:dyDescent="0.25">
      <c r="B866" s="555">
        <v>2034</v>
      </c>
      <c r="C866" s="556">
        <v>2026</v>
      </c>
      <c r="D866" s="557" t="s">
        <v>3764</v>
      </c>
      <c r="E866" s="547">
        <v>4.4957798187940046E-2</v>
      </c>
      <c r="F866" s="548">
        <v>9.8952564306476573E-2</v>
      </c>
      <c r="G866" s="549">
        <v>7.9352402339311498E-2</v>
      </c>
      <c r="H866" s="550">
        <v>3.9829168716007104E-3</v>
      </c>
      <c r="I866" s="551">
        <v>5.3863779526977802E-2</v>
      </c>
      <c r="J866" s="551">
        <v>3.06466023686418E-2</v>
      </c>
      <c r="K866" s="551">
        <v>1.44471223643651E-2</v>
      </c>
      <c r="L866" s="551">
        <v>1.5522550225751601E-3</v>
      </c>
      <c r="M866" s="552">
        <v>1.5100357129525699E-2</v>
      </c>
    </row>
    <row r="867" spans="2:13" ht="15.75" x14ac:dyDescent="0.25">
      <c r="B867" s="555">
        <v>2034</v>
      </c>
      <c r="C867" s="556">
        <v>2027</v>
      </c>
      <c r="D867" s="557" t="s">
        <v>3765</v>
      </c>
      <c r="E867" s="547">
        <v>4.3842432981267894E-2</v>
      </c>
      <c r="F867" s="548">
        <v>9.6494380515357983E-2</v>
      </c>
      <c r="G867" s="549">
        <v>7.7902941394719705E-2</v>
      </c>
      <c r="H867" s="550">
        <v>3.92102085116652E-3</v>
      </c>
      <c r="I867" s="551">
        <v>5.1882348760990502E-2</v>
      </c>
      <c r="J867" s="551">
        <v>2.9510472703025599E-2</v>
      </c>
      <c r="K867" s="551">
        <v>1.3465853567218401E-2</v>
      </c>
      <c r="L867" s="551">
        <v>1.5528391842583201E-3</v>
      </c>
      <c r="M867" s="552">
        <v>1.40747197116878E-2</v>
      </c>
    </row>
    <row r="868" spans="2:13" ht="15.75" x14ac:dyDescent="0.25">
      <c r="B868" s="555">
        <v>2034</v>
      </c>
      <c r="C868" s="556">
        <v>2028</v>
      </c>
      <c r="D868" s="557" t="s">
        <v>3766</v>
      </c>
      <c r="E868" s="547">
        <v>4.3825327536303769E-2</v>
      </c>
      <c r="F868" s="548">
        <v>9.6448920375381747E-2</v>
      </c>
      <c r="G868" s="549">
        <v>7.6360998088087398E-2</v>
      </c>
      <c r="H868" s="550">
        <v>3.8525542049975599E-3</v>
      </c>
      <c r="I868" s="551">
        <v>4.9780297238850003E-2</v>
      </c>
      <c r="J868" s="551">
        <v>2.8769893451668398E-2</v>
      </c>
      <c r="K868" s="551">
        <v>1.2425689639267899E-2</v>
      </c>
      <c r="L868" s="551">
        <v>1.5534158444782599E-3</v>
      </c>
      <c r="M868" s="552">
        <v>1.2987524186574499E-2</v>
      </c>
    </row>
    <row r="869" spans="2:13" ht="15.75" x14ac:dyDescent="0.25">
      <c r="B869" s="555">
        <v>2034</v>
      </c>
      <c r="C869" s="556">
        <v>2029</v>
      </c>
      <c r="D869" s="557" t="s">
        <v>3767</v>
      </c>
      <c r="E869" s="547">
        <v>4.3807234098447126E-2</v>
      </c>
      <c r="F869" s="548">
        <v>9.6402085542991775E-2</v>
      </c>
      <c r="G869" s="549">
        <v>7.4727390099242202E-2</v>
      </c>
      <c r="H869" s="550">
        <v>3.8372939126140198E-3</v>
      </c>
      <c r="I869" s="551">
        <v>4.7557825659567302E-2</v>
      </c>
      <c r="J869" s="551">
        <v>2.8304590761615098E-2</v>
      </c>
      <c r="K869" s="551">
        <v>1.1326640877383399E-2</v>
      </c>
      <c r="L869" s="551">
        <v>1.5539954626721201E-3</v>
      </c>
      <c r="M869" s="552">
        <v>1.18387813166341E-2</v>
      </c>
    </row>
    <row r="870" spans="2:13" ht="15.75" x14ac:dyDescent="0.25">
      <c r="B870" s="555">
        <v>2034</v>
      </c>
      <c r="C870" s="556">
        <v>2030</v>
      </c>
      <c r="D870" s="557" t="s">
        <v>3768</v>
      </c>
      <c r="E870" s="547">
        <v>4.3787870388754736E-2</v>
      </c>
      <c r="F870" s="548">
        <v>9.6354874889101452E-2</v>
      </c>
      <c r="G870" s="549">
        <v>7.3002895700864198E-2</v>
      </c>
      <c r="H870" s="550">
        <v>3.9696750942655804E-3</v>
      </c>
      <c r="I870" s="551">
        <v>4.5215133606450603E-2</v>
      </c>
      <c r="J870" s="551">
        <v>2.8225579969434901E-2</v>
      </c>
      <c r="K870" s="551">
        <v>1.01687164740746E-2</v>
      </c>
      <c r="L870" s="551">
        <v>1.5545903399914499E-3</v>
      </c>
      <c r="M870" s="552">
        <v>1.0628500710021201E-2</v>
      </c>
    </row>
    <row r="871" spans="2:13" ht="15.75" x14ac:dyDescent="0.25">
      <c r="B871" s="555">
        <v>2034</v>
      </c>
      <c r="C871" s="556">
        <v>2031</v>
      </c>
      <c r="D871" s="557" t="s">
        <v>3769</v>
      </c>
      <c r="E871" s="547">
        <v>4.3766475490397375E-2</v>
      </c>
      <c r="F871" s="548">
        <v>9.6306628798584926E-2</v>
      </c>
      <c r="G871" s="549">
        <v>7.1185274476495197E-2</v>
      </c>
      <c r="H871" s="550">
        <v>4.3461956021558197E-3</v>
      </c>
      <c r="I871" s="551">
        <v>4.2751399963346301E-2</v>
      </c>
      <c r="J871" s="551">
        <v>3.0280046376501901E-2</v>
      </c>
      <c r="K871" s="551">
        <v>8.9517916522178706E-3</v>
      </c>
      <c r="L871" s="551">
        <v>1.5551757584099601E-3</v>
      </c>
      <c r="M871" s="552">
        <v>9.3565519477440198E-3</v>
      </c>
    </row>
    <row r="872" spans="2:13" ht="15.75" x14ac:dyDescent="0.25">
      <c r="B872" s="555">
        <v>2034</v>
      </c>
      <c r="C872" s="556">
        <v>2032</v>
      </c>
      <c r="D872" s="557" t="s">
        <v>3770</v>
      </c>
      <c r="E872" s="547">
        <v>4.374217251880657E-2</v>
      </c>
      <c r="F872" s="548">
        <v>9.6254669473350901E-2</v>
      </c>
      <c r="G872" s="549">
        <v>6.9275947959116596E-2</v>
      </c>
      <c r="H872" s="550">
        <v>4.9918481551054503E-3</v>
      </c>
      <c r="I872" s="551">
        <v>4.0167033611935098E-2</v>
      </c>
      <c r="J872" s="551">
        <v>3.34523994535579E-2</v>
      </c>
      <c r="K872" s="551">
        <v>7.6758996793155499E-3</v>
      </c>
      <c r="L872" s="551">
        <v>1.55577205358581E-3</v>
      </c>
      <c r="M872" s="552">
        <v>8.0229698015138393E-3</v>
      </c>
    </row>
    <row r="873" spans="2:13" ht="15.75" x14ac:dyDescent="0.25">
      <c r="B873" s="555">
        <v>2034</v>
      </c>
      <c r="C873" s="556">
        <v>2033</v>
      </c>
      <c r="D873" s="557" t="s">
        <v>3771</v>
      </c>
      <c r="E873" s="547">
        <v>4.3712747719034425E-2</v>
      </c>
      <c r="F873" s="548">
        <v>9.6187751416499323E-2</v>
      </c>
      <c r="G873" s="549">
        <v>6.7273545060358098E-2</v>
      </c>
      <c r="H873" s="550">
        <v>5.65871046137475E-3</v>
      </c>
      <c r="I873" s="551">
        <v>3.7461518602442199E-2</v>
      </c>
      <c r="J873" s="551">
        <v>3.6584923614860397E-2</v>
      </c>
      <c r="K873" s="551">
        <v>6.34096001516963E-3</v>
      </c>
      <c r="L873" s="551">
        <v>1.5563649748847701E-3</v>
      </c>
      <c r="M873" s="552">
        <v>6.6276700894622696E-3</v>
      </c>
    </row>
    <row r="874" spans="2:13" ht="15.75" x14ac:dyDescent="0.25">
      <c r="B874" s="555">
        <v>2034</v>
      </c>
      <c r="C874" s="556">
        <v>2034</v>
      </c>
      <c r="D874" s="557" t="s">
        <v>3772</v>
      </c>
      <c r="E874" s="547">
        <v>4.3672333457135122E-2</v>
      </c>
      <c r="F874" s="548">
        <v>9.6075639419906544E-2</v>
      </c>
      <c r="G874" s="549">
        <v>6.5178778568746307E-2</v>
      </c>
      <c r="H874" s="550">
        <v>5.4138195286789498E-3</v>
      </c>
      <c r="I874" s="551">
        <v>3.46349954803657E-2</v>
      </c>
      <c r="J874" s="551">
        <v>3.4290858283443297E-2</v>
      </c>
      <c r="K874" s="551">
        <v>4.9469648997664799E-3</v>
      </c>
      <c r="L874" s="551">
        <v>1.5569657560853701E-3</v>
      </c>
      <c r="M874" s="552">
        <v>5.1706447007023003E-3</v>
      </c>
    </row>
    <row r="875" spans="2:13" ht="15.75" x14ac:dyDescent="0.25">
      <c r="B875" s="555">
        <v>2035</v>
      </c>
      <c r="C875" s="556">
        <v>1991</v>
      </c>
      <c r="D875" s="557" t="s">
        <v>3773</v>
      </c>
      <c r="E875" s="547">
        <v>6.4151545432385701E-2</v>
      </c>
      <c r="F875" s="548">
        <v>0.1351344150933195</v>
      </c>
      <c r="G875" s="549">
        <v>0.3644371583214</v>
      </c>
      <c r="H875" s="550">
        <v>0.48506682348856101</v>
      </c>
      <c r="I875" s="551">
        <v>9.2130086761465098</v>
      </c>
      <c r="J875" s="551">
        <v>2.9304372992778598</v>
      </c>
      <c r="K875" s="551">
        <v>5.1649232635075502E-2</v>
      </c>
      <c r="L875" s="551">
        <v>7.7818573718850302E-3</v>
      </c>
      <c r="M875" s="552">
        <v>5.3984581744758203E-2</v>
      </c>
    </row>
    <row r="876" spans="2:13" ht="15.75" x14ac:dyDescent="0.25">
      <c r="B876" s="555">
        <v>2035</v>
      </c>
      <c r="C876" s="556">
        <v>1992</v>
      </c>
      <c r="D876" s="557" t="s">
        <v>3774</v>
      </c>
      <c r="E876" s="547">
        <v>6.4361730525827068E-2</v>
      </c>
      <c r="F876" s="548">
        <v>0.13592213917048948</v>
      </c>
      <c r="G876" s="549">
        <v>0.36717944398371399</v>
      </c>
      <c r="H876" s="550">
        <v>0.49217269513151801</v>
      </c>
      <c r="I876" s="551">
        <v>9.1809058289415493</v>
      </c>
      <c r="J876" s="551">
        <v>2.9526391018306199</v>
      </c>
      <c r="K876" s="551">
        <v>5.2037878377943901E-2</v>
      </c>
      <c r="L876" s="551">
        <v>7.9288396053593599E-3</v>
      </c>
      <c r="M876" s="552">
        <v>5.43908003235292E-2</v>
      </c>
    </row>
    <row r="877" spans="2:13" ht="15.75" x14ac:dyDescent="0.25">
      <c r="B877" s="555">
        <v>2035</v>
      </c>
      <c r="C877" s="556">
        <v>1993</v>
      </c>
      <c r="D877" s="557" t="s">
        <v>3775</v>
      </c>
      <c r="E877" s="547">
        <v>6.4403853551429149E-2</v>
      </c>
      <c r="F877" s="548">
        <v>0.1351960651295657</v>
      </c>
      <c r="G877" s="549">
        <v>0.368031996093723</v>
      </c>
      <c r="H877" s="550">
        <v>0.48433655042682699</v>
      </c>
      <c r="I877" s="551">
        <v>9.1757023483996907</v>
      </c>
      <c r="J877" s="551">
        <v>2.9347254127042302</v>
      </c>
      <c r="K877" s="551">
        <v>5.2158704866840398E-2</v>
      </c>
      <c r="L877" s="551">
        <v>7.8322751853091201E-3</v>
      </c>
      <c r="M877" s="552">
        <v>5.4517090050094003E-2</v>
      </c>
    </row>
    <row r="878" spans="2:13" ht="15.75" x14ac:dyDescent="0.25">
      <c r="B878" s="555">
        <v>2035</v>
      </c>
      <c r="C878" s="556">
        <v>1994</v>
      </c>
      <c r="D878" s="557" t="s">
        <v>3776</v>
      </c>
      <c r="E878" s="547">
        <v>6.4072043144841759E-2</v>
      </c>
      <c r="F878" s="548">
        <v>0.13423383461787874</v>
      </c>
      <c r="G878" s="549">
        <v>0.361893775284652</v>
      </c>
      <c r="H878" s="550">
        <v>0.474447886619355</v>
      </c>
      <c r="I878" s="551">
        <v>9.2372384533523597</v>
      </c>
      <c r="J878" s="551">
        <v>2.9134192570866402</v>
      </c>
      <c r="K878" s="551">
        <v>5.1818979685686599E-2</v>
      </c>
      <c r="L878" s="551">
        <v>7.6952500321624999E-3</v>
      </c>
      <c r="M878" s="552">
        <v>5.4162004003756502E-2</v>
      </c>
    </row>
    <row r="879" spans="2:13" ht="15.75" x14ac:dyDescent="0.25">
      <c r="B879" s="555">
        <v>2035</v>
      </c>
      <c r="C879" s="556">
        <v>1995</v>
      </c>
      <c r="D879" s="557" t="s">
        <v>3777</v>
      </c>
      <c r="E879" s="547">
        <v>6.4410540112427694E-2</v>
      </c>
      <c r="F879" s="548">
        <v>0.13333146828196366</v>
      </c>
      <c r="G879" s="549">
        <v>0.36608454957383901</v>
      </c>
      <c r="H879" s="550">
        <v>0.25329089272364502</v>
      </c>
      <c r="I879" s="551">
        <v>9.21183140250651</v>
      </c>
      <c r="J879" s="551">
        <v>1.6629629263168499</v>
      </c>
      <c r="K879" s="551">
        <v>5.2419049823914002E-2</v>
      </c>
      <c r="L879" s="551">
        <v>5.0257329467916301E-3</v>
      </c>
      <c r="M879" s="552">
        <v>5.4789206650862697E-2</v>
      </c>
    </row>
    <row r="880" spans="2:13" ht="15.75" x14ac:dyDescent="0.25">
      <c r="B880" s="555">
        <v>2035</v>
      </c>
      <c r="C880" s="556">
        <v>1996</v>
      </c>
      <c r="D880" s="557" t="s">
        <v>3778</v>
      </c>
      <c r="E880" s="547">
        <v>6.4431478958130742E-2</v>
      </c>
      <c r="F880" s="548">
        <v>0.13172338708531256</v>
      </c>
      <c r="G880" s="549">
        <v>0.366410165491666</v>
      </c>
      <c r="H880" s="550">
        <v>2.2939513849289099E-2</v>
      </c>
      <c r="I880" s="551">
        <v>9.20743628578591</v>
      </c>
      <c r="J880" s="551">
        <v>0.39577181390435301</v>
      </c>
      <c r="K880" s="551">
        <v>5.2465674236334303E-2</v>
      </c>
      <c r="L880" s="551">
        <v>2.2358335264107102E-3</v>
      </c>
      <c r="M880" s="552">
        <v>5.4837939212319997E-2</v>
      </c>
    </row>
    <row r="881" spans="2:13" ht="15.75" x14ac:dyDescent="0.25">
      <c r="B881" s="555">
        <v>2035</v>
      </c>
      <c r="C881" s="556">
        <v>1997</v>
      </c>
      <c r="D881" s="557" t="s">
        <v>3779</v>
      </c>
      <c r="E881" s="547">
        <v>6.4667993251854586E-2</v>
      </c>
      <c r="F881" s="548">
        <v>0.1303454545986113</v>
      </c>
      <c r="G881" s="549">
        <v>0.36918418736830699</v>
      </c>
      <c r="H881" s="550">
        <v>2.2313992148313401E-2</v>
      </c>
      <c r="I881" s="551">
        <v>9.1674150219092407</v>
      </c>
      <c r="J881" s="551">
        <v>0.39176286868746601</v>
      </c>
      <c r="K881" s="551">
        <v>5.2862881906348101E-2</v>
      </c>
      <c r="L881" s="551">
        <v>2.1774130766607498E-3</v>
      </c>
      <c r="M881" s="552">
        <v>5.5253106850588797E-2</v>
      </c>
    </row>
    <row r="882" spans="2:13" ht="15.75" x14ac:dyDescent="0.25">
      <c r="B882" s="555">
        <v>2035</v>
      </c>
      <c r="C882" s="556">
        <v>1998</v>
      </c>
      <c r="D882" s="557" t="s">
        <v>3780</v>
      </c>
      <c r="E882" s="547">
        <v>6.4463109941107752E-2</v>
      </c>
      <c r="F882" s="548">
        <v>0.13087404648793552</v>
      </c>
      <c r="G882" s="549">
        <v>0.36771746319303</v>
      </c>
      <c r="H882" s="550">
        <v>2.25505328207289E-2</v>
      </c>
      <c r="I882" s="551">
        <v>9.2047306124323391</v>
      </c>
      <c r="J882" s="551">
        <v>0.39348929855180098</v>
      </c>
      <c r="K882" s="551">
        <v>5.2652864062898298E-2</v>
      </c>
      <c r="L882" s="551">
        <v>2.2044292238912102E-3</v>
      </c>
      <c r="M882" s="552">
        <v>5.5033592932198699E-2</v>
      </c>
    </row>
    <row r="883" spans="2:13" ht="15.75" x14ac:dyDescent="0.25">
      <c r="B883" s="555">
        <v>2035</v>
      </c>
      <c r="C883" s="556">
        <v>1999</v>
      </c>
      <c r="D883" s="557" t="s">
        <v>3781</v>
      </c>
      <c r="E883" s="547">
        <v>6.4384554509852671E-2</v>
      </c>
      <c r="F883" s="548">
        <v>0.1306960604941379</v>
      </c>
      <c r="G883" s="549">
        <v>0.367058917245704</v>
      </c>
      <c r="H883" s="550">
        <v>2.25257710859946E-2</v>
      </c>
      <c r="I883" s="551">
        <v>9.2066307393663802</v>
      </c>
      <c r="J883" s="551">
        <v>0.39352656175065298</v>
      </c>
      <c r="K883" s="551">
        <v>5.2558567942331602E-2</v>
      </c>
      <c r="L883" s="551">
        <v>2.1976660106273502E-3</v>
      </c>
      <c r="M883" s="552">
        <v>5.4935033159492802E-2</v>
      </c>
    </row>
    <row r="884" spans="2:13" ht="15.75" x14ac:dyDescent="0.25">
      <c r="B884" s="555">
        <v>2035</v>
      </c>
      <c r="C884" s="556">
        <v>2000</v>
      </c>
      <c r="D884" s="557" t="s">
        <v>3782</v>
      </c>
      <c r="E884" s="547">
        <v>6.4135135730616619E-2</v>
      </c>
      <c r="F884" s="548">
        <v>0.13113462379082122</v>
      </c>
      <c r="G884" s="549">
        <v>0.36467930581824098</v>
      </c>
      <c r="H884" s="550">
        <v>2.2723924585146299E-2</v>
      </c>
      <c r="I884" s="551">
        <v>9.23659467192779</v>
      </c>
      <c r="J884" s="551">
        <v>0.39549652119378598</v>
      </c>
      <c r="K884" s="551">
        <v>5.2217835261526097E-2</v>
      </c>
      <c r="L884" s="551">
        <v>2.2206204213422202E-3</v>
      </c>
      <c r="M884" s="552">
        <v>5.4578894058840199E-2</v>
      </c>
    </row>
    <row r="885" spans="2:13" ht="15.75" x14ac:dyDescent="0.25">
      <c r="B885" s="555">
        <v>2035</v>
      </c>
      <c r="C885" s="556">
        <v>2001</v>
      </c>
      <c r="D885" s="557" t="s">
        <v>3783</v>
      </c>
      <c r="E885" s="547">
        <v>6.434936060951757E-2</v>
      </c>
      <c r="F885" s="548">
        <v>0.13130428283481976</v>
      </c>
      <c r="G885" s="549">
        <v>0.36721451589827397</v>
      </c>
      <c r="H885" s="550">
        <v>2.2824027599415899E-2</v>
      </c>
      <c r="I885" s="551">
        <v>9.2023884035758403</v>
      </c>
      <c r="J885" s="551">
        <v>0.39694169520795303</v>
      </c>
      <c r="K885" s="551">
        <v>5.2580847859719802E-2</v>
      </c>
      <c r="L885" s="551">
        <v>2.2331370117280301E-3</v>
      </c>
      <c r="M885" s="552">
        <v>5.49583204758795E-2</v>
      </c>
    </row>
    <row r="886" spans="2:13" ht="15.75" x14ac:dyDescent="0.25">
      <c r="B886" s="555">
        <v>2035</v>
      </c>
      <c r="C886" s="556">
        <v>2002</v>
      </c>
      <c r="D886" s="557" t="s">
        <v>3784</v>
      </c>
      <c r="E886" s="547">
        <v>6.4187140901226528E-2</v>
      </c>
      <c r="F886" s="548">
        <v>0.13113940596718046</v>
      </c>
      <c r="G886" s="549">
        <v>0.283787751183815</v>
      </c>
      <c r="H886" s="550">
        <v>2.2776743887825201E-2</v>
      </c>
      <c r="I886" s="551">
        <v>7.0999071342561599</v>
      </c>
      <c r="J886" s="551">
        <v>0.319499528363624</v>
      </c>
      <c r="K886" s="551">
        <v>5.2897442956144E-2</v>
      </c>
      <c r="L886" s="551">
        <v>2.2306367841366799E-3</v>
      </c>
      <c r="M886" s="552">
        <v>5.5289230597694097E-2</v>
      </c>
    </row>
    <row r="887" spans="2:13" ht="15.75" x14ac:dyDescent="0.25">
      <c r="B887" s="555">
        <v>2035</v>
      </c>
      <c r="C887" s="556">
        <v>2003</v>
      </c>
      <c r="D887" s="557" t="s">
        <v>3785</v>
      </c>
      <c r="E887" s="547">
        <v>6.3885684030563925E-2</v>
      </c>
      <c r="F887" s="548">
        <v>0.13055015525802488</v>
      </c>
      <c r="G887" s="549">
        <v>0.28155725112899099</v>
      </c>
      <c r="H887" s="550">
        <v>2.2534501900891499E-2</v>
      </c>
      <c r="I887" s="551">
        <v>7.1276362868140799</v>
      </c>
      <c r="J887" s="551">
        <v>0.319395931831503</v>
      </c>
      <c r="K887" s="551">
        <v>5.2481682413549897E-2</v>
      </c>
      <c r="L887" s="551">
        <v>2.2073977707322999E-3</v>
      </c>
      <c r="M887" s="552">
        <v>5.4854671208274003E-2</v>
      </c>
    </row>
    <row r="888" spans="2:13" ht="15.75" x14ac:dyDescent="0.25">
      <c r="B888" s="555">
        <v>2035</v>
      </c>
      <c r="C888" s="556">
        <v>2004</v>
      </c>
      <c r="D888" s="557" t="s">
        <v>3786</v>
      </c>
      <c r="E888" s="547">
        <v>6.3656935603725207E-2</v>
      </c>
      <c r="F888" s="548">
        <v>0.12953777448987358</v>
      </c>
      <c r="G888" s="549">
        <v>0.23238294419026401</v>
      </c>
      <c r="H888" s="550">
        <v>1.47657573165781E-2</v>
      </c>
      <c r="I888" s="551">
        <v>5.9615673880329298</v>
      </c>
      <c r="J888" s="551">
        <v>0.27027793881435902</v>
      </c>
      <c r="K888" s="551">
        <v>5.2187865016928597E-2</v>
      </c>
      <c r="L888" s="551">
        <v>1.4364539389226201E-4</v>
      </c>
      <c r="M888" s="552">
        <v>5.4547568692772899E-2</v>
      </c>
    </row>
    <row r="889" spans="2:13" ht="15.75" x14ac:dyDescent="0.25">
      <c r="B889" s="555">
        <v>2035</v>
      </c>
      <c r="C889" s="556">
        <v>2005</v>
      </c>
      <c r="D889" s="557" t="s">
        <v>3787</v>
      </c>
      <c r="E889" s="547">
        <v>6.3700334688089916E-2</v>
      </c>
      <c r="F889" s="548">
        <v>0.12990383950969966</v>
      </c>
      <c r="G889" s="549">
        <v>0.23274496271474501</v>
      </c>
      <c r="H889" s="550">
        <v>1.4971255396226801E-2</v>
      </c>
      <c r="I889" s="551">
        <v>5.9515568731001096</v>
      </c>
      <c r="J889" s="551">
        <v>0.27214185573442101</v>
      </c>
      <c r="K889" s="551">
        <v>5.2269166051972703E-2</v>
      </c>
      <c r="L889" s="551">
        <v>1.45061306615497E-4</v>
      </c>
      <c r="M889" s="552">
        <v>5.4632545799853702E-2</v>
      </c>
    </row>
    <row r="890" spans="2:13" ht="15.75" x14ac:dyDescent="0.25">
      <c r="B890" s="555">
        <v>2035</v>
      </c>
      <c r="C890" s="556">
        <v>2006</v>
      </c>
      <c r="D890" s="557" t="s">
        <v>3788</v>
      </c>
      <c r="E890" s="547">
        <v>6.3528560207705198E-2</v>
      </c>
      <c r="F890" s="548">
        <v>0.13020998494763258</v>
      </c>
      <c r="G890" s="549">
        <v>0.23166207001516101</v>
      </c>
      <c r="H890" s="550">
        <v>1.51276128318959E-2</v>
      </c>
      <c r="I890" s="551">
        <v>5.9600752730529898</v>
      </c>
      <c r="J890" s="551">
        <v>0.27380568495097102</v>
      </c>
      <c r="K890" s="551">
        <v>5.2025973255570998E-2</v>
      </c>
      <c r="L890" s="551">
        <v>1.4622707908849299E-4</v>
      </c>
      <c r="M890" s="552">
        <v>5.4378356904350798E-2</v>
      </c>
    </row>
    <row r="891" spans="2:13" ht="15.75" x14ac:dyDescent="0.25">
      <c r="B891" s="555">
        <v>2035</v>
      </c>
      <c r="C891" s="556">
        <v>2007</v>
      </c>
      <c r="D891" s="557" t="s">
        <v>3789</v>
      </c>
      <c r="E891" s="547">
        <v>6.368490541185623E-2</v>
      </c>
      <c r="F891" s="548">
        <v>0.13056155700952202</v>
      </c>
      <c r="G891" s="549">
        <v>0.17018368498686301</v>
      </c>
      <c r="H891" s="550">
        <v>1.52956587075562E-2</v>
      </c>
      <c r="I891" s="551">
        <v>3.11425712048371</v>
      </c>
      <c r="J891" s="551">
        <v>0.27392283720036897</v>
      </c>
      <c r="K891" s="551">
        <v>3.7809621530839201E-2</v>
      </c>
      <c r="L891" s="551">
        <v>1.4758870054054101E-4</v>
      </c>
      <c r="M891" s="552">
        <v>3.9519204838753097E-2</v>
      </c>
    </row>
    <row r="892" spans="2:13" ht="15.75" x14ac:dyDescent="0.25">
      <c r="B892" s="555">
        <v>2035</v>
      </c>
      <c r="C892" s="556">
        <v>2008</v>
      </c>
      <c r="D892" s="557" t="s">
        <v>3790</v>
      </c>
      <c r="E892" s="547">
        <v>6.3916495033142923E-2</v>
      </c>
      <c r="F892" s="548">
        <v>0.13105228810666869</v>
      </c>
      <c r="G892" s="549">
        <v>0.17229066929626</v>
      </c>
      <c r="H892" s="550">
        <v>1.2083411823918099E-2</v>
      </c>
      <c r="I892" s="551">
        <v>3.1004697027207602</v>
      </c>
      <c r="J892" s="551">
        <v>0.19313528447806799</v>
      </c>
      <c r="K892" s="551">
        <v>3.8090952466181001E-2</v>
      </c>
      <c r="L892" s="551">
        <v>1.70378327698083E-4</v>
      </c>
      <c r="M892" s="552">
        <v>3.98132563106035E-2</v>
      </c>
    </row>
    <row r="893" spans="2:13" ht="15.75" x14ac:dyDescent="0.25">
      <c r="B893" s="555">
        <v>2035</v>
      </c>
      <c r="C893" s="556">
        <v>2009</v>
      </c>
      <c r="D893" s="557" t="s">
        <v>3791</v>
      </c>
      <c r="E893" s="547">
        <v>6.3907484127892336E-2</v>
      </c>
      <c r="F893" s="548">
        <v>0.12980871624253909</v>
      </c>
      <c r="G893" s="549">
        <v>0.17242889466002401</v>
      </c>
      <c r="H893" s="550">
        <v>8.4735959687175892E-3</v>
      </c>
      <c r="I893" s="551">
        <v>3.0984468260868101</v>
      </c>
      <c r="J893" s="551">
        <v>0.108947021055903</v>
      </c>
      <c r="K893" s="551">
        <v>3.8109513133240902E-2</v>
      </c>
      <c r="L893" s="551">
        <v>1.8679926319285E-4</v>
      </c>
      <c r="M893" s="552">
        <v>3.9832656208666099E-2</v>
      </c>
    </row>
    <row r="894" spans="2:13" ht="15.75" x14ac:dyDescent="0.25">
      <c r="B894" s="555">
        <v>2035</v>
      </c>
      <c r="C894" s="556">
        <v>2010</v>
      </c>
      <c r="D894" s="557" t="s">
        <v>3792</v>
      </c>
      <c r="E894" s="547">
        <v>6.3918309388940636E-2</v>
      </c>
      <c r="F894" s="548">
        <v>0.12871776346851915</v>
      </c>
      <c r="G894" s="549">
        <v>0.11055715625665399</v>
      </c>
      <c r="H894" s="550">
        <v>8.2844529592828002E-3</v>
      </c>
      <c r="I894" s="551">
        <v>0.28473854158012102</v>
      </c>
      <c r="J894" s="551">
        <v>0.108821322124335</v>
      </c>
      <c r="K894" s="551">
        <v>2.3521380306751102E-2</v>
      </c>
      <c r="L894" s="551">
        <v>2.2265331745360299E-4</v>
      </c>
      <c r="M894" s="552">
        <v>2.4584912749643101E-2</v>
      </c>
    </row>
    <row r="895" spans="2:13" ht="15.75" x14ac:dyDescent="0.25">
      <c r="B895" s="555">
        <v>2035</v>
      </c>
      <c r="C895" s="556">
        <v>2011</v>
      </c>
      <c r="D895" s="557" t="s">
        <v>3793</v>
      </c>
      <c r="E895" s="547">
        <v>6.3862833157674631E-2</v>
      </c>
      <c r="F895" s="548">
        <v>0.13039176814317149</v>
      </c>
      <c r="G895" s="549">
        <v>0.110261881922012</v>
      </c>
      <c r="H895" s="550">
        <v>8.61501882536078E-3</v>
      </c>
      <c r="I895" s="551">
        <v>0.28426784446733999</v>
      </c>
      <c r="J895" s="551">
        <v>0.11068393607969899</v>
      </c>
      <c r="K895" s="551">
        <v>2.3497782890363101E-2</v>
      </c>
      <c r="L895" s="551">
        <v>3.1428920545459701E-4</v>
      </c>
      <c r="M895" s="552">
        <v>2.45602483627981E-2</v>
      </c>
    </row>
    <row r="896" spans="2:13" ht="15.75" x14ac:dyDescent="0.25">
      <c r="B896" s="555">
        <v>2035</v>
      </c>
      <c r="C896" s="556">
        <v>2012</v>
      </c>
      <c r="D896" s="557" t="s">
        <v>3794</v>
      </c>
      <c r="E896" s="547">
        <v>6.3974527683111598E-2</v>
      </c>
      <c r="F896" s="548">
        <v>0.130793925146067</v>
      </c>
      <c r="G896" s="549">
        <v>0.11157664343026499</v>
      </c>
      <c r="H896" s="550">
        <v>8.6900809103298005E-3</v>
      </c>
      <c r="I896" s="551">
        <v>0.285953288355416</v>
      </c>
      <c r="J896" s="551">
        <v>0.111135829978991</v>
      </c>
      <c r="K896" s="551">
        <v>2.35444258090339E-2</v>
      </c>
      <c r="L896" s="551">
        <v>4.6413556817172903E-4</v>
      </c>
      <c r="M896" s="552">
        <v>2.4609000267276301E-2</v>
      </c>
    </row>
    <row r="897" spans="2:13" ht="15.75" x14ac:dyDescent="0.25">
      <c r="B897" s="555">
        <v>2035</v>
      </c>
      <c r="C897" s="556">
        <v>2013</v>
      </c>
      <c r="D897" s="557" t="s">
        <v>3795</v>
      </c>
      <c r="E897" s="547">
        <v>6.3829819419733855E-2</v>
      </c>
      <c r="F897" s="548">
        <v>0.13079663964581317</v>
      </c>
      <c r="G897" s="549">
        <v>0.110197672699061</v>
      </c>
      <c r="H897" s="550">
        <v>8.7085099635604603E-3</v>
      </c>
      <c r="I897" s="551">
        <v>0.283383678493698</v>
      </c>
      <c r="J897" s="551">
        <v>0.11029845710861701</v>
      </c>
      <c r="K897" s="551">
        <v>2.3362794795573998E-2</v>
      </c>
      <c r="L897" s="551">
        <v>6.95388493714709E-4</v>
      </c>
      <c r="M897" s="552">
        <v>2.4419156705363401E-2</v>
      </c>
    </row>
    <row r="898" spans="2:13" ht="15.75" x14ac:dyDescent="0.25">
      <c r="B898" s="555">
        <v>2035</v>
      </c>
      <c r="C898" s="556">
        <v>2014</v>
      </c>
      <c r="D898" s="557" t="s">
        <v>3796</v>
      </c>
      <c r="E898" s="547">
        <v>6.2282429758081105E-2</v>
      </c>
      <c r="F898" s="548">
        <v>0.12864632892563033</v>
      </c>
      <c r="G898" s="549">
        <v>0.10930669731437399</v>
      </c>
      <c r="H898" s="550">
        <v>8.6714000599945606E-3</v>
      </c>
      <c r="I898" s="551">
        <v>0.28108080120928702</v>
      </c>
      <c r="J898" s="551">
        <v>0.110014238959494</v>
      </c>
      <c r="K898" s="551">
        <v>2.31423699236117E-2</v>
      </c>
      <c r="L898" s="551">
        <v>9.6483345203416998E-4</v>
      </c>
      <c r="M898" s="552">
        <v>2.4188765198811801E-2</v>
      </c>
    </row>
    <row r="899" spans="2:13" ht="15.75" x14ac:dyDescent="0.25">
      <c r="B899" s="555">
        <v>2035</v>
      </c>
      <c r="C899" s="556">
        <v>2015</v>
      </c>
      <c r="D899" s="557" t="s">
        <v>3797</v>
      </c>
      <c r="E899" s="547">
        <v>6.17522573231662E-2</v>
      </c>
      <c r="F899" s="548">
        <v>0.12861219107163829</v>
      </c>
      <c r="G899" s="549">
        <v>0.108275257434748</v>
      </c>
      <c r="H899" s="550">
        <v>8.7872049903136105E-3</v>
      </c>
      <c r="I899" s="551">
        <v>0.278320557005167</v>
      </c>
      <c r="J899" s="551">
        <v>0.110320251143144</v>
      </c>
      <c r="K899" s="551">
        <v>2.2860549950850802E-2</v>
      </c>
      <c r="L899" s="551">
        <v>1.2338294655397401E-3</v>
      </c>
      <c r="M899" s="552">
        <v>2.38942025774402E-2</v>
      </c>
    </row>
    <row r="900" spans="2:13" ht="15.75" x14ac:dyDescent="0.25">
      <c r="B900" s="555">
        <v>2035</v>
      </c>
      <c r="C900" s="556">
        <v>2016</v>
      </c>
      <c r="D900" s="557" t="s">
        <v>3798</v>
      </c>
      <c r="E900" s="547">
        <v>5.9742963142192837E-2</v>
      </c>
      <c r="F900" s="548">
        <v>0.12469057256175833</v>
      </c>
      <c r="G900" s="549">
        <v>0.106993230947886</v>
      </c>
      <c r="H900" s="550">
        <v>8.00830737641294E-3</v>
      </c>
      <c r="I900" s="551">
        <v>0.24094682088443301</v>
      </c>
      <c r="J900" s="551">
        <v>9.6590950080916199E-2</v>
      </c>
      <c r="K900" s="551">
        <v>2.2507681785658502E-2</v>
      </c>
      <c r="L900" s="551">
        <v>1.3886578225499901E-3</v>
      </c>
      <c r="M900" s="552">
        <v>2.3525379279647301E-2</v>
      </c>
    </row>
    <row r="901" spans="2:13" ht="15.75" x14ac:dyDescent="0.25">
      <c r="B901" s="555">
        <v>2035</v>
      </c>
      <c r="C901" s="556">
        <v>2017</v>
      </c>
      <c r="D901" s="557" t="s">
        <v>3799</v>
      </c>
      <c r="E901" s="547">
        <v>5.6234676545518114E-2</v>
      </c>
      <c r="F901" s="548">
        <v>0.12078521336561573</v>
      </c>
      <c r="G901" s="549">
        <v>8.8967511164834395E-2</v>
      </c>
      <c r="H901" s="550">
        <v>7.19744548986361E-3</v>
      </c>
      <c r="I901" s="551">
        <v>0.18604826891963799</v>
      </c>
      <c r="J901" s="551">
        <v>8.3102262379968206E-2</v>
      </c>
      <c r="K901" s="551">
        <v>2.1037024368910501E-2</v>
      </c>
      <c r="L901" s="551">
        <v>1.44727949453479E-3</v>
      </c>
      <c r="M901" s="552">
        <v>2.1988225260459598E-2</v>
      </c>
    </row>
    <row r="902" spans="2:13" ht="15.75" x14ac:dyDescent="0.25">
      <c r="B902" s="555">
        <v>2035</v>
      </c>
      <c r="C902" s="556">
        <v>2018</v>
      </c>
      <c r="D902" s="557" t="s">
        <v>3800</v>
      </c>
      <c r="E902" s="547">
        <v>5.2509079055091785E-2</v>
      </c>
      <c r="F902" s="548">
        <v>0.11560805232245869</v>
      </c>
      <c r="G902" s="549">
        <v>8.84143485540725E-2</v>
      </c>
      <c r="H902" s="550">
        <v>6.4635940469489001E-3</v>
      </c>
      <c r="I902" s="551">
        <v>0.15020932198473699</v>
      </c>
      <c r="J902" s="551">
        <v>6.9104134150085594E-2</v>
      </c>
      <c r="K902" s="551">
        <v>2.06418967750608E-2</v>
      </c>
      <c r="L902" s="551">
        <v>1.50794099265825E-3</v>
      </c>
      <c r="M902" s="552">
        <v>2.1575231750168702E-2</v>
      </c>
    </row>
    <row r="903" spans="2:13" ht="15.75" x14ac:dyDescent="0.25">
      <c r="B903" s="555">
        <v>2035</v>
      </c>
      <c r="C903" s="556">
        <v>2019</v>
      </c>
      <c r="D903" s="557" t="s">
        <v>3801</v>
      </c>
      <c r="E903" s="547">
        <v>5.2491398346651563E-2</v>
      </c>
      <c r="F903" s="548">
        <v>0.11556098537878483</v>
      </c>
      <c r="G903" s="549">
        <v>8.7772920387364894E-2</v>
      </c>
      <c r="H903" s="550">
        <v>5.8182264559845801E-3</v>
      </c>
      <c r="I903" s="551">
        <v>0.12765939327429501</v>
      </c>
      <c r="J903" s="551">
        <v>5.94992026425612E-2</v>
      </c>
      <c r="K903" s="551">
        <v>2.0188307132043701E-2</v>
      </c>
      <c r="L903" s="551">
        <v>1.54857989503315E-3</v>
      </c>
      <c r="M903" s="552">
        <v>2.1101132796268601E-2</v>
      </c>
    </row>
    <row r="904" spans="2:13" ht="15.75" x14ac:dyDescent="0.25">
      <c r="B904" s="555">
        <v>2035</v>
      </c>
      <c r="C904" s="556">
        <v>2020</v>
      </c>
      <c r="D904" s="557" t="s">
        <v>3802</v>
      </c>
      <c r="E904" s="547">
        <v>5.24737832928956E-2</v>
      </c>
      <c r="F904" s="548">
        <v>0.11551415842616262</v>
      </c>
      <c r="G904" s="549">
        <v>8.7042558116702806E-2</v>
      </c>
      <c r="H904" s="550">
        <v>5.1697402965621003E-3</v>
      </c>
      <c r="I904" s="551">
        <v>0.10516713416181001</v>
      </c>
      <c r="J904" s="551">
        <v>5.0376525188991203E-2</v>
      </c>
      <c r="K904" s="551">
        <v>1.9676203252559001E-2</v>
      </c>
      <c r="L904" s="551">
        <v>1.54909364136469E-3</v>
      </c>
      <c r="M904" s="552">
        <v>2.0565873851780901E-2</v>
      </c>
    </row>
    <row r="905" spans="2:13" ht="15.75" x14ac:dyDescent="0.25">
      <c r="B905" s="555">
        <v>2035</v>
      </c>
      <c r="C905" s="556">
        <v>2021</v>
      </c>
      <c r="D905" s="557" t="s">
        <v>3803</v>
      </c>
      <c r="E905" s="547">
        <v>5.1144879757254055E-2</v>
      </c>
      <c r="F905" s="548">
        <v>0.11258654175597203</v>
      </c>
      <c r="G905" s="549">
        <v>8.6224177709001398E-2</v>
      </c>
      <c r="H905" s="550">
        <v>4.5381827518267397E-3</v>
      </c>
      <c r="I905" s="551">
        <v>8.3492102062552295E-2</v>
      </c>
      <c r="J905" s="551">
        <v>4.1169298267326397E-2</v>
      </c>
      <c r="K905" s="551">
        <v>1.91056245791709E-2</v>
      </c>
      <c r="L905" s="551">
        <v>1.5496285639125099E-3</v>
      </c>
      <c r="M905" s="552">
        <v>1.99694961426875E-2</v>
      </c>
    </row>
    <row r="906" spans="2:13" ht="15.75" x14ac:dyDescent="0.25">
      <c r="B906" s="555">
        <v>2035</v>
      </c>
      <c r="C906" s="556">
        <v>2022</v>
      </c>
      <c r="D906" s="557" t="s">
        <v>3804</v>
      </c>
      <c r="E906" s="547">
        <v>4.9869165470703039E-2</v>
      </c>
      <c r="F906" s="548">
        <v>0.10977634178930833</v>
      </c>
      <c r="G906" s="549">
        <v>8.5315255611419102E-2</v>
      </c>
      <c r="H906" s="550">
        <v>3.92685933981752E-3</v>
      </c>
      <c r="I906" s="551">
        <v>6.1993676022128998E-2</v>
      </c>
      <c r="J906" s="551">
        <v>3.22815365119304E-2</v>
      </c>
      <c r="K906" s="551">
        <v>1.84763942791299E-2</v>
      </c>
      <c r="L906" s="551">
        <v>1.55016245324611E-3</v>
      </c>
      <c r="M906" s="552">
        <v>1.9311814840646899E-2</v>
      </c>
    </row>
    <row r="907" spans="2:13" ht="15.75" x14ac:dyDescent="0.25">
      <c r="B907" s="555">
        <v>2035</v>
      </c>
      <c r="C907" s="556">
        <v>2023</v>
      </c>
      <c r="D907" s="557" t="s">
        <v>3805</v>
      </c>
      <c r="E907" s="547">
        <v>4.8594240839270074E-2</v>
      </c>
      <c r="F907" s="548">
        <v>0.10697035694101727</v>
      </c>
      <c r="G907" s="549">
        <v>8.4317036518633898E-2</v>
      </c>
      <c r="H907" s="550">
        <v>3.9519995622056998E-3</v>
      </c>
      <c r="I907" s="551">
        <v>6.0610385627379998E-2</v>
      </c>
      <c r="J907" s="551">
        <v>3.1633485716381297E-2</v>
      </c>
      <c r="K907" s="551">
        <v>1.7788570995734401E-2</v>
      </c>
      <c r="L907" s="551">
        <v>1.55070887387925E-3</v>
      </c>
      <c r="M907" s="552">
        <v>1.8592891240546802E-2</v>
      </c>
    </row>
    <row r="908" spans="2:13" ht="15.75" x14ac:dyDescent="0.25">
      <c r="B908" s="555">
        <v>2035</v>
      </c>
      <c r="C908" s="556">
        <v>2024</v>
      </c>
      <c r="D908" s="557" t="s">
        <v>3806</v>
      </c>
      <c r="E908" s="547">
        <v>4.7372341020927258E-2</v>
      </c>
      <c r="F908" s="548">
        <v>0.104280948052387</v>
      </c>
      <c r="G908" s="549">
        <v>8.3227887766115297E-2</v>
      </c>
      <c r="H908" s="550">
        <v>3.9903720926328899E-3</v>
      </c>
      <c r="I908" s="551">
        <v>5.9107314704313199E-2</v>
      </c>
      <c r="J908" s="551">
        <v>3.2125266212004698E-2</v>
      </c>
      <c r="K908" s="551">
        <v>1.7042040672380201E-2</v>
      </c>
      <c r="L908" s="551">
        <v>1.5512544018432301E-3</v>
      </c>
      <c r="M908" s="552">
        <v>1.78126061286497E-2</v>
      </c>
    </row>
    <row r="909" spans="2:13" ht="15.75" x14ac:dyDescent="0.25">
      <c r="B909" s="555">
        <v>2035</v>
      </c>
      <c r="C909" s="556">
        <v>2025</v>
      </c>
      <c r="D909" s="557" t="s">
        <v>3807</v>
      </c>
      <c r="E909" s="547">
        <v>4.615109120387046E-2</v>
      </c>
      <c r="F909" s="548">
        <v>0.10159270802203918</v>
      </c>
      <c r="G909" s="549">
        <v>8.2049074544429501E-2</v>
      </c>
      <c r="H909" s="550">
        <v>4.0233423354606498E-3</v>
      </c>
      <c r="I909" s="551">
        <v>5.7484862866275598E-2</v>
      </c>
      <c r="J909" s="551">
        <v>3.1308531495523602E-2</v>
      </c>
      <c r="K909" s="551">
        <v>1.62368516801168E-2</v>
      </c>
      <c r="L909" s="551">
        <v>1.55181343685109E-3</v>
      </c>
      <c r="M909" s="552">
        <v>1.6971010063129399E-2</v>
      </c>
    </row>
    <row r="910" spans="2:13" ht="15.75" x14ac:dyDescent="0.25">
      <c r="B910" s="555">
        <v>2035</v>
      </c>
      <c r="C910" s="556">
        <v>2026</v>
      </c>
      <c r="D910" s="557" t="s">
        <v>3808</v>
      </c>
      <c r="E910" s="547">
        <v>4.4982674034318E-2</v>
      </c>
      <c r="F910" s="548">
        <v>9.9019772873608247E-2</v>
      </c>
      <c r="G910" s="549">
        <v>8.0778979060010997E-2</v>
      </c>
      <c r="H910" s="550">
        <v>4.0330733704902902E-3</v>
      </c>
      <c r="I910" s="551">
        <v>5.57484014539582E-2</v>
      </c>
      <c r="J910" s="551">
        <v>3.15205436401425E-2</v>
      </c>
      <c r="K910" s="551">
        <v>1.53728892885141E-2</v>
      </c>
      <c r="L910" s="551">
        <v>1.55237157960241E-3</v>
      </c>
      <c r="M910" s="552">
        <v>1.60679831259548E-2</v>
      </c>
    </row>
    <row r="911" spans="2:13" ht="15.75" x14ac:dyDescent="0.25">
      <c r="B911" s="555">
        <v>2035</v>
      </c>
      <c r="C911" s="556">
        <v>2027</v>
      </c>
      <c r="D911" s="557" t="s">
        <v>3809</v>
      </c>
      <c r="E911" s="547">
        <v>4.3867162485038677E-2</v>
      </c>
      <c r="F911" s="548">
        <v>9.6562155567796557E-2</v>
      </c>
      <c r="G911" s="549">
        <v>7.9419879744633298E-2</v>
      </c>
      <c r="H911" s="550">
        <v>4.0077060826166E-3</v>
      </c>
      <c r="I911" s="551">
        <v>5.3886449396526898E-2</v>
      </c>
      <c r="J911" s="551">
        <v>3.0613413842829999E-2</v>
      </c>
      <c r="K911" s="551">
        <v>1.4450255707294E-2</v>
      </c>
      <c r="L911" s="551">
        <v>1.5529559130351E-3</v>
      </c>
      <c r="M911" s="552">
        <v>1.51036321483178E-2</v>
      </c>
    </row>
    <row r="912" spans="2:13" ht="15.75" x14ac:dyDescent="0.25">
      <c r="B912" s="555">
        <v>2035</v>
      </c>
      <c r="C912" s="556">
        <v>2028</v>
      </c>
      <c r="D912" s="557" t="s">
        <v>3810</v>
      </c>
      <c r="E912" s="547">
        <v>4.3850693900582438E-2</v>
      </c>
      <c r="F912" s="548">
        <v>9.6518494201652899E-2</v>
      </c>
      <c r="G912" s="549">
        <v>7.7968399238542596E-2</v>
      </c>
      <c r="H912" s="550">
        <v>3.9494653827653204E-3</v>
      </c>
      <c r="I912" s="551">
        <v>5.1903942832107003E-2</v>
      </c>
      <c r="J912" s="551">
        <v>2.9975847431917502E-2</v>
      </c>
      <c r="K912" s="551">
        <v>1.34687439696852E-2</v>
      </c>
      <c r="L912" s="551">
        <v>1.5535327492156299E-3</v>
      </c>
      <c r="M912" s="552">
        <v>1.4077740805328099E-2</v>
      </c>
    </row>
    <row r="913" spans="2:13" ht="15.75" x14ac:dyDescent="0.25">
      <c r="B913" s="555">
        <v>2035</v>
      </c>
      <c r="C913" s="556">
        <v>2029</v>
      </c>
      <c r="D913" s="557" t="s">
        <v>3811</v>
      </c>
      <c r="E913" s="547">
        <v>4.3833482841073752E-2</v>
      </c>
      <c r="F913" s="548">
        <v>9.6472787311385491E-2</v>
      </c>
      <c r="G913" s="549">
        <v>7.6425374206812405E-2</v>
      </c>
      <c r="H913" s="550">
        <v>3.8823822723573799E-3</v>
      </c>
      <c r="I913" s="551">
        <v>4.9801094485245799E-2</v>
      </c>
      <c r="J913" s="551">
        <v>2.92281598797366E-2</v>
      </c>
      <c r="K913" s="551">
        <v>1.2428367333940701E-2</v>
      </c>
      <c r="L913" s="551">
        <v>1.55411254158952E-3</v>
      </c>
      <c r="M913" s="552">
        <v>1.29903229547183E-2</v>
      </c>
    </row>
    <row r="914" spans="2:13" ht="15.75" x14ac:dyDescent="0.25">
      <c r="B914" s="555">
        <v>2035</v>
      </c>
      <c r="C914" s="556">
        <v>2030</v>
      </c>
      <c r="D914" s="557" t="s">
        <v>3812</v>
      </c>
      <c r="E914" s="547">
        <v>4.3815364220869776E-2</v>
      </c>
      <c r="F914" s="548">
        <v>9.642589001433044E-2</v>
      </c>
      <c r="G914" s="549">
        <v>7.4791609938204606E-2</v>
      </c>
      <c r="H914" s="550">
        <v>3.86595917018283E-3</v>
      </c>
      <c r="I914" s="551">
        <v>4.7578122477761199E-2</v>
      </c>
      <c r="J914" s="551">
        <v>2.82072219436438E-2</v>
      </c>
      <c r="K914" s="551">
        <v>1.13291401960216E-2</v>
      </c>
      <c r="L914" s="551">
        <v>1.5547076077932699E-3</v>
      </c>
      <c r="M914" s="552">
        <v>1.18413936433706E-2</v>
      </c>
    </row>
    <row r="915" spans="2:13" ht="15.75" x14ac:dyDescent="0.25">
      <c r="B915" s="555">
        <v>2035</v>
      </c>
      <c r="C915" s="556">
        <v>2031</v>
      </c>
      <c r="D915" s="557" t="s">
        <v>3813</v>
      </c>
      <c r="E915" s="547">
        <v>4.3795789486607575E-2</v>
      </c>
      <c r="F915" s="548">
        <v>9.6377981922663961E-2</v>
      </c>
      <c r="G915" s="549">
        <v>7.3064817609383201E-2</v>
      </c>
      <c r="H915" s="550">
        <v>3.9910080422263603E-3</v>
      </c>
      <c r="I915" s="551">
        <v>4.5234171519074003E-2</v>
      </c>
      <c r="J915" s="551">
        <v>2.88204373572311E-2</v>
      </c>
      <c r="K915" s="551">
        <v>1.0170928458248E-2</v>
      </c>
      <c r="L915" s="551">
        <v>1.5552932018545801E-3</v>
      </c>
      <c r="M915" s="552">
        <v>1.0630812710303399E-2</v>
      </c>
    </row>
    <row r="916" spans="2:13" ht="15.75" x14ac:dyDescent="0.25">
      <c r="B916" s="555">
        <v>2035</v>
      </c>
      <c r="C916" s="556">
        <v>2032</v>
      </c>
      <c r="D916" s="557" t="s">
        <v>3814</v>
      </c>
      <c r="E916" s="547">
        <v>4.3774317663134429E-2</v>
      </c>
      <c r="F916" s="548">
        <v>9.6329472227002055E-2</v>
      </c>
      <c r="G916" s="549">
        <v>7.1246462637173505E-2</v>
      </c>
      <c r="H916" s="550">
        <v>4.3589354653663396E-3</v>
      </c>
      <c r="I916" s="551">
        <v>4.2769680816717802E-2</v>
      </c>
      <c r="J916" s="551">
        <v>3.0399337953355601E-2</v>
      </c>
      <c r="K916" s="551">
        <v>8.9537738811603096E-3</v>
      </c>
      <c r="L916" s="551">
        <v>1.5558896782261E-3</v>
      </c>
      <c r="M916" s="552">
        <v>9.3586238042832302E-3</v>
      </c>
    </row>
    <row r="917" spans="2:13" ht="15.75" x14ac:dyDescent="0.25">
      <c r="B917" s="555">
        <v>2035</v>
      </c>
      <c r="C917" s="556">
        <v>2033</v>
      </c>
      <c r="D917" s="557" t="s">
        <v>3815</v>
      </c>
      <c r="E917" s="547">
        <v>4.3749816483942272E-2</v>
      </c>
      <c r="F917" s="548">
        <v>9.6276998226745014E-2</v>
      </c>
      <c r="G917" s="549">
        <v>6.9335145149179295E-2</v>
      </c>
      <c r="H917" s="550">
        <v>4.9982583090863002E-3</v>
      </c>
      <c r="I917" s="551">
        <v>4.0184112356289103E-2</v>
      </c>
      <c r="J917" s="551">
        <v>3.3465857017661298E-2</v>
      </c>
      <c r="K917" s="551">
        <v>7.6775896996122703E-3</v>
      </c>
      <c r="L917" s="551">
        <v>1.55648279210038E-3</v>
      </c>
      <c r="M917" s="552">
        <v>8.0247362370290207E-3</v>
      </c>
    </row>
    <row r="918" spans="2:13" ht="15.75" x14ac:dyDescent="0.25">
      <c r="B918" s="555">
        <v>2035</v>
      </c>
      <c r="C918" s="556">
        <v>2034</v>
      </c>
      <c r="D918" s="557" t="s">
        <v>3816</v>
      </c>
      <c r="E918" s="547">
        <v>4.3720249719572411E-2</v>
      </c>
      <c r="F918" s="548">
        <v>9.6209853451518335E-2</v>
      </c>
      <c r="G918" s="549">
        <v>6.73316055621411E-2</v>
      </c>
      <c r="H918" s="550">
        <v>5.6649954760691996E-3</v>
      </c>
      <c r="I918" s="551">
        <v>3.7477625486795403E-2</v>
      </c>
      <c r="J918" s="551">
        <v>3.6591884230865297E-2</v>
      </c>
      <c r="K918" s="551">
        <v>6.3423734237022704E-3</v>
      </c>
      <c r="L918" s="551">
        <v>1.5570837542126E-3</v>
      </c>
      <c r="M918" s="552">
        <v>6.6291474060568498E-3</v>
      </c>
    </row>
    <row r="919" spans="2:13" ht="15.75" x14ac:dyDescent="0.25">
      <c r="B919" s="555">
        <v>2035</v>
      </c>
      <c r="C919" s="556">
        <v>2035</v>
      </c>
      <c r="D919" s="557" t="s">
        <v>3817</v>
      </c>
      <c r="E919" s="547">
        <v>4.3679684480592465E-2</v>
      </c>
      <c r="F919" s="548">
        <v>9.6097236736912492E-2</v>
      </c>
      <c r="G919" s="549">
        <v>6.5236140769171599E-2</v>
      </c>
      <c r="H919" s="550">
        <v>5.4156909002481502E-3</v>
      </c>
      <c r="I919" s="551">
        <v>3.4650212672719297E-2</v>
      </c>
      <c r="J919" s="551">
        <v>3.4254099936157197E-2</v>
      </c>
      <c r="K919" s="551">
        <v>4.94809428658354E-3</v>
      </c>
      <c r="L919" s="551">
        <v>1.5577003871834201E-3</v>
      </c>
      <c r="M919" s="552">
        <v>5.1718251533796403E-3</v>
      </c>
    </row>
    <row r="920" spans="2:13" ht="15.75" x14ac:dyDescent="0.25">
      <c r="B920" s="555">
        <v>2036</v>
      </c>
      <c r="C920" s="556">
        <v>1992</v>
      </c>
      <c r="D920" s="557" t="s">
        <v>3818</v>
      </c>
      <c r="E920" s="547">
        <v>6.4400676803514648E-2</v>
      </c>
      <c r="F920" s="548">
        <v>0.13605999857383946</v>
      </c>
      <c r="G920" s="549">
        <v>0.36718970686068297</v>
      </c>
      <c r="H920" s="550">
        <v>0.49220485353770299</v>
      </c>
      <c r="I920" s="551">
        <v>9.1808895121988403</v>
      </c>
      <c r="J920" s="551">
        <v>2.95269321021095</v>
      </c>
      <c r="K920" s="551">
        <v>5.2039332866620401E-2</v>
      </c>
      <c r="L920" s="551">
        <v>7.9293353387429998E-3</v>
      </c>
      <c r="M920" s="552">
        <v>5.43923205777294E-2</v>
      </c>
    </row>
    <row r="921" spans="2:13" ht="15.75" x14ac:dyDescent="0.25">
      <c r="B921" s="555">
        <v>2036</v>
      </c>
      <c r="C921" s="556">
        <v>1993</v>
      </c>
      <c r="D921" s="557" t="s">
        <v>3819</v>
      </c>
      <c r="E921" s="547">
        <v>6.4441840197248107E-2</v>
      </c>
      <c r="F921" s="548">
        <v>0.13533002500197328</v>
      </c>
      <c r="G921" s="549">
        <v>0.36803841912952501</v>
      </c>
      <c r="H921" s="550">
        <v>0.48435633858837002</v>
      </c>
      <c r="I921" s="551">
        <v>9.1757352905031002</v>
      </c>
      <c r="J921" s="551">
        <v>2.9347525402309702</v>
      </c>
      <c r="K921" s="551">
        <v>5.2159615160598298E-2</v>
      </c>
      <c r="L921" s="551">
        <v>7.8325726574066095E-3</v>
      </c>
      <c r="M921" s="552">
        <v>5.45180415032962E-2</v>
      </c>
    </row>
    <row r="922" spans="2:13" ht="15.75" x14ac:dyDescent="0.25">
      <c r="B922" s="555">
        <v>2036</v>
      </c>
      <c r="C922" s="556">
        <v>1994</v>
      </c>
      <c r="D922" s="557" t="s">
        <v>3820</v>
      </c>
      <c r="E922" s="547">
        <v>6.4114033122853131E-2</v>
      </c>
      <c r="F922" s="548">
        <v>0.13436629873481343</v>
      </c>
      <c r="G922" s="549">
        <v>0.36190052031905301</v>
      </c>
      <c r="H922" s="550">
        <v>0.47447244973247399</v>
      </c>
      <c r="I922" s="551">
        <v>9.2372711865551604</v>
      </c>
      <c r="J922" s="551">
        <v>2.9134565723540802</v>
      </c>
      <c r="K922" s="551">
        <v>5.18199454961661E-2</v>
      </c>
      <c r="L922" s="551">
        <v>7.6956279332706396E-3</v>
      </c>
      <c r="M922" s="552">
        <v>5.4163013483900201E-2</v>
      </c>
    </row>
    <row r="923" spans="2:13" ht="15.75" x14ac:dyDescent="0.25">
      <c r="B923" s="555">
        <v>2036</v>
      </c>
      <c r="C923" s="556">
        <v>1995</v>
      </c>
      <c r="D923" s="557" t="s">
        <v>3821</v>
      </c>
      <c r="E923" s="547">
        <v>6.445205424464609E-2</v>
      </c>
      <c r="F923" s="548">
        <v>0.13344788930640897</v>
      </c>
      <c r="G923" s="549">
        <v>0.36609270181375098</v>
      </c>
      <c r="H923" s="550">
        <v>0.25330536299468898</v>
      </c>
      <c r="I923" s="551">
        <v>9.2118338084739797</v>
      </c>
      <c r="J923" s="551">
        <v>1.66299309867016</v>
      </c>
      <c r="K923" s="551">
        <v>5.2420217129856297E-2</v>
      </c>
      <c r="L923" s="551">
        <v>5.0260135764056899E-3</v>
      </c>
      <c r="M923" s="552">
        <v>5.4790426737199999E-2</v>
      </c>
    </row>
    <row r="924" spans="2:13" ht="15.75" x14ac:dyDescent="0.25">
      <c r="B924" s="555">
        <v>2036</v>
      </c>
      <c r="C924" s="556">
        <v>1996</v>
      </c>
      <c r="D924" s="557" t="s">
        <v>3822</v>
      </c>
      <c r="E924" s="547">
        <v>6.4473054032361796E-2</v>
      </c>
      <c r="F924" s="548">
        <v>0.13182468561836491</v>
      </c>
      <c r="G924" s="549">
        <v>0.36642044584552802</v>
      </c>
      <c r="H924" s="550">
        <v>2.29409651299134E-2</v>
      </c>
      <c r="I924" s="551">
        <v>9.2074212024645199</v>
      </c>
      <c r="J924" s="551">
        <v>0.39577831335685398</v>
      </c>
      <c r="K924" s="551">
        <v>5.2467146263443599E-2</v>
      </c>
      <c r="L924" s="551">
        <v>2.2359681861669201E-3</v>
      </c>
      <c r="M924" s="552">
        <v>5.48394777979632E-2</v>
      </c>
    </row>
    <row r="925" spans="2:13" ht="15.75" x14ac:dyDescent="0.25">
      <c r="B925" s="555">
        <v>2036</v>
      </c>
      <c r="C925" s="556">
        <v>1997</v>
      </c>
      <c r="D925" s="557" t="s">
        <v>3823</v>
      </c>
      <c r="E925" s="547">
        <v>6.4708691536276522E-2</v>
      </c>
      <c r="F925" s="548">
        <v>0.13044589526412045</v>
      </c>
      <c r="G925" s="549">
        <v>0.36919086270521201</v>
      </c>
      <c r="H925" s="550">
        <v>2.2315646690680702E-2</v>
      </c>
      <c r="I925" s="551">
        <v>9.16743736214009</v>
      </c>
      <c r="J925" s="551">
        <v>0.39177170405459</v>
      </c>
      <c r="K925" s="551">
        <v>5.2863837736956597E-2</v>
      </c>
      <c r="L925" s="551">
        <v>2.17757179921906E-3</v>
      </c>
      <c r="M925" s="552">
        <v>5.5254105899615998E-2</v>
      </c>
    </row>
    <row r="926" spans="2:13" ht="15.75" x14ac:dyDescent="0.25">
      <c r="B926" s="555">
        <v>2036</v>
      </c>
      <c r="C926" s="556">
        <v>1998</v>
      </c>
      <c r="D926" s="557" t="s">
        <v>3824</v>
      </c>
      <c r="E926" s="547">
        <v>6.4502803815840851E-2</v>
      </c>
      <c r="F926" s="548">
        <v>0.13097265015883686</v>
      </c>
      <c r="G926" s="549">
        <v>0.36772464809122202</v>
      </c>
      <c r="H926" s="550">
        <v>2.2552256036454998E-2</v>
      </c>
      <c r="I926" s="551">
        <v>9.2047812823737694</v>
      </c>
      <c r="J926" s="551">
        <v>0.39349890338403898</v>
      </c>
      <c r="K926" s="551">
        <v>5.2653892856756902E-2</v>
      </c>
      <c r="L926" s="551">
        <v>2.2045957404992198E-3</v>
      </c>
      <c r="M926" s="552">
        <v>5.50346682435503E-2</v>
      </c>
    </row>
    <row r="927" spans="2:13" ht="15.75" x14ac:dyDescent="0.25">
      <c r="B927" s="555">
        <v>2036</v>
      </c>
      <c r="C927" s="556">
        <v>1999</v>
      </c>
      <c r="D927" s="557" t="s">
        <v>3825</v>
      </c>
      <c r="E927" s="547">
        <v>6.4423799680833879E-2</v>
      </c>
      <c r="F927" s="548">
        <v>0.13079177215326659</v>
      </c>
      <c r="G927" s="549">
        <v>0.36706777362202497</v>
      </c>
      <c r="H927" s="550">
        <v>2.25269460093174E-2</v>
      </c>
      <c r="I927" s="551">
        <v>9.2066349664972194</v>
      </c>
      <c r="J927" s="551">
        <v>0.39353255672013499</v>
      </c>
      <c r="K927" s="551">
        <v>5.25598360724185E-2</v>
      </c>
      <c r="L927" s="551">
        <v>2.1977769470750701E-3</v>
      </c>
      <c r="M927" s="552">
        <v>5.4936358628794903E-2</v>
      </c>
    </row>
    <row r="928" spans="2:13" ht="15.75" x14ac:dyDescent="0.25">
      <c r="B928" s="555">
        <v>2036</v>
      </c>
      <c r="C928" s="556">
        <v>2000</v>
      </c>
      <c r="D928" s="557" t="s">
        <v>3826</v>
      </c>
      <c r="E928" s="547">
        <v>6.4173899262248549E-2</v>
      </c>
      <c r="F928" s="548">
        <v>0.13122904514812789</v>
      </c>
      <c r="G928" s="549">
        <v>0.36468897196303401</v>
      </c>
      <c r="H928" s="550">
        <v>2.27251870303594E-2</v>
      </c>
      <c r="I928" s="551">
        <v>9.2365964414564399</v>
      </c>
      <c r="J928" s="551">
        <v>0.39550282927013902</v>
      </c>
      <c r="K928" s="551">
        <v>5.2219219341040402E-2</v>
      </c>
      <c r="L928" s="551">
        <v>2.2207390446710002E-3</v>
      </c>
      <c r="M928" s="552">
        <v>5.4580340720288202E-2</v>
      </c>
    </row>
    <row r="929" spans="2:13" ht="15.75" x14ac:dyDescent="0.25">
      <c r="B929" s="555">
        <v>2036</v>
      </c>
      <c r="C929" s="556">
        <v>2001</v>
      </c>
      <c r="D929" s="557" t="s">
        <v>3827</v>
      </c>
      <c r="E929" s="547">
        <v>6.4387405505676079E-2</v>
      </c>
      <c r="F929" s="548">
        <v>0.13139765283301671</v>
      </c>
      <c r="G929" s="549">
        <v>0.36722165482382502</v>
      </c>
      <c r="H929" s="550">
        <v>2.2825730004660899E-2</v>
      </c>
      <c r="I929" s="551">
        <v>9.2024174512308505</v>
      </c>
      <c r="J929" s="551">
        <v>0.39695115135811498</v>
      </c>
      <c r="K929" s="551">
        <v>5.2581870070830802E-2</v>
      </c>
      <c r="L929" s="551">
        <v>2.23330085489089E-3</v>
      </c>
      <c r="M929" s="552">
        <v>5.4959388906841003E-2</v>
      </c>
    </row>
    <row r="930" spans="2:13" ht="15.75" x14ac:dyDescent="0.25">
      <c r="B930" s="555">
        <v>2036</v>
      </c>
      <c r="C930" s="556">
        <v>2002</v>
      </c>
      <c r="D930" s="557" t="s">
        <v>3828</v>
      </c>
      <c r="E930" s="547">
        <v>6.4224498010478775E-2</v>
      </c>
      <c r="F930" s="548">
        <v>0.13123052047506611</v>
      </c>
      <c r="G930" s="549">
        <v>0.283793342745285</v>
      </c>
      <c r="H930" s="550">
        <v>2.2778353918487301E-2</v>
      </c>
      <c r="I930" s="551">
        <v>7.0999265359800203</v>
      </c>
      <c r="J930" s="551">
        <v>0.31950639135713299</v>
      </c>
      <c r="K930" s="551">
        <v>5.2898485211500798E-2</v>
      </c>
      <c r="L930" s="551">
        <v>2.2307908054464498E-3</v>
      </c>
      <c r="M930" s="552">
        <v>5.5290319979213298E-2</v>
      </c>
    </row>
    <row r="931" spans="2:13" ht="15.75" x14ac:dyDescent="0.25">
      <c r="B931" s="555">
        <v>2036</v>
      </c>
      <c r="C931" s="556">
        <v>2003</v>
      </c>
      <c r="D931" s="557" t="s">
        <v>3829</v>
      </c>
      <c r="E931" s="547">
        <v>6.3922554186401984E-2</v>
      </c>
      <c r="F931" s="548">
        <v>0.13064047979884946</v>
      </c>
      <c r="G931" s="549">
        <v>0.28156346915622099</v>
      </c>
      <c r="H931" s="550">
        <v>2.25362610871182E-2</v>
      </c>
      <c r="I931" s="551">
        <v>7.1276677225079696</v>
      </c>
      <c r="J931" s="551">
        <v>0.31940409947166998</v>
      </c>
      <c r="K931" s="551">
        <v>5.2482841440813402E-2</v>
      </c>
      <c r="L931" s="551">
        <v>2.2075684905421898E-3</v>
      </c>
      <c r="M931" s="552">
        <v>5.4855882641607297E-2</v>
      </c>
    </row>
    <row r="932" spans="2:13" ht="15.75" x14ac:dyDescent="0.25">
      <c r="B932" s="555">
        <v>2036</v>
      </c>
      <c r="C932" s="556">
        <v>2004</v>
      </c>
      <c r="D932" s="557" t="s">
        <v>3830</v>
      </c>
      <c r="E932" s="547">
        <v>6.3693430084315231E-2</v>
      </c>
      <c r="F932" s="548">
        <v>0.12963189517070747</v>
      </c>
      <c r="G932" s="549">
        <v>0.232389269229728</v>
      </c>
      <c r="H932" s="550">
        <v>1.47669992505835E-2</v>
      </c>
      <c r="I932" s="551">
        <v>5.9615783117876102</v>
      </c>
      <c r="J932" s="551">
        <v>0.27028500498216401</v>
      </c>
      <c r="K932" s="551">
        <v>5.2189285475331602E-2</v>
      </c>
      <c r="L932" s="551">
        <v>1.43657301182136E-4</v>
      </c>
      <c r="M932" s="552">
        <v>5.45490533780017E-2</v>
      </c>
    </row>
    <row r="933" spans="2:13" ht="15.75" x14ac:dyDescent="0.25">
      <c r="B933" s="555">
        <v>2036</v>
      </c>
      <c r="C933" s="556">
        <v>2005</v>
      </c>
      <c r="D933" s="557" t="s">
        <v>3831</v>
      </c>
      <c r="E933" s="547">
        <v>6.3736379374690386E-2</v>
      </c>
      <c r="F933" s="548">
        <v>0.12999607904531982</v>
      </c>
      <c r="G933" s="549">
        <v>0.23275128552749</v>
      </c>
      <c r="H933" s="550">
        <v>1.49723244853622E-2</v>
      </c>
      <c r="I933" s="551">
        <v>5.9515562881000301</v>
      </c>
      <c r="J933" s="551">
        <v>0.27214770241652397</v>
      </c>
      <c r="K933" s="551">
        <v>5.2270586010305702E-2</v>
      </c>
      <c r="L933" s="551">
        <v>1.4507144770258801E-4</v>
      </c>
      <c r="M933" s="552">
        <v>5.4634029962401499E-2</v>
      </c>
    </row>
    <row r="934" spans="2:13" ht="15.75" x14ac:dyDescent="0.25">
      <c r="B934" s="555">
        <v>2036</v>
      </c>
      <c r="C934" s="556">
        <v>2006</v>
      </c>
      <c r="D934" s="557" t="s">
        <v>3832</v>
      </c>
      <c r="E934" s="547">
        <v>6.356439604646745E-2</v>
      </c>
      <c r="F934" s="548">
        <v>0.13030124082925587</v>
      </c>
      <c r="G934" s="549">
        <v>0.23166996307385501</v>
      </c>
      <c r="H934" s="550">
        <v>1.51288815070504E-2</v>
      </c>
      <c r="I934" s="551">
        <v>5.9600535457193704</v>
      </c>
      <c r="J934" s="551">
        <v>0.27381281381844902</v>
      </c>
      <c r="K934" s="551">
        <v>5.2027745855032198E-2</v>
      </c>
      <c r="L934" s="551">
        <v>1.4623915262073001E-4</v>
      </c>
      <c r="M934" s="552">
        <v>5.4380209652893897E-2</v>
      </c>
    </row>
    <row r="935" spans="2:13" ht="15.75" x14ac:dyDescent="0.25">
      <c r="B935" s="555">
        <v>2036</v>
      </c>
      <c r="C935" s="556">
        <v>2007</v>
      </c>
      <c r="D935" s="557" t="s">
        <v>3833</v>
      </c>
      <c r="E935" s="547">
        <v>6.3719771252625221E-2</v>
      </c>
      <c r="F935" s="548">
        <v>0.13065164202983023</v>
      </c>
      <c r="G935" s="549">
        <v>0.170188377619997</v>
      </c>
      <c r="H935" s="550">
        <v>1.5296880328558899E-2</v>
      </c>
      <c r="I935" s="551">
        <v>3.11427044545874</v>
      </c>
      <c r="J935" s="551">
        <v>0.27393013476330502</v>
      </c>
      <c r="K935" s="551">
        <v>3.7810273597918401E-2</v>
      </c>
      <c r="L935" s="551">
        <v>1.47600387664241E-4</v>
      </c>
      <c r="M935" s="552">
        <v>3.9519886389412097E-2</v>
      </c>
    </row>
    <row r="936" spans="2:13" ht="15.75" x14ac:dyDescent="0.25">
      <c r="B936" s="555">
        <v>2036</v>
      </c>
      <c r="C936" s="556">
        <v>2008</v>
      </c>
      <c r="D936" s="557" t="s">
        <v>3834</v>
      </c>
      <c r="E936" s="547">
        <v>6.39510951275154E-2</v>
      </c>
      <c r="F936" s="548">
        <v>0.13114093391855899</v>
      </c>
      <c r="G936" s="549">
        <v>0.17229616104569201</v>
      </c>
      <c r="H936" s="550">
        <v>1.2084331065355201E-2</v>
      </c>
      <c r="I936" s="551">
        <v>3.1004742224752699</v>
      </c>
      <c r="J936" s="551">
        <v>0.19313951865277201</v>
      </c>
      <c r="K936" s="551">
        <v>3.8091704401498797E-2</v>
      </c>
      <c r="L936" s="551">
        <v>1.7039090748530299E-4</v>
      </c>
      <c r="M936" s="552">
        <v>3.9814042245099698E-2</v>
      </c>
    </row>
    <row r="937" spans="2:13" ht="15.75" x14ac:dyDescent="0.25">
      <c r="B937" s="555">
        <v>2036</v>
      </c>
      <c r="C937" s="556">
        <v>2009</v>
      </c>
      <c r="D937" s="557" t="s">
        <v>3835</v>
      </c>
      <c r="E937" s="547">
        <v>6.3941587727688945E-2</v>
      </c>
      <c r="F937" s="548">
        <v>0.12989683514054057</v>
      </c>
      <c r="G937" s="549">
        <v>0.17243411554051399</v>
      </c>
      <c r="H937" s="550">
        <v>8.4744787008432399E-3</v>
      </c>
      <c r="I937" s="551">
        <v>3.0984526412989002</v>
      </c>
      <c r="J937" s="551">
        <v>0.108950598193522</v>
      </c>
      <c r="K937" s="551">
        <v>3.8110224873784099E-2</v>
      </c>
      <c r="L937" s="551">
        <v>1.86818510645302E-4</v>
      </c>
      <c r="M937" s="552">
        <v>3.9833400130958298E-2</v>
      </c>
    </row>
    <row r="938" spans="2:13" ht="15.75" x14ac:dyDescent="0.25">
      <c r="B938" s="555">
        <v>2036</v>
      </c>
      <c r="C938" s="556">
        <v>2010</v>
      </c>
      <c r="D938" s="557" t="s">
        <v>3836</v>
      </c>
      <c r="E938" s="547">
        <v>6.395198409416486E-2</v>
      </c>
      <c r="F938" s="548">
        <v>0.128804356898362</v>
      </c>
      <c r="G938" s="549">
        <v>0.11056366562645301</v>
      </c>
      <c r="H938" s="550">
        <v>8.2852325014950694E-3</v>
      </c>
      <c r="I938" s="551">
        <v>0.28474735210531299</v>
      </c>
      <c r="J938" s="551">
        <v>0.108824412506598</v>
      </c>
      <c r="K938" s="551">
        <v>2.3521727718281999E-2</v>
      </c>
      <c r="L938" s="551">
        <v>2.2267398667328E-4</v>
      </c>
      <c r="M938" s="552">
        <v>2.4585275869581799E-2</v>
      </c>
    </row>
    <row r="939" spans="2:13" ht="15.75" x14ac:dyDescent="0.25">
      <c r="B939" s="555">
        <v>2036</v>
      </c>
      <c r="C939" s="556">
        <v>2011</v>
      </c>
      <c r="D939" s="557" t="s">
        <v>3837</v>
      </c>
      <c r="E939" s="547">
        <v>6.3896189976263729E-2</v>
      </c>
      <c r="F939" s="548">
        <v>0.1304761729447253</v>
      </c>
      <c r="G939" s="549">
        <v>0.110268945319088</v>
      </c>
      <c r="H939" s="550">
        <v>8.6157445529544702E-3</v>
      </c>
      <c r="I939" s="551">
        <v>0.28427753529712002</v>
      </c>
      <c r="J939" s="551">
        <v>0.11068676640396601</v>
      </c>
      <c r="K939" s="551">
        <v>2.34981796813464E-2</v>
      </c>
      <c r="L939" s="551">
        <v>3.1431502655141901E-4</v>
      </c>
      <c r="M939" s="552">
        <v>2.45606630949088E-2</v>
      </c>
    </row>
    <row r="940" spans="2:13" ht="15.75" x14ac:dyDescent="0.25">
      <c r="B940" s="555">
        <v>2036</v>
      </c>
      <c r="C940" s="556">
        <v>2012</v>
      </c>
      <c r="D940" s="557" t="s">
        <v>3838</v>
      </c>
      <c r="E940" s="547">
        <v>6.4007365227496893E-2</v>
      </c>
      <c r="F940" s="548">
        <v>0.13087897022126935</v>
      </c>
      <c r="G940" s="549">
        <v>0.111672346801481</v>
      </c>
      <c r="H940" s="550">
        <v>8.7005847655279508E-3</v>
      </c>
      <c r="I940" s="551">
        <v>0.28636187345042102</v>
      </c>
      <c r="J940" s="551">
        <v>0.111451806219983</v>
      </c>
      <c r="K940" s="551">
        <v>2.3595638497389201E-2</v>
      </c>
      <c r="L940" s="551">
        <v>4.6418273529674401E-4</v>
      </c>
      <c r="M940" s="552">
        <v>2.4662528566146001E-2</v>
      </c>
    </row>
    <row r="941" spans="2:13" ht="15.75" x14ac:dyDescent="0.25">
      <c r="B941" s="555">
        <v>2036</v>
      </c>
      <c r="C941" s="556">
        <v>2013</v>
      </c>
      <c r="D941" s="557" t="s">
        <v>3839</v>
      </c>
      <c r="E941" s="547">
        <v>6.3862534280110142E-2</v>
      </c>
      <c r="F941" s="548">
        <v>0.13088036827428959</v>
      </c>
      <c r="G941" s="549">
        <v>0.110401631861063</v>
      </c>
      <c r="H941" s="550">
        <v>8.7244979689758001E-3</v>
      </c>
      <c r="I941" s="551">
        <v>0.28427696381015</v>
      </c>
      <c r="J941" s="551">
        <v>0.11082516886133199</v>
      </c>
      <c r="K941" s="551">
        <v>2.3475816317437601E-2</v>
      </c>
      <c r="L941" s="551">
        <v>6.95453427364687E-4</v>
      </c>
      <c r="M941" s="552">
        <v>2.4537288558920001E-2</v>
      </c>
    </row>
    <row r="942" spans="2:13" ht="15.75" x14ac:dyDescent="0.25">
      <c r="B942" s="555">
        <v>2036</v>
      </c>
      <c r="C942" s="556">
        <v>2014</v>
      </c>
      <c r="D942" s="557" t="s">
        <v>3840</v>
      </c>
      <c r="E942" s="547">
        <v>6.2314111194913778E-2</v>
      </c>
      <c r="F942" s="548">
        <v>0.12872719631674748</v>
      </c>
      <c r="G942" s="549">
        <v>0.109616299601211</v>
      </c>
      <c r="H942" s="550">
        <v>8.6920485548842002E-3</v>
      </c>
      <c r="I942" s="551">
        <v>0.28245356506132802</v>
      </c>
      <c r="J942" s="551">
        <v>0.110639967875606</v>
      </c>
      <c r="K942" s="551">
        <v>2.33168543129341E-2</v>
      </c>
      <c r="L942" s="551">
        <v>9.6489626203601097E-4</v>
      </c>
      <c r="M942" s="552">
        <v>2.4371138997956301E-2</v>
      </c>
    </row>
    <row r="943" spans="2:13" ht="15.75" x14ac:dyDescent="0.25">
      <c r="B943" s="555">
        <v>2036</v>
      </c>
      <c r="C943" s="556">
        <v>2015</v>
      </c>
      <c r="D943" s="557" t="s">
        <v>3841</v>
      </c>
      <c r="E943" s="547">
        <v>6.1783279079376911E-2</v>
      </c>
      <c r="F943" s="548">
        <v>0.12869182972690582</v>
      </c>
      <c r="G943" s="549">
        <v>0.108688681761841</v>
      </c>
      <c r="H943" s="550">
        <v>8.8169265246838598E-3</v>
      </c>
      <c r="I943" s="551">
        <v>0.280168836098455</v>
      </c>
      <c r="J943" s="551">
        <v>0.11104631510341099</v>
      </c>
      <c r="K943" s="551">
        <v>2.3096205090449001E-2</v>
      </c>
      <c r="L943" s="551">
        <v>1.2339003696255899E-3</v>
      </c>
      <c r="M943" s="552">
        <v>2.41405129967469E-2</v>
      </c>
    </row>
    <row r="944" spans="2:13" ht="15.75" x14ac:dyDescent="0.25">
      <c r="B944" s="555">
        <v>2036</v>
      </c>
      <c r="C944" s="556">
        <v>2016</v>
      </c>
      <c r="D944" s="557" t="s">
        <v>3842</v>
      </c>
      <c r="E944" s="547">
        <v>5.9772856415257529E-2</v>
      </c>
      <c r="F944" s="548">
        <v>0.12476911623083013</v>
      </c>
      <c r="G944" s="549">
        <v>0.107511235938162</v>
      </c>
      <c r="H944" s="550">
        <v>8.0469224735790906E-3</v>
      </c>
      <c r="I944" s="551">
        <v>0.242983098453082</v>
      </c>
      <c r="J944" s="551">
        <v>9.7387720158399096E-2</v>
      </c>
      <c r="K944" s="551">
        <v>2.2804325971767899E-2</v>
      </c>
      <c r="L944" s="551">
        <v>1.38875827595751E-3</v>
      </c>
      <c r="M944" s="552">
        <v>2.38354363995134E-2</v>
      </c>
    </row>
    <row r="945" spans="2:13" ht="15.75" x14ac:dyDescent="0.25">
      <c r="B945" s="555">
        <v>2036</v>
      </c>
      <c r="C945" s="556">
        <v>2017</v>
      </c>
      <c r="D945" s="557" t="s">
        <v>3843</v>
      </c>
      <c r="E945" s="547">
        <v>5.626479220758783E-2</v>
      </c>
      <c r="F945" s="548">
        <v>0.12086240999169146</v>
      </c>
      <c r="G945" s="549">
        <v>8.9494607474813498E-2</v>
      </c>
      <c r="H945" s="550">
        <v>7.2434063326752103E-3</v>
      </c>
      <c r="I945" s="551">
        <v>0.18797004006634199</v>
      </c>
      <c r="J945" s="551">
        <v>8.4006471629302706E-2</v>
      </c>
      <c r="K945" s="551">
        <v>2.13774323145807E-2</v>
      </c>
      <c r="L945" s="551">
        <v>1.44736159557466E-3</v>
      </c>
      <c r="M945" s="552">
        <v>2.2344024942895099E-2</v>
      </c>
    </row>
    <row r="946" spans="2:13" ht="15.75" x14ac:dyDescent="0.25">
      <c r="B946" s="555">
        <v>2036</v>
      </c>
      <c r="C946" s="556">
        <v>2018</v>
      </c>
      <c r="D946" s="557" t="s">
        <v>3844</v>
      </c>
      <c r="E946" s="547">
        <v>5.2537041087552083E-2</v>
      </c>
      <c r="F946" s="548">
        <v>0.11568202544903826</v>
      </c>
      <c r="G946" s="549">
        <v>8.9030718415468599E-2</v>
      </c>
      <c r="H946" s="550">
        <v>6.5188821546223298E-3</v>
      </c>
      <c r="I946" s="551">
        <v>0.15204820682817899</v>
      </c>
      <c r="J946" s="551">
        <v>7.0084708747360502E-2</v>
      </c>
      <c r="K946" s="551">
        <v>2.10407585211757E-2</v>
      </c>
      <c r="L946" s="551">
        <v>1.50802656310417E-3</v>
      </c>
      <c r="M946" s="552">
        <v>2.1992128254520099E-2</v>
      </c>
    </row>
    <row r="947" spans="2:13" ht="15.75" x14ac:dyDescent="0.25">
      <c r="B947" s="555">
        <v>2036</v>
      </c>
      <c r="C947" s="556">
        <v>2019</v>
      </c>
      <c r="D947" s="557" t="s">
        <v>3845</v>
      </c>
      <c r="E947" s="547">
        <v>5.2519223154396902E-2</v>
      </c>
      <c r="F947" s="548">
        <v>0.11563466769803629</v>
      </c>
      <c r="G947" s="549">
        <v>8.8478677886599799E-2</v>
      </c>
      <c r="H947" s="550">
        <v>5.8788959279647401E-3</v>
      </c>
      <c r="I947" s="551">
        <v>0.12947571470435301</v>
      </c>
      <c r="J947" s="551">
        <v>6.04930949266358E-2</v>
      </c>
      <c r="K947" s="551">
        <v>2.0645641200965299E-2</v>
      </c>
      <c r="L947" s="551">
        <v>1.54866783552175E-3</v>
      </c>
      <c r="M947" s="552">
        <v>2.1579145482396998E-2</v>
      </c>
    </row>
    <row r="948" spans="2:13" ht="15.75" x14ac:dyDescent="0.25">
      <c r="B948" s="555">
        <v>2036</v>
      </c>
      <c r="C948" s="556">
        <v>2020</v>
      </c>
      <c r="D948" s="557" t="s">
        <v>3846</v>
      </c>
      <c r="E948" s="547">
        <v>5.2501509740477348E-2</v>
      </c>
      <c r="F948" s="548">
        <v>0.11558759080559643</v>
      </c>
      <c r="G948" s="549">
        <v>8.7837816026338097E-2</v>
      </c>
      <c r="H948" s="550">
        <v>5.2214044602495796E-3</v>
      </c>
      <c r="I948" s="551">
        <v>0.106881416381041</v>
      </c>
      <c r="J948" s="551">
        <v>5.1259825800403398E-2</v>
      </c>
      <c r="K948" s="551">
        <v>2.01920282002374E-2</v>
      </c>
      <c r="L948" s="551">
        <v>1.5491816925028499E-3</v>
      </c>
      <c r="M948" s="552">
        <v>2.11050221146541E-2</v>
      </c>
    </row>
    <row r="949" spans="2:13" ht="15.75" x14ac:dyDescent="0.25">
      <c r="B949" s="555">
        <v>2036</v>
      </c>
      <c r="C949" s="556">
        <v>2021</v>
      </c>
      <c r="D949" s="557" t="s">
        <v>3847</v>
      </c>
      <c r="E949" s="547">
        <v>5.1171855882315001E-2</v>
      </c>
      <c r="F949" s="548">
        <v>0.11265778488308908</v>
      </c>
      <c r="G949" s="549">
        <v>8.7109064236403799E-2</v>
      </c>
      <c r="H949" s="550">
        <v>4.5724053956236197E-3</v>
      </c>
      <c r="I949" s="551">
        <v>8.5034715194064095E-2</v>
      </c>
      <c r="J949" s="551">
        <v>4.1841883309944601E-2</v>
      </c>
      <c r="K949" s="551">
        <v>1.9679961675013999E-2</v>
      </c>
      <c r="L949" s="551">
        <v>1.54971675259373E-3</v>
      </c>
      <c r="M949" s="552">
        <v>2.0569802213421601E-2</v>
      </c>
    </row>
    <row r="950" spans="2:13" ht="15.75" x14ac:dyDescent="0.25">
      <c r="B950" s="555">
        <v>2036</v>
      </c>
      <c r="C950" s="556">
        <v>2022</v>
      </c>
      <c r="D950" s="557" t="s">
        <v>3848</v>
      </c>
      <c r="E950" s="547">
        <v>4.9895468166339434E-2</v>
      </c>
      <c r="F950" s="548">
        <v>0.10984543583026717</v>
      </c>
      <c r="G950" s="549">
        <v>8.6289877800721296E-2</v>
      </c>
      <c r="H950" s="550">
        <v>3.9393271574099699E-3</v>
      </c>
      <c r="I950" s="551">
        <v>6.3281463745705799E-2</v>
      </c>
      <c r="J950" s="551">
        <v>3.2741637633664701E-2</v>
      </c>
      <c r="K950" s="551">
        <v>1.91092611558785E-2</v>
      </c>
      <c r="L950" s="551">
        <v>1.55025078650877E-3</v>
      </c>
      <c r="M950" s="552">
        <v>1.9973297149256899E-2</v>
      </c>
    </row>
    <row r="951" spans="2:13" ht="15.75" x14ac:dyDescent="0.25">
      <c r="B951" s="555">
        <v>2036</v>
      </c>
      <c r="C951" s="556">
        <v>2023</v>
      </c>
      <c r="D951" s="557" t="s">
        <v>3849</v>
      </c>
      <c r="E951" s="547">
        <v>4.8619920731344746E-2</v>
      </c>
      <c r="F951" s="548">
        <v>0.10703755785404848</v>
      </c>
      <c r="G951" s="549">
        <v>8.5381519464627895E-2</v>
      </c>
      <c r="H951" s="550">
        <v>3.9458507707588299E-3</v>
      </c>
      <c r="I951" s="551">
        <v>6.2017308340568102E-2</v>
      </c>
      <c r="J951" s="551">
        <v>3.19711278834863E-2</v>
      </c>
      <c r="K951" s="551">
        <v>1.84799885637239E-2</v>
      </c>
      <c r="L951" s="551">
        <v>1.5507973667611E-3</v>
      </c>
      <c r="M951" s="552">
        <v>1.9315571642840802E-2</v>
      </c>
    </row>
    <row r="952" spans="2:13" ht="15.75" x14ac:dyDescent="0.25">
      <c r="B952" s="555">
        <v>2036</v>
      </c>
      <c r="C952" s="556">
        <v>2024</v>
      </c>
      <c r="D952" s="557" t="s">
        <v>3850</v>
      </c>
      <c r="E952" s="547">
        <v>4.7397482506195791E-2</v>
      </c>
      <c r="F952" s="548">
        <v>0.10434670107192537</v>
      </c>
      <c r="G952" s="549">
        <v>8.4382338005448795E-2</v>
      </c>
      <c r="H952" s="550">
        <v>3.9736976588455901E-3</v>
      </c>
      <c r="I952" s="551">
        <v>6.0633443256194498E-2</v>
      </c>
      <c r="J952" s="551">
        <v>3.2458718107169701E-2</v>
      </c>
      <c r="K952" s="551">
        <v>1.7792027029662202E-2</v>
      </c>
      <c r="L952" s="551">
        <v>1.5513430360552501E-3</v>
      </c>
      <c r="M952" s="552">
        <v>1.85965035409928E-2</v>
      </c>
    </row>
    <row r="953" spans="2:13" ht="15.75" x14ac:dyDescent="0.25">
      <c r="B953" s="555">
        <v>2036</v>
      </c>
      <c r="C953" s="556">
        <v>2025</v>
      </c>
      <c r="D953" s="557" t="s">
        <v>3851</v>
      </c>
      <c r="E953" s="547">
        <v>4.6175757847366154E-2</v>
      </c>
      <c r="F953" s="548">
        <v>0.1016575466729486</v>
      </c>
      <c r="G953" s="549">
        <v>8.3293623200852998E-2</v>
      </c>
      <c r="H953" s="550">
        <v>4.0101920472671504E-3</v>
      </c>
      <c r="I953" s="551">
        <v>5.9130283795081798E-2</v>
      </c>
      <c r="J953" s="551">
        <v>3.1663858532436001E-2</v>
      </c>
      <c r="K953" s="551">
        <v>1.7045428940664999E-2</v>
      </c>
      <c r="L953" s="551">
        <v>1.5519022277298599E-3</v>
      </c>
      <c r="M953" s="552">
        <v>1.7816147599391201E-2</v>
      </c>
    </row>
    <row r="954" spans="2:13" ht="15.75" x14ac:dyDescent="0.25">
      <c r="B954" s="555">
        <v>2036</v>
      </c>
      <c r="C954" s="556">
        <v>2026</v>
      </c>
      <c r="D954" s="557" t="s">
        <v>3852</v>
      </c>
      <c r="E954" s="547">
        <v>4.5006968785949168E-2</v>
      </c>
      <c r="F954" s="548">
        <v>9.9084380532107205E-2</v>
      </c>
      <c r="G954" s="549">
        <v>8.2113737795366001E-2</v>
      </c>
      <c r="H954" s="550">
        <v>4.0422500277453302E-3</v>
      </c>
      <c r="I954" s="551">
        <v>5.7513378912495298E-2</v>
      </c>
      <c r="J954" s="551">
        <v>3.2075500524642302E-2</v>
      </c>
      <c r="K954" s="551">
        <v>1.6240076140112199E-2</v>
      </c>
      <c r="L954" s="551">
        <v>1.55246052985571E-3</v>
      </c>
      <c r="M954" s="552">
        <v>1.6974380318897499E-2</v>
      </c>
    </row>
    <row r="955" spans="2:13" ht="15.75" x14ac:dyDescent="0.25">
      <c r="B955" s="555">
        <v>2036</v>
      </c>
      <c r="C955" s="556">
        <v>2027</v>
      </c>
      <c r="D955" s="557" t="s">
        <v>3853</v>
      </c>
      <c r="E955" s="547">
        <v>4.3891201738403787E-2</v>
      </c>
      <c r="F955" s="548">
        <v>9.6627125779518347E-2</v>
      </c>
      <c r="G955" s="549">
        <v>8.0845001869884095E-2</v>
      </c>
      <c r="H955" s="550">
        <v>4.0527545096061502E-3</v>
      </c>
      <c r="I955" s="551">
        <v>5.5770908962067899E-2</v>
      </c>
      <c r="J955" s="551">
        <v>3.1396679492909203E-2</v>
      </c>
      <c r="K955" s="551">
        <v>1.5376079133194E-2</v>
      </c>
      <c r="L955" s="551">
        <v>1.5530450039770701E-3</v>
      </c>
      <c r="M955" s="552">
        <v>1.6071317201256399E-2</v>
      </c>
    </row>
    <row r="956" spans="2:13" ht="15.75" x14ac:dyDescent="0.25">
      <c r="B956" s="555">
        <v>2036</v>
      </c>
      <c r="C956" s="556">
        <v>2028</v>
      </c>
      <c r="D956" s="557" t="s">
        <v>3854</v>
      </c>
      <c r="E956" s="547">
        <v>4.3875203659335046E-2</v>
      </c>
      <c r="F956" s="548">
        <v>9.6585497619731897E-2</v>
      </c>
      <c r="G956" s="549">
        <v>7.9483989326756002E-2</v>
      </c>
      <c r="H956" s="550">
        <v>4.0311488849891297E-3</v>
      </c>
      <c r="I956" s="551">
        <v>5.3907953426405301E-2</v>
      </c>
      <c r="J956" s="551">
        <v>3.1025460063576898E-2</v>
      </c>
      <c r="K956" s="551">
        <v>1.4453221658354E-2</v>
      </c>
      <c r="L956" s="551">
        <v>1.5536219837465799E-3</v>
      </c>
      <c r="M956" s="552">
        <v>1.51067322065236E-2</v>
      </c>
    </row>
    <row r="957" spans="2:13" ht="15.75" x14ac:dyDescent="0.25">
      <c r="B957" s="555">
        <v>2036</v>
      </c>
      <c r="C957" s="556">
        <v>2029</v>
      </c>
      <c r="D957" s="557" t="s">
        <v>3855</v>
      </c>
      <c r="E957" s="547">
        <v>4.3858639378447806E-2</v>
      </c>
      <c r="F957" s="548">
        <v>9.6541655030848064E-2</v>
      </c>
      <c r="G957" s="549">
        <v>7.8031554771177805E-2</v>
      </c>
      <c r="H957" s="550">
        <v>3.9755757902356897E-3</v>
      </c>
      <c r="I957" s="551">
        <v>5.19247364035351E-2</v>
      </c>
      <c r="J957" s="551">
        <v>3.0390171108523701E-2</v>
      </c>
      <c r="K957" s="551">
        <v>1.3471519764977499E-2</v>
      </c>
      <c r="L957" s="551">
        <v>1.55420191910331E-3</v>
      </c>
      <c r="M957" s="552">
        <v>1.40806421097661E-2</v>
      </c>
    </row>
    <row r="958" spans="2:13" ht="15.75" x14ac:dyDescent="0.25">
      <c r="B958" s="555">
        <v>2036</v>
      </c>
      <c r="C958" s="556">
        <v>2030</v>
      </c>
      <c r="D958" s="557" t="s">
        <v>3856</v>
      </c>
      <c r="E958" s="547">
        <v>4.3841414834315175E-2</v>
      </c>
      <c r="F958" s="548">
        <v>9.6495985078618313E-2</v>
      </c>
      <c r="G958" s="549">
        <v>7.6488528906844502E-2</v>
      </c>
      <c r="H958" s="550">
        <v>3.9102808363990502E-3</v>
      </c>
      <c r="I958" s="551">
        <v>4.9821493629402802E-2</v>
      </c>
      <c r="J958" s="551">
        <v>2.90436945254322E-2</v>
      </c>
      <c r="K958" s="551">
        <v>1.24309927999671E-2</v>
      </c>
      <c r="L958" s="551">
        <v>1.5547971406344901E-3</v>
      </c>
      <c r="M958" s="552">
        <v>1.2993067132668E-2</v>
      </c>
    </row>
    <row r="959" spans="2:13" ht="15.75" x14ac:dyDescent="0.25">
      <c r="B959" s="555">
        <v>2036</v>
      </c>
      <c r="C959" s="556">
        <v>2031</v>
      </c>
      <c r="D959" s="557" t="s">
        <v>3857</v>
      </c>
      <c r="E959" s="547">
        <v>4.3823099215529043E-2</v>
      </c>
      <c r="F959" s="548">
        <v>9.6448493528195983E-2</v>
      </c>
      <c r="G959" s="549">
        <v>7.4852577353457697E-2</v>
      </c>
      <c r="H959" s="550">
        <v>3.8917370984660701E-3</v>
      </c>
      <c r="I959" s="551">
        <v>4.7597337564857199E-2</v>
      </c>
      <c r="J959" s="551">
        <v>2.8855142212488302E-2</v>
      </c>
      <c r="K959" s="551">
        <v>1.1331497841339799E-2</v>
      </c>
      <c r="L959" s="551">
        <v>1.55538288192693E-3</v>
      </c>
      <c r="M959" s="552">
        <v>1.1843857890948301E-2</v>
      </c>
    </row>
    <row r="960" spans="2:13" ht="15.75" x14ac:dyDescent="0.25">
      <c r="B960" s="555">
        <v>2036</v>
      </c>
      <c r="C960" s="556">
        <v>2032</v>
      </c>
      <c r="D960" s="557" t="s">
        <v>3858</v>
      </c>
      <c r="E960" s="547">
        <v>4.3803465455765349E-2</v>
      </c>
      <c r="F960" s="548">
        <v>9.6400358615045367E-2</v>
      </c>
      <c r="G960" s="549">
        <v>7.3125206762372302E-2</v>
      </c>
      <c r="H960" s="550">
        <v>4.0107051534316604E-3</v>
      </c>
      <c r="I960" s="551">
        <v>4.5252736187751899E-2</v>
      </c>
      <c r="J960" s="551">
        <v>2.8974781915465299E-2</v>
      </c>
      <c r="K960" s="551">
        <v>1.0173084722119001E-2</v>
      </c>
      <c r="L960" s="551">
        <v>1.5559795106031499E-3</v>
      </c>
      <c r="M960" s="552">
        <v>1.06330664708583E-2</v>
      </c>
    </row>
    <row r="961" spans="2:13" ht="15.75" x14ac:dyDescent="0.25">
      <c r="B961" s="555">
        <v>2036</v>
      </c>
      <c r="C961" s="556">
        <v>2033</v>
      </c>
      <c r="D961" s="557" t="s">
        <v>3859</v>
      </c>
      <c r="E961" s="547">
        <v>4.3781819946160073E-2</v>
      </c>
      <c r="F961" s="548">
        <v>9.6351294499129381E-2</v>
      </c>
      <c r="G961" s="549">
        <v>7.1304989654432202E-2</v>
      </c>
      <c r="H961" s="550">
        <v>4.36954124888862E-3</v>
      </c>
      <c r="I961" s="551">
        <v>4.2787130514048997E-2</v>
      </c>
      <c r="J961" s="551">
        <v>3.0440429540119499E-2</v>
      </c>
      <c r="K961" s="551">
        <v>8.9556607591344609E-3</v>
      </c>
      <c r="L961" s="551">
        <v>1.55657278625589E-3</v>
      </c>
      <c r="M961" s="552">
        <v>9.36059599850648E-3</v>
      </c>
    </row>
    <row r="962" spans="2:13" ht="15.75" x14ac:dyDescent="0.25">
      <c r="B962" s="555">
        <v>2036</v>
      </c>
      <c r="C962" s="556">
        <v>2034</v>
      </c>
      <c r="D962" s="557" t="s">
        <v>3860</v>
      </c>
      <c r="E962" s="547">
        <v>4.3757214354838495E-2</v>
      </c>
      <c r="F962" s="548">
        <v>9.6298600133188472E-2</v>
      </c>
      <c r="G962" s="549">
        <v>6.9392692874705203E-2</v>
      </c>
      <c r="H962" s="550">
        <v>5.0028200516574499E-3</v>
      </c>
      <c r="I962" s="551">
        <v>4.0200697933321101E-2</v>
      </c>
      <c r="J962" s="551">
        <v>3.3495593218586202E-2</v>
      </c>
      <c r="K962" s="551">
        <v>7.6792284948407202E-3</v>
      </c>
      <c r="L962" s="551">
        <v>1.5571739013768801E-3</v>
      </c>
      <c r="M962" s="552">
        <v>8.0264491313056605E-3</v>
      </c>
    </row>
    <row r="963" spans="2:13" ht="15.75" x14ac:dyDescent="0.25">
      <c r="B963" s="555">
        <v>2036</v>
      </c>
      <c r="C963" s="556">
        <v>2035</v>
      </c>
      <c r="D963" s="557" t="s">
        <v>3861</v>
      </c>
      <c r="E963" s="547">
        <v>4.3727570754149549E-2</v>
      </c>
      <c r="F963" s="548">
        <v>9.6231443257734736E-2</v>
      </c>
      <c r="G963" s="549">
        <v>6.73886352054269E-2</v>
      </c>
      <c r="H963" s="550">
        <v>5.6693116341107299E-3</v>
      </c>
      <c r="I963" s="551">
        <v>3.7493445605749499E-2</v>
      </c>
      <c r="J963" s="551">
        <v>3.65548504906602E-2</v>
      </c>
      <c r="K963" s="551">
        <v>6.3437613659524496E-3</v>
      </c>
      <c r="L963" s="551">
        <v>1.5577906744275399E-3</v>
      </c>
      <c r="M963" s="552">
        <v>6.6305981048966796E-3</v>
      </c>
    </row>
    <row r="964" spans="2:13" ht="15.75" x14ac:dyDescent="0.25">
      <c r="B964" s="555">
        <v>2036</v>
      </c>
      <c r="C964" s="556">
        <v>2036</v>
      </c>
      <c r="D964" s="557" t="s">
        <v>3862</v>
      </c>
      <c r="E964" s="547">
        <v>4.3686622045662267E-2</v>
      </c>
      <c r="F964" s="548">
        <v>9.6117669777303641E-2</v>
      </c>
      <c r="G964" s="549">
        <v>6.5290036059306597E-2</v>
      </c>
      <c r="H964" s="550">
        <v>5.4182115668776603E-3</v>
      </c>
      <c r="I964" s="551">
        <v>3.4664463961586199E-2</v>
      </c>
      <c r="J964" s="551">
        <v>3.43394353427562E-2</v>
      </c>
      <c r="K964" s="551">
        <v>4.9491475613495798E-3</v>
      </c>
      <c r="L964" s="551">
        <v>1.5583905060849799E-3</v>
      </c>
      <c r="M964" s="552">
        <v>5.1729260525567597E-3</v>
      </c>
    </row>
    <row r="965" spans="2:13" ht="15.75" x14ac:dyDescent="0.25">
      <c r="B965" s="555">
        <v>2037</v>
      </c>
      <c r="C965" s="556">
        <v>1993</v>
      </c>
      <c r="D965" s="557" t="s">
        <v>3863</v>
      </c>
      <c r="E965" s="547">
        <v>6.4480456676631215E-2</v>
      </c>
      <c r="F965" s="548">
        <v>0.13546610437127612</v>
      </c>
      <c r="G965" s="549">
        <v>0.36804345825724799</v>
      </c>
      <c r="H965" s="550">
        <v>0.48437381351615699</v>
      </c>
      <c r="I965" s="551">
        <v>9.1757760592923301</v>
      </c>
      <c r="J965" s="551">
        <v>2.9347744137173</v>
      </c>
      <c r="K965" s="551">
        <v>5.2160329322351803E-2</v>
      </c>
      <c r="L965" s="551">
        <v>7.8328342556402402E-3</v>
      </c>
      <c r="M965" s="552">
        <v>5.4518787956275197E-2</v>
      </c>
    </row>
    <row r="966" spans="2:13" ht="15.75" x14ac:dyDescent="0.25">
      <c r="B966" s="555">
        <v>2037</v>
      </c>
      <c r="C966" s="556">
        <v>1994</v>
      </c>
      <c r="D966" s="557" t="s">
        <v>3864</v>
      </c>
      <c r="E966" s="547">
        <v>6.4156700202845002E-2</v>
      </c>
      <c r="F966" s="548">
        <v>0.1345007916658861</v>
      </c>
      <c r="G966" s="549">
        <v>0.36190638260284702</v>
      </c>
      <c r="H966" s="550">
        <v>0.47449529579815403</v>
      </c>
      <c r="I966" s="551">
        <v>9.2373043286944299</v>
      </c>
      <c r="J966" s="551">
        <v>2.9134907042992202</v>
      </c>
      <c r="K966" s="551">
        <v>5.18207849070252E-2</v>
      </c>
      <c r="L966" s="551">
        <v>7.6959802440179801E-3</v>
      </c>
      <c r="M966" s="552">
        <v>5.4163890849193499E-2</v>
      </c>
    </row>
    <row r="967" spans="2:13" ht="15.75" x14ac:dyDescent="0.25">
      <c r="B967" s="555">
        <v>2037</v>
      </c>
      <c r="C967" s="556">
        <v>1995</v>
      </c>
      <c r="D967" s="557" t="s">
        <v>3865</v>
      </c>
      <c r="E967" s="547">
        <v>6.4494260884778443E-2</v>
      </c>
      <c r="F967" s="548">
        <v>0.13356596627316017</v>
      </c>
      <c r="G967" s="549">
        <v>0.36609950098934702</v>
      </c>
      <c r="H967" s="550">
        <v>0.25331820189049797</v>
      </c>
      <c r="I967" s="551">
        <v>9.2118434365669195</v>
      </c>
      <c r="J967" s="551">
        <v>1.6630186019773601</v>
      </c>
      <c r="K967" s="551">
        <v>5.2421190692725203E-2</v>
      </c>
      <c r="L967" s="551">
        <v>5.0262617306879699E-3</v>
      </c>
      <c r="M967" s="552">
        <v>5.4791444320261701E-2</v>
      </c>
    </row>
    <row r="968" spans="2:13" ht="15.75" x14ac:dyDescent="0.25">
      <c r="B968" s="555">
        <v>2037</v>
      </c>
      <c r="C968" s="556">
        <v>1996</v>
      </c>
      <c r="D968" s="557" t="s">
        <v>3866</v>
      </c>
      <c r="E968" s="547">
        <v>6.4515276152456877E-2</v>
      </c>
      <c r="F968" s="548">
        <v>0.13192732364471499</v>
      </c>
      <c r="G968" s="549">
        <v>0.366429043845101</v>
      </c>
      <c r="H968" s="550">
        <v>2.2942261365713899E-2</v>
      </c>
      <c r="I968" s="551">
        <v>9.2074166930705008</v>
      </c>
      <c r="J968" s="551">
        <v>0.395783768562945</v>
      </c>
      <c r="K968" s="551">
        <v>5.2468377396985101E-2</v>
      </c>
      <c r="L968" s="551">
        <v>2.23608789177536E-3</v>
      </c>
      <c r="M968" s="552">
        <v>5.4840764597900403E-2</v>
      </c>
    </row>
    <row r="969" spans="2:13" ht="15.75" x14ac:dyDescent="0.25">
      <c r="B969" s="555">
        <v>2037</v>
      </c>
      <c r="C969" s="556">
        <v>1997</v>
      </c>
      <c r="D969" s="557" t="s">
        <v>3867</v>
      </c>
      <c r="E969" s="547">
        <v>6.4750038673611315E-2</v>
      </c>
      <c r="F969" s="548">
        <v>0.13054750411730512</v>
      </c>
      <c r="G969" s="549">
        <v>0.36919636450624999</v>
      </c>
      <c r="H969" s="550">
        <v>2.23170986689523E-2</v>
      </c>
      <c r="I969" s="551">
        <v>9.1674652923423992</v>
      </c>
      <c r="J969" s="551">
        <v>0.39177915660033602</v>
      </c>
      <c r="K969" s="551">
        <v>5.2864625530877597E-2</v>
      </c>
      <c r="L969" s="551">
        <v>2.1777106810385999E-3</v>
      </c>
      <c r="M969" s="552">
        <v>5.52549293140824E-2</v>
      </c>
    </row>
    <row r="970" spans="2:13" ht="15.75" x14ac:dyDescent="0.25">
      <c r="B970" s="555">
        <v>2037</v>
      </c>
      <c r="C970" s="556">
        <v>1998</v>
      </c>
      <c r="D970" s="557" t="s">
        <v>3868</v>
      </c>
      <c r="E970" s="547">
        <v>6.4543070040340947E-2</v>
      </c>
      <c r="F970" s="548">
        <v>0.13107235302629672</v>
      </c>
      <c r="G970" s="549">
        <v>0.36772974825853499</v>
      </c>
      <c r="H970" s="550">
        <v>2.2553769707480999E-2</v>
      </c>
      <c r="I970" s="551">
        <v>9.2048488205349699</v>
      </c>
      <c r="J970" s="551">
        <v>0.39350707330138102</v>
      </c>
      <c r="K970" s="551">
        <v>5.2654623141399501E-2</v>
      </c>
      <c r="L970" s="551">
        <v>2.2047415891854501E-3</v>
      </c>
      <c r="M970" s="552">
        <v>5.5035431548423899E-2</v>
      </c>
    </row>
    <row r="971" spans="2:13" ht="15.75" x14ac:dyDescent="0.25">
      <c r="B971" s="555">
        <v>2037</v>
      </c>
      <c r="C971" s="556">
        <v>1999</v>
      </c>
      <c r="D971" s="557" t="s">
        <v>3869</v>
      </c>
      <c r="E971" s="547">
        <v>6.4463625822409332E-2</v>
      </c>
      <c r="F971" s="548">
        <v>0.13088865147713039</v>
      </c>
      <c r="G971" s="549">
        <v>0.36707500946661598</v>
      </c>
      <c r="H971" s="550">
        <v>2.25279690705011E-2</v>
      </c>
      <c r="I971" s="551">
        <v>9.2066502080780506</v>
      </c>
      <c r="J971" s="551">
        <v>0.39353747156604602</v>
      </c>
      <c r="K971" s="551">
        <v>5.2560872161208798E-2</v>
      </c>
      <c r="L971" s="551">
        <v>2.1978730491855301E-3</v>
      </c>
      <c r="M971" s="552">
        <v>5.4937441564922702E-2</v>
      </c>
    </row>
    <row r="972" spans="2:13" ht="15.75" x14ac:dyDescent="0.25">
      <c r="B972" s="555">
        <v>2037</v>
      </c>
      <c r="C972" s="556">
        <v>2000</v>
      </c>
      <c r="D972" s="557" t="s">
        <v>3870</v>
      </c>
      <c r="E972" s="547">
        <v>6.4213210112430363E-2</v>
      </c>
      <c r="F972" s="548">
        <v>0.1313246465558649</v>
      </c>
      <c r="G972" s="549">
        <v>0.36469691057722797</v>
      </c>
      <c r="H972" s="550">
        <v>2.2726317370960002E-2</v>
      </c>
      <c r="I972" s="551">
        <v>9.2366101452732394</v>
      </c>
      <c r="J972" s="551">
        <v>0.39550823967208298</v>
      </c>
      <c r="K972" s="551">
        <v>5.2220356058264403E-2</v>
      </c>
      <c r="L972" s="551">
        <v>2.2208451127494499E-3</v>
      </c>
      <c r="M972" s="552">
        <v>5.4581528834821001E-2</v>
      </c>
    </row>
    <row r="973" spans="2:13" ht="15.75" x14ac:dyDescent="0.25">
      <c r="B973" s="555">
        <v>2037</v>
      </c>
      <c r="C973" s="556">
        <v>2001</v>
      </c>
      <c r="D973" s="557" t="s">
        <v>3871</v>
      </c>
      <c r="E973" s="547">
        <v>6.4425989117905674E-2</v>
      </c>
      <c r="F973" s="548">
        <v>0.13149195411239631</v>
      </c>
      <c r="G973" s="549">
        <v>0.367227331506913</v>
      </c>
      <c r="H973" s="550">
        <v>2.2827208130386599E-2</v>
      </c>
      <c r="I973" s="551">
        <v>9.2024546014000208</v>
      </c>
      <c r="J973" s="551">
        <v>0.39695906004972298</v>
      </c>
      <c r="K973" s="551">
        <v>5.2582682905827502E-2</v>
      </c>
      <c r="L973" s="551">
        <v>2.2334426028121001E-3</v>
      </c>
      <c r="M973" s="552">
        <v>5.4960238494629401E-2</v>
      </c>
    </row>
    <row r="974" spans="2:13" ht="15.75" x14ac:dyDescent="0.25">
      <c r="B974" s="555">
        <v>2037</v>
      </c>
      <c r="C974" s="556">
        <v>2002</v>
      </c>
      <c r="D974" s="557" t="s">
        <v>3872</v>
      </c>
      <c r="E974" s="547">
        <v>6.4262381754668807E-2</v>
      </c>
      <c r="F974" s="548">
        <v>0.13132257673888928</v>
      </c>
      <c r="G974" s="549">
        <v>0.28379786691477199</v>
      </c>
      <c r="H974" s="550">
        <v>2.2779767457279901E-2</v>
      </c>
      <c r="I974" s="551">
        <v>7.0999519546632701</v>
      </c>
      <c r="J974" s="551">
        <v>0.319512155645445</v>
      </c>
      <c r="K974" s="551">
        <v>5.2899328507225798E-2</v>
      </c>
      <c r="L974" s="551">
        <v>2.23092549145186E-3</v>
      </c>
      <c r="M974" s="552">
        <v>5.5291201405028897E-2</v>
      </c>
    </row>
    <row r="975" spans="2:13" ht="15.75" x14ac:dyDescent="0.25">
      <c r="B975" s="555">
        <v>2037</v>
      </c>
      <c r="C975" s="556">
        <v>2003</v>
      </c>
      <c r="D975" s="557" t="s">
        <v>3873</v>
      </c>
      <c r="E975" s="547">
        <v>6.3959889919403365E-2</v>
      </c>
      <c r="F975" s="548">
        <v>0.13073164923730726</v>
      </c>
      <c r="G975" s="549">
        <v>0.28156835941603803</v>
      </c>
      <c r="H975" s="550">
        <v>2.25378025799308E-2</v>
      </c>
      <c r="I975" s="551">
        <v>7.1277071235716498</v>
      </c>
      <c r="J975" s="551">
        <v>0.31941102246047298</v>
      </c>
      <c r="K975" s="551">
        <v>5.2483752975009797E-2</v>
      </c>
      <c r="L975" s="551">
        <v>2.2077176324703102E-3</v>
      </c>
      <c r="M975" s="552">
        <v>5.48568353913352E-2</v>
      </c>
    </row>
    <row r="976" spans="2:13" ht="15.75" x14ac:dyDescent="0.25">
      <c r="B976" s="555">
        <v>2037</v>
      </c>
      <c r="C976" s="556">
        <v>2004</v>
      </c>
      <c r="D976" s="557" t="s">
        <v>3874</v>
      </c>
      <c r="E976" s="547">
        <v>6.3730392222181298E-2</v>
      </c>
      <c r="F976" s="548">
        <v>0.12972694378865482</v>
      </c>
      <c r="G976" s="549">
        <v>0.23239472977558201</v>
      </c>
      <c r="H976" s="550">
        <v>1.4768125479881501E-2</v>
      </c>
      <c r="I976" s="551">
        <v>5.9615927053823299</v>
      </c>
      <c r="J976" s="551">
        <v>0.27029125194663001</v>
      </c>
      <c r="K976" s="551">
        <v>5.21905117883509E-2</v>
      </c>
      <c r="L976" s="551">
        <v>1.4366808120812999E-4</v>
      </c>
      <c r="M976" s="552">
        <v>5.4550335139454099E-2</v>
      </c>
    </row>
    <row r="977" spans="2:13" ht="15.75" x14ac:dyDescent="0.25">
      <c r="B977" s="555">
        <v>2037</v>
      </c>
      <c r="C977" s="556">
        <v>2005</v>
      </c>
      <c r="D977" s="557" t="s">
        <v>3875</v>
      </c>
      <c r="E977" s="547">
        <v>6.377285458080674E-2</v>
      </c>
      <c r="F977" s="548">
        <v>0.13008924192806801</v>
      </c>
      <c r="G977" s="549">
        <v>0.23275657669824101</v>
      </c>
      <c r="H977" s="550">
        <v>1.4973292305334999E-2</v>
      </c>
      <c r="I977" s="551">
        <v>5.9515615934650601</v>
      </c>
      <c r="J977" s="551">
        <v>0.272152836349213</v>
      </c>
      <c r="K977" s="551">
        <v>5.2271774285572302E-2</v>
      </c>
      <c r="L977" s="551">
        <v>1.4508061349814E-4</v>
      </c>
      <c r="M977" s="552">
        <v>5.4635271966202797E-2</v>
      </c>
    </row>
    <row r="978" spans="2:13" ht="15.75" x14ac:dyDescent="0.25">
      <c r="B978" s="555">
        <v>2037</v>
      </c>
      <c r="C978" s="556">
        <v>2006</v>
      </c>
      <c r="D978" s="557" t="s">
        <v>3876</v>
      </c>
      <c r="E978" s="547">
        <v>6.3600605526800386E-2</v>
      </c>
      <c r="F978" s="548">
        <v>0.13039328460093391</v>
      </c>
      <c r="G978" s="549">
        <v>0.23167661610724899</v>
      </c>
      <c r="H978" s="550">
        <v>1.5130018123928E-2</v>
      </c>
      <c r="I978" s="551">
        <v>5.9600400924871</v>
      </c>
      <c r="J978" s="551">
        <v>0.27381903063547602</v>
      </c>
      <c r="K978" s="551">
        <v>5.2029239973328797E-2</v>
      </c>
      <c r="L978" s="551">
        <v>1.4624995167830399E-4</v>
      </c>
      <c r="M978" s="552">
        <v>5.4381771328589699E-2</v>
      </c>
    </row>
    <row r="979" spans="2:13" ht="15.75" x14ac:dyDescent="0.25">
      <c r="B979" s="555">
        <v>2037</v>
      </c>
      <c r="C979" s="556">
        <v>2007</v>
      </c>
      <c r="D979" s="557" t="s">
        <v>3877</v>
      </c>
      <c r="E979" s="547">
        <v>6.3755023586183235E-2</v>
      </c>
      <c r="F979" s="548">
        <v>0.1307424809835859</v>
      </c>
      <c r="G979" s="549">
        <v>0.170191910017193</v>
      </c>
      <c r="H979" s="550">
        <v>1.52979831915933E-2</v>
      </c>
      <c r="I979" s="551">
        <v>3.11428549201392</v>
      </c>
      <c r="J979" s="551">
        <v>0.27393656478918799</v>
      </c>
      <c r="K979" s="551">
        <v>3.7810773309657902E-2</v>
      </c>
      <c r="L979" s="551">
        <v>1.4761092628165999E-4</v>
      </c>
      <c r="M979" s="552">
        <v>3.9520408695898998E-2</v>
      </c>
    </row>
    <row r="980" spans="2:13" ht="15.75" x14ac:dyDescent="0.25">
      <c r="B980" s="555">
        <v>2037</v>
      </c>
      <c r="C980" s="556">
        <v>2008</v>
      </c>
      <c r="D980" s="557" t="s">
        <v>3878</v>
      </c>
      <c r="E980" s="547">
        <v>6.3986071492325561E-2</v>
      </c>
      <c r="F980" s="548">
        <v>0.13123036415215494</v>
      </c>
      <c r="G980" s="549">
        <v>0.17230073411212499</v>
      </c>
      <c r="H980" s="550">
        <v>1.2085179481703699E-2</v>
      </c>
      <c r="I980" s="551">
        <v>3.10047968864037</v>
      </c>
      <c r="J980" s="551">
        <v>0.193143324268053</v>
      </c>
      <c r="K980" s="551">
        <v>3.8092337092138599E-2</v>
      </c>
      <c r="L980" s="551">
        <v>1.7040251398323401E-4</v>
      </c>
      <c r="M980" s="552">
        <v>3.9814703543202698E-2</v>
      </c>
    </row>
    <row r="981" spans="2:13" ht="15.75" x14ac:dyDescent="0.25">
      <c r="B981" s="555">
        <v>2037</v>
      </c>
      <c r="C981" s="556">
        <v>2009</v>
      </c>
      <c r="D981" s="557" t="s">
        <v>3879</v>
      </c>
      <c r="E981" s="547">
        <v>6.3976022197818033E-2</v>
      </c>
      <c r="F981" s="548">
        <v>0.12998554935138457</v>
      </c>
      <c r="G981" s="549">
        <v>0.17243824215987799</v>
      </c>
      <c r="H981" s="550">
        <v>8.4752949370673503E-3</v>
      </c>
      <c r="I981" s="551">
        <v>3.0984600474145298</v>
      </c>
      <c r="J981" s="551">
        <v>0.108953865057395</v>
      </c>
      <c r="K981" s="551">
        <v>3.8110793389552797E-2</v>
      </c>
      <c r="L981" s="551">
        <v>1.86836303972503E-4</v>
      </c>
      <c r="M981" s="552">
        <v>3.9833994352487301E-2</v>
      </c>
    </row>
    <row r="982" spans="2:13" ht="15.75" x14ac:dyDescent="0.25">
      <c r="B982" s="555">
        <v>2037</v>
      </c>
      <c r="C982" s="556">
        <v>2010</v>
      </c>
      <c r="D982" s="557" t="s">
        <v>3880</v>
      </c>
      <c r="E982" s="547">
        <v>6.3985974573337157E-2</v>
      </c>
      <c r="F982" s="548">
        <v>0.12889118573309158</v>
      </c>
      <c r="G982" s="549">
        <v>0.110568823848211</v>
      </c>
      <c r="H982" s="550">
        <v>8.2858783407787195E-3</v>
      </c>
      <c r="I982" s="551">
        <v>0.284754147334779</v>
      </c>
      <c r="J982" s="551">
        <v>0.108826882654741</v>
      </c>
      <c r="K982" s="551">
        <v>2.35219912475918E-2</v>
      </c>
      <c r="L982" s="551">
        <v>2.22691036452811E-4</v>
      </c>
      <c r="M982" s="552">
        <v>2.45855513145176E-2</v>
      </c>
    </row>
    <row r="983" spans="2:13" ht="15.75" x14ac:dyDescent="0.25">
      <c r="B983" s="555">
        <v>2037</v>
      </c>
      <c r="C983" s="556">
        <v>2011</v>
      </c>
      <c r="D983" s="557" t="s">
        <v>3881</v>
      </c>
      <c r="E983" s="547">
        <v>6.3929819558776357E-2</v>
      </c>
      <c r="F983" s="548">
        <v>0.13056094012167721</v>
      </c>
      <c r="G983" s="549">
        <v>0.110274405791655</v>
      </c>
      <c r="H983" s="550">
        <v>8.6163669901155697E-3</v>
      </c>
      <c r="I983" s="551">
        <v>0.28428482889247902</v>
      </c>
      <c r="J983" s="551">
        <v>0.110689091631071</v>
      </c>
      <c r="K983" s="551">
        <v>2.34984733551469E-2</v>
      </c>
      <c r="L983" s="551">
        <v>3.1433706722369399E-4</v>
      </c>
      <c r="M983" s="552">
        <v>2.4560970047335401E-2</v>
      </c>
    </row>
    <row r="984" spans="2:13" ht="15.75" x14ac:dyDescent="0.25">
      <c r="B984" s="555">
        <v>2037</v>
      </c>
      <c r="C984" s="556">
        <v>2012</v>
      </c>
      <c r="D984" s="557" t="s">
        <v>3882</v>
      </c>
      <c r="E984" s="547">
        <v>6.4040458975723066E-2</v>
      </c>
      <c r="F984" s="548">
        <v>0.13096426216216328</v>
      </c>
      <c r="G984" s="549">
        <v>0.11167669718838701</v>
      </c>
      <c r="H984" s="550">
        <v>8.7013887515388893E-3</v>
      </c>
      <c r="I984" s="551">
        <v>0.28636747563821402</v>
      </c>
      <c r="J984" s="551">
        <v>0.11145504844557</v>
      </c>
      <c r="K984" s="551">
        <v>2.3595848948341502E-2</v>
      </c>
      <c r="L984" s="551">
        <v>4.6422499336839102E-4</v>
      </c>
      <c r="M984" s="552">
        <v>2.46627485327565E-2</v>
      </c>
    </row>
    <row r="985" spans="2:13" ht="15.75" x14ac:dyDescent="0.25">
      <c r="B985" s="555">
        <v>2037</v>
      </c>
      <c r="C985" s="556">
        <v>2013</v>
      </c>
      <c r="D985" s="557" t="s">
        <v>3883</v>
      </c>
      <c r="E985" s="547">
        <v>6.3895486758071898E-2</v>
      </c>
      <c r="F985" s="548">
        <v>0.1309644224608639</v>
      </c>
      <c r="G985" s="549">
        <v>0.11049590846190099</v>
      </c>
      <c r="H985" s="550">
        <v>8.7310510824049996E-3</v>
      </c>
      <c r="I985" s="551">
        <v>0.28468257556870502</v>
      </c>
      <c r="J985" s="551">
        <v>0.11105749801039</v>
      </c>
      <c r="K985" s="551">
        <v>2.3526865316952399E-2</v>
      </c>
      <c r="L985" s="551">
        <v>6.9551258281174495E-4</v>
      </c>
      <c r="M985" s="552">
        <v>2.45906457676663E-2</v>
      </c>
    </row>
    <row r="986" spans="2:13" ht="15.75" x14ac:dyDescent="0.25">
      <c r="B986" s="555">
        <v>2037</v>
      </c>
      <c r="C986" s="556">
        <v>2014</v>
      </c>
      <c r="D986" s="557" t="s">
        <v>3884</v>
      </c>
      <c r="E986" s="547">
        <v>6.2346018286703067E-2</v>
      </c>
      <c r="F986" s="548">
        <v>0.12880840028055618</v>
      </c>
      <c r="G986" s="549">
        <v>0.109817040325736</v>
      </c>
      <c r="H986" s="550">
        <v>8.70130838267218E-3</v>
      </c>
      <c r="I986" s="551">
        <v>0.28334064296377698</v>
      </c>
      <c r="J986" s="551">
        <v>0.111000299486349</v>
      </c>
      <c r="K986" s="551">
        <v>2.3429507347971699E-2</v>
      </c>
      <c r="L986" s="551">
        <v>9.6495388467196898E-4</v>
      </c>
      <c r="M986" s="552">
        <v>2.4488885703347899E-2</v>
      </c>
    </row>
    <row r="987" spans="2:13" ht="15.75" x14ac:dyDescent="0.25">
      <c r="B987" s="555">
        <v>2037</v>
      </c>
      <c r="C987" s="556">
        <v>2015</v>
      </c>
      <c r="D987" s="557" t="s">
        <v>3885</v>
      </c>
      <c r="E987" s="547">
        <v>6.1814500625861496E-2</v>
      </c>
      <c r="F987" s="548">
        <v>0.12877157983883414</v>
      </c>
      <c r="G987" s="549">
        <v>0.108993869244317</v>
      </c>
      <c r="H987" s="550">
        <v>8.8306071818884894E-3</v>
      </c>
      <c r="I987" s="551">
        <v>0.28153303640689498</v>
      </c>
      <c r="J987" s="551">
        <v>0.11146462194934401</v>
      </c>
      <c r="K987" s="551">
        <v>2.32701535545362E-2</v>
      </c>
      <c r="L987" s="551">
        <v>1.23396311002089E-3</v>
      </c>
      <c r="M987" s="552">
        <v>2.43223266384953E-2</v>
      </c>
    </row>
    <row r="988" spans="2:13" ht="15.75" x14ac:dyDescent="0.25">
      <c r="B988" s="555">
        <v>2037</v>
      </c>
      <c r="C988" s="556">
        <v>2016</v>
      </c>
      <c r="D988" s="557" t="s">
        <v>3886</v>
      </c>
      <c r="E988" s="547">
        <v>5.9802907448998056E-2</v>
      </c>
      <c r="F988" s="548">
        <v>0.12484736623821766</v>
      </c>
      <c r="G988" s="549">
        <v>0.107921634952915</v>
      </c>
      <c r="H988" s="550">
        <v>8.0667672693964694E-3</v>
      </c>
      <c r="I988" s="551">
        <v>0.24459661850297301</v>
      </c>
      <c r="J988" s="551">
        <v>9.7840960983833006E-2</v>
      </c>
      <c r="K988" s="551">
        <v>2.3039408129984999E-2</v>
      </c>
      <c r="L988" s="551">
        <v>1.3888417881781901E-3</v>
      </c>
      <c r="M988" s="552">
        <v>2.4081147929763499E-2</v>
      </c>
    </row>
    <row r="989" spans="2:13" ht="15.75" x14ac:dyDescent="0.25">
      <c r="B989" s="555">
        <v>2037</v>
      </c>
      <c r="C989" s="556">
        <v>2017</v>
      </c>
      <c r="D989" s="557" t="s">
        <v>3887</v>
      </c>
      <c r="E989" s="547">
        <v>5.6295073177613245E-2</v>
      </c>
      <c r="F989" s="548">
        <v>0.1209396343899424</v>
      </c>
      <c r="G989" s="549">
        <v>8.9932641421592602E-2</v>
      </c>
      <c r="H989" s="550">
        <v>7.26973482987357E-3</v>
      </c>
      <c r="I989" s="551">
        <v>0.189563273749556</v>
      </c>
      <c r="J989" s="551">
        <v>8.4557485300898502E-2</v>
      </c>
      <c r="K989" s="551">
        <v>2.1659458119822401E-2</v>
      </c>
      <c r="L989" s="551">
        <v>1.44744224772569E-3</v>
      </c>
      <c r="M989" s="552">
        <v>2.2638802703578799E-2</v>
      </c>
    </row>
    <row r="990" spans="2:13" ht="15.75" x14ac:dyDescent="0.25">
      <c r="B990" s="555">
        <v>2037</v>
      </c>
      <c r="C990" s="556">
        <v>2018</v>
      </c>
      <c r="D990" s="557" t="s">
        <v>3888</v>
      </c>
      <c r="E990" s="547">
        <v>5.2565129254369639E-2</v>
      </c>
      <c r="F990" s="548">
        <v>0.11575597924198529</v>
      </c>
      <c r="G990" s="549">
        <v>8.9557999325103096E-2</v>
      </c>
      <c r="H990" s="550">
        <v>6.5558511727598296E-3</v>
      </c>
      <c r="I990" s="551">
        <v>0.15361865154177301</v>
      </c>
      <c r="J990" s="551">
        <v>7.0762963446728097E-2</v>
      </c>
      <c r="K990" s="551">
        <v>2.13812324778744E-2</v>
      </c>
      <c r="L990" s="551">
        <v>1.5081106964345201E-3</v>
      </c>
      <c r="M990" s="552">
        <v>2.2347996932710001E-2</v>
      </c>
    </row>
    <row r="991" spans="2:13" ht="15.75" x14ac:dyDescent="0.25">
      <c r="B991" s="555">
        <v>2037</v>
      </c>
      <c r="C991" s="556">
        <v>2019</v>
      </c>
      <c r="D991" s="557" t="s">
        <v>3889</v>
      </c>
      <c r="E991" s="547">
        <v>5.2547147729087217E-2</v>
      </c>
      <c r="F991" s="548">
        <v>0.11570840022667137</v>
      </c>
      <c r="G991" s="549">
        <v>8.90953176026517E-2</v>
      </c>
      <c r="H991" s="550">
        <v>5.9276451622285297E-3</v>
      </c>
      <c r="I991" s="551">
        <v>0.131060694434075</v>
      </c>
      <c r="J991" s="551">
        <v>6.1277937168931797E-2</v>
      </c>
      <c r="K991" s="551">
        <v>2.1044581531101499E-2</v>
      </c>
      <c r="L991" s="551">
        <v>1.54875436644348E-3</v>
      </c>
      <c r="M991" s="552">
        <v>2.19961241239904E-2</v>
      </c>
    </row>
    <row r="992" spans="2:13" ht="15.75" x14ac:dyDescent="0.25">
      <c r="B992" s="555">
        <v>2037</v>
      </c>
      <c r="C992" s="556">
        <v>2020</v>
      </c>
      <c r="D992" s="557" t="s">
        <v>3890</v>
      </c>
      <c r="E992" s="547">
        <v>5.2529301723660653E-2</v>
      </c>
      <c r="F992" s="548">
        <v>0.11566116352440685</v>
      </c>
      <c r="G992" s="549">
        <v>8.8543926083666694E-2</v>
      </c>
      <c r="H992" s="550">
        <v>5.2720000104703102E-3</v>
      </c>
      <c r="I992" s="551">
        <v>0.108402049247576</v>
      </c>
      <c r="J992" s="551">
        <v>5.2053883380397903E-2</v>
      </c>
      <c r="K992" s="551">
        <v>2.0649453250675999E-2</v>
      </c>
      <c r="L992" s="551">
        <v>1.5492683969623099E-3</v>
      </c>
      <c r="M992" s="552">
        <v>2.1583129896079901E-2</v>
      </c>
    </row>
    <row r="993" spans="2:13" ht="15.75" x14ac:dyDescent="0.25">
      <c r="B993" s="555">
        <v>2037</v>
      </c>
      <c r="C993" s="556">
        <v>2021</v>
      </c>
      <c r="D993" s="557" t="s">
        <v>3891</v>
      </c>
      <c r="E993" s="547">
        <v>5.1198861714944942E-2</v>
      </c>
      <c r="F993" s="548">
        <v>0.11272931396534845</v>
      </c>
      <c r="G993" s="549">
        <v>8.7904770088402806E-2</v>
      </c>
      <c r="H993" s="550">
        <v>4.6156479676391299E-3</v>
      </c>
      <c r="I993" s="551">
        <v>8.64207822500839E-2</v>
      </c>
      <c r="J993" s="551">
        <v>4.2520737763505997E-2</v>
      </c>
      <c r="K993" s="551">
        <v>2.0195892262845998E-2</v>
      </c>
      <c r="L993" s="551">
        <v>1.5498036510533299E-3</v>
      </c>
      <c r="M993" s="552">
        <v>2.11090608930272E-2</v>
      </c>
    </row>
    <row r="994" spans="2:13" ht="15.75" x14ac:dyDescent="0.25">
      <c r="B994" s="555">
        <v>2037</v>
      </c>
      <c r="C994" s="556">
        <v>2022</v>
      </c>
      <c r="D994" s="557" t="s">
        <v>3892</v>
      </c>
      <c r="E994" s="547">
        <v>4.9921758128995498E-2</v>
      </c>
      <c r="F994" s="548">
        <v>0.10991483774739619</v>
      </c>
      <c r="G994" s="549">
        <v>8.7175286338167499E-2</v>
      </c>
      <c r="H994" s="550">
        <v>3.9659538196604501E-3</v>
      </c>
      <c r="I994" s="551">
        <v>6.4450626759910604E-2</v>
      </c>
      <c r="J994" s="551">
        <v>3.3243737002990603E-2</v>
      </c>
      <c r="K994" s="551">
        <v>1.9683714904277901E-2</v>
      </c>
      <c r="L994" s="551">
        <v>1.55033788208596E-3</v>
      </c>
      <c r="M994" s="552">
        <v>2.0573725147058099E-2</v>
      </c>
    </row>
    <row r="995" spans="2:13" ht="15.75" x14ac:dyDescent="0.25">
      <c r="B995" s="555">
        <v>2037</v>
      </c>
      <c r="C995" s="556">
        <v>2023</v>
      </c>
      <c r="D995" s="557" t="s">
        <v>3893</v>
      </c>
      <c r="E995" s="547">
        <v>4.8645542826261372E-2</v>
      </c>
      <c r="F995" s="548">
        <v>0.10710491236419639</v>
      </c>
      <c r="G995" s="549">
        <v>8.6356754056738996E-2</v>
      </c>
      <c r="H995" s="550">
        <v>3.9542747320953199E-3</v>
      </c>
      <c r="I995" s="551">
        <v>6.3305581043691495E-2</v>
      </c>
      <c r="J995" s="551">
        <v>3.2350524595446302E-2</v>
      </c>
      <c r="K995" s="551">
        <v>1.91129860872889E-2</v>
      </c>
      <c r="L995" s="551">
        <v>1.5508846698450401E-3</v>
      </c>
      <c r="M995" s="552">
        <v>1.99771905055365E-2</v>
      </c>
    </row>
    <row r="996" spans="2:13" ht="15.75" x14ac:dyDescent="0.25">
      <c r="B996" s="555">
        <v>2037</v>
      </c>
      <c r="C996" s="556">
        <v>2024</v>
      </c>
      <c r="D996" s="557" t="s">
        <v>3894</v>
      </c>
      <c r="E996" s="547">
        <v>4.7422513718694714E-2</v>
      </c>
      <c r="F996" s="548">
        <v>0.10441224665612631</v>
      </c>
      <c r="G996" s="549">
        <v>8.54475053713388E-2</v>
      </c>
      <c r="H996" s="550">
        <v>3.9642138012647102E-3</v>
      </c>
      <c r="I996" s="551">
        <v>6.2040896538305197E-2</v>
      </c>
      <c r="J996" s="551">
        <v>3.2777226117094299E-2</v>
      </c>
      <c r="K996" s="551">
        <v>1.8483586407443301E-2</v>
      </c>
      <c r="L996" s="551">
        <v>1.5514305287356301E-3</v>
      </c>
      <c r="M996" s="552">
        <v>1.9319332165088E-2</v>
      </c>
    </row>
    <row r="997" spans="2:13" ht="15.75" x14ac:dyDescent="0.25">
      <c r="B997" s="555">
        <v>2037</v>
      </c>
      <c r="C997" s="556">
        <v>2025</v>
      </c>
      <c r="D997" s="557" t="s">
        <v>3895</v>
      </c>
      <c r="E997" s="547">
        <v>4.620025359548674E-2</v>
      </c>
      <c r="F997" s="548">
        <v>0.10172163984873978</v>
      </c>
      <c r="G997" s="549">
        <v>8.44488526463089E-2</v>
      </c>
      <c r="H997" s="550">
        <v>3.9895642646348801E-3</v>
      </c>
      <c r="I997" s="551">
        <v>6.0657003044846898E-2</v>
      </c>
      <c r="J997" s="551">
        <v>3.1910188272249999E-2</v>
      </c>
      <c r="K997" s="551">
        <v>1.77955719722179E-2</v>
      </c>
      <c r="L997" s="551">
        <v>1.55198992119321E-3</v>
      </c>
      <c r="M997" s="552">
        <v>1.8600208770120499E-2</v>
      </c>
    </row>
    <row r="998" spans="2:13" ht="15.75" x14ac:dyDescent="0.25">
      <c r="B998" s="555">
        <v>2037</v>
      </c>
      <c r="C998" s="556">
        <v>2026</v>
      </c>
      <c r="D998" s="557" t="s">
        <v>3896</v>
      </c>
      <c r="E998" s="547">
        <v>4.5031018927429521E-2</v>
      </c>
      <c r="F998" s="548">
        <v>9.9147614862243841E-2</v>
      </c>
      <c r="G998" s="549">
        <v>8.3359140714447097E-2</v>
      </c>
      <c r="H998" s="550">
        <v>4.0253319448043598E-3</v>
      </c>
      <c r="I998" s="551">
        <v>5.9159615373508202E-2</v>
      </c>
      <c r="J998" s="551">
        <v>3.2401833542208401E-2</v>
      </c>
      <c r="K998" s="551">
        <v>1.7048821478393601E-2</v>
      </c>
      <c r="L998" s="551">
        <v>1.5525484237222599E-3</v>
      </c>
      <c r="M998" s="552">
        <v>1.7819693532621701E-2</v>
      </c>
    </row>
    <row r="999" spans="2:13" ht="15.75" x14ac:dyDescent="0.25">
      <c r="B999" s="555">
        <v>2037</v>
      </c>
      <c r="C999" s="556">
        <v>2027</v>
      </c>
      <c r="D999" s="557" t="s">
        <v>3897</v>
      </c>
      <c r="E999" s="547">
        <v>4.3914907720537313E-2</v>
      </c>
      <c r="F999" s="548">
        <v>9.6690186524174437E-2</v>
      </c>
      <c r="G999" s="549">
        <v>8.2180728733479605E-2</v>
      </c>
      <c r="H999" s="550">
        <v>4.0562896944665097E-3</v>
      </c>
      <c r="I999" s="551">
        <v>5.75365990846846E-2</v>
      </c>
      <c r="J999" s="551">
        <v>3.1858136776403201E-2</v>
      </c>
      <c r="K999" s="551">
        <v>1.62434531977796E-2</v>
      </c>
      <c r="L999" s="551">
        <v>1.55313307982144E-3</v>
      </c>
      <c r="M999" s="552">
        <v>1.6977910072127199E-2</v>
      </c>
    </row>
    <row r="1000" spans="2:13" ht="15.75" x14ac:dyDescent="0.25">
      <c r="B1000" s="555">
        <v>2037</v>
      </c>
      <c r="C1000" s="556">
        <v>2028</v>
      </c>
      <c r="D1000" s="557" t="s">
        <v>3898</v>
      </c>
      <c r="E1000" s="547">
        <v>4.3899254449616822E-2</v>
      </c>
      <c r="F1000" s="548">
        <v>9.6650319043221217E-2</v>
      </c>
      <c r="G1000" s="549">
        <v>8.0910145021501206E-2</v>
      </c>
      <c r="H1000" s="550">
        <v>4.0697607233000904E-3</v>
      </c>
      <c r="I1000" s="551">
        <v>5.5793166529742998E-2</v>
      </c>
      <c r="J1000" s="551">
        <v>3.1741175364354599E-2</v>
      </c>
      <c r="K1000" s="551">
        <v>1.5379242217209699E-2</v>
      </c>
      <c r="L1000" s="551">
        <v>1.5537102414136001E-3</v>
      </c>
      <c r="M1000" s="552">
        <v>1.6074623305895399E-2</v>
      </c>
    </row>
    <row r="1001" spans="2:13" ht="15.75" x14ac:dyDescent="0.25">
      <c r="B1001" s="555">
        <v>2037</v>
      </c>
      <c r="C1001" s="556">
        <v>2029</v>
      </c>
      <c r="D1001" s="557" t="s">
        <v>3899</v>
      </c>
      <c r="E1001" s="547">
        <v>4.3883167875588019E-2</v>
      </c>
      <c r="F1001" s="548">
        <v>9.6608535937041579E-2</v>
      </c>
      <c r="G1001" s="549">
        <v>7.9548260955155103E-2</v>
      </c>
      <c r="H1001" s="550">
        <v>4.05019630762874E-3</v>
      </c>
      <c r="I1001" s="551">
        <v>5.3929552478805702E-2</v>
      </c>
      <c r="J1001" s="551">
        <v>3.1370028115679897E-2</v>
      </c>
      <c r="K1001" s="551">
        <v>1.44562072007358E-2</v>
      </c>
      <c r="L1001" s="551">
        <v>1.5542903559853201E-3</v>
      </c>
      <c r="M1001" s="552">
        <v>1.51098527418837E-2</v>
      </c>
    </row>
    <row r="1002" spans="2:13" ht="15.75" x14ac:dyDescent="0.25">
      <c r="B1002" s="555">
        <v>2037</v>
      </c>
      <c r="C1002" s="556">
        <v>2030</v>
      </c>
      <c r="D1002" s="557" t="s">
        <v>3900</v>
      </c>
      <c r="E1002" s="547">
        <v>4.3866598513200294E-2</v>
      </c>
      <c r="F1002" s="548">
        <v>9.6564794719083663E-2</v>
      </c>
      <c r="G1002" s="549">
        <v>7.8095931535266103E-2</v>
      </c>
      <c r="H1002" s="550">
        <v>3.9977871095991397E-3</v>
      </c>
      <c r="I1002" s="551">
        <v>5.1946009501989097E-2</v>
      </c>
      <c r="J1002" s="551">
        <v>3.0079923926049999E-2</v>
      </c>
      <c r="K1002" s="551">
        <v>1.34743722117122E-2</v>
      </c>
      <c r="L1002" s="551">
        <v>1.5548857690456401E-3</v>
      </c>
      <c r="M1002" s="552">
        <v>1.40836235314847E-2</v>
      </c>
    </row>
    <row r="1003" spans="2:13" ht="15.75" x14ac:dyDescent="0.25">
      <c r="B1003" s="555">
        <v>2037</v>
      </c>
      <c r="C1003" s="556">
        <v>2031</v>
      </c>
      <c r="D1003" s="557" t="s">
        <v>3901</v>
      </c>
      <c r="E1003" s="547">
        <v>4.3849186813644497E-2</v>
      </c>
      <c r="F1003" s="548">
        <v>9.6518634867953465E-2</v>
      </c>
      <c r="G1003" s="549">
        <v>7.6550779063590604E-2</v>
      </c>
      <c r="H1003" s="550">
        <v>3.9347538358875901E-3</v>
      </c>
      <c r="I1003" s="551">
        <v>4.9841619523154003E-2</v>
      </c>
      <c r="J1003" s="551">
        <v>2.96881202042306E-2</v>
      </c>
      <c r="K1003" s="551">
        <v>1.2433585972979701E-2</v>
      </c>
      <c r="L1003" s="551">
        <v>1.5554716936766601E-3</v>
      </c>
      <c r="M1003" s="552">
        <v>1.29957775574572E-2</v>
      </c>
    </row>
    <row r="1004" spans="2:13" ht="15.75" x14ac:dyDescent="0.25">
      <c r="B1004" s="555">
        <v>2037</v>
      </c>
      <c r="C1004" s="556">
        <v>2032</v>
      </c>
      <c r="D1004" s="557" t="s">
        <v>3902</v>
      </c>
      <c r="E1004" s="547">
        <v>4.3830824283269405E-2</v>
      </c>
      <c r="F1004" s="548">
        <v>9.6471004158375409E-2</v>
      </c>
      <c r="G1004" s="549">
        <v>7.4914349154294402E-2</v>
      </c>
      <c r="H1004" s="550">
        <v>3.9150011398200596E-3</v>
      </c>
      <c r="I1004" s="551">
        <v>4.7616877832268999E-2</v>
      </c>
      <c r="J1004" s="551">
        <v>2.89896098150043E-2</v>
      </c>
      <c r="K1004" s="551">
        <v>1.13339059794681E-2</v>
      </c>
      <c r="L1004" s="551">
        <v>1.55606850927434E-3</v>
      </c>
      <c r="M1004" s="552">
        <v>1.1846374914396701E-2</v>
      </c>
    </row>
    <row r="1005" spans="2:13" ht="15.75" x14ac:dyDescent="0.25">
      <c r="B1005" s="555">
        <v>2037</v>
      </c>
      <c r="C1005" s="556">
        <v>2033</v>
      </c>
      <c r="D1005" s="557" t="s">
        <v>3903</v>
      </c>
      <c r="E1005" s="547">
        <v>4.3811032549723947E-2</v>
      </c>
      <c r="F1005" s="548">
        <v>9.642234546488658E-2</v>
      </c>
      <c r="G1005" s="549">
        <v>7.3185188168408202E-2</v>
      </c>
      <c r="H1005" s="550">
        <v>4.0271395607512197E-3</v>
      </c>
      <c r="I1005" s="551">
        <v>4.5271205637527602E-2</v>
      </c>
      <c r="J1005" s="551">
        <v>2.9012600466221401E-2</v>
      </c>
      <c r="K1005" s="551">
        <v>1.01752339437087E-2</v>
      </c>
      <c r="L1005" s="551">
        <v>1.55666198185495E-3</v>
      </c>
      <c r="M1005" s="552">
        <v>1.06353128707112E-2</v>
      </c>
    </row>
    <row r="1006" spans="2:13" ht="15.75" x14ac:dyDescent="0.25">
      <c r="B1006" s="555">
        <v>2037</v>
      </c>
      <c r="C1006" s="556">
        <v>2034</v>
      </c>
      <c r="D1006" s="557" t="s">
        <v>3904</v>
      </c>
      <c r="E1006" s="547">
        <v>4.378930424554324E-2</v>
      </c>
      <c r="F1006" s="548">
        <v>9.6372997998811633E-2</v>
      </c>
      <c r="G1006" s="549">
        <v>7.1364087686920999E-2</v>
      </c>
      <c r="H1006" s="550">
        <v>4.3770770544861101E-3</v>
      </c>
      <c r="I1006" s="551">
        <v>4.2804797431176503E-2</v>
      </c>
      <c r="J1006" s="551">
        <v>3.04942091164036E-2</v>
      </c>
      <c r="K1006" s="551">
        <v>8.9575771829827396E-3</v>
      </c>
      <c r="L1006" s="551">
        <v>1.55726328367067E-3</v>
      </c>
      <c r="M1006" s="552">
        <v>9.3625990745371604E-3</v>
      </c>
    </row>
    <row r="1007" spans="2:13" ht="15.75" x14ac:dyDescent="0.25">
      <c r="B1007" s="555">
        <v>2037</v>
      </c>
      <c r="C1007" s="556">
        <v>2035</v>
      </c>
      <c r="D1007" s="557" t="s">
        <v>3905</v>
      </c>
      <c r="E1007" s="547">
        <v>4.3764655968237483E-2</v>
      </c>
      <c r="F1007" s="548">
        <v>9.6320307340144615E-2</v>
      </c>
      <c r="G1007" s="549">
        <v>6.9451387887414201E-2</v>
      </c>
      <c r="H1007" s="550">
        <v>5.00611335208006E-3</v>
      </c>
      <c r="I1007" s="551">
        <v>4.0217674707237097E-2</v>
      </c>
      <c r="J1007" s="551">
        <v>3.3433841842885399E-2</v>
      </c>
      <c r="K1007" s="551">
        <v>7.6809131950955501E-3</v>
      </c>
      <c r="L1007" s="551">
        <v>1.5578802361709101E-3</v>
      </c>
      <c r="M1007" s="552">
        <v>8.0282100062302603E-3</v>
      </c>
    </row>
    <row r="1008" spans="2:13" ht="15.75" x14ac:dyDescent="0.25">
      <c r="B1008" s="555">
        <v>2037</v>
      </c>
      <c r="C1008" s="556">
        <v>2036</v>
      </c>
      <c r="D1008" s="557" t="s">
        <v>3906</v>
      </c>
      <c r="E1008" s="547">
        <v>4.3734697365324461E-2</v>
      </c>
      <c r="F1008" s="548">
        <v>9.6252411446674707E-2</v>
      </c>
      <c r="G1008" s="549">
        <v>6.74442351288954E-2</v>
      </c>
      <c r="H1008" s="550">
        <v>5.6707348014784298E-3</v>
      </c>
      <c r="I1008" s="551">
        <v>3.7508874246905001E-2</v>
      </c>
      <c r="J1008" s="551">
        <v>3.6695620161873603E-2</v>
      </c>
      <c r="K1008" s="551">
        <v>6.34511532076558E-3</v>
      </c>
      <c r="L1008" s="551">
        <v>1.55848026194701E-3</v>
      </c>
      <c r="M1008" s="552">
        <v>6.6320132795383699E-3</v>
      </c>
    </row>
    <row r="1009" spans="2:13" ht="15.75" x14ac:dyDescent="0.25">
      <c r="B1009" s="555">
        <v>2037</v>
      </c>
      <c r="C1009" s="556">
        <v>2037</v>
      </c>
      <c r="D1009" s="557" t="s">
        <v>3907</v>
      </c>
      <c r="E1009" s="547">
        <v>4.3693577993795668E-2</v>
      </c>
      <c r="F1009" s="548">
        <v>9.6138172168293318E-2</v>
      </c>
      <c r="G1009" s="549">
        <v>6.5344617099737795E-2</v>
      </c>
      <c r="H1009" s="550">
        <v>5.4218799738478202E-3</v>
      </c>
      <c r="I1009" s="551">
        <v>3.4678954961642798E-2</v>
      </c>
      <c r="J1009" s="551">
        <v>3.4349897329189097E-2</v>
      </c>
      <c r="K1009" s="551">
        <v>4.9502237430120799E-3</v>
      </c>
      <c r="L1009" s="551">
        <v>1.5590906091862899E-3</v>
      </c>
      <c r="M1009" s="552">
        <v>5.1740508943785603E-3</v>
      </c>
    </row>
    <row r="1010" spans="2:13" ht="15.75" x14ac:dyDescent="0.25">
      <c r="B1010" s="555">
        <v>2038</v>
      </c>
      <c r="C1010" s="556">
        <v>1994</v>
      </c>
      <c r="D1010" s="557" t="s">
        <v>3908</v>
      </c>
      <c r="E1010" s="547">
        <v>6.4200017604820858E-2</v>
      </c>
      <c r="F1010" s="548">
        <v>0.13463738655167873</v>
      </c>
      <c r="G1010" s="549">
        <v>0.36191073372058402</v>
      </c>
      <c r="H1010" s="550">
        <v>0.47451518747578503</v>
      </c>
      <c r="I1010" s="551">
        <v>9.2373617498434992</v>
      </c>
      <c r="J1010" s="551">
        <v>2.9135165101935301</v>
      </c>
      <c r="K1010" s="551">
        <v>5.1821407936480303E-2</v>
      </c>
      <c r="L1010" s="551">
        <v>7.6962795294755904E-3</v>
      </c>
      <c r="M1010" s="552">
        <v>5.4164542049275899E-2</v>
      </c>
    </row>
    <row r="1011" spans="2:13" ht="15.75" x14ac:dyDescent="0.25">
      <c r="B1011" s="555">
        <v>2038</v>
      </c>
      <c r="C1011" s="556">
        <v>1995</v>
      </c>
      <c r="D1011" s="557" t="s">
        <v>3909</v>
      </c>
      <c r="E1011" s="547">
        <v>6.4537171576185062E-2</v>
      </c>
      <c r="F1011" s="548">
        <v>0.13368603698424672</v>
      </c>
      <c r="G1011" s="549">
        <v>0.36610577531814698</v>
      </c>
      <c r="H1011" s="550">
        <v>0.25333078386659902</v>
      </c>
      <c r="I1011" s="551">
        <v>9.2118633803526802</v>
      </c>
      <c r="J1011" s="551">
        <v>1.6630431467397699</v>
      </c>
      <c r="K1011" s="551">
        <v>5.2422089103637097E-2</v>
      </c>
      <c r="L1011" s="551">
        <v>5.0265031962228304E-3</v>
      </c>
      <c r="M1011" s="552">
        <v>5.4792383353328297E-2</v>
      </c>
    </row>
    <row r="1012" spans="2:13" ht="15.75" x14ac:dyDescent="0.25">
      <c r="B1012" s="555">
        <v>2038</v>
      </c>
      <c r="C1012" s="556">
        <v>1996</v>
      </c>
      <c r="D1012" s="557" t="s">
        <v>3910</v>
      </c>
      <c r="E1012" s="547">
        <v>6.455816999318828E-2</v>
      </c>
      <c r="F1012" s="548">
        <v>0.1320314113210255</v>
      </c>
      <c r="G1012" s="549">
        <v>0.36643690336530199</v>
      </c>
      <c r="H1012" s="550">
        <v>2.29434040398021E-2</v>
      </c>
      <c r="I1012" s="551">
        <v>9.2074251055157408</v>
      </c>
      <c r="J1012" s="551">
        <v>0.39578810410757298</v>
      </c>
      <c r="K1012" s="551">
        <v>5.2469502788869297E-2</v>
      </c>
      <c r="L1012" s="551">
        <v>2.23619149237685E-3</v>
      </c>
      <c r="M1012" s="552">
        <v>5.4841940875011701E-2</v>
      </c>
    </row>
    <row r="1013" spans="2:13" ht="15.75" x14ac:dyDescent="0.25">
      <c r="B1013" s="555">
        <v>2038</v>
      </c>
      <c r="C1013" s="556">
        <v>1997</v>
      </c>
      <c r="D1013" s="557" t="s">
        <v>3911</v>
      </c>
      <c r="E1013" s="547">
        <v>6.4792041640845621E-2</v>
      </c>
      <c r="F1013" s="548">
        <v>0.13065058894633205</v>
      </c>
      <c r="G1013" s="549">
        <v>0.36920128036643701</v>
      </c>
      <c r="H1013" s="550">
        <v>2.23184461090776E-2</v>
      </c>
      <c r="I1013" s="551">
        <v>9.1675043461195695</v>
      </c>
      <c r="J1013" s="551">
        <v>0.39178586384865699</v>
      </c>
      <c r="K1013" s="551">
        <v>5.2865329424883499E-2</v>
      </c>
      <c r="L1013" s="551">
        <v>2.1778384798396598E-3</v>
      </c>
      <c r="M1013" s="552">
        <v>5.52556650350517E-2</v>
      </c>
    </row>
    <row r="1014" spans="2:13" ht="15.75" x14ac:dyDescent="0.25">
      <c r="B1014" s="555">
        <v>2038</v>
      </c>
      <c r="C1014" s="556">
        <v>1998</v>
      </c>
      <c r="D1014" s="557" t="s">
        <v>3912</v>
      </c>
      <c r="E1014" s="547">
        <v>6.4583946651849286E-2</v>
      </c>
      <c r="F1014" s="548">
        <v>0.13117347252113784</v>
      </c>
      <c r="G1014" s="549">
        <v>0.36773416249747798</v>
      </c>
      <c r="H1014" s="550">
        <v>2.2555195098369198E-2</v>
      </c>
      <c r="I1014" s="551">
        <v>9.2049289163354402</v>
      </c>
      <c r="J1014" s="551">
        <v>0.39351469480911699</v>
      </c>
      <c r="K1014" s="551">
        <v>5.2655255209077198E-2</v>
      </c>
      <c r="L1014" s="551">
        <v>2.20487816762798E-3</v>
      </c>
      <c r="M1014" s="552">
        <v>5.50360921953972E-2</v>
      </c>
    </row>
    <row r="1015" spans="2:13" ht="15.75" x14ac:dyDescent="0.25">
      <c r="B1015" s="555">
        <v>2038</v>
      </c>
      <c r="C1015" s="556">
        <v>1999</v>
      </c>
      <c r="D1015" s="557" t="s">
        <v>3913</v>
      </c>
      <c r="E1015" s="547">
        <v>6.4504058540529444E-2</v>
      </c>
      <c r="F1015" s="548">
        <v>0.13098692050713201</v>
      </c>
      <c r="G1015" s="549">
        <v>0.36708178015975501</v>
      </c>
      <c r="H1015" s="550">
        <v>2.2528903272092501E-2</v>
      </c>
      <c r="I1015" s="551">
        <v>9.2066757008091606</v>
      </c>
      <c r="J1015" s="551">
        <v>0.39354179880275503</v>
      </c>
      <c r="K1015" s="551">
        <v>5.2561841645721002E-2</v>
      </c>
      <c r="L1015" s="551">
        <v>2.1979597741674998E-3</v>
      </c>
      <c r="M1015" s="552">
        <v>5.4938454885222601E-2</v>
      </c>
    </row>
    <row r="1016" spans="2:13" ht="15.75" x14ac:dyDescent="0.25">
      <c r="B1016" s="555">
        <v>2038</v>
      </c>
      <c r="C1016" s="556">
        <v>2000</v>
      </c>
      <c r="D1016" s="557" t="s">
        <v>3914</v>
      </c>
      <c r="E1016" s="547">
        <v>6.4253104003584249E-2</v>
      </c>
      <c r="F1016" s="548">
        <v>0.13142161347767709</v>
      </c>
      <c r="G1016" s="549">
        <v>0.36470436630993103</v>
      </c>
      <c r="H1016" s="550">
        <v>2.2727385709282798E-2</v>
      </c>
      <c r="I1016" s="551">
        <v>9.2366343971999907</v>
      </c>
      <c r="J1016" s="551">
        <v>0.39551310641439202</v>
      </c>
      <c r="K1016" s="551">
        <v>5.2221423632474999E-2</v>
      </c>
      <c r="L1016" s="551">
        <v>2.22094411800217E-3</v>
      </c>
      <c r="M1016" s="552">
        <v>5.4582644680000202E-2</v>
      </c>
    </row>
    <row r="1017" spans="2:13" ht="15.75" x14ac:dyDescent="0.25">
      <c r="B1017" s="555">
        <v>2038</v>
      </c>
      <c r="C1017" s="556">
        <v>2001</v>
      </c>
      <c r="D1017" s="557" t="s">
        <v>3915</v>
      </c>
      <c r="E1017" s="547">
        <v>6.4465108169969129E-2</v>
      </c>
      <c r="F1017" s="548">
        <v>0.13158754532928563</v>
      </c>
      <c r="G1017" s="549">
        <v>0.36723213713949099</v>
      </c>
      <c r="H1017" s="550">
        <v>2.28286151719139E-2</v>
      </c>
      <c r="I1017" s="551">
        <v>9.2025070096722299</v>
      </c>
      <c r="J1017" s="551">
        <v>0.39696641877005301</v>
      </c>
      <c r="K1017" s="551">
        <v>5.2583371016521697E-2</v>
      </c>
      <c r="L1017" s="551">
        <v>2.2335765551531801E-3</v>
      </c>
      <c r="M1017" s="552">
        <v>5.4960957718635697E-2</v>
      </c>
    </row>
    <row r="1018" spans="2:13" ht="15.75" x14ac:dyDescent="0.25">
      <c r="B1018" s="555">
        <v>2038</v>
      </c>
      <c r="C1018" s="556">
        <v>2002</v>
      </c>
      <c r="D1018" s="557" t="s">
        <v>3916</v>
      </c>
      <c r="E1018" s="547">
        <v>6.430080505400361E-2</v>
      </c>
      <c r="F1018" s="548">
        <v>0.13141587043320585</v>
      </c>
      <c r="G1018" s="549">
        <v>0.28380197922013001</v>
      </c>
      <c r="H1018" s="550">
        <v>2.2781108198583502E-2</v>
      </c>
      <c r="I1018" s="551">
        <v>7.0999863653875703</v>
      </c>
      <c r="J1018" s="551">
        <v>0.31951753070243899</v>
      </c>
      <c r="K1018" s="551">
        <v>5.2900095032338897E-2</v>
      </c>
      <c r="L1018" s="551">
        <v>2.2310524000218701E-3</v>
      </c>
      <c r="M1018" s="552">
        <v>5.5292002589006198E-2</v>
      </c>
    </row>
    <row r="1019" spans="2:13" ht="15.75" x14ac:dyDescent="0.25">
      <c r="B1019" s="555">
        <v>2038</v>
      </c>
      <c r="C1019" s="556">
        <v>2003</v>
      </c>
      <c r="D1019" s="557" t="s">
        <v>3917</v>
      </c>
      <c r="E1019" s="547">
        <v>6.3997739337020507E-2</v>
      </c>
      <c r="F1019" s="548">
        <v>0.13082408464424256</v>
      </c>
      <c r="G1019" s="549">
        <v>0.28157288412029802</v>
      </c>
      <c r="H1019" s="550">
        <v>2.2539316328251499E-2</v>
      </c>
      <c r="I1019" s="551">
        <v>7.1277542601383601</v>
      </c>
      <c r="J1019" s="551">
        <v>0.31941775907486603</v>
      </c>
      <c r="K1019" s="551">
        <v>5.2484596370415297E-2</v>
      </c>
      <c r="L1019" s="551">
        <v>2.2078634624208399E-3</v>
      </c>
      <c r="M1019" s="552">
        <v>5.4857716921338402E-2</v>
      </c>
    </row>
    <row r="1020" spans="2:13" ht="15.75" x14ac:dyDescent="0.25">
      <c r="B1020" s="555">
        <v>2038</v>
      </c>
      <c r="C1020" s="556">
        <v>2004</v>
      </c>
      <c r="D1020" s="557" t="s">
        <v>3918</v>
      </c>
      <c r="E1020" s="547">
        <v>6.3767826352194523E-2</v>
      </c>
      <c r="F1020" s="548">
        <v>0.12982320644616729</v>
      </c>
      <c r="G1020" s="549">
        <v>0.23239972893341901</v>
      </c>
      <c r="H1020" s="550">
        <v>1.4769206251775699E-2</v>
      </c>
      <c r="I1020" s="551">
        <v>5.9616161857845098</v>
      </c>
      <c r="J1020" s="551">
        <v>0.270297201033529</v>
      </c>
      <c r="K1020" s="551">
        <v>5.2191634484232703E-2</v>
      </c>
      <c r="L1020" s="551">
        <v>1.4367838361859799E-4</v>
      </c>
      <c r="M1020" s="552">
        <v>5.4551508598661702E-2</v>
      </c>
    </row>
    <row r="1021" spans="2:13" ht="15.75" x14ac:dyDescent="0.25">
      <c r="B1021" s="555">
        <v>2038</v>
      </c>
      <c r="C1021" s="556">
        <v>2005</v>
      </c>
      <c r="D1021" s="557" t="s">
        <v>3919</v>
      </c>
      <c r="E1021" s="547">
        <v>6.3809778808117751E-2</v>
      </c>
      <c r="F1021" s="548">
        <v>0.13018364424222206</v>
      </c>
      <c r="G1021" s="549">
        <v>0.23276133565622301</v>
      </c>
      <c r="H1021" s="550">
        <v>1.49742433910048E-2</v>
      </c>
      <c r="I1021" s="551">
        <v>5.9515767449277401</v>
      </c>
      <c r="J1021" s="551">
        <v>0.27215785601324199</v>
      </c>
      <c r="K1021" s="551">
        <v>5.2272843038090301E-2</v>
      </c>
      <c r="L1021" s="551">
        <v>1.45089584070315E-4</v>
      </c>
      <c r="M1021" s="552">
        <v>5.46363890429672E-2</v>
      </c>
    </row>
    <row r="1022" spans="2:13" ht="15.75" x14ac:dyDescent="0.25">
      <c r="B1022" s="555">
        <v>2038</v>
      </c>
      <c r="C1022" s="556">
        <v>2006</v>
      </c>
      <c r="D1022" s="557" t="s">
        <v>3920</v>
      </c>
      <c r="E1022" s="547">
        <v>6.3637243702983792E-2</v>
      </c>
      <c r="F1022" s="548">
        <v>0.13048650093377653</v>
      </c>
      <c r="G1022" s="549">
        <v>0.23168277607836499</v>
      </c>
      <c r="H1022" s="550">
        <v>1.51311360414808E-2</v>
      </c>
      <c r="I1022" s="551">
        <v>5.9600357437009004</v>
      </c>
      <c r="J1022" s="551">
        <v>0.27382509790530701</v>
      </c>
      <c r="K1022" s="551">
        <v>5.2030623361176899E-2</v>
      </c>
      <c r="L1022" s="551">
        <v>1.4626053080720101E-4</v>
      </c>
      <c r="M1022" s="552">
        <v>5.4383217267097599E-2</v>
      </c>
    </row>
    <row r="1023" spans="2:13" ht="15.75" x14ac:dyDescent="0.25">
      <c r="B1023" s="555">
        <v>2038</v>
      </c>
      <c r="C1023" s="556">
        <v>2007</v>
      </c>
      <c r="D1023" s="557" t="s">
        <v>3921</v>
      </c>
      <c r="E1023" s="547">
        <v>6.379066698900944E-2</v>
      </c>
      <c r="F1023" s="548">
        <v>0.13083443291127023</v>
      </c>
      <c r="G1023" s="549">
        <v>0.170194631120579</v>
      </c>
      <c r="H1023" s="550">
        <v>1.5299067976840299E-2</v>
      </c>
      <c r="I1023" s="551">
        <v>3.11430527197667</v>
      </c>
      <c r="J1023" s="551">
        <v>0.27394287552672503</v>
      </c>
      <c r="K1023" s="551">
        <v>3.7811163927947603E-2</v>
      </c>
      <c r="L1023" s="551">
        <v>1.47621257149171E-4</v>
      </c>
      <c r="M1023" s="552">
        <v>3.9520816976214401E-2</v>
      </c>
    </row>
    <row r="1024" spans="2:13" ht="15.75" x14ac:dyDescent="0.25">
      <c r="B1024" s="555">
        <v>2038</v>
      </c>
      <c r="C1024" s="556">
        <v>2008</v>
      </c>
      <c r="D1024" s="557" t="s">
        <v>3922</v>
      </c>
      <c r="E1024" s="547">
        <v>6.4021440284620826E-2</v>
      </c>
      <c r="F1024" s="548">
        <v>0.13132077889968885</v>
      </c>
      <c r="G1024" s="549">
        <v>0.172304618518861</v>
      </c>
      <c r="H1024" s="550">
        <v>1.20859900057775E-2</v>
      </c>
      <c r="I1024" s="551">
        <v>3.1004892376655699</v>
      </c>
      <c r="J1024" s="551">
        <v>0.193146848315252</v>
      </c>
      <c r="K1024" s="551">
        <v>3.8092877442684699E-2</v>
      </c>
      <c r="L1024" s="551">
        <v>1.7041351587917801E-4</v>
      </c>
      <c r="M1024" s="552">
        <v>3.9815268326002802E-2</v>
      </c>
    </row>
    <row r="1025" spans="2:13" ht="15.75" x14ac:dyDescent="0.25">
      <c r="B1025" s="555">
        <v>2038</v>
      </c>
      <c r="C1025" s="556">
        <v>2009</v>
      </c>
      <c r="D1025" s="557" t="s">
        <v>3923</v>
      </c>
      <c r="E1025" s="547">
        <v>6.4010828445194262E-2</v>
      </c>
      <c r="F1025" s="548">
        <v>0.13007520812787479</v>
      </c>
      <c r="G1025" s="549">
        <v>0.17244176734390201</v>
      </c>
      <c r="H1025" s="550">
        <v>8.4760900377082501E-3</v>
      </c>
      <c r="I1025" s="551">
        <v>3.0984711804493599</v>
      </c>
      <c r="J1025" s="551">
        <v>0.108957009931009</v>
      </c>
      <c r="K1025" s="551">
        <v>3.8111281055185998E-2</v>
      </c>
      <c r="L1025" s="551">
        <v>1.8685357053813999E-4</v>
      </c>
      <c r="M1025" s="552">
        <v>3.9834504068196497E-2</v>
      </c>
    </row>
    <row r="1026" spans="2:13" ht="15.75" x14ac:dyDescent="0.25">
      <c r="B1026" s="555">
        <v>2038</v>
      </c>
      <c r="C1026" s="556">
        <v>2010</v>
      </c>
      <c r="D1026" s="557" t="s">
        <v>3924</v>
      </c>
      <c r="E1026" s="547">
        <v>6.4020305903239011E-2</v>
      </c>
      <c r="F1026" s="548">
        <v>0.12897882218811754</v>
      </c>
      <c r="G1026" s="549">
        <v>0.110573158970493</v>
      </c>
      <c r="H1026" s="550">
        <v>8.2864875932631404E-3</v>
      </c>
      <c r="I1026" s="551">
        <v>0.284759682698905</v>
      </c>
      <c r="J1026" s="551">
        <v>0.108829190788702</v>
      </c>
      <c r="K1026" s="551">
        <v>2.35221901153575E-2</v>
      </c>
      <c r="L1026" s="551">
        <v>2.2270704941440201E-4</v>
      </c>
      <c r="M1026" s="552">
        <v>2.4585759174201201E-2</v>
      </c>
    </row>
    <row r="1027" spans="2:13" ht="15.75" x14ac:dyDescent="0.25">
      <c r="B1027" s="555">
        <v>2038</v>
      </c>
      <c r="C1027" s="556">
        <v>2011</v>
      </c>
      <c r="D1027" s="557" t="s">
        <v>3925</v>
      </c>
      <c r="E1027" s="547">
        <v>6.3963752482835812E-2</v>
      </c>
      <c r="F1027" s="548">
        <v>0.13064662701990343</v>
      </c>
      <c r="G1027" s="549">
        <v>0.110278852333762</v>
      </c>
      <c r="H1027" s="550">
        <v>8.6169762413328896E-3</v>
      </c>
      <c r="I1027" s="551">
        <v>0.28429056295333599</v>
      </c>
      <c r="J1027" s="551">
        <v>0.110691335023858</v>
      </c>
      <c r="K1027" s="551">
        <v>2.3498686854013701E-2</v>
      </c>
      <c r="L1027" s="551">
        <v>3.1435853875522998E-4</v>
      </c>
      <c r="M1027" s="552">
        <v>2.4561193199673599E-2</v>
      </c>
    </row>
    <row r="1028" spans="2:13" ht="15.75" x14ac:dyDescent="0.25">
      <c r="B1028" s="555">
        <v>2038</v>
      </c>
      <c r="C1028" s="556">
        <v>2012</v>
      </c>
      <c r="D1028" s="557" t="s">
        <v>3926</v>
      </c>
      <c r="E1028" s="547">
        <v>6.4073838626973453E-2</v>
      </c>
      <c r="F1028" s="548">
        <v>0.13105020443746729</v>
      </c>
      <c r="G1028" s="549">
        <v>0.111680182735546</v>
      </c>
      <c r="H1028" s="550">
        <v>8.7021400652209108E-3</v>
      </c>
      <c r="I1028" s="551">
        <v>0.28637174317724101</v>
      </c>
      <c r="J1028" s="551">
        <v>0.111458038140942</v>
      </c>
      <c r="K1028" s="551">
        <v>2.3595990056226399E-2</v>
      </c>
      <c r="L1028" s="551">
        <v>4.6426429745078301E-4</v>
      </c>
      <c r="M1028" s="552">
        <v>2.4662896020913799E-2</v>
      </c>
    </row>
    <row r="1029" spans="2:13" ht="15.75" x14ac:dyDescent="0.25">
      <c r="B1029" s="555">
        <v>2038</v>
      </c>
      <c r="C1029" s="556">
        <v>2013</v>
      </c>
      <c r="D1029" s="557" t="s">
        <v>3927</v>
      </c>
      <c r="E1029" s="547">
        <v>6.3928736910580056E-2</v>
      </c>
      <c r="F1029" s="548">
        <v>0.13104919385338509</v>
      </c>
      <c r="G1029" s="549">
        <v>0.110500740512332</v>
      </c>
      <c r="H1029" s="550">
        <v>8.7317837785634792E-3</v>
      </c>
      <c r="I1029" s="551">
        <v>0.28468897667002302</v>
      </c>
      <c r="J1029" s="551">
        <v>0.111060227433501</v>
      </c>
      <c r="K1029" s="551">
        <v>2.3527111765543E-2</v>
      </c>
      <c r="L1029" s="551">
        <v>6.9556916583949605E-4</v>
      </c>
      <c r="M1029" s="552">
        <v>2.4590903359568601E-2</v>
      </c>
    </row>
    <row r="1030" spans="2:13" ht="15.75" x14ac:dyDescent="0.25">
      <c r="B1030" s="555">
        <v>2038</v>
      </c>
      <c r="C1030" s="556">
        <v>2014</v>
      </c>
      <c r="D1030" s="557" t="s">
        <v>3928</v>
      </c>
      <c r="E1030" s="547">
        <v>6.2378176534907293E-2</v>
      </c>
      <c r="F1030" s="548">
        <v>0.12889017908192549</v>
      </c>
      <c r="G1030" s="549">
        <v>0.109909201356145</v>
      </c>
      <c r="H1030" s="550">
        <v>8.7044762480612305E-3</v>
      </c>
      <c r="I1030" s="551">
        <v>0.28374239970257797</v>
      </c>
      <c r="J1030" s="551">
        <v>0.111150333733721</v>
      </c>
      <c r="K1030" s="551">
        <v>2.3480328829602399E-2</v>
      </c>
      <c r="L1030" s="551">
        <v>9.6500620147195405E-4</v>
      </c>
      <c r="M1030" s="552">
        <v>2.4542005106861001E-2</v>
      </c>
    </row>
    <row r="1031" spans="2:13" ht="15.75" x14ac:dyDescent="0.25">
      <c r="B1031" s="555">
        <v>2038</v>
      </c>
      <c r="C1031" s="556">
        <v>2015</v>
      </c>
      <c r="D1031" s="557" t="s">
        <v>3929</v>
      </c>
      <c r="E1031" s="547">
        <v>6.1845948978840659E-2</v>
      </c>
      <c r="F1031" s="548">
        <v>0.1288519107027099</v>
      </c>
      <c r="G1031" s="549">
        <v>0.109191105001572</v>
      </c>
      <c r="H1031" s="550">
        <v>8.83488908064229E-3</v>
      </c>
      <c r="I1031" s="551">
        <v>0.28241352201749498</v>
      </c>
      <c r="J1031" s="551">
        <v>0.111668868523779</v>
      </c>
      <c r="K1031" s="551">
        <v>2.3382395001724302E-2</v>
      </c>
      <c r="L1031" s="551">
        <v>1.234023952026E-3</v>
      </c>
      <c r="M1031" s="552">
        <v>2.4439643145861199E-2</v>
      </c>
    </row>
    <row r="1032" spans="2:13" ht="15.75" x14ac:dyDescent="0.25">
      <c r="B1032" s="555">
        <v>2038</v>
      </c>
      <c r="C1032" s="556">
        <v>2016</v>
      </c>
      <c r="D1032" s="557" t="s">
        <v>3930</v>
      </c>
      <c r="E1032" s="547">
        <v>5.9833176475859839E-2</v>
      </c>
      <c r="F1032" s="548">
        <v>0.12492589167041834</v>
      </c>
      <c r="G1032" s="549">
        <v>0.108225140473235</v>
      </c>
      <c r="H1032" s="550">
        <v>8.0730692769136192E-3</v>
      </c>
      <c r="I1032" s="551">
        <v>0.245788250187357</v>
      </c>
      <c r="J1032" s="551">
        <v>9.8040114874828999E-2</v>
      </c>
      <c r="K1032" s="551">
        <v>2.32129586046587E-2</v>
      </c>
      <c r="L1032" s="551">
        <v>1.38891935497162E-3</v>
      </c>
      <c r="M1032" s="552">
        <v>2.4262545586783101E-2</v>
      </c>
    </row>
    <row r="1033" spans="2:13" ht="15.75" x14ac:dyDescent="0.25">
      <c r="B1033" s="555">
        <v>2038</v>
      </c>
      <c r="C1033" s="556">
        <v>2017</v>
      </c>
      <c r="D1033" s="557" t="s">
        <v>3931</v>
      </c>
      <c r="E1033" s="547">
        <v>5.6325508188520217E-2</v>
      </c>
      <c r="F1033" s="548">
        <v>0.1210169030400363</v>
      </c>
      <c r="G1033" s="549">
        <v>9.0280800811919595E-2</v>
      </c>
      <c r="H1033" s="550">
        <v>7.2786933871533798E-3</v>
      </c>
      <c r="I1033" s="551">
        <v>0.19082696859555501</v>
      </c>
      <c r="J1033" s="551">
        <v>8.4804694871629893E-2</v>
      </c>
      <c r="K1033" s="551">
        <v>2.1883022160642099E-2</v>
      </c>
      <c r="L1033" s="551">
        <v>1.4475145007690599E-3</v>
      </c>
      <c r="M1033" s="552">
        <v>2.2872475318273602E-2</v>
      </c>
    </row>
    <row r="1034" spans="2:13" ht="15.75" x14ac:dyDescent="0.25">
      <c r="B1034" s="555">
        <v>2038</v>
      </c>
      <c r="C1034" s="556">
        <v>2018</v>
      </c>
      <c r="D1034" s="557" t="s">
        <v>3932</v>
      </c>
      <c r="E1034" s="547">
        <v>5.2593335557567691E-2</v>
      </c>
      <c r="F1034" s="548">
        <v>0.11582984693154977</v>
      </c>
      <c r="G1034" s="549">
        <v>8.9995373101543902E-2</v>
      </c>
      <c r="H1034" s="550">
        <v>6.5724232415875902E-3</v>
      </c>
      <c r="I1034" s="551">
        <v>0.154919823878091</v>
      </c>
      <c r="J1034" s="551">
        <v>7.1129716366162096E-2</v>
      </c>
      <c r="K1034" s="551">
        <v>2.1663239201832701E-2</v>
      </c>
      <c r="L1034" s="551">
        <v>1.5081860715663599E-3</v>
      </c>
      <c r="M1034" s="552">
        <v>2.2642754749339401E-2</v>
      </c>
    </row>
    <row r="1035" spans="2:13" ht="15.75" x14ac:dyDescent="0.25">
      <c r="B1035" s="555">
        <v>2038</v>
      </c>
      <c r="C1035" s="556">
        <v>2019</v>
      </c>
      <c r="D1035" s="557" t="s">
        <v>3933</v>
      </c>
      <c r="E1035" s="547">
        <v>5.2575160360571964E-2</v>
      </c>
      <c r="F1035" s="548">
        <v>0.1157820143958799</v>
      </c>
      <c r="G1035" s="549">
        <v>8.9622017009533206E-2</v>
      </c>
      <c r="H1035" s="550">
        <v>5.9572817098952398E-3</v>
      </c>
      <c r="I1035" s="551">
        <v>0.13241360953449199</v>
      </c>
      <c r="J1035" s="551">
        <v>6.17909326029027E-2</v>
      </c>
      <c r="K1035" s="551">
        <v>2.13850491347982E-2</v>
      </c>
      <c r="L1035" s="551">
        <v>1.5488318952008001E-3</v>
      </c>
      <c r="M1035" s="552">
        <v>2.2351986161923701E-2</v>
      </c>
    </row>
    <row r="1036" spans="2:13" ht="15.75" x14ac:dyDescent="0.25">
      <c r="B1036" s="555">
        <v>2038</v>
      </c>
      <c r="C1036" s="556">
        <v>2020</v>
      </c>
      <c r="D1036" s="557" t="s">
        <v>3934</v>
      </c>
      <c r="E1036" s="547">
        <v>5.2557153643297688E-2</v>
      </c>
      <c r="F1036" s="548">
        <v>0.11573463927967653</v>
      </c>
      <c r="G1036" s="549">
        <v>8.9160062560224504E-2</v>
      </c>
      <c r="H1036" s="550">
        <v>5.3111497009297398E-3</v>
      </c>
      <c r="I1036" s="551">
        <v>0.109728422482578</v>
      </c>
      <c r="J1036" s="551">
        <v>5.2669456997284397E-2</v>
      </c>
      <c r="K1036" s="551">
        <v>2.10484001147563E-2</v>
      </c>
      <c r="L1036" s="551">
        <v>1.5493460876795501E-3</v>
      </c>
      <c r="M1036" s="552">
        <v>2.2000115367053399E-2</v>
      </c>
    </row>
    <row r="1037" spans="2:13" ht="15.75" x14ac:dyDescent="0.25">
      <c r="B1037" s="555">
        <v>2038</v>
      </c>
      <c r="C1037" s="556">
        <v>2021</v>
      </c>
      <c r="D1037" s="557" t="s">
        <v>3935</v>
      </c>
      <c r="E1037" s="547">
        <v>5.1225890844950196E-2</v>
      </c>
      <c r="F1037" s="548">
        <v>0.11280089932291355</v>
      </c>
      <c r="G1037" s="549">
        <v>8.8610467614738106E-2</v>
      </c>
      <c r="H1037" s="550">
        <v>4.6576788774221802E-3</v>
      </c>
      <c r="I1037" s="551">
        <v>8.7649805003639003E-2</v>
      </c>
      <c r="J1037" s="551">
        <v>4.3127004439189501E-2</v>
      </c>
      <c r="K1037" s="551">
        <v>2.0653339006457799E-2</v>
      </c>
      <c r="L1037" s="551">
        <v>1.5498815213056401E-3</v>
      </c>
      <c r="M1037" s="552">
        <v>2.1587191348495401E-2</v>
      </c>
    </row>
    <row r="1038" spans="2:13" ht="15.75" x14ac:dyDescent="0.25">
      <c r="B1038" s="555">
        <v>2038</v>
      </c>
      <c r="C1038" s="556">
        <v>2022</v>
      </c>
      <c r="D1038" s="557" t="s">
        <v>3936</v>
      </c>
      <c r="E1038" s="547">
        <v>4.9948035793382674E-2</v>
      </c>
      <c r="F1038" s="548">
        <v>0.10998443600430149</v>
      </c>
      <c r="G1038" s="549">
        <v>8.7970653237325502E-2</v>
      </c>
      <c r="H1038" s="550">
        <v>4.00025051759115E-3</v>
      </c>
      <c r="I1038" s="551">
        <v>6.5500781535932404E-2</v>
      </c>
      <c r="J1038" s="551">
        <v>3.3746537863487802E-2</v>
      </c>
      <c r="K1038" s="551">
        <v>2.0199679418758301E-2</v>
      </c>
      <c r="L1038" s="551">
        <v>1.5504159373736399E-3</v>
      </c>
      <c r="M1038" s="552">
        <v>2.1113019287324699E-2</v>
      </c>
    </row>
    <row r="1039" spans="2:13" ht="15.75" x14ac:dyDescent="0.25">
      <c r="B1039" s="555">
        <v>2038</v>
      </c>
      <c r="C1039" s="556">
        <v>2023</v>
      </c>
      <c r="D1039" s="557" t="s">
        <v>3937</v>
      </c>
      <c r="E1039" s="547">
        <v>4.8671110614080991E-2</v>
      </c>
      <c r="F1039" s="548">
        <v>0.10717248460115929</v>
      </c>
      <c r="G1039" s="549">
        <v>8.7241913391318607E-2</v>
      </c>
      <c r="H1039" s="550">
        <v>3.9765044125181399E-3</v>
      </c>
      <c r="I1039" s="551">
        <v>6.4474823698866604E-2</v>
      </c>
      <c r="J1039" s="551">
        <v>3.2771015771736502E-2</v>
      </c>
      <c r="K1039" s="551">
        <v>1.9687488957795998E-2</v>
      </c>
      <c r="L1039" s="551">
        <v>1.5509629205942401E-3</v>
      </c>
      <c r="M1039" s="552">
        <v>2.0577669846529201E-2</v>
      </c>
    </row>
    <row r="1040" spans="2:13" ht="15.75" x14ac:dyDescent="0.25">
      <c r="B1040" s="555">
        <v>2038</v>
      </c>
      <c r="C1040" s="556">
        <v>2024</v>
      </c>
      <c r="D1040" s="557" t="s">
        <v>3938</v>
      </c>
      <c r="E1040" s="547">
        <v>4.7447446093677625E-2</v>
      </c>
      <c r="F1040" s="548">
        <v>0.10447786540407344</v>
      </c>
      <c r="G1040" s="549">
        <v>8.6422565136863597E-2</v>
      </c>
      <c r="H1040" s="550">
        <v>3.9689576522470198E-3</v>
      </c>
      <c r="I1040" s="551">
        <v>6.3329298820037294E-2</v>
      </c>
      <c r="J1040" s="551">
        <v>3.3131250195054002E-2</v>
      </c>
      <c r="K1040" s="551">
        <v>1.9116645942871501E-2</v>
      </c>
      <c r="L1040" s="551">
        <v>1.5515089585690001E-3</v>
      </c>
      <c r="M1040" s="552">
        <v>1.9981015843548101E-2</v>
      </c>
    </row>
    <row r="1041" spans="2:13" ht="15.75" x14ac:dyDescent="0.25">
      <c r="B1041" s="555">
        <v>2038</v>
      </c>
      <c r="C1041" s="556">
        <v>2025</v>
      </c>
      <c r="D1041" s="557" t="s">
        <v>3939</v>
      </c>
      <c r="E1041" s="547">
        <v>4.6224598818106206E-2</v>
      </c>
      <c r="F1041" s="548">
        <v>0.10178545787150346</v>
      </c>
      <c r="G1041" s="549">
        <v>8.5513941553180303E-2</v>
      </c>
      <c r="H1041" s="550">
        <v>3.9761880935355902E-3</v>
      </c>
      <c r="I1041" s="551">
        <v>6.2064650049413597E-2</v>
      </c>
      <c r="J1041" s="551">
        <v>3.2145021587176303E-2</v>
      </c>
      <c r="K1041" s="551">
        <v>1.84872099127463E-2</v>
      </c>
      <c r="L1041" s="551">
        <v>1.5520685395493099E-3</v>
      </c>
      <c r="M1041" s="552">
        <v>1.9323119509221699E-2</v>
      </c>
    </row>
    <row r="1042" spans="2:13" ht="15.75" x14ac:dyDescent="0.25">
      <c r="B1042" s="555">
        <v>2038</v>
      </c>
      <c r="C1042" s="556">
        <v>2026</v>
      </c>
      <c r="D1042" s="557" t="s">
        <v>3940</v>
      </c>
      <c r="E1042" s="547">
        <v>4.5054858800635707E-2</v>
      </c>
      <c r="F1042" s="548">
        <v>9.9210041901046153E-2</v>
      </c>
      <c r="G1042" s="549">
        <v>8.4514371493478693E-2</v>
      </c>
      <c r="H1042" s="550">
        <v>4.0013141531298401E-3</v>
      </c>
      <c r="I1042" s="551">
        <v>6.0686746396500797E-2</v>
      </c>
      <c r="J1042" s="551">
        <v>3.2622425962936803E-2</v>
      </c>
      <c r="K1042" s="551">
        <v>1.7799056721980899E-2</v>
      </c>
      <c r="L1042" s="551">
        <v>1.55262723318275E-3</v>
      </c>
      <c r="M1042" s="552">
        <v>1.8603851084804401E-2</v>
      </c>
    </row>
    <row r="1043" spans="2:13" ht="15.75" x14ac:dyDescent="0.25">
      <c r="B1043" s="555">
        <v>2038</v>
      </c>
      <c r="C1043" s="556">
        <v>2027</v>
      </c>
      <c r="D1043" s="557" t="s">
        <v>3941</v>
      </c>
      <c r="E1043" s="547">
        <v>4.3938330788736477E-2</v>
      </c>
      <c r="F1043" s="548">
        <v>9.675181336133111E-2</v>
      </c>
      <c r="G1043" s="549">
        <v>8.3426250053163301E-2</v>
      </c>
      <c r="H1043" s="550">
        <v>4.0342956310619503E-3</v>
      </c>
      <c r="I1043" s="551">
        <v>5.9183162278979802E-2</v>
      </c>
      <c r="J1043" s="551">
        <v>3.2102214659310201E-2</v>
      </c>
      <c r="K1043" s="551">
        <v>1.7052311848518902E-2</v>
      </c>
      <c r="L1043" s="551">
        <v>1.5532120623365699E-3</v>
      </c>
      <c r="M1043" s="552">
        <v>1.78233417217958E-2</v>
      </c>
    </row>
    <row r="1044" spans="2:13" ht="15.75" x14ac:dyDescent="0.25">
      <c r="B1044" s="555">
        <v>2038</v>
      </c>
      <c r="C1044" s="556">
        <v>2028</v>
      </c>
      <c r="D1044" s="557" t="s">
        <v>3942</v>
      </c>
      <c r="E1044" s="547">
        <v>4.3922925824751505E-2</v>
      </c>
      <c r="F1044" s="548">
        <v>9.6713136974073868E-2</v>
      </c>
      <c r="G1044" s="549">
        <v>8.2246063319108997E-2</v>
      </c>
      <c r="H1044" s="550">
        <v>4.0672456213947297E-3</v>
      </c>
      <c r="I1044" s="551">
        <v>5.7559232463850703E-2</v>
      </c>
      <c r="J1044" s="551">
        <v>3.21403521835417E-2</v>
      </c>
      <c r="K1044" s="551">
        <v>1.6246742380279601E-2</v>
      </c>
      <c r="L1044" s="551">
        <v>1.55378939576572E-3</v>
      </c>
      <c r="M1044" s="552">
        <v>1.6981347976864201E-2</v>
      </c>
    </row>
    <row r="1045" spans="2:13" ht="15.75" x14ac:dyDescent="0.25">
      <c r="B1045" s="555">
        <v>2038</v>
      </c>
      <c r="C1045" s="556">
        <v>2029</v>
      </c>
      <c r="D1045" s="557" t="s">
        <v>3943</v>
      </c>
      <c r="E1045" s="547">
        <v>4.3907189205196429E-2</v>
      </c>
      <c r="F1045" s="548">
        <v>9.6673106434031791E-2</v>
      </c>
      <c r="G1045" s="549">
        <v>8.0974698402419706E-2</v>
      </c>
      <c r="H1045" s="550">
        <v>4.08079736728855E-3</v>
      </c>
      <c r="I1045" s="551">
        <v>5.5815201730840501E-2</v>
      </c>
      <c r="J1045" s="551">
        <v>3.2013997234854097E-2</v>
      </c>
      <c r="K1045" s="551">
        <v>1.5382369426410501E-2</v>
      </c>
      <c r="L1045" s="551">
        <v>1.55436968060104E-3</v>
      </c>
      <c r="M1045" s="552">
        <v>1.6077891913619399E-2</v>
      </c>
    </row>
    <row r="1046" spans="2:13" ht="15.75" x14ac:dyDescent="0.25">
      <c r="B1046" s="555">
        <v>2038</v>
      </c>
      <c r="C1046" s="556">
        <v>2030</v>
      </c>
      <c r="D1046" s="557" t="s">
        <v>3944</v>
      </c>
      <c r="E1046" s="547">
        <v>4.3891103604615435E-2</v>
      </c>
      <c r="F1046" s="548">
        <v>9.6631440413059266E-2</v>
      </c>
      <c r="G1046" s="549">
        <v>7.9613033291241295E-2</v>
      </c>
      <c r="H1046" s="550">
        <v>4.0639397551680599E-3</v>
      </c>
      <c r="I1046" s="551">
        <v>5.3951338629581902E-2</v>
      </c>
      <c r="J1046" s="551">
        <v>3.0921543945992301E-2</v>
      </c>
      <c r="K1046" s="551">
        <v>1.4459221522522299E-2</v>
      </c>
      <c r="L1046" s="551">
        <v>1.55496527685955E-3</v>
      </c>
      <c r="M1046" s="552">
        <v>1.51130033579255E-2</v>
      </c>
    </row>
    <row r="1047" spans="2:13" ht="15.75" x14ac:dyDescent="0.25">
      <c r="B1047" s="555">
        <v>2038</v>
      </c>
      <c r="C1047" s="556">
        <v>2031</v>
      </c>
      <c r="D1047" s="557" t="s">
        <v>3945</v>
      </c>
      <c r="E1047" s="547">
        <v>4.3874354106115204E-2</v>
      </c>
      <c r="F1047" s="548">
        <v>9.6587277177209802E-2</v>
      </c>
      <c r="G1047" s="549">
        <v>7.8158649251080597E-2</v>
      </c>
      <c r="H1047" s="550">
        <v>4.0156902666582603E-3</v>
      </c>
      <c r="I1047" s="551">
        <v>5.1966696263903697E-2</v>
      </c>
      <c r="J1047" s="551">
        <v>3.0688679834009799E-2</v>
      </c>
      <c r="K1047" s="551">
        <v>1.34771395077473E-2</v>
      </c>
      <c r="L1047" s="551">
        <v>1.5555513771206299E-3</v>
      </c>
      <c r="M1047" s="552">
        <v>1.4086515952366801E-2</v>
      </c>
    </row>
    <row r="1048" spans="2:13" ht="15.75" x14ac:dyDescent="0.25">
      <c r="B1048" s="555">
        <v>2038</v>
      </c>
      <c r="C1048" s="556">
        <v>2032</v>
      </c>
      <c r="D1048" s="557" t="s">
        <v>3946</v>
      </c>
      <c r="E1048" s="547">
        <v>4.385690399227718E-2</v>
      </c>
      <c r="F1048" s="548">
        <v>9.6541073589694548E-2</v>
      </c>
      <c r="G1048" s="549">
        <v>7.6613128446360895E-2</v>
      </c>
      <c r="H1048" s="550">
        <v>3.9558712743215096E-3</v>
      </c>
      <c r="I1048" s="551">
        <v>4.9861795719404398E-2</v>
      </c>
      <c r="J1048" s="551">
        <v>2.97601001965274E-2</v>
      </c>
      <c r="K1048" s="551">
        <v>1.2436188121370199E-2</v>
      </c>
      <c r="L1048" s="551">
        <v>1.55614836939119E-3</v>
      </c>
      <c r="M1048" s="552">
        <v>1.2998497363451E-2</v>
      </c>
    </row>
    <row r="1049" spans="2:13" ht="15.75" x14ac:dyDescent="0.25">
      <c r="B1049" s="555">
        <v>2038</v>
      </c>
      <c r="C1049" s="556">
        <v>2033</v>
      </c>
      <c r="D1049" s="557" t="s">
        <v>3947</v>
      </c>
      <c r="E1049" s="547">
        <v>4.3838394237600775E-2</v>
      </c>
      <c r="F1049" s="548">
        <v>9.6493013895409416E-2</v>
      </c>
      <c r="G1049" s="549">
        <v>7.4974992767939203E-2</v>
      </c>
      <c r="H1049" s="550">
        <v>3.9339614803965096E-3</v>
      </c>
      <c r="I1049" s="551">
        <v>4.7636039633329297E-2</v>
      </c>
      <c r="J1049" s="551">
        <v>2.89844154321027E-2</v>
      </c>
      <c r="K1049" s="551">
        <v>1.1336263798547901E-2</v>
      </c>
      <c r="L1049" s="551">
        <v>1.55674203010181E-3</v>
      </c>
      <c r="M1049" s="552">
        <v>1.18488393435926E-2</v>
      </c>
    </row>
    <row r="1050" spans="2:13" ht="15.75" x14ac:dyDescent="0.25">
      <c r="B1050" s="555">
        <v>2038</v>
      </c>
      <c r="C1050" s="556">
        <v>2034</v>
      </c>
      <c r="D1050" s="557" t="s">
        <v>3948</v>
      </c>
      <c r="E1050" s="547">
        <v>4.3818533645797589E-2</v>
      </c>
      <c r="F1050" s="548">
        <v>9.6444085205916394E-2</v>
      </c>
      <c r="G1050" s="549">
        <v>7.3245056936155004E-2</v>
      </c>
      <c r="H1050" s="550">
        <v>4.0394461518942796E-3</v>
      </c>
      <c r="I1050" s="551">
        <v>4.5289638679121197E-2</v>
      </c>
      <c r="J1050" s="551">
        <v>2.9076224353623899E-2</v>
      </c>
      <c r="K1050" s="551">
        <v>1.01773783768706E-2</v>
      </c>
      <c r="L1050" s="551">
        <v>1.5573435101424401E-3</v>
      </c>
      <c r="M1050" s="552">
        <v>1.0637554265625E-2</v>
      </c>
    </row>
    <row r="1051" spans="2:13" ht="15.75" x14ac:dyDescent="0.25">
      <c r="B1051" s="555">
        <v>2038</v>
      </c>
      <c r="C1051" s="556">
        <v>2035</v>
      </c>
      <c r="D1051" s="557" t="s">
        <v>3949</v>
      </c>
      <c r="E1051" s="547">
        <v>4.379678258509602E-2</v>
      </c>
      <c r="F1051" s="548">
        <v>9.6394670083616657E-2</v>
      </c>
      <c r="G1051" s="549">
        <v>7.1423681494307098E-2</v>
      </c>
      <c r="H1051" s="550">
        <v>4.3828034091794102E-3</v>
      </c>
      <c r="I1051" s="551">
        <v>4.28226281574925E-2</v>
      </c>
      <c r="J1051" s="551">
        <v>3.041399683791E-2</v>
      </c>
      <c r="K1051" s="551">
        <v>8.9595132602138701E-3</v>
      </c>
      <c r="L1051" s="551">
        <v>1.55796063352782E-3</v>
      </c>
      <c r="M1051" s="552">
        <v>9.3646226925894697E-3</v>
      </c>
    </row>
    <row r="1052" spans="2:13" ht="15.75" x14ac:dyDescent="0.25">
      <c r="B1052" s="555">
        <v>2038</v>
      </c>
      <c r="C1052" s="556">
        <v>2036</v>
      </c>
      <c r="D1052" s="557" t="s">
        <v>3950</v>
      </c>
      <c r="E1052" s="547">
        <v>4.3771851116631733E-2</v>
      </c>
      <c r="F1052" s="548">
        <v>9.6341321986268907E-2</v>
      </c>
      <c r="G1052" s="549">
        <v>6.9507943152357698E-2</v>
      </c>
      <c r="H1052" s="550">
        <v>5.0114341524593996E-3</v>
      </c>
      <c r="I1052" s="551">
        <v>4.0233993768911798E-2</v>
      </c>
      <c r="J1052" s="551">
        <v>3.36222271471441E-2</v>
      </c>
      <c r="K1052" s="551">
        <v>7.6825276306639002E-3</v>
      </c>
      <c r="L1052" s="551">
        <v>1.5585608468884401E-3</v>
      </c>
      <c r="M1052" s="552">
        <v>8.0298974394110607E-3</v>
      </c>
    </row>
    <row r="1053" spans="2:13" ht="15.75" x14ac:dyDescent="0.25">
      <c r="B1053" s="555">
        <v>2038</v>
      </c>
      <c r="C1053" s="556">
        <v>2037</v>
      </c>
      <c r="D1053" s="557" t="s">
        <v>3951</v>
      </c>
      <c r="E1053" s="547">
        <v>4.3741786833962203E-2</v>
      </c>
      <c r="F1053" s="548">
        <v>9.6273187089339948E-2</v>
      </c>
      <c r="G1053" s="549">
        <v>6.7499890747638402E-2</v>
      </c>
      <c r="H1053" s="550">
        <v>5.6680190699507898E-3</v>
      </c>
      <c r="I1053" s="551">
        <v>3.7524338735696099E-2</v>
      </c>
      <c r="J1053" s="551">
        <v>3.6679549958473501E-2</v>
      </c>
      <c r="K1053" s="551">
        <v>6.3464744203419396E-3</v>
      </c>
      <c r="L1053" s="551">
        <v>1.5591713630260099E-3</v>
      </c>
      <c r="M1053" s="552">
        <v>6.63343383156665E-3</v>
      </c>
    </row>
    <row r="1054" spans="2:13" ht="15.75" x14ac:dyDescent="0.25">
      <c r="B1054" s="555">
        <v>2038</v>
      </c>
      <c r="C1054" s="556">
        <v>2038</v>
      </c>
      <c r="D1054" s="557" t="s">
        <v>3952</v>
      </c>
      <c r="E1054" s="547">
        <v>4.3700459023227042E-2</v>
      </c>
      <c r="F1054" s="548">
        <v>9.6158511067716695E-2</v>
      </c>
      <c r="G1054" s="549">
        <v>6.5398799920006495E-2</v>
      </c>
      <c r="H1054" s="550">
        <v>5.4270117911375104E-3</v>
      </c>
      <c r="I1054" s="551">
        <v>3.4693330247177599E-2</v>
      </c>
      <c r="J1054" s="551">
        <v>3.4376060297101198E-2</v>
      </c>
      <c r="K1054" s="551">
        <v>4.9512902836906202E-3</v>
      </c>
      <c r="L1054" s="551">
        <v>1.5597861698501999E-3</v>
      </c>
      <c r="M1054" s="552">
        <v>5.1751656592938797E-3</v>
      </c>
    </row>
    <row r="1055" spans="2:13" ht="15.75" x14ac:dyDescent="0.25">
      <c r="B1055" s="555">
        <v>2039</v>
      </c>
      <c r="C1055" s="556">
        <v>1995</v>
      </c>
      <c r="D1055" s="557" t="s">
        <v>3953</v>
      </c>
      <c r="E1055" s="547">
        <v>6.45807556537044E-2</v>
      </c>
      <c r="F1055" s="548">
        <v>0.13380768835384471</v>
      </c>
      <c r="G1055" s="549">
        <v>0.36611158786987402</v>
      </c>
      <c r="H1055" s="550">
        <v>0.25334118544471002</v>
      </c>
      <c r="I1055" s="551">
        <v>9.2118899540970407</v>
      </c>
      <c r="J1055" s="551">
        <v>1.6630633943708</v>
      </c>
      <c r="K1055" s="551">
        <v>5.2422921393442498E-2</v>
      </c>
      <c r="L1055" s="551">
        <v>5.0267014606987402E-3</v>
      </c>
      <c r="M1055" s="552">
        <v>5.4793253275585603E-2</v>
      </c>
    </row>
    <row r="1056" spans="2:13" ht="15.75" x14ac:dyDescent="0.25">
      <c r="B1056" s="555">
        <v>2039</v>
      </c>
      <c r="C1056" s="556">
        <v>1996</v>
      </c>
      <c r="D1056" s="557" t="s">
        <v>3954</v>
      </c>
      <c r="E1056" s="547">
        <v>6.4601703675328401E-2</v>
      </c>
      <c r="F1056" s="548">
        <v>0.13213675550131948</v>
      </c>
      <c r="G1056" s="549">
        <v>0.36644395772954602</v>
      </c>
      <c r="H1056" s="550">
        <v>2.2944336160414299E-2</v>
      </c>
      <c r="I1056" s="551">
        <v>9.2074440908669803</v>
      </c>
      <c r="J1056" s="551">
        <v>0.39579129940841701</v>
      </c>
      <c r="K1056" s="551">
        <v>5.2470512891784699E-2</v>
      </c>
      <c r="L1056" s="551">
        <v>2.2362744088036601E-3</v>
      </c>
      <c r="M1056" s="552">
        <v>5.4842996650298598E-2</v>
      </c>
    </row>
    <row r="1057" spans="2:13" ht="15.75" x14ac:dyDescent="0.25">
      <c r="B1057" s="555">
        <v>2039</v>
      </c>
      <c r="C1057" s="556">
        <v>1997</v>
      </c>
      <c r="D1057" s="557" t="s">
        <v>3955</v>
      </c>
      <c r="E1057" s="547">
        <v>6.4834638320368135E-2</v>
      </c>
      <c r="F1057" s="548">
        <v>0.13075481439239861</v>
      </c>
      <c r="G1057" s="549">
        <v>0.36920507547819298</v>
      </c>
      <c r="H1057" s="550">
        <v>2.2319559806615999E-2</v>
      </c>
      <c r="I1057" s="551">
        <v>9.1675597751836992</v>
      </c>
      <c r="J1057" s="551">
        <v>0.39179127839430999</v>
      </c>
      <c r="K1057" s="551">
        <v>5.2865872840748597E-2</v>
      </c>
      <c r="L1057" s="551">
        <v>2.1779432618426399E-3</v>
      </c>
      <c r="M1057" s="552">
        <v>5.5256233021770899E-2</v>
      </c>
    </row>
    <row r="1058" spans="2:13" ht="15.75" x14ac:dyDescent="0.25">
      <c r="B1058" s="555">
        <v>2039</v>
      </c>
      <c r="C1058" s="556">
        <v>1998</v>
      </c>
      <c r="D1058" s="557" t="s">
        <v>3956</v>
      </c>
      <c r="E1058" s="547">
        <v>6.4625397529783551E-2</v>
      </c>
      <c r="F1058" s="548">
        <v>0.13127567856260289</v>
      </c>
      <c r="G1058" s="549">
        <v>0.36773783585424802</v>
      </c>
      <c r="H1058" s="550">
        <v>2.2556396596342999E-2</v>
      </c>
      <c r="I1058" s="551">
        <v>9.2050207561938198</v>
      </c>
      <c r="J1058" s="551">
        <v>0.39352106587270103</v>
      </c>
      <c r="K1058" s="551">
        <v>5.2655781191044401E-2</v>
      </c>
      <c r="L1058" s="551">
        <v>2.2049925594309502E-3</v>
      </c>
      <c r="M1058" s="552">
        <v>5.5036641959934997E-2</v>
      </c>
    </row>
    <row r="1059" spans="2:13" ht="15.75" x14ac:dyDescent="0.25">
      <c r="B1059" s="555">
        <v>2039</v>
      </c>
      <c r="C1059" s="556">
        <v>1999</v>
      </c>
      <c r="D1059" s="557" t="s">
        <v>3957</v>
      </c>
      <c r="E1059" s="547">
        <v>6.4545058553488979E-2</v>
      </c>
      <c r="F1059" s="548">
        <v>0.13108624242875153</v>
      </c>
      <c r="G1059" s="549">
        <v>0.36708790834924498</v>
      </c>
      <c r="H1059" s="550">
        <v>2.25296168505211E-2</v>
      </c>
      <c r="I1059" s="551">
        <v>9.2067103454719899</v>
      </c>
      <c r="J1059" s="551">
        <v>0.39354493079886299</v>
      </c>
      <c r="K1059" s="551">
        <v>5.2562719131183197E-2</v>
      </c>
      <c r="L1059" s="551">
        <v>2.19802478904025E-3</v>
      </c>
      <c r="M1059" s="552">
        <v>5.4939372046683602E-2</v>
      </c>
    </row>
    <row r="1060" spans="2:13" ht="15.75" x14ac:dyDescent="0.25">
      <c r="B1060" s="555">
        <v>2039</v>
      </c>
      <c r="C1060" s="556">
        <v>2000</v>
      </c>
      <c r="D1060" s="557" t="s">
        <v>3958</v>
      </c>
      <c r="E1060" s="547">
        <v>6.4293527309869175E-2</v>
      </c>
      <c r="F1060" s="548">
        <v>0.13151965903795149</v>
      </c>
      <c r="G1060" s="549">
        <v>0.364710892604029</v>
      </c>
      <c r="H1060" s="550">
        <v>2.2728276442841099E-2</v>
      </c>
      <c r="I1060" s="551">
        <v>9.2366713991201799</v>
      </c>
      <c r="J1060" s="551">
        <v>0.39551701890485802</v>
      </c>
      <c r="K1060" s="551">
        <v>5.2222358121887101E-2</v>
      </c>
      <c r="L1060" s="551">
        <v>2.2210256469374001E-3</v>
      </c>
      <c r="M1060" s="552">
        <v>5.4583621422876698E-2</v>
      </c>
    </row>
    <row r="1061" spans="2:13" ht="15.75" x14ac:dyDescent="0.25">
      <c r="B1061" s="555">
        <v>2039</v>
      </c>
      <c r="C1061" s="556">
        <v>2001</v>
      </c>
      <c r="D1061" s="557" t="s">
        <v>3959</v>
      </c>
      <c r="E1061" s="547">
        <v>6.4504745635079505E-2</v>
      </c>
      <c r="F1061" s="548">
        <v>0.13168411759400306</v>
      </c>
      <c r="G1061" s="549">
        <v>0.36723627924626201</v>
      </c>
      <c r="H1061" s="550">
        <v>2.2829830988055199E-2</v>
      </c>
      <c r="I1061" s="551">
        <v>9.2025688278726694</v>
      </c>
      <c r="J1061" s="551">
        <v>0.39697276221149302</v>
      </c>
      <c r="K1061" s="551">
        <v>5.2583964118037299E-2</v>
      </c>
      <c r="L1061" s="551">
        <v>2.2336916619052501E-3</v>
      </c>
      <c r="M1061" s="552">
        <v>5.4961577637570001E-2</v>
      </c>
    </row>
    <row r="1062" spans="2:13" ht="15.75" x14ac:dyDescent="0.25">
      <c r="B1062" s="555">
        <v>2039</v>
      </c>
      <c r="C1062" s="556">
        <v>2002</v>
      </c>
      <c r="D1062" s="557" t="s">
        <v>3960</v>
      </c>
      <c r="E1062" s="547">
        <v>6.4339731498972569E-2</v>
      </c>
      <c r="F1062" s="548">
        <v>0.13151011740655905</v>
      </c>
      <c r="G1062" s="549">
        <v>0.28380559947735201</v>
      </c>
      <c r="H1062" s="550">
        <v>2.2782271327053401E-2</v>
      </c>
      <c r="I1062" s="551">
        <v>7.1000279107870998</v>
      </c>
      <c r="J1062" s="551">
        <v>0.319522170701244</v>
      </c>
      <c r="K1062" s="551">
        <v>5.2900769840709197E-2</v>
      </c>
      <c r="L1062" s="551">
        <v>2.23116183957397E-3</v>
      </c>
      <c r="M1062" s="552">
        <v>5.5292707909216601E-2</v>
      </c>
    </row>
    <row r="1063" spans="2:13" ht="15.75" x14ac:dyDescent="0.25">
      <c r="B1063" s="555">
        <v>2039</v>
      </c>
      <c r="C1063" s="556">
        <v>2003</v>
      </c>
      <c r="D1063" s="557" t="s">
        <v>3961</v>
      </c>
      <c r="E1063" s="547">
        <v>6.4036045776312764E-2</v>
      </c>
      <c r="F1063" s="548">
        <v>0.13091742440110901</v>
      </c>
      <c r="G1063" s="549">
        <v>0.28157670695211801</v>
      </c>
      <c r="H1063" s="550">
        <v>2.2540658863612902E-2</v>
      </c>
      <c r="I1063" s="551">
        <v>7.1278106813401498</v>
      </c>
      <c r="J1063" s="551">
        <v>0.31942368595597098</v>
      </c>
      <c r="K1063" s="551">
        <v>5.2485308938266799E-2</v>
      </c>
      <c r="L1063" s="551">
        <v>2.2079921697811199E-3</v>
      </c>
      <c r="M1063" s="552">
        <v>5.4858461708346198E-2</v>
      </c>
    </row>
    <row r="1064" spans="2:13" ht="15.75" x14ac:dyDescent="0.25">
      <c r="B1064" s="555">
        <v>2039</v>
      </c>
      <c r="C1064" s="556">
        <v>2004</v>
      </c>
      <c r="D1064" s="557" t="s">
        <v>3962</v>
      </c>
      <c r="E1064" s="547">
        <v>6.3805696420798239E-2</v>
      </c>
      <c r="F1064" s="548">
        <v>0.12992040144418671</v>
      </c>
      <c r="G1064" s="549">
        <v>0.23240411486953</v>
      </c>
      <c r="H1064" s="550">
        <v>1.47701730136313E-2</v>
      </c>
      <c r="I1064" s="551">
        <v>5.9616480296879004</v>
      </c>
      <c r="J1064" s="551">
        <v>0.27030250149435803</v>
      </c>
      <c r="K1064" s="551">
        <v>5.2192619464617299E-2</v>
      </c>
      <c r="L1064" s="551">
        <v>1.4368756159621699E-4</v>
      </c>
      <c r="M1064" s="552">
        <v>5.4552538115488498E-2</v>
      </c>
    </row>
    <row r="1065" spans="2:13" ht="15.75" x14ac:dyDescent="0.25">
      <c r="B1065" s="555">
        <v>2039</v>
      </c>
      <c r="C1065" s="556">
        <v>2005</v>
      </c>
      <c r="D1065" s="557" t="s">
        <v>3963</v>
      </c>
      <c r="E1065" s="547">
        <v>6.3847128626264002E-2</v>
      </c>
      <c r="F1065" s="548">
        <v>0.13027888319413919</v>
      </c>
      <c r="G1065" s="549">
        <v>0.23276558581179199</v>
      </c>
      <c r="H1065" s="550">
        <v>1.4975064477639299E-2</v>
      </c>
      <c r="I1065" s="551">
        <v>5.9515989595499796</v>
      </c>
      <c r="J1065" s="551">
        <v>0.27216215401560501</v>
      </c>
      <c r="K1065" s="551">
        <v>5.2273797525287997E-2</v>
      </c>
      <c r="L1065" s="551">
        <v>1.4509728565810401E-4</v>
      </c>
      <c r="M1065" s="552">
        <v>5.4637386687840399E-2</v>
      </c>
    </row>
    <row r="1066" spans="2:13" ht="15.75" x14ac:dyDescent="0.25">
      <c r="B1066" s="555">
        <v>2039</v>
      </c>
      <c r="C1066" s="556">
        <v>2006</v>
      </c>
      <c r="D1066" s="557" t="s">
        <v>3964</v>
      </c>
      <c r="E1066" s="547">
        <v>6.3674273056109273E-2</v>
      </c>
      <c r="F1066" s="548">
        <v>0.13058054479522252</v>
      </c>
      <c r="G1066" s="549">
        <v>0.231688306170236</v>
      </c>
      <c r="H1066" s="550">
        <v>1.51321411095753E-2</v>
      </c>
      <c r="I1066" s="551">
        <v>5.9600393435897399</v>
      </c>
      <c r="J1066" s="551">
        <v>0.27383059160940998</v>
      </c>
      <c r="K1066" s="551">
        <v>5.2031865292632401E-2</v>
      </c>
      <c r="L1066" s="551">
        <v>1.46270022760707E-4</v>
      </c>
      <c r="M1066" s="552">
        <v>5.4384515353182603E-2</v>
      </c>
    </row>
    <row r="1067" spans="2:13" ht="15.75" x14ac:dyDescent="0.25">
      <c r="B1067" s="555">
        <v>2039</v>
      </c>
      <c r="C1067" s="556">
        <v>2007</v>
      </c>
      <c r="D1067" s="557" t="s">
        <v>3965</v>
      </c>
      <c r="E1067" s="547">
        <v>6.3826691315647374E-2</v>
      </c>
      <c r="F1067" s="548">
        <v>0.13092712911350743</v>
      </c>
      <c r="G1067" s="549">
        <v>0.17019677793924301</v>
      </c>
      <c r="H1067" s="550">
        <v>1.5300035486584001E-2</v>
      </c>
      <c r="I1067" s="551">
        <v>3.1143279443760599</v>
      </c>
      <c r="J1067" s="551">
        <v>0.27394851022837802</v>
      </c>
      <c r="K1067" s="551">
        <v>3.7811477315494502E-2</v>
      </c>
      <c r="L1067" s="551">
        <v>1.47630442253469E-4</v>
      </c>
      <c r="M1067" s="552">
        <v>3.9521144533755603E-2</v>
      </c>
    </row>
    <row r="1068" spans="2:13" ht="15.75" x14ac:dyDescent="0.25">
      <c r="B1068" s="555">
        <v>2039</v>
      </c>
      <c r="C1068" s="556">
        <v>2008</v>
      </c>
      <c r="D1068" s="557" t="s">
        <v>3966</v>
      </c>
      <c r="E1068" s="547">
        <v>6.4057168218183982E-2</v>
      </c>
      <c r="F1068" s="548">
        <v>0.13141188344501198</v>
      </c>
      <c r="G1068" s="549">
        <v>0.17230788446553</v>
      </c>
      <c r="H1068" s="550">
        <v>1.20867019726815E-2</v>
      </c>
      <c r="I1068" s="551">
        <v>3.1005016725277699</v>
      </c>
      <c r="J1068" s="551">
        <v>0.19314987901093</v>
      </c>
      <c r="K1068" s="551">
        <v>3.80933346222894E-2</v>
      </c>
      <c r="L1068" s="551">
        <v>1.7042311679556999E-4</v>
      </c>
      <c r="M1068" s="552">
        <v>3.9815746177240402E-2</v>
      </c>
    </row>
    <row r="1069" spans="2:13" ht="15.75" x14ac:dyDescent="0.25">
      <c r="B1069" s="555">
        <v>2039</v>
      </c>
      <c r="C1069" s="556">
        <v>2009</v>
      </c>
      <c r="D1069" s="557" t="s">
        <v>3967</v>
      </c>
      <c r="E1069" s="547">
        <v>6.4045955960134418E-2</v>
      </c>
      <c r="F1069" s="548">
        <v>0.13016539495650828</v>
      </c>
      <c r="G1069" s="549">
        <v>0.17244449135303999</v>
      </c>
      <c r="H1069" s="550">
        <v>8.47679770106031E-3</v>
      </c>
      <c r="I1069" s="551">
        <v>3.0984861224332998</v>
      </c>
      <c r="J1069" s="551">
        <v>0.108959819095914</v>
      </c>
      <c r="K1069" s="551">
        <v>3.8111660676126799E-2</v>
      </c>
      <c r="L1069" s="551">
        <v>1.8686890153654401E-4</v>
      </c>
      <c r="M1069" s="552">
        <v>3.9834900853911698E-2</v>
      </c>
    </row>
    <row r="1070" spans="2:13" ht="15.75" x14ac:dyDescent="0.25">
      <c r="B1070" s="555">
        <v>2039</v>
      </c>
      <c r="C1070" s="556">
        <v>2010</v>
      </c>
      <c r="D1070" s="557" t="s">
        <v>3968</v>
      </c>
      <c r="E1070" s="547">
        <v>6.4054947617918453E-2</v>
      </c>
      <c r="F1070" s="548">
        <v>0.1290668136479243</v>
      </c>
      <c r="G1070" s="549">
        <v>0.11057670434099399</v>
      </c>
      <c r="H1070" s="550">
        <v>8.2869874009310895E-3</v>
      </c>
      <c r="I1070" s="551">
        <v>0.28476407506087797</v>
      </c>
      <c r="J1070" s="551">
        <v>0.108831087134402</v>
      </c>
      <c r="K1070" s="551">
        <v>2.3522332090828199E-2</v>
      </c>
      <c r="L1070" s="551">
        <v>2.2272012035451201E-4</v>
      </c>
      <c r="M1070" s="552">
        <v>2.4585907569172699E-2</v>
      </c>
    </row>
    <row r="1071" spans="2:13" ht="15.75" x14ac:dyDescent="0.25">
      <c r="B1071" s="555">
        <v>2039</v>
      </c>
      <c r="C1071" s="556">
        <v>2011</v>
      </c>
      <c r="D1071" s="557" t="s">
        <v>3969</v>
      </c>
      <c r="E1071" s="547">
        <v>6.399796530296091E-2</v>
      </c>
      <c r="F1071" s="548">
        <v>0.1307327753948381</v>
      </c>
      <c r="G1071" s="549">
        <v>0.110282439818428</v>
      </c>
      <c r="H1071" s="550">
        <v>8.6175097601676708E-3</v>
      </c>
      <c r="I1071" s="551">
        <v>0.284295050567896</v>
      </c>
      <c r="J1071" s="551">
        <v>0.110693268634384</v>
      </c>
      <c r="K1071" s="551">
        <v>2.34988379106774E-2</v>
      </c>
      <c r="L1071" s="551">
        <v>3.1437721090381998E-4</v>
      </c>
      <c r="M1071" s="552">
        <v>2.4561351086449398E-2</v>
      </c>
    </row>
    <row r="1072" spans="2:13" ht="15.75" x14ac:dyDescent="0.25">
      <c r="B1072" s="555">
        <v>2039</v>
      </c>
      <c r="C1072" s="556">
        <v>2012</v>
      </c>
      <c r="D1072" s="557" t="s">
        <v>3970</v>
      </c>
      <c r="E1072" s="547">
        <v>6.4107490537001918E-2</v>
      </c>
      <c r="F1072" s="548">
        <v>0.13113658562708388</v>
      </c>
      <c r="G1072" s="549">
        <v>0.111682983395418</v>
      </c>
      <c r="H1072" s="550">
        <v>8.7028174976561401E-3</v>
      </c>
      <c r="I1072" s="551">
        <v>0.28637503046893298</v>
      </c>
      <c r="J1072" s="551">
        <v>0.11146071119317599</v>
      </c>
      <c r="K1072" s="551">
        <v>2.3596080971089201E-2</v>
      </c>
      <c r="L1072" s="551">
        <v>4.6429958979975498E-4</v>
      </c>
      <c r="M1072" s="552">
        <v>2.4662991046543299E-2</v>
      </c>
    </row>
    <row r="1073" spans="2:13" ht="15.75" x14ac:dyDescent="0.25">
      <c r="B1073" s="555">
        <v>2039</v>
      </c>
      <c r="C1073" s="556">
        <v>2013</v>
      </c>
      <c r="D1073" s="557" t="s">
        <v>3971</v>
      </c>
      <c r="E1073" s="547">
        <v>6.3962234607020649E-2</v>
      </c>
      <c r="F1073" s="548">
        <v>0.13113446848108223</v>
      </c>
      <c r="G1073" s="549">
        <v>0.110504847309546</v>
      </c>
      <c r="H1073" s="550">
        <v>8.7324673137896703E-3</v>
      </c>
      <c r="I1073" s="551">
        <v>0.28469433820821299</v>
      </c>
      <c r="J1073" s="551">
        <v>0.11106276294182101</v>
      </c>
      <c r="K1073" s="551">
        <v>2.3527306268924901E-2</v>
      </c>
      <c r="L1073" s="551">
        <v>6.9562180334908897E-4</v>
      </c>
      <c r="M1073" s="552">
        <v>2.4591106657530299E-2</v>
      </c>
    </row>
    <row r="1074" spans="2:13" ht="15.75" x14ac:dyDescent="0.25">
      <c r="B1074" s="555">
        <v>2039</v>
      </c>
      <c r="C1074" s="556">
        <v>2014</v>
      </c>
      <c r="D1074" s="557" t="s">
        <v>3972</v>
      </c>
      <c r="E1074" s="547">
        <v>6.2410581277362445E-2</v>
      </c>
      <c r="F1074" s="548">
        <v>0.12897242267289924</v>
      </c>
      <c r="G1074" s="549">
        <v>0.109912493369972</v>
      </c>
      <c r="H1074" s="550">
        <v>8.7049009795682804E-3</v>
      </c>
      <c r="I1074" s="551">
        <v>0.28374650481515001</v>
      </c>
      <c r="J1074" s="551">
        <v>0.111151983977976</v>
      </c>
      <c r="K1074" s="551">
        <v>2.34804630230744E-2</v>
      </c>
      <c r="L1074" s="551">
        <v>9.6505191516936203E-4</v>
      </c>
      <c r="M1074" s="552">
        <v>2.4542145367966301E-2</v>
      </c>
    </row>
    <row r="1075" spans="2:13" ht="15.75" x14ac:dyDescent="0.25">
      <c r="B1075" s="555">
        <v>2039</v>
      </c>
      <c r="C1075" s="556">
        <v>2015</v>
      </c>
      <c r="D1075" s="557" t="s">
        <v>3973</v>
      </c>
      <c r="E1075" s="547">
        <v>6.1877612993794517E-2</v>
      </c>
      <c r="F1075" s="548">
        <v>0.12893262335506969</v>
      </c>
      <c r="G1075" s="549">
        <v>0.109280633615498</v>
      </c>
      <c r="H1075" s="550">
        <v>8.8356307684888703E-3</v>
      </c>
      <c r="I1075" s="551">
        <v>0.28281072961489501</v>
      </c>
      <c r="J1075" s="551">
        <v>0.111742168847561</v>
      </c>
      <c r="K1075" s="551">
        <v>2.34329529228312E-2</v>
      </c>
      <c r="L1075" s="551">
        <v>1.2340758840281101E-3</v>
      </c>
      <c r="M1075" s="552">
        <v>2.4492487071813101E-2</v>
      </c>
    </row>
    <row r="1076" spans="2:13" ht="15.75" x14ac:dyDescent="0.25">
      <c r="B1076" s="555">
        <v>2039</v>
      </c>
      <c r="C1076" s="556">
        <v>2016</v>
      </c>
      <c r="D1076" s="557" t="s">
        <v>3974</v>
      </c>
      <c r="E1076" s="547">
        <v>5.9863638918811517E-2</v>
      </c>
      <c r="F1076" s="548">
        <v>0.12500453093964817</v>
      </c>
      <c r="G1076" s="549">
        <v>0.108421739064747</v>
      </c>
      <c r="H1076" s="550">
        <v>8.0725433000152294E-3</v>
      </c>
      <c r="I1076" s="551">
        <v>0.24655803449658301</v>
      </c>
      <c r="J1076" s="551">
        <v>9.8094715381278494E-2</v>
      </c>
      <c r="K1076" s="551">
        <v>2.3324982095970101E-2</v>
      </c>
      <c r="L1076" s="551">
        <v>1.3889838674889E-3</v>
      </c>
      <c r="M1076" s="552">
        <v>2.43796342832748E-2</v>
      </c>
    </row>
    <row r="1077" spans="2:13" ht="15.75" x14ac:dyDescent="0.25">
      <c r="B1077" s="555">
        <v>2039</v>
      </c>
      <c r="C1077" s="556">
        <v>2017</v>
      </c>
      <c r="D1077" s="557" t="s">
        <v>3975</v>
      </c>
      <c r="E1077" s="547">
        <v>5.6356044470761271E-2</v>
      </c>
      <c r="F1077" s="548">
        <v>0.12109416906347169</v>
      </c>
      <c r="G1077" s="549">
        <v>9.0538712250878603E-2</v>
      </c>
      <c r="H1077" s="550">
        <v>7.2762490910887601E-3</v>
      </c>
      <c r="I1077" s="551">
        <v>0.19176070278676299</v>
      </c>
      <c r="J1077" s="551">
        <v>8.4846996533592206E-2</v>
      </c>
      <c r="K1077" s="551">
        <v>2.2048099284921401E-2</v>
      </c>
      <c r="L1077" s="551">
        <v>1.4475751829761E-3</v>
      </c>
      <c r="M1077" s="552">
        <v>2.3045016497593902E-2</v>
      </c>
    </row>
    <row r="1078" spans="2:13" ht="15.75" x14ac:dyDescent="0.25">
      <c r="B1078" s="555">
        <v>2039</v>
      </c>
      <c r="C1078" s="556">
        <v>2018</v>
      </c>
      <c r="D1078" s="557" t="s">
        <v>3976</v>
      </c>
      <c r="E1078" s="547">
        <v>5.2621615623021943E-2</v>
      </c>
      <c r="F1078" s="548">
        <v>0.11590353214334748</v>
      </c>
      <c r="G1078" s="549">
        <v>9.0342463624348807E-2</v>
      </c>
      <c r="H1078" s="550">
        <v>6.5719236008978396E-3</v>
      </c>
      <c r="I1078" s="551">
        <v>0.155951377693378</v>
      </c>
      <c r="J1078" s="551">
        <v>7.1239536187024499E-2</v>
      </c>
      <c r="K1078" s="551">
        <v>2.1886753094333501E-2</v>
      </c>
      <c r="L1078" s="551">
        <v>1.5082493811901399E-3</v>
      </c>
      <c r="M1078" s="552">
        <v>2.2876374948230801E-2</v>
      </c>
    </row>
    <row r="1079" spans="2:13" ht="15.75" x14ac:dyDescent="0.25">
      <c r="B1079" s="555">
        <v>2039</v>
      </c>
      <c r="C1079" s="556">
        <v>2019</v>
      </c>
      <c r="D1079" s="557" t="s">
        <v>3977</v>
      </c>
      <c r="E1079" s="547">
        <v>5.2603221792502833E-2</v>
      </c>
      <c r="F1079" s="548">
        <v>0.11585532858102378</v>
      </c>
      <c r="G1079" s="549">
        <v>9.0058397569454399E-2</v>
      </c>
      <c r="H1079" s="550">
        <v>5.9664108648494899E-3</v>
      </c>
      <c r="I1079" s="551">
        <v>0.13353415996450799</v>
      </c>
      <c r="J1079" s="551">
        <v>6.2031108471569403E-2</v>
      </c>
      <c r="K1079" s="551">
        <v>2.1667018014905601E-2</v>
      </c>
      <c r="L1079" s="551">
        <v>1.5488970225550501E-3</v>
      </c>
      <c r="M1079" s="552">
        <v>2.2646704423571199E-2</v>
      </c>
    </row>
    <row r="1080" spans="2:13" ht="15.75" x14ac:dyDescent="0.25">
      <c r="B1080" s="555">
        <v>2039</v>
      </c>
      <c r="C1080" s="556">
        <v>2020</v>
      </c>
      <c r="D1080" s="557" t="s">
        <v>3978</v>
      </c>
      <c r="E1080" s="547">
        <v>5.2585025062021153E-2</v>
      </c>
      <c r="F1080" s="548">
        <v>0.11580772638243982</v>
      </c>
      <c r="G1080" s="549">
        <v>8.9685845349012902E-2</v>
      </c>
      <c r="H1080" s="550">
        <v>5.3326048701051298E-3</v>
      </c>
      <c r="I1080" s="551">
        <v>0.110860284513653</v>
      </c>
      <c r="J1080" s="551">
        <v>5.30584119709352E-2</v>
      </c>
      <c r="K1080" s="551">
        <v>2.138884248105E-2</v>
      </c>
      <c r="L1080" s="551">
        <v>1.54941136647054E-3</v>
      </c>
      <c r="M1080" s="552">
        <v>2.2355951026460302E-2</v>
      </c>
    </row>
    <row r="1081" spans="2:13" ht="15.75" x14ac:dyDescent="0.25">
      <c r="B1081" s="555">
        <v>2039</v>
      </c>
      <c r="C1081" s="556">
        <v>2021</v>
      </c>
      <c r="D1081" s="557" t="s">
        <v>3979</v>
      </c>
      <c r="E1081" s="547">
        <v>5.1252912292713421E-2</v>
      </c>
      <c r="F1081" s="548">
        <v>0.11287220974569934</v>
      </c>
      <c r="G1081" s="549">
        <v>8.9225775343704197E-2</v>
      </c>
      <c r="H1081" s="550">
        <v>4.6894293544390798E-3</v>
      </c>
      <c r="I1081" s="551">
        <v>8.8721580343007395E-2</v>
      </c>
      <c r="J1081" s="551">
        <v>4.3593887504017499E-2</v>
      </c>
      <c r="K1081" s="551">
        <v>2.1052275317510499E-2</v>
      </c>
      <c r="L1081" s="551">
        <v>1.54994696501208E-3</v>
      </c>
      <c r="M1081" s="552">
        <v>2.2004165789280099E-2</v>
      </c>
    </row>
    <row r="1082" spans="2:13" ht="15.75" x14ac:dyDescent="0.25">
      <c r="B1082" s="555">
        <v>2039</v>
      </c>
      <c r="C1082" s="556">
        <v>2022</v>
      </c>
      <c r="D1082" s="557" t="s">
        <v>3980</v>
      </c>
      <c r="E1082" s="547">
        <v>4.9974272372628824E-2</v>
      </c>
      <c r="F1082" s="548">
        <v>0.11005392203090898</v>
      </c>
      <c r="G1082" s="549">
        <v>8.8675595976155402E-2</v>
      </c>
      <c r="H1082" s="550">
        <v>4.0336360748592804E-3</v>
      </c>
      <c r="I1082" s="551">
        <v>6.6431775239105303E-2</v>
      </c>
      <c r="J1082" s="551">
        <v>3.4196228771788503E-2</v>
      </c>
      <c r="K1082" s="551">
        <v>2.0657127880551799E-2</v>
      </c>
      <c r="L1082" s="551">
        <v>1.5504815535333301E-3</v>
      </c>
      <c r="M1082" s="552">
        <v>2.1591151538662999E-2</v>
      </c>
    </row>
    <row r="1083" spans="2:13" ht="15.75" x14ac:dyDescent="0.25">
      <c r="B1083" s="555">
        <v>2039</v>
      </c>
      <c r="C1083" s="556">
        <v>2023</v>
      </c>
      <c r="D1083" s="557" t="s">
        <v>3981</v>
      </c>
      <c r="E1083" s="547">
        <v>4.8696604835966321E-2</v>
      </c>
      <c r="F1083" s="548">
        <v>0.107240089543786</v>
      </c>
      <c r="G1083" s="549">
        <v>8.8036614187038995E-2</v>
      </c>
      <c r="H1083" s="550">
        <v>4.0065135484065604E-3</v>
      </c>
      <c r="I1083" s="551">
        <v>6.5524882962719896E-2</v>
      </c>
      <c r="J1083" s="551">
        <v>3.31989824223849E-2</v>
      </c>
      <c r="K1083" s="551">
        <v>2.02034701696257E-2</v>
      </c>
      <c r="L1083" s="551">
        <v>1.55102871903896E-3</v>
      </c>
      <c r="M1083" s="552">
        <v>2.1116981439125101E-2</v>
      </c>
    </row>
    <row r="1084" spans="2:13" ht="15.75" x14ac:dyDescent="0.25">
      <c r="B1084" s="555">
        <v>2039</v>
      </c>
      <c r="C1084" s="556">
        <v>2024</v>
      </c>
      <c r="D1084" s="557" t="s">
        <v>3982</v>
      </c>
      <c r="E1084" s="547">
        <v>4.7472266021079436E-2</v>
      </c>
      <c r="F1084" s="548">
        <v>0.1045435524262969</v>
      </c>
      <c r="G1084" s="549">
        <v>8.7307133770354997E-2</v>
      </c>
      <c r="H1084" s="550">
        <v>3.9875798639098601E-3</v>
      </c>
      <c r="I1084" s="551">
        <v>6.4498496518472101E-2</v>
      </c>
      <c r="J1084" s="551">
        <v>3.3526225634976002E-2</v>
      </c>
      <c r="K1084" s="551">
        <v>1.9691178502405201E-2</v>
      </c>
      <c r="L1084" s="551">
        <v>1.55157492567364E-3</v>
      </c>
      <c r="M1084" s="552">
        <v>2.0581526215973499E-2</v>
      </c>
    </row>
    <row r="1085" spans="2:13" ht="15.75" x14ac:dyDescent="0.25">
      <c r="B1085" s="555">
        <v>2039</v>
      </c>
      <c r="C1085" s="556">
        <v>2025</v>
      </c>
      <c r="D1085" s="557" t="s">
        <v>3983</v>
      </c>
      <c r="E1085" s="547">
        <v>4.624879020714151E-2</v>
      </c>
      <c r="F1085" s="548">
        <v>0.10184922094959177</v>
      </c>
      <c r="G1085" s="549">
        <v>8.6488506247712801E-2</v>
      </c>
      <c r="H1085" s="550">
        <v>3.9774488492468401E-3</v>
      </c>
      <c r="I1085" s="551">
        <v>6.3353071090877205E-2</v>
      </c>
      <c r="J1085" s="551">
        <v>3.2423149893193899E-2</v>
      </c>
      <c r="K1085" s="551">
        <v>1.91203155308695E-2</v>
      </c>
      <c r="L1085" s="551">
        <v>1.5521346804623099E-3</v>
      </c>
      <c r="M1085" s="552">
        <v>1.9984851354031899E-2</v>
      </c>
    </row>
    <row r="1086" spans="2:13" ht="15.75" x14ac:dyDescent="0.25">
      <c r="B1086" s="555">
        <v>2039</v>
      </c>
      <c r="C1086" s="556">
        <v>2026</v>
      </c>
      <c r="D1086" s="557" t="s">
        <v>3984</v>
      </c>
      <c r="E1086" s="547">
        <v>4.5078496232688996E-2</v>
      </c>
      <c r="F1086" s="548">
        <v>9.9272084067417554E-2</v>
      </c>
      <c r="G1086" s="549">
        <v>8.5579046513536594E-2</v>
      </c>
      <c r="H1086" s="550">
        <v>3.9853120230342E-3</v>
      </c>
      <c r="I1086" s="551">
        <v>6.2094618253297901E-2</v>
      </c>
      <c r="J1086" s="551">
        <v>3.2839865267299803E-2</v>
      </c>
      <c r="K1086" s="551">
        <v>1.8490754579898499E-2</v>
      </c>
      <c r="L1086" s="551">
        <v>1.5526935513354701E-3</v>
      </c>
      <c r="M1086" s="552">
        <v>1.9326824450493298E-2</v>
      </c>
    </row>
    <row r="1087" spans="2:13" ht="15.75" x14ac:dyDescent="0.25">
      <c r="B1087" s="555">
        <v>2039</v>
      </c>
      <c r="C1087" s="556">
        <v>2027</v>
      </c>
      <c r="D1087" s="557" t="s">
        <v>3985</v>
      </c>
      <c r="E1087" s="547">
        <v>4.396149471151245E-2</v>
      </c>
      <c r="F1087" s="548">
        <v>9.6812536975596553E-2</v>
      </c>
      <c r="G1087" s="549">
        <v>8.4581182658725496E-2</v>
      </c>
      <c r="H1087" s="550">
        <v>4.0064805766365699E-3</v>
      </c>
      <c r="I1087" s="551">
        <v>6.0710445034047301E-2</v>
      </c>
      <c r="J1087" s="551">
        <v>3.2260501962877698E-2</v>
      </c>
      <c r="K1087" s="551">
        <v>1.7802627784875499E-2</v>
      </c>
      <c r="L1087" s="551">
        <v>1.5532785397294399E-3</v>
      </c>
      <c r="M1087" s="552">
        <v>1.8607583615316801E-2</v>
      </c>
    </row>
    <row r="1088" spans="2:13" ht="15.75" x14ac:dyDescent="0.25">
      <c r="B1088" s="555">
        <v>2039</v>
      </c>
      <c r="C1088" s="556">
        <v>2028</v>
      </c>
      <c r="D1088" s="557" t="s">
        <v>3986</v>
      </c>
      <c r="E1088" s="547">
        <v>4.3946260439193433E-2</v>
      </c>
      <c r="F1088" s="548">
        <v>9.6774414794539368E-2</v>
      </c>
      <c r="G1088" s="549">
        <v>8.3491361812478598E-2</v>
      </c>
      <c r="H1088" s="550">
        <v>4.0409891086403797E-3</v>
      </c>
      <c r="I1088" s="551">
        <v>5.9205998105885498E-2</v>
      </c>
      <c r="J1088" s="551">
        <v>3.2341285337431303E-2</v>
      </c>
      <c r="K1088" s="551">
        <v>1.7055694880680101E-2</v>
      </c>
      <c r="L1088" s="551">
        <v>1.5538560289260501E-3</v>
      </c>
      <c r="M1088" s="552">
        <v>1.7826877719659299E-2</v>
      </c>
    </row>
    <row r="1089" spans="2:13" ht="15.75" x14ac:dyDescent="0.25">
      <c r="B1089" s="555">
        <v>2039</v>
      </c>
      <c r="C1089" s="556">
        <v>2029</v>
      </c>
      <c r="D1089" s="557" t="s">
        <v>3987</v>
      </c>
      <c r="E1089" s="547">
        <v>4.3930777315788622E-2</v>
      </c>
      <c r="F1089" s="548">
        <v>9.6735553376350231E-2</v>
      </c>
      <c r="G1089" s="549">
        <v>8.2310485685044898E-2</v>
      </c>
      <c r="H1089" s="550">
        <v>4.0716406883003703E-3</v>
      </c>
      <c r="I1089" s="551">
        <v>5.7581531559190297E-2</v>
      </c>
      <c r="J1089" s="551">
        <v>3.2358964481260299E-2</v>
      </c>
      <c r="K1089" s="551">
        <v>1.6249979248342102E-2</v>
      </c>
      <c r="L1089" s="551">
        <v>1.55443646656285E-3</v>
      </c>
      <c r="M1089" s="552">
        <v>1.6984731201737199E-2</v>
      </c>
    </row>
    <row r="1090" spans="2:13" ht="15.75" x14ac:dyDescent="0.25">
      <c r="B1090" s="555">
        <v>2039</v>
      </c>
      <c r="C1090" s="556">
        <v>2030</v>
      </c>
      <c r="D1090" s="557" t="s">
        <v>3988</v>
      </c>
      <c r="E1090" s="547">
        <v>4.3915047569944979E-2</v>
      </c>
      <c r="F1090" s="548">
        <v>9.6695617554097599E-2</v>
      </c>
      <c r="G1090" s="549">
        <v>8.1039454201305497E-2</v>
      </c>
      <c r="H1090" s="550">
        <v>4.0861115995608696E-3</v>
      </c>
      <c r="I1090" s="551">
        <v>5.5837329155317597E-2</v>
      </c>
      <c r="J1090" s="551">
        <v>3.14403594251517E-2</v>
      </c>
      <c r="K1090" s="551">
        <v>1.5385513665713901E-2</v>
      </c>
      <c r="L1090" s="551">
        <v>1.55503222921486E-3</v>
      </c>
      <c r="M1090" s="552">
        <v>1.6081178321471701E-2</v>
      </c>
    </row>
    <row r="1091" spans="2:13" ht="15.75" x14ac:dyDescent="0.25">
      <c r="B1091" s="555">
        <v>2039</v>
      </c>
      <c r="C1091" s="556">
        <v>2031</v>
      </c>
      <c r="D1091" s="557" t="s">
        <v>3989</v>
      </c>
      <c r="E1091" s="547">
        <v>4.3898788438881904E-2</v>
      </c>
      <c r="F1091" s="548">
        <v>9.6653549601487448E-2</v>
      </c>
      <c r="G1091" s="549">
        <v>7.9675810083425003E-2</v>
      </c>
      <c r="H1091" s="550">
        <v>4.0726360880903598E-3</v>
      </c>
      <c r="I1091" s="551">
        <v>5.3972416964311598E-2</v>
      </c>
      <c r="J1091" s="551">
        <v>3.1490599457096799E-2</v>
      </c>
      <c r="K1091" s="551">
        <v>1.4462131571443999E-2</v>
      </c>
      <c r="L1091" s="551">
        <v>1.55561849090815E-3</v>
      </c>
      <c r="M1091" s="552">
        <v>1.51160449863463E-2</v>
      </c>
    </row>
    <row r="1092" spans="2:13" ht="15.75" x14ac:dyDescent="0.25">
      <c r="B1092" s="555">
        <v>2039</v>
      </c>
      <c r="C1092" s="556">
        <v>2032</v>
      </c>
      <c r="D1092" s="557" t="s">
        <v>3990</v>
      </c>
      <c r="E1092" s="547">
        <v>4.3882008164610319E-2</v>
      </c>
      <c r="F1092" s="548">
        <v>9.6609409858105094E-2</v>
      </c>
      <c r="G1092" s="549">
        <v>7.8221169464303394E-2</v>
      </c>
      <c r="H1092" s="550">
        <v>4.0299184569636201E-3</v>
      </c>
      <c r="I1092" s="551">
        <v>5.1987340268774697E-2</v>
      </c>
      <c r="J1092" s="551">
        <v>3.0680259006833899E-2</v>
      </c>
      <c r="K1092" s="551">
        <v>1.34799045175924E-2</v>
      </c>
      <c r="L1092" s="551">
        <v>1.55621564327627E-3</v>
      </c>
      <c r="M1092" s="552">
        <v>1.4089405983687501E-2</v>
      </c>
    </row>
    <row r="1093" spans="2:13" ht="15.75" x14ac:dyDescent="0.25">
      <c r="B1093" s="555">
        <v>2039</v>
      </c>
      <c r="C1093" s="556">
        <v>2033</v>
      </c>
      <c r="D1093" s="557" t="s">
        <v>3991</v>
      </c>
      <c r="E1093" s="547">
        <v>4.3864420032695056E-2</v>
      </c>
      <c r="F1093" s="548">
        <v>9.6562887434410577E-2</v>
      </c>
      <c r="G1093" s="549">
        <v>7.6674031236742005E-2</v>
      </c>
      <c r="H1093" s="550">
        <v>3.9719714525484201E-3</v>
      </c>
      <c r="I1093" s="551">
        <v>4.9881484292311297E-2</v>
      </c>
      <c r="J1093" s="551">
        <v>2.9682276723265701E-2</v>
      </c>
      <c r="K1093" s="551">
        <v>1.2438723980483599E-2</v>
      </c>
      <c r="L1093" s="551">
        <v>1.5568094741796E-3</v>
      </c>
      <c r="M1093" s="552">
        <v>1.30011478828609E-2</v>
      </c>
    </row>
    <row r="1094" spans="2:13" ht="15.75" x14ac:dyDescent="0.25">
      <c r="B1094" s="555">
        <v>2039</v>
      </c>
      <c r="C1094" s="556">
        <v>2034</v>
      </c>
      <c r="D1094" s="557" t="s">
        <v>3992</v>
      </c>
      <c r="E1094" s="547">
        <v>4.3845852545001597E-2</v>
      </c>
      <c r="F1094" s="548">
        <v>9.651465004367922E-2</v>
      </c>
      <c r="G1094" s="549">
        <v>7.5035231723638005E-2</v>
      </c>
      <c r="H1094" s="550">
        <v>3.9481695587006401E-3</v>
      </c>
      <c r="I1094" s="551">
        <v>4.76550749785392E-2</v>
      </c>
      <c r="J1094" s="551">
        <v>2.9035388563582998E-2</v>
      </c>
      <c r="K1094" s="551">
        <v>1.1338606067069599E-2</v>
      </c>
      <c r="L1094" s="551">
        <v>1.55741111212778E-3</v>
      </c>
      <c r="M1094" s="552">
        <v>1.18512875191032E-2</v>
      </c>
    </row>
    <row r="1095" spans="2:13" ht="15.75" x14ac:dyDescent="0.25">
      <c r="B1095" s="555">
        <v>2039</v>
      </c>
      <c r="C1095" s="556">
        <v>2035</v>
      </c>
      <c r="D1095" s="557" t="s">
        <v>3993</v>
      </c>
      <c r="E1095" s="547">
        <v>4.3825983819226082E-2</v>
      </c>
      <c r="F1095" s="548">
        <v>9.6465651088252238E-2</v>
      </c>
      <c r="G1095" s="549">
        <v>7.3305151423852993E-2</v>
      </c>
      <c r="H1095" s="550">
        <v>4.04846551441637E-3</v>
      </c>
      <c r="I1095" s="551">
        <v>4.53081611018347E-2</v>
      </c>
      <c r="J1095" s="551">
        <v>2.89792747088988E-2</v>
      </c>
      <c r="K1095" s="551">
        <v>1.0179535959066901E-2</v>
      </c>
      <c r="L1095" s="551">
        <v>1.5580283900437301E-3</v>
      </c>
      <c r="M1095" s="552">
        <v>1.06398094041141E-2</v>
      </c>
    </row>
    <row r="1096" spans="2:13" ht="15.75" x14ac:dyDescent="0.25">
      <c r="B1096" s="555">
        <v>2039</v>
      </c>
      <c r="C1096" s="556">
        <v>2036</v>
      </c>
      <c r="D1096" s="557" t="s">
        <v>3994</v>
      </c>
      <c r="E1096" s="547">
        <v>4.3803969937017372E-2</v>
      </c>
      <c r="F1096" s="548">
        <v>9.6415530535123042E-2</v>
      </c>
      <c r="G1096" s="549">
        <v>7.1480800200518696E-2</v>
      </c>
      <c r="H1096" s="550">
        <v>4.3901689688682199E-3</v>
      </c>
      <c r="I1096" s="551">
        <v>4.2839679636993103E-2</v>
      </c>
      <c r="J1096" s="551">
        <v>3.0640573778085101E-2</v>
      </c>
      <c r="K1096" s="551">
        <v>8.9613593438737198E-3</v>
      </c>
      <c r="L1096" s="551">
        <v>1.5586287732420501E-3</v>
      </c>
      <c r="M1096" s="552">
        <v>9.3665522479605395E-3</v>
      </c>
    </row>
    <row r="1097" spans="2:13" ht="15.75" x14ac:dyDescent="0.25">
      <c r="B1097" s="555">
        <v>2039</v>
      </c>
      <c r="C1097" s="556">
        <v>2037</v>
      </c>
      <c r="D1097" s="557" t="s">
        <v>3995</v>
      </c>
      <c r="E1097" s="547">
        <v>4.377896487192709E-2</v>
      </c>
      <c r="F1097" s="548">
        <v>9.6362198559742429E-2</v>
      </c>
      <c r="G1097" s="549">
        <v>6.9564285050244798E-2</v>
      </c>
      <c r="H1097" s="550">
        <v>5.0195632958251399E-3</v>
      </c>
      <c r="I1097" s="551">
        <v>4.0250276070112397E-2</v>
      </c>
      <c r="J1097" s="551">
        <v>3.3645529327886503E-2</v>
      </c>
      <c r="K1097" s="551">
        <v>7.68414130037684E-3</v>
      </c>
      <c r="L1097" s="551">
        <v>1.5592394423689299E-3</v>
      </c>
      <c r="M1097" s="552">
        <v>8.0315840721078696E-3</v>
      </c>
    </row>
    <row r="1098" spans="2:13" ht="15.75" x14ac:dyDescent="0.25">
      <c r="B1098" s="555">
        <v>2039</v>
      </c>
      <c r="C1098" s="556">
        <v>2038</v>
      </c>
      <c r="D1098" s="557" t="s">
        <v>3996</v>
      </c>
      <c r="E1098" s="547">
        <v>4.374875659253704E-2</v>
      </c>
      <c r="F1098" s="548">
        <v>9.6293505535115134E-2</v>
      </c>
      <c r="G1098" s="549">
        <v>6.7554873503729004E-2</v>
      </c>
      <c r="H1098" s="550">
        <v>5.6590678827092298E-3</v>
      </c>
      <c r="I1098" s="551">
        <v>3.7539608283296902E-2</v>
      </c>
      <c r="J1098" s="551">
        <v>3.6629387690523499E-2</v>
      </c>
      <c r="K1098" s="551">
        <v>6.3478154209038297E-3</v>
      </c>
      <c r="L1098" s="551">
        <v>1.5598544106121401E-3</v>
      </c>
      <c r="M1098" s="552">
        <v>6.6348354662233502E-3</v>
      </c>
    </row>
    <row r="1099" spans="2:13" ht="15.75" x14ac:dyDescent="0.25">
      <c r="B1099" s="555">
        <v>2039</v>
      </c>
      <c r="C1099" s="556">
        <v>2039</v>
      </c>
      <c r="D1099" s="557" t="s">
        <v>3997</v>
      </c>
      <c r="E1099" s="547">
        <v>4.3707191566613235E-2</v>
      </c>
      <c r="F1099" s="548">
        <v>9.6178449894169585E-2</v>
      </c>
      <c r="G1099" s="549">
        <v>6.5451969293184406E-2</v>
      </c>
      <c r="H1099" s="550">
        <v>5.4337620489354399E-3</v>
      </c>
      <c r="I1099" s="551">
        <v>3.4707430860432799E-2</v>
      </c>
      <c r="J1099" s="551">
        <v>3.4324979679181397E-2</v>
      </c>
      <c r="K1099" s="551">
        <v>4.9523358816075504E-3</v>
      </c>
      <c r="L1099" s="551">
        <v>1.56046876545266E-3</v>
      </c>
      <c r="M1099" s="552">
        <v>5.1762585345088404E-3</v>
      </c>
    </row>
    <row r="1100" spans="2:13" ht="15.75" x14ac:dyDescent="0.25">
      <c r="B1100" s="555">
        <v>2040</v>
      </c>
      <c r="C1100" s="556">
        <v>1996</v>
      </c>
      <c r="D1100" s="557" t="s">
        <v>3998</v>
      </c>
      <c r="E1100" s="547">
        <v>6.4646047618530489E-2</v>
      </c>
      <c r="F1100" s="548">
        <v>0.13224403182523109</v>
      </c>
      <c r="G1100" s="549">
        <v>0.36645021592370702</v>
      </c>
      <c r="H1100" s="550">
        <v>2.2945227306457799E-2</v>
      </c>
      <c r="I1100" s="551">
        <v>9.2074699419314392</v>
      </c>
      <c r="J1100" s="551">
        <v>0.39579428150637003</v>
      </c>
      <c r="K1100" s="551">
        <v>5.2471408992403899E-2</v>
      </c>
      <c r="L1100" s="551">
        <v>2.2363538082981098E-3</v>
      </c>
      <c r="M1100" s="552">
        <v>5.4843933268611401E-2</v>
      </c>
    </row>
    <row r="1101" spans="2:13" ht="15.75" x14ac:dyDescent="0.25">
      <c r="B1101" s="555">
        <v>2040</v>
      </c>
      <c r="C1101" s="556">
        <v>1997</v>
      </c>
      <c r="D1101" s="557" t="s">
        <v>3999</v>
      </c>
      <c r="E1101" s="547">
        <v>6.4878058963635965E-2</v>
      </c>
      <c r="F1101" s="548">
        <v>0.13086102652795276</v>
      </c>
      <c r="G1101" s="549">
        <v>0.36920883794618098</v>
      </c>
      <c r="H1101" s="550">
        <v>2.23206931721802E-2</v>
      </c>
      <c r="I1101" s="551">
        <v>9.1676115923973196</v>
      </c>
      <c r="J1101" s="551">
        <v>0.391796788220862</v>
      </c>
      <c r="K1101" s="551">
        <v>5.2866411582405903E-2</v>
      </c>
      <c r="L1101" s="551">
        <v>2.1780503293531801E-3</v>
      </c>
      <c r="M1101" s="552">
        <v>5.5256796122935298E-2</v>
      </c>
    </row>
    <row r="1102" spans="2:13" ht="15.75" x14ac:dyDescent="0.25">
      <c r="B1102" s="555">
        <v>2040</v>
      </c>
      <c r="C1102" s="556">
        <v>1998</v>
      </c>
      <c r="D1102" s="557" t="s">
        <v>4000</v>
      </c>
      <c r="E1102" s="547">
        <v>6.4667616007356377E-2</v>
      </c>
      <c r="F1102" s="548">
        <v>0.131379726228429</v>
      </c>
      <c r="G1102" s="549">
        <v>0.36774101740996901</v>
      </c>
      <c r="H1102" s="550">
        <v>2.2557593896037901E-2</v>
      </c>
      <c r="I1102" s="551">
        <v>9.2051153240030708</v>
      </c>
      <c r="J1102" s="551">
        <v>0.39352731860160001</v>
      </c>
      <c r="K1102" s="551">
        <v>5.26562367528213E-2</v>
      </c>
      <c r="L1102" s="551">
        <v>2.2051066665860399E-3</v>
      </c>
      <c r="M1102" s="552">
        <v>5.5037118120193802E-2</v>
      </c>
    </row>
    <row r="1103" spans="2:13" ht="15.75" x14ac:dyDescent="0.25">
      <c r="B1103" s="555">
        <v>2040</v>
      </c>
      <c r="C1103" s="556">
        <v>1999</v>
      </c>
      <c r="D1103" s="557" t="s">
        <v>4001</v>
      </c>
      <c r="E1103" s="547">
        <v>6.4586808248763353E-2</v>
      </c>
      <c r="F1103" s="548">
        <v>0.13118750422185957</v>
      </c>
      <c r="G1103" s="549">
        <v>0.36709353167129699</v>
      </c>
      <c r="H1103" s="550">
        <v>2.25303965554337E-2</v>
      </c>
      <c r="I1103" s="551">
        <v>9.2067482894383801</v>
      </c>
      <c r="J1103" s="551">
        <v>0.39354838120763602</v>
      </c>
      <c r="K1103" s="551">
        <v>5.2563524325500099E-2</v>
      </c>
      <c r="L1103" s="551">
        <v>2.1980965290367598E-3</v>
      </c>
      <c r="M1103" s="552">
        <v>5.4940213648314501E-2</v>
      </c>
    </row>
    <row r="1104" spans="2:13" ht="15.75" x14ac:dyDescent="0.25">
      <c r="B1104" s="555">
        <v>2040</v>
      </c>
      <c r="C1104" s="556">
        <v>2000</v>
      </c>
      <c r="D1104" s="557" t="s">
        <v>4002</v>
      </c>
      <c r="E1104" s="547">
        <v>6.4334680709678585E-2</v>
      </c>
      <c r="F1104" s="548">
        <v>0.13161943694130768</v>
      </c>
      <c r="G1104" s="549">
        <v>0.36471709312709999</v>
      </c>
      <c r="H1104" s="550">
        <v>2.2729169046721901E-2</v>
      </c>
      <c r="I1104" s="551">
        <v>9.2367095467901894</v>
      </c>
      <c r="J1104" s="551">
        <v>0.39552090246877197</v>
      </c>
      <c r="K1104" s="551">
        <v>5.2223245964676798E-2</v>
      </c>
      <c r="L1104" s="551">
        <v>2.22110768730404E-3</v>
      </c>
      <c r="M1104" s="552">
        <v>5.4584549409977701E-2</v>
      </c>
    </row>
    <row r="1105" spans="2:13" ht="15.75" x14ac:dyDescent="0.25">
      <c r="B1105" s="555">
        <v>2040</v>
      </c>
      <c r="C1105" s="556">
        <v>2001</v>
      </c>
      <c r="D1105" s="557" t="s">
        <v>4003</v>
      </c>
      <c r="E1105" s="547">
        <v>6.4545095082892162E-2</v>
      </c>
      <c r="F1105" s="548">
        <v>0.13178230080286596</v>
      </c>
      <c r="G1105" s="549">
        <v>0.36724023592022798</v>
      </c>
      <c r="H1105" s="550">
        <v>2.2831013394571699E-2</v>
      </c>
      <c r="I1105" s="551">
        <v>9.2026295536820601</v>
      </c>
      <c r="J1105" s="551">
        <v>0.39697885604328598</v>
      </c>
      <c r="K1105" s="551">
        <v>5.2584530667731798E-2</v>
      </c>
      <c r="L1105" s="551">
        <v>2.2338037765446302E-3</v>
      </c>
      <c r="M1105" s="552">
        <v>5.49621698041277E-2</v>
      </c>
    </row>
    <row r="1106" spans="2:13" ht="15.75" x14ac:dyDescent="0.25">
      <c r="B1106" s="555">
        <v>2040</v>
      </c>
      <c r="C1106" s="556">
        <v>2002</v>
      </c>
      <c r="D1106" s="557" t="s">
        <v>4004</v>
      </c>
      <c r="E1106" s="547">
        <v>6.4379367311487634E-2</v>
      </c>
      <c r="F1106" s="548">
        <v>0.13160598471091178</v>
      </c>
      <c r="G1106" s="549">
        <v>0.28380916423566799</v>
      </c>
      <c r="H1106" s="550">
        <v>2.2783433689025599E-2</v>
      </c>
      <c r="I1106" s="551">
        <v>7.1000686781558899</v>
      </c>
      <c r="J1106" s="551">
        <v>0.31952674109706197</v>
      </c>
      <c r="K1106" s="551">
        <v>5.29014343041996E-2</v>
      </c>
      <c r="L1106" s="551">
        <v>2.2312713957140201E-3</v>
      </c>
      <c r="M1106" s="552">
        <v>5.5293402416797498E-2</v>
      </c>
    </row>
    <row r="1107" spans="2:13" ht="15.75" x14ac:dyDescent="0.25">
      <c r="B1107" s="555">
        <v>2040</v>
      </c>
      <c r="C1107" s="556">
        <v>2003</v>
      </c>
      <c r="D1107" s="557" t="s">
        <v>4005</v>
      </c>
      <c r="E1107" s="547">
        <v>6.4075013850753731E-2</v>
      </c>
      <c r="F1107" s="548">
        <v>0.13101228979627183</v>
      </c>
      <c r="G1107" s="549">
        <v>0.281580373113831</v>
      </c>
      <c r="H1107" s="550">
        <v>2.25419729322653E-2</v>
      </c>
      <c r="I1107" s="551">
        <v>7.1278665908159997</v>
      </c>
      <c r="J1107" s="551">
        <v>0.31942946110683601</v>
      </c>
      <c r="K1107" s="551">
        <v>5.2485992303138197E-2</v>
      </c>
      <c r="L1107" s="551">
        <v>2.2081183998181701E-3</v>
      </c>
      <c r="M1107" s="552">
        <v>5.4859175971944701E-2</v>
      </c>
    </row>
    <row r="1108" spans="2:13" ht="15.75" x14ac:dyDescent="0.25">
      <c r="B1108" s="555">
        <v>2040</v>
      </c>
      <c r="C1108" s="556">
        <v>2004</v>
      </c>
      <c r="D1108" s="557" t="s">
        <v>4006</v>
      </c>
      <c r="E1108" s="547">
        <v>6.3844197697619454E-2</v>
      </c>
      <c r="F1108" s="548">
        <v>0.1300191125922483</v>
      </c>
      <c r="G1108" s="549">
        <v>0.232408362863434</v>
      </c>
      <c r="H1108" s="550">
        <v>1.47711180415684E-2</v>
      </c>
      <c r="I1108" s="551">
        <v>5.9616797531694603</v>
      </c>
      <c r="J1108" s="551">
        <v>0.27030765877479201</v>
      </c>
      <c r="K1108" s="551">
        <v>5.21935734663544E-2</v>
      </c>
      <c r="L1108" s="551">
        <v>1.43696551798219E-4</v>
      </c>
      <c r="M1108" s="552">
        <v>5.4553535252950897E-2</v>
      </c>
    </row>
    <row r="1109" spans="2:13" ht="15.75" x14ac:dyDescent="0.25">
      <c r="B1109" s="555">
        <v>2040</v>
      </c>
      <c r="C1109" s="556">
        <v>2005</v>
      </c>
      <c r="D1109" s="557" t="s">
        <v>4007</v>
      </c>
      <c r="E1109" s="547">
        <v>6.3885082981520569E-2</v>
      </c>
      <c r="F1109" s="548">
        <v>0.13037574013852241</v>
      </c>
      <c r="G1109" s="549">
        <v>0.23276963806762799</v>
      </c>
      <c r="H1109" s="550">
        <v>1.4975911553586701E-2</v>
      </c>
      <c r="I1109" s="551">
        <v>5.9516219581241598</v>
      </c>
      <c r="J1109" s="551">
        <v>0.27216659317436598</v>
      </c>
      <c r="K1109" s="551">
        <v>5.22747075687564E-2</v>
      </c>
      <c r="L1109" s="551">
        <v>1.4510526405374699E-4</v>
      </c>
      <c r="M1109" s="552">
        <v>5.4638337879436297E-2</v>
      </c>
    </row>
    <row r="1110" spans="2:13" ht="15.75" x14ac:dyDescent="0.25">
      <c r="B1110" s="555">
        <v>2040</v>
      </c>
      <c r="C1110" s="556">
        <v>2006</v>
      </c>
      <c r="D1110" s="557" t="s">
        <v>4008</v>
      </c>
      <c r="E1110" s="547">
        <v>6.3711864168663868E-2</v>
      </c>
      <c r="F1110" s="548">
        <v>0.13067600013368963</v>
      </c>
      <c r="G1110" s="549">
        <v>0.23169350899669799</v>
      </c>
      <c r="H1110" s="550">
        <v>1.51331235595988E-2</v>
      </c>
      <c r="I1110" s="551">
        <v>5.9600456437913998</v>
      </c>
      <c r="J1110" s="551">
        <v>0.27383592759948699</v>
      </c>
      <c r="K1110" s="551">
        <v>5.2033033727803303E-2</v>
      </c>
      <c r="L1110" s="551">
        <v>1.4627931674496999E-4</v>
      </c>
      <c r="M1110" s="552">
        <v>5.4385736619807001E-2</v>
      </c>
    </row>
    <row r="1111" spans="2:13" ht="15.75" x14ac:dyDescent="0.25">
      <c r="B1111" s="555">
        <v>2040</v>
      </c>
      <c r="C1111" s="556">
        <v>2007</v>
      </c>
      <c r="D1111" s="557" t="s">
        <v>4009</v>
      </c>
      <c r="E1111" s="547">
        <v>6.3863266799894264E-2</v>
      </c>
      <c r="F1111" s="548">
        <v>0.13102119126855311</v>
      </c>
      <c r="G1111" s="549">
        <v>0.17019858080175301</v>
      </c>
      <c r="H1111" s="550">
        <v>1.5300976633201799E-2</v>
      </c>
      <c r="I1111" s="551">
        <v>3.1143508781814102</v>
      </c>
      <c r="J1111" s="551">
        <v>0.273953991422623</v>
      </c>
      <c r="K1111" s="551">
        <v>3.7811750099512202E-2</v>
      </c>
      <c r="L1111" s="551">
        <v>1.4763940150836299E-4</v>
      </c>
      <c r="M1111" s="552">
        <v>3.9521429651856101E-2</v>
      </c>
    </row>
    <row r="1112" spans="2:13" ht="15.75" x14ac:dyDescent="0.25">
      <c r="B1112" s="555">
        <v>2040</v>
      </c>
      <c r="C1112" s="556">
        <v>2008</v>
      </c>
      <c r="D1112" s="557" t="s">
        <v>4010</v>
      </c>
      <c r="E1112" s="547">
        <v>6.409343062568057E-2</v>
      </c>
      <c r="F1112" s="548">
        <v>0.13150426450646194</v>
      </c>
      <c r="G1112" s="549">
        <v>0.17231080792039699</v>
      </c>
      <c r="H1112" s="550">
        <v>1.20873979272511E-2</v>
      </c>
      <c r="I1112" s="551">
        <v>3.10051451781389</v>
      </c>
      <c r="J1112" s="551">
        <v>0.193152800455061</v>
      </c>
      <c r="K1112" s="551">
        <v>3.8093751633814503E-2</v>
      </c>
      <c r="L1112" s="551">
        <v>1.70432511565503E-4</v>
      </c>
      <c r="M1112" s="552">
        <v>3.98161820441763E-2</v>
      </c>
    </row>
    <row r="1113" spans="2:13" ht="15.75" x14ac:dyDescent="0.25">
      <c r="B1113" s="555">
        <v>2040</v>
      </c>
      <c r="C1113" s="556">
        <v>2009</v>
      </c>
      <c r="D1113" s="557" t="s">
        <v>4011</v>
      </c>
      <c r="E1113" s="547">
        <v>6.408161719561474E-2</v>
      </c>
      <c r="F1113" s="548">
        <v>0.13025670968243794</v>
      </c>
      <c r="G1113" s="549">
        <v>0.17244712335441201</v>
      </c>
      <c r="H1113" s="550">
        <v>8.4774713390828697E-3</v>
      </c>
      <c r="I1113" s="551">
        <v>3.0985000613692</v>
      </c>
      <c r="J1113" s="551">
        <v>0.10896245989181701</v>
      </c>
      <c r="K1113" s="551">
        <v>3.81120341504275E-2</v>
      </c>
      <c r="L1113" s="551">
        <v>1.86883502467227E-4</v>
      </c>
      <c r="M1113" s="552">
        <v>3.9835291215063101E-2</v>
      </c>
    </row>
    <row r="1114" spans="2:13" ht="15.75" x14ac:dyDescent="0.25">
      <c r="B1114" s="555">
        <v>2040</v>
      </c>
      <c r="C1114" s="556">
        <v>2010</v>
      </c>
      <c r="D1114" s="557" t="s">
        <v>4012</v>
      </c>
      <c r="E1114" s="547">
        <v>6.4090085601490487E-2</v>
      </c>
      <c r="F1114" s="548">
        <v>0.1291561565199027</v>
      </c>
      <c r="G1114" s="549">
        <v>0.110579841663001</v>
      </c>
      <c r="H1114" s="550">
        <v>8.2875054344903002E-3</v>
      </c>
      <c r="I1114" s="551">
        <v>0.28476785056748599</v>
      </c>
      <c r="J1114" s="551">
        <v>0.108833042729907</v>
      </c>
      <c r="K1114" s="551">
        <v>2.3522451036333498E-2</v>
      </c>
      <c r="L1114" s="551">
        <v>2.22733712352721E-4</v>
      </c>
      <c r="M1114" s="552">
        <v>2.4586031892866001E-2</v>
      </c>
    </row>
    <row r="1115" spans="2:13" ht="15.75" x14ac:dyDescent="0.25">
      <c r="B1115" s="555">
        <v>2040</v>
      </c>
      <c r="C1115" s="556">
        <v>2011</v>
      </c>
      <c r="D1115" s="557" t="s">
        <v>4013</v>
      </c>
      <c r="E1115" s="547">
        <v>6.4032664057116592E-2</v>
      </c>
      <c r="F1115" s="548">
        <v>0.13082025269319114</v>
      </c>
      <c r="G1115" s="549">
        <v>0.110285710877061</v>
      </c>
      <c r="H1115" s="550">
        <v>8.6180496736120993E-3</v>
      </c>
      <c r="I1115" s="551">
        <v>0.28429906176875203</v>
      </c>
      <c r="J1115" s="551">
        <v>0.110695221707974</v>
      </c>
      <c r="K1115" s="551">
        <v>2.3498973151919698E-2</v>
      </c>
      <c r="L1115" s="551">
        <v>3.1439619602761199E-4</v>
      </c>
      <c r="M1115" s="552">
        <v>2.4561492442700499E-2</v>
      </c>
    </row>
    <row r="1116" spans="2:13" ht="15.75" x14ac:dyDescent="0.25">
      <c r="B1116" s="555">
        <v>2040</v>
      </c>
      <c r="C1116" s="556">
        <v>2012</v>
      </c>
      <c r="D1116" s="557" t="s">
        <v>4014</v>
      </c>
      <c r="E1116" s="547">
        <v>6.4141607835279252E-2</v>
      </c>
      <c r="F1116" s="548">
        <v>0.13122398217969802</v>
      </c>
      <c r="G1116" s="549">
        <v>0.11168549262673701</v>
      </c>
      <c r="H1116" s="550">
        <v>8.7034634993093402E-3</v>
      </c>
      <c r="I1116" s="551">
        <v>0.28637786832567003</v>
      </c>
      <c r="J1116" s="551">
        <v>0.1114632505545</v>
      </c>
      <c r="K1116" s="551">
        <v>2.3596157693268199E-2</v>
      </c>
      <c r="L1116" s="551">
        <v>4.6433331916924999E-4</v>
      </c>
      <c r="M1116" s="552">
        <v>2.46630712377588E-2</v>
      </c>
    </row>
    <row r="1117" spans="2:13" ht="15.75" x14ac:dyDescent="0.25">
      <c r="B1117" s="555">
        <v>2040</v>
      </c>
      <c r="C1117" s="556">
        <v>2013</v>
      </c>
      <c r="D1117" s="557" t="s">
        <v>4015</v>
      </c>
      <c r="E1117" s="547">
        <v>6.3996206957706789E-2</v>
      </c>
      <c r="F1117" s="548">
        <v>0.13122074697195987</v>
      </c>
      <c r="G1117" s="549">
        <v>0.11050895832381</v>
      </c>
      <c r="H1117" s="550">
        <v>8.7331177137454797E-3</v>
      </c>
      <c r="I1117" s="551">
        <v>0.28469969590454203</v>
      </c>
      <c r="J1117" s="551">
        <v>0.111065160204177</v>
      </c>
      <c r="K1117" s="551">
        <v>2.3527506768719599E-2</v>
      </c>
      <c r="L1117" s="551">
        <v>6.9567199634096896E-4</v>
      </c>
      <c r="M1117" s="552">
        <v>2.4591316223036001E-2</v>
      </c>
    </row>
    <row r="1118" spans="2:13" ht="15.75" x14ac:dyDescent="0.25">
      <c r="B1118" s="555">
        <v>2040</v>
      </c>
      <c r="C1118" s="556">
        <v>2014</v>
      </c>
      <c r="D1118" s="557" t="s">
        <v>4016</v>
      </c>
      <c r="E1118" s="547">
        <v>6.2443393843968333E-2</v>
      </c>
      <c r="F1118" s="548">
        <v>0.1290558206140941</v>
      </c>
      <c r="G1118" s="549">
        <v>0.10991561239099901</v>
      </c>
      <c r="H1118" s="550">
        <v>8.7053477569152202E-3</v>
      </c>
      <c r="I1118" s="551">
        <v>0.28375033218529</v>
      </c>
      <c r="J1118" s="551">
        <v>0.11115371113136201</v>
      </c>
      <c r="K1118" s="551">
        <v>2.3480589814742402E-2</v>
      </c>
      <c r="L1118" s="551">
        <v>9.6510021351472498E-4</v>
      </c>
      <c r="M1118" s="552">
        <v>2.4542277892590902E-2</v>
      </c>
    </row>
    <row r="1119" spans="2:13" ht="15.75" x14ac:dyDescent="0.25">
      <c r="B1119" s="555">
        <v>2040</v>
      </c>
      <c r="C1119" s="556">
        <v>2015</v>
      </c>
      <c r="D1119" s="557" t="s">
        <v>4017</v>
      </c>
      <c r="E1119" s="547">
        <v>6.1909682328573183E-2</v>
      </c>
      <c r="F1119" s="548">
        <v>0.1290145137082182</v>
      </c>
      <c r="G1119" s="549">
        <v>0.10928237580733401</v>
      </c>
      <c r="H1119" s="550">
        <v>8.8360439825883302E-3</v>
      </c>
      <c r="I1119" s="551">
        <v>0.28281239305622802</v>
      </c>
      <c r="J1119" s="551">
        <v>0.111743556168383</v>
      </c>
      <c r="K1119" s="551">
        <v>2.3432971855138599E-2</v>
      </c>
      <c r="L1119" s="551">
        <v>1.2341309988265199E-3</v>
      </c>
      <c r="M1119" s="552">
        <v>2.44925068601555E-2</v>
      </c>
    </row>
    <row r="1120" spans="2:13" ht="15.75" x14ac:dyDescent="0.25">
      <c r="B1120" s="555">
        <v>2040</v>
      </c>
      <c r="C1120" s="556">
        <v>2016</v>
      </c>
      <c r="D1120" s="557" t="s">
        <v>4018</v>
      </c>
      <c r="E1120" s="547">
        <v>5.9894464355888813E-2</v>
      </c>
      <c r="F1120" s="548">
        <v>0.12508439682904768</v>
      </c>
      <c r="G1120" s="549">
        <v>0.108511973652735</v>
      </c>
      <c r="H1120" s="550">
        <v>8.0712201902253203E-3</v>
      </c>
      <c r="I1120" s="551">
        <v>0.24690661526423799</v>
      </c>
      <c r="J1120" s="551">
        <v>9.8098873575275095E-2</v>
      </c>
      <c r="K1120" s="551">
        <v>2.3375519397498299E-2</v>
      </c>
      <c r="L1120" s="551">
        <v>1.3890583308215599E-3</v>
      </c>
      <c r="M1120" s="552">
        <v>2.4432456657322101E-2</v>
      </c>
    </row>
    <row r="1121" spans="2:13" ht="15.75" x14ac:dyDescent="0.25">
      <c r="B1121" s="555">
        <v>2040</v>
      </c>
      <c r="C1121" s="556">
        <v>2017</v>
      </c>
      <c r="D1121" s="557" t="s">
        <v>4019</v>
      </c>
      <c r="E1121" s="547">
        <v>5.6386890013257945E-2</v>
      </c>
      <c r="F1121" s="548">
        <v>0.12117218217317909</v>
      </c>
      <c r="G1121" s="549">
        <v>9.0707760050107306E-2</v>
      </c>
      <c r="H1121" s="550">
        <v>7.2698220103817497E-3</v>
      </c>
      <c r="I1121" s="551">
        <v>0.19236604634580901</v>
      </c>
      <c r="J1121" s="551">
        <v>8.4799175460744697E-2</v>
      </c>
      <c r="K1121" s="551">
        <v>2.2154795061581099E-2</v>
      </c>
      <c r="L1121" s="551">
        <v>1.44763798083358E-3</v>
      </c>
      <c r="M1121" s="552">
        <v>2.31565365838187E-2</v>
      </c>
    </row>
    <row r="1122" spans="2:13" ht="15.75" x14ac:dyDescent="0.25">
      <c r="B1122" s="555">
        <v>2040</v>
      </c>
      <c r="C1122" s="556">
        <v>2018</v>
      </c>
      <c r="D1122" s="557" t="s">
        <v>4020</v>
      </c>
      <c r="E1122" s="547">
        <v>5.2650159708417195E-2</v>
      </c>
      <c r="F1122" s="548">
        <v>0.11597772200101379</v>
      </c>
      <c r="G1122" s="549">
        <v>9.0600650825713405E-2</v>
      </c>
      <c r="H1122" s="550">
        <v>6.56146301410782E-3</v>
      </c>
      <c r="I1122" s="551">
        <v>0.156714592078355</v>
      </c>
      <c r="J1122" s="551">
        <v>7.1189142033053196E-2</v>
      </c>
      <c r="K1122" s="551">
        <v>2.20518785960221E-2</v>
      </c>
      <c r="L1122" s="551">
        <v>1.5083148971749599E-3</v>
      </c>
      <c r="M1122" s="552">
        <v>2.3048966692372198E-2</v>
      </c>
    </row>
    <row r="1123" spans="2:13" ht="15.75" x14ac:dyDescent="0.25">
      <c r="B1123" s="555">
        <v>2040</v>
      </c>
      <c r="C1123" s="556">
        <v>2019</v>
      </c>
      <c r="D1123" s="557" t="s">
        <v>4021</v>
      </c>
      <c r="E1123" s="547">
        <v>5.2631525042494708E-2</v>
      </c>
      <c r="F1123" s="548">
        <v>0.11592896062102886</v>
      </c>
      <c r="G1123" s="549">
        <v>9.04058331659022E-2</v>
      </c>
      <c r="H1123" s="550">
        <v>5.9591112153425298E-3</v>
      </c>
      <c r="I1123" s="551">
        <v>0.13442344058877201</v>
      </c>
      <c r="J1123" s="551">
        <v>6.2053422873692601E-2</v>
      </c>
      <c r="K1123" s="551">
        <v>2.18905911626722E-2</v>
      </c>
      <c r="L1123" s="551">
        <v>1.5489644141702E-3</v>
      </c>
      <c r="M1123" s="552">
        <v>2.28803865569886E-2</v>
      </c>
    </row>
    <row r="1124" spans="2:13" ht="15.75" x14ac:dyDescent="0.25">
      <c r="B1124" s="555">
        <v>2040</v>
      </c>
      <c r="C1124" s="556">
        <v>2020</v>
      </c>
      <c r="D1124" s="557" t="s">
        <v>4022</v>
      </c>
      <c r="E1124" s="547">
        <v>5.2613111913220829E-2</v>
      </c>
      <c r="F1124" s="548">
        <v>0.11588095215873589</v>
      </c>
      <c r="G1124" s="549">
        <v>9.0122639887818504E-2</v>
      </c>
      <c r="H1124" s="550">
        <v>5.3355167583773299E-3</v>
      </c>
      <c r="I1124" s="551">
        <v>0.11179854407018799</v>
      </c>
      <c r="J1124" s="551">
        <v>5.3223260357361697E-2</v>
      </c>
      <c r="K1124" s="551">
        <v>2.1670881529033799E-2</v>
      </c>
      <c r="L1124" s="551">
        <v>1.5494789035661899E-3</v>
      </c>
      <c r="M1124" s="552">
        <v>2.2650742628664101E-2</v>
      </c>
    </row>
    <row r="1125" spans="2:13" ht="15.75" x14ac:dyDescent="0.25">
      <c r="B1125" s="555">
        <v>2040</v>
      </c>
      <c r="C1125" s="556">
        <v>2021</v>
      </c>
      <c r="D1125" s="557" t="s">
        <v>4023</v>
      </c>
      <c r="E1125" s="547">
        <v>5.1280113769015125E-2</v>
      </c>
      <c r="F1125" s="548">
        <v>0.11294363786282037</v>
      </c>
      <c r="G1125" s="549">
        <v>8.9752049163699402E-2</v>
      </c>
      <c r="H1125" s="550">
        <v>4.7055402657621504E-3</v>
      </c>
      <c r="I1125" s="551">
        <v>8.9636836332649794E-2</v>
      </c>
      <c r="J1125" s="551">
        <v>4.3885559210715797E-2</v>
      </c>
      <c r="K1125" s="551">
        <v>2.1392800288776499E-2</v>
      </c>
      <c r="L1125" s="551">
        <v>1.5500146598967301E-3</v>
      </c>
      <c r="M1125" s="552">
        <v>2.2360087788689701E-2</v>
      </c>
    </row>
    <row r="1126" spans="2:13" ht="15.75" x14ac:dyDescent="0.25">
      <c r="B1126" s="555">
        <v>2040</v>
      </c>
      <c r="C1126" s="556">
        <v>2022</v>
      </c>
      <c r="D1126" s="557" t="s">
        <v>4024</v>
      </c>
      <c r="E1126" s="547">
        <v>5.000065709764568E-2</v>
      </c>
      <c r="F1126" s="548">
        <v>0.11012363177573599</v>
      </c>
      <c r="G1126" s="549">
        <v>8.9291458766682402E-2</v>
      </c>
      <c r="H1126" s="550">
        <v>4.0584873761682697E-3</v>
      </c>
      <c r="I1126" s="551">
        <v>6.7244154898633099E-2</v>
      </c>
      <c r="J1126" s="551">
        <v>3.4546093186406397E-2</v>
      </c>
      <c r="K1126" s="551">
        <v>2.10561569510881E-2</v>
      </c>
      <c r="L1126" s="551">
        <v>1.5505494087190599E-3</v>
      </c>
      <c r="M1126" s="552">
        <v>2.2008222933103599E-2</v>
      </c>
    </row>
    <row r="1127" spans="2:13" ht="15.75" x14ac:dyDescent="0.25">
      <c r="B1127" s="555">
        <v>2040</v>
      </c>
      <c r="C1127" s="556">
        <v>2023</v>
      </c>
      <c r="D1127" s="557" t="s">
        <v>4025</v>
      </c>
      <c r="E1127" s="547">
        <v>4.8722209283582639E-2</v>
      </c>
      <c r="F1127" s="548">
        <v>0.10730806190039494</v>
      </c>
      <c r="G1127" s="549">
        <v>8.8742187562117394E-2</v>
      </c>
      <c r="H1127" s="550">
        <v>4.0361148310638899E-3</v>
      </c>
      <c r="I1127" s="551">
        <v>6.64562962274656E-2</v>
      </c>
      <c r="J1127" s="551">
        <v>3.3586749288132302E-2</v>
      </c>
      <c r="K1127" s="551">
        <v>2.0661023657248E-2</v>
      </c>
      <c r="L1127" s="551">
        <v>1.55109674372838E-3</v>
      </c>
      <c r="M1127" s="552">
        <v>2.1595223465094199E-2</v>
      </c>
    </row>
    <row r="1128" spans="2:13" ht="15.75" x14ac:dyDescent="0.25">
      <c r="B1128" s="555">
        <v>2040</v>
      </c>
      <c r="C1128" s="556">
        <v>2024</v>
      </c>
      <c r="D1128" s="557" t="s">
        <v>4026</v>
      </c>
      <c r="E1128" s="547">
        <v>4.7497159338121056E-2</v>
      </c>
      <c r="F1128" s="548">
        <v>0.10460973968530368</v>
      </c>
      <c r="G1128" s="549">
        <v>8.8102527508955406E-2</v>
      </c>
      <c r="H1128" s="550">
        <v>4.0144074023968097E-3</v>
      </c>
      <c r="I1128" s="551">
        <v>6.5549016213145794E-2</v>
      </c>
      <c r="J1128" s="551">
        <v>3.3933829915270497E-2</v>
      </c>
      <c r="K1128" s="551">
        <v>2.0207274976924199E-2</v>
      </c>
      <c r="L1128" s="551">
        <v>1.5516431051897301E-3</v>
      </c>
      <c r="M1128" s="552">
        <v>2.1120958282926001E-2</v>
      </c>
    </row>
    <row r="1129" spans="2:13" ht="15.75" x14ac:dyDescent="0.25">
      <c r="B1129" s="555">
        <v>2040</v>
      </c>
      <c r="C1129" s="556">
        <v>2025</v>
      </c>
      <c r="D1129" s="557" t="s">
        <v>4027</v>
      </c>
      <c r="E1129" s="547">
        <v>4.62730119944905E-2</v>
      </c>
      <c r="F1129" s="548">
        <v>0.10191351785559319</v>
      </c>
      <c r="G1129" s="549">
        <v>8.7373847107469593E-2</v>
      </c>
      <c r="H1129" s="550">
        <v>3.9931804520085303E-3</v>
      </c>
      <c r="I1129" s="551">
        <v>6.4522781061546103E-2</v>
      </c>
      <c r="J1129" s="551">
        <v>3.2752964243987097E-2</v>
      </c>
      <c r="K1129" s="551">
        <v>1.9694976406013798E-2</v>
      </c>
      <c r="L1129" s="551">
        <v>1.5522030197434699E-3</v>
      </c>
      <c r="M1129" s="552">
        <v>2.0585495843930299E-2</v>
      </c>
    </row>
    <row r="1130" spans="2:13" ht="15.75" x14ac:dyDescent="0.25">
      <c r="B1130" s="555">
        <v>2040</v>
      </c>
      <c r="C1130" s="556">
        <v>2026</v>
      </c>
      <c r="D1130" s="557" t="s">
        <v>4028</v>
      </c>
      <c r="E1130" s="547">
        <v>4.5102118732780735E-2</v>
      </c>
      <c r="F1130" s="548">
        <v>9.9334537662571637E-2</v>
      </c>
      <c r="G1130" s="549">
        <v>8.6554448757959798E-2</v>
      </c>
      <c r="H1130" s="550">
        <v>3.9848347029794503E-3</v>
      </c>
      <c r="I1130" s="551">
        <v>6.3383733113769103E-2</v>
      </c>
      <c r="J1130" s="551">
        <v>3.3110594217056803E-2</v>
      </c>
      <c r="K1130" s="551">
        <v>1.9123999017209799E-2</v>
      </c>
      <c r="L1130" s="551">
        <v>1.5527620533602399E-3</v>
      </c>
      <c r="M1130" s="552">
        <v>1.9988701391279201E-2</v>
      </c>
    </row>
    <row r="1131" spans="2:13" ht="15.75" x14ac:dyDescent="0.25">
      <c r="B1131" s="555">
        <v>2040</v>
      </c>
      <c r="C1131" s="556">
        <v>2027</v>
      </c>
      <c r="D1131" s="557" t="s">
        <v>4029</v>
      </c>
      <c r="E1131" s="547">
        <v>4.3984591431311566E-2</v>
      </c>
      <c r="F1131" s="548">
        <v>9.6873341405156077E-2</v>
      </c>
      <c r="G1131" s="549">
        <v>8.5646790742775702E-2</v>
      </c>
      <c r="H1131" s="550">
        <v>3.9881735824779403E-3</v>
      </c>
      <c r="I1131" s="551">
        <v>6.2118935700041802E-2</v>
      </c>
      <c r="J1131" s="551">
        <v>3.2438146194161098E-2</v>
      </c>
      <c r="K1131" s="551">
        <v>1.8494481062979299E-2</v>
      </c>
      <c r="L1131" s="551">
        <v>1.5533471862663401E-3</v>
      </c>
      <c r="M1131" s="552">
        <v>1.9330719428602899E-2</v>
      </c>
    </row>
    <row r="1132" spans="2:13" ht="15.75" x14ac:dyDescent="0.25">
      <c r="B1132" s="555">
        <v>2040</v>
      </c>
      <c r="C1132" s="556">
        <v>2028</v>
      </c>
      <c r="D1132" s="557" t="s">
        <v>4030</v>
      </c>
      <c r="E1132" s="547">
        <v>4.3969464651708846E-2</v>
      </c>
      <c r="F1132" s="548">
        <v>9.6835253711293423E-2</v>
      </c>
      <c r="G1132" s="549">
        <v>8.4647284862953601E-2</v>
      </c>
      <c r="H1132" s="550">
        <v>4.01135902765917E-3</v>
      </c>
      <c r="I1132" s="551">
        <v>6.0733937071381999E-2</v>
      </c>
      <c r="J1132" s="551">
        <v>3.2481652664415002E-2</v>
      </c>
      <c r="K1132" s="551">
        <v>1.7806175591148998E-2</v>
      </c>
      <c r="L1132" s="551">
        <v>1.55392481772304E-3</v>
      </c>
      <c r="M1132" s="552">
        <v>1.8611291837646801E-2</v>
      </c>
    </row>
    <row r="1133" spans="2:13" ht="15.75" x14ac:dyDescent="0.25">
      <c r="B1133" s="555">
        <v>2040</v>
      </c>
      <c r="C1133" s="556">
        <v>2029</v>
      </c>
      <c r="D1133" s="557" t="s">
        <v>4031</v>
      </c>
      <c r="E1133" s="547">
        <v>4.3954155755735615E-2</v>
      </c>
      <c r="F1133" s="548">
        <v>9.679692528801595E-2</v>
      </c>
      <c r="G1133" s="549">
        <v>8.3556846097171206E-2</v>
      </c>
      <c r="H1133" s="550">
        <v>4.04165501317795E-3</v>
      </c>
      <c r="I1133" s="551">
        <v>5.9228999842159499E-2</v>
      </c>
      <c r="J1133" s="551">
        <v>3.2534416456878698E-2</v>
      </c>
      <c r="K1133" s="551">
        <v>1.7059108066161802E-2</v>
      </c>
      <c r="L1133" s="551">
        <v>1.5545053944408299E-3</v>
      </c>
      <c r="M1133" s="552">
        <v>1.7830445234242698E-2</v>
      </c>
    </row>
    <row r="1134" spans="2:13" ht="15.75" x14ac:dyDescent="0.25">
      <c r="B1134" s="555">
        <v>2040</v>
      </c>
      <c r="C1134" s="556">
        <v>2030</v>
      </c>
      <c r="D1134" s="557" t="s">
        <v>4032</v>
      </c>
      <c r="E1134" s="547">
        <v>4.3938683593800494E-2</v>
      </c>
      <c r="F1134" s="548">
        <v>9.6758112530478974E-2</v>
      </c>
      <c r="G1134" s="549">
        <v>8.2376394829606195E-2</v>
      </c>
      <c r="H1134" s="550">
        <v>4.0709843024170304E-3</v>
      </c>
      <c r="I1134" s="551">
        <v>5.7604422049685501E-2</v>
      </c>
      <c r="J1134" s="551">
        <v>3.1691423103380703E-2</v>
      </c>
      <c r="K1134" s="551">
        <v>1.6253315251706701E-2</v>
      </c>
      <c r="L1134" s="551">
        <v>1.5551013070470099E-3</v>
      </c>
      <c r="M1134" s="552">
        <v>1.69882180443706E-2</v>
      </c>
    </row>
    <row r="1135" spans="2:13" ht="15.75" x14ac:dyDescent="0.25">
      <c r="B1135" s="555">
        <v>2040</v>
      </c>
      <c r="C1135" s="556">
        <v>2031</v>
      </c>
      <c r="D1135" s="557" t="s">
        <v>4033</v>
      </c>
      <c r="E1135" s="547">
        <v>4.3922784877427748E-2</v>
      </c>
      <c r="F1135" s="548">
        <v>9.6717748449080099E-2</v>
      </c>
      <c r="G1135" s="549">
        <v>8.1103437782921103E-2</v>
      </c>
      <c r="H1135" s="550">
        <v>4.0862496194005301E-3</v>
      </c>
      <c r="I1135" s="551">
        <v>5.5859204537518303E-2</v>
      </c>
      <c r="J1135" s="551">
        <v>3.19888060381366E-2</v>
      </c>
      <c r="K1135" s="551">
        <v>1.53886236755785E-2</v>
      </c>
      <c r="L1135" s="551">
        <v>1.55568771315121E-3</v>
      </c>
      <c r="M1135" s="552">
        <v>1.6084428952181901E-2</v>
      </c>
    </row>
    <row r="1136" spans="2:13" ht="15.75" x14ac:dyDescent="0.25">
      <c r="B1136" s="555">
        <v>2040</v>
      </c>
      <c r="C1136" s="556">
        <v>2032</v>
      </c>
      <c r="D1136" s="557" t="s">
        <v>4034</v>
      </c>
      <c r="E1136" s="547">
        <v>4.3906500237126708E-2</v>
      </c>
      <c r="F1136" s="548">
        <v>9.6675718367560726E-2</v>
      </c>
      <c r="G1136" s="549">
        <v>7.97396230469615E-2</v>
      </c>
      <c r="H1136" s="550">
        <v>4.0782765097930303E-3</v>
      </c>
      <c r="I1136" s="551">
        <v>5.3993915373689902E-2</v>
      </c>
      <c r="J1136" s="551">
        <v>3.1409909097312297E-2</v>
      </c>
      <c r="K1136" s="551">
        <v>1.4465111297949701E-2</v>
      </c>
      <c r="L1136" s="551">
        <v>1.5562850089654899E-3</v>
      </c>
      <c r="M1136" s="552">
        <v>1.5119159442862301E-2</v>
      </c>
    </row>
    <row r="1137" spans="2:13" ht="15.75" x14ac:dyDescent="0.25">
      <c r="B1137" s="555">
        <v>2040</v>
      </c>
      <c r="C1137" s="556">
        <v>2033</v>
      </c>
      <c r="D1137" s="557" t="s">
        <v>4035</v>
      </c>
      <c r="E1137" s="547">
        <v>4.3889588311772171E-2</v>
      </c>
      <c r="F1137" s="548">
        <v>9.66313301764921E-2</v>
      </c>
      <c r="G1137" s="549">
        <v>7.8283427827229898E-2</v>
      </c>
      <c r="H1137" s="550">
        <v>4.0389953272405099E-3</v>
      </c>
      <c r="I1137" s="551">
        <v>5.2007923453883602E-2</v>
      </c>
      <c r="J1137" s="551">
        <v>3.05205550439108E-2</v>
      </c>
      <c r="K1137" s="551">
        <v>1.3482664944251399E-2</v>
      </c>
      <c r="L1137" s="551">
        <v>1.55687899296242E-3</v>
      </c>
      <c r="M1137" s="552">
        <v>1.4092291224590801E-2</v>
      </c>
    </row>
    <row r="1138" spans="2:13" ht="15.75" x14ac:dyDescent="0.25">
      <c r="B1138" s="555">
        <v>2040</v>
      </c>
      <c r="C1138" s="556">
        <v>2034</v>
      </c>
      <c r="D1138" s="557" t="s">
        <v>4036</v>
      </c>
      <c r="E1138" s="547">
        <v>4.3871949991000934E-2</v>
      </c>
      <c r="F1138" s="548">
        <v>9.6584738811966511E-2</v>
      </c>
      <c r="G1138" s="549">
        <v>7.6735708792853199E-2</v>
      </c>
      <c r="H1138" s="550">
        <v>3.9833211843310302E-3</v>
      </c>
      <c r="I1138" s="551">
        <v>4.99014691663002E-2</v>
      </c>
      <c r="J1138" s="551">
        <v>2.97026219660112E-2</v>
      </c>
      <c r="K1138" s="551">
        <v>1.24413047521168E-2</v>
      </c>
      <c r="L1138" s="551">
        <v>1.5574807733073699E-3</v>
      </c>
      <c r="M1138" s="552">
        <v>1.30038453455353E-2</v>
      </c>
    </row>
    <row r="1139" spans="2:13" ht="15.75" x14ac:dyDescent="0.25">
      <c r="B1139" s="555">
        <v>2040</v>
      </c>
      <c r="C1139" s="556">
        <v>2035</v>
      </c>
      <c r="D1139" s="557" t="s">
        <v>4037</v>
      </c>
      <c r="E1139" s="547">
        <v>4.3853384094398151E-2</v>
      </c>
      <c r="F1139" s="548">
        <v>9.6536502530316357E-2</v>
      </c>
      <c r="G1139" s="549">
        <v>7.5096865370519503E-2</v>
      </c>
      <c r="H1139" s="550">
        <v>3.9580286744789299E-3</v>
      </c>
      <c r="I1139" s="551">
        <v>4.7674614201680801E-2</v>
      </c>
      <c r="J1139" s="551">
        <v>2.8914914856968399E-2</v>
      </c>
      <c r="K1139" s="551">
        <v>1.1341019524031701E-2</v>
      </c>
      <c r="L1139" s="551">
        <v>1.55809819048412E-3</v>
      </c>
      <c r="M1139" s="552">
        <v>1.18538101018796E-2</v>
      </c>
    </row>
    <row r="1140" spans="2:13" ht="15.75" x14ac:dyDescent="0.25">
      <c r="B1140" s="555">
        <v>2040</v>
      </c>
      <c r="C1140" s="556">
        <v>2036</v>
      </c>
      <c r="D1140" s="557" t="s">
        <v>4038</v>
      </c>
      <c r="E1140" s="547">
        <v>4.3833265372616066E-2</v>
      </c>
      <c r="F1140" s="548">
        <v>9.6486755577361416E-2</v>
      </c>
      <c r="G1140" s="549">
        <v>7.3363843697034498E-2</v>
      </c>
      <c r="H1140" s="550">
        <v>4.0551749741174698E-3</v>
      </c>
      <c r="I1140" s="551">
        <v>4.5326249246639902E-2</v>
      </c>
      <c r="J1140" s="551">
        <v>2.92419027415106E-2</v>
      </c>
      <c r="K1140" s="551">
        <v>1.01816421260028E-2</v>
      </c>
      <c r="L1140" s="551">
        <v>1.55869872662398E-3</v>
      </c>
      <c r="M1140" s="552">
        <v>1.06420108025728E-2</v>
      </c>
    </row>
    <row r="1141" spans="2:13" ht="15.75" x14ac:dyDescent="0.25">
      <c r="B1141" s="555">
        <v>2040</v>
      </c>
      <c r="C1141" s="556">
        <v>2037</v>
      </c>
      <c r="D1141" s="557" t="s">
        <v>4039</v>
      </c>
      <c r="E1141" s="547">
        <v>4.3811196194376643E-2</v>
      </c>
      <c r="F1141" s="548">
        <v>9.6436647961790106E-2</v>
      </c>
      <c r="G1141" s="549">
        <v>7.1538806051974102E-2</v>
      </c>
      <c r="H1141" s="550">
        <v>4.3983168420205698E-3</v>
      </c>
      <c r="I1141" s="551">
        <v>4.2857060036387097E-2</v>
      </c>
      <c r="J1141" s="551">
        <v>3.0658092835532301E-2</v>
      </c>
      <c r="K1141" s="551">
        <v>8.9632491893802402E-3</v>
      </c>
      <c r="L1141" s="551">
        <v>1.5593095342061199E-3</v>
      </c>
      <c r="M1141" s="552">
        <v>9.3685275438948005E-3</v>
      </c>
    </row>
    <row r="1142" spans="2:13" ht="15.75" x14ac:dyDescent="0.25">
      <c r="B1142" s="555">
        <v>2040</v>
      </c>
      <c r="C1142" s="556">
        <v>2038</v>
      </c>
      <c r="D1142" s="557" t="s">
        <v>4040</v>
      </c>
      <c r="E1142" s="547">
        <v>4.3786076517831049E-2</v>
      </c>
      <c r="F1142" s="548">
        <v>9.6383302067201249E-2</v>
      </c>
      <c r="G1142" s="549">
        <v>6.9621012026977902E-2</v>
      </c>
      <c r="H1142" s="550">
        <v>5.0334526093811201E-3</v>
      </c>
      <c r="I1142" s="551">
        <v>4.0266695675619101E-2</v>
      </c>
      <c r="J1142" s="551">
        <v>3.3746372620538402E-2</v>
      </c>
      <c r="K1142" s="551">
        <v>7.6857714146463E-3</v>
      </c>
      <c r="L1142" s="551">
        <v>1.5599246482180401E-3</v>
      </c>
      <c r="M1142" s="552">
        <v>8.0332878929110594E-3</v>
      </c>
    </row>
    <row r="1143" spans="2:13" ht="15.75" x14ac:dyDescent="0.25">
      <c r="B1143" s="555">
        <v>2040</v>
      </c>
      <c r="C1143" s="556">
        <v>2039</v>
      </c>
      <c r="D1143" s="557" t="s">
        <v>4041</v>
      </c>
      <c r="E1143" s="547">
        <v>4.3755691437185613E-2</v>
      </c>
      <c r="F1143" s="548">
        <v>9.6313597769694406E-2</v>
      </c>
      <c r="G1143" s="549">
        <v>6.7609854845880599E-2</v>
      </c>
      <c r="H1143" s="550">
        <v>5.6416728317377901E-3</v>
      </c>
      <c r="I1143" s="551">
        <v>3.7554903226180401E-2</v>
      </c>
      <c r="J1143" s="551">
        <v>3.6377397624063598E-2</v>
      </c>
      <c r="K1143" s="551">
        <v>6.3491612186554799E-3</v>
      </c>
      <c r="L1143" s="551">
        <v>1.5605391389522799E-3</v>
      </c>
      <c r="M1143" s="552">
        <v>6.6362421149774404E-3</v>
      </c>
    </row>
    <row r="1144" spans="2:13" ht="15.75" x14ac:dyDescent="0.25">
      <c r="B1144" s="555">
        <v>2040</v>
      </c>
      <c r="C1144" s="556">
        <v>2040</v>
      </c>
      <c r="D1144" s="557" t="s">
        <v>4042</v>
      </c>
      <c r="E1144" s="547">
        <v>4.3713994274451169E-2</v>
      </c>
      <c r="F1144" s="548">
        <v>9.6198669770654124E-2</v>
      </c>
      <c r="G1144" s="549">
        <v>6.5506116609286305E-2</v>
      </c>
      <c r="H1144" s="550">
        <v>5.4421596011080499E-3</v>
      </c>
      <c r="I1144" s="551">
        <v>3.4721835145261601E-2</v>
      </c>
      <c r="J1144" s="551">
        <v>3.43681182859343E-2</v>
      </c>
      <c r="K1144" s="551">
        <v>4.95340769644027E-3</v>
      </c>
      <c r="L1144" s="551">
        <v>1.56116694951575E-3</v>
      </c>
      <c r="M1144" s="552">
        <v>5.1773788120521901E-3</v>
      </c>
    </row>
    <row r="1145" spans="2:13" ht="15.75" x14ac:dyDescent="0.25">
      <c r="B1145" s="555">
        <v>2041</v>
      </c>
      <c r="C1145" s="556">
        <v>1997</v>
      </c>
      <c r="D1145" s="557" t="s">
        <v>4043</v>
      </c>
      <c r="E1145" s="547">
        <v>6.4922337298205554E-2</v>
      </c>
      <c r="F1145" s="548">
        <v>0.1309692367535448</v>
      </c>
      <c r="G1145" s="549">
        <v>0.36921121679670699</v>
      </c>
      <c r="H1145" s="550">
        <v>2.2321684970263801E-2</v>
      </c>
      <c r="I1145" s="551">
        <v>9.1676823411700408</v>
      </c>
      <c r="J1145" s="551">
        <v>0.39180145762841601</v>
      </c>
      <c r="K1145" s="551">
        <v>5.2866752206134397E-2</v>
      </c>
      <c r="L1145" s="551">
        <v>2.17814337638038E-3</v>
      </c>
      <c r="M1145" s="552">
        <v>5.52571521481574E-2</v>
      </c>
    </row>
    <row r="1146" spans="2:13" ht="15.75" x14ac:dyDescent="0.25">
      <c r="B1146" s="555">
        <v>2041</v>
      </c>
      <c r="C1146" s="556">
        <v>1998</v>
      </c>
      <c r="D1146" s="557" t="s">
        <v>4044</v>
      </c>
      <c r="E1146" s="547">
        <v>6.4710668341634761E-2</v>
      </c>
      <c r="F1146" s="548">
        <v>0.13148567873776859</v>
      </c>
      <c r="G1146" s="549">
        <v>0.36774321575451802</v>
      </c>
      <c r="H1146" s="550">
        <v>2.2558645980859601E-2</v>
      </c>
      <c r="I1146" s="551">
        <v>9.2052222523188991</v>
      </c>
      <c r="J1146" s="551">
        <v>0.39353277882711801</v>
      </c>
      <c r="K1146" s="551">
        <v>5.2656551530193198E-2</v>
      </c>
      <c r="L1146" s="551">
        <v>2.2052065366104001E-3</v>
      </c>
      <c r="M1146" s="552">
        <v>5.50374471304017E-2</v>
      </c>
    </row>
    <row r="1147" spans="2:13" ht="15.75" x14ac:dyDescent="0.25">
      <c r="B1147" s="555">
        <v>2041</v>
      </c>
      <c r="C1147" s="556">
        <v>1999</v>
      </c>
      <c r="D1147" s="557" t="s">
        <v>4045</v>
      </c>
      <c r="E1147" s="547">
        <v>6.4629340836036012E-2</v>
      </c>
      <c r="F1147" s="548">
        <v>0.13129058296646196</v>
      </c>
      <c r="G1147" s="549">
        <v>0.36709801204850501</v>
      </c>
      <c r="H1147" s="550">
        <v>2.2531028429984501E-2</v>
      </c>
      <c r="I1147" s="551">
        <v>9.20680248269956</v>
      </c>
      <c r="J1147" s="551">
        <v>0.39355096958757502</v>
      </c>
      <c r="K1147" s="551">
        <v>5.2564165863408202E-2</v>
      </c>
      <c r="L1147" s="551">
        <v>2.1981536469218499E-3</v>
      </c>
      <c r="M1147" s="552">
        <v>5.4940884193720001E-2</v>
      </c>
    </row>
    <row r="1148" spans="2:13" ht="15.75" x14ac:dyDescent="0.25">
      <c r="B1148" s="555">
        <v>2041</v>
      </c>
      <c r="C1148" s="556">
        <v>2000</v>
      </c>
      <c r="D1148" s="557" t="s">
        <v>4046</v>
      </c>
      <c r="E1148" s="547">
        <v>6.4376576638621383E-2</v>
      </c>
      <c r="F1148" s="548">
        <v>0.13172095081999186</v>
      </c>
      <c r="G1148" s="549">
        <v>0.36472193465852998</v>
      </c>
      <c r="H1148" s="550">
        <v>2.2729903683321499E-2</v>
      </c>
      <c r="I1148" s="551">
        <v>9.2367665859018704</v>
      </c>
      <c r="J1148" s="551">
        <v>0.39552383692805398</v>
      </c>
      <c r="K1148" s="551">
        <v>5.2223939215669098E-2</v>
      </c>
      <c r="L1148" s="551">
        <v>2.2211740209616801E-3</v>
      </c>
      <c r="M1148" s="552">
        <v>5.4585274006703599E-2</v>
      </c>
    </row>
    <row r="1149" spans="2:13" ht="15.75" x14ac:dyDescent="0.25">
      <c r="B1149" s="555">
        <v>2041</v>
      </c>
      <c r="C1149" s="556">
        <v>2001</v>
      </c>
      <c r="D1149" s="557" t="s">
        <v>4047</v>
      </c>
      <c r="E1149" s="547">
        <v>6.4586170124637868E-2</v>
      </c>
      <c r="F1149" s="548">
        <v>0.13188217483900999</v>
      </c>
      <c r="G1149" s="549">
        <v>0.367242868180577</v>
      </c>
      <c r="H1149" s="550">
        <v>2.2832062603839201E-2</v>
      </c>
      <c r="I1149" s="551">
        <v>9.2027085259462105</v>
      </c>
      <c r="J1149" s="551">
        <v>0.39698420225905401</v>
      </c>
      <c r="K1149" s="551">
        <v>5.2584907576799803E-2</v>
      </c>
      <c r="L1149" s="551">
        <v>2.2339027753281102E-3</v>
      </c>
      <c r="M1149" s="552">
        <v>5.4962563755351301E-2</v>
      </c>
    </row>
    <row r="1150" spans="2:13" ht="15.75" x14ac:dyDescent="0.25">
      <c r="B1150" s="555">
        <v>2041</v>
      </c>
      <c r="C1150" s="556">
        <v>2002</v>
      </c>
      <c r="D1150" s="557" t="s">
        <v>4048</v>
      </c>
      <c r="E1150" s="547">
        <v>6.4419685817356742E-2</v>
      </c>
      <c r="F1150" s="548">
        <v>0.13170339903029374</v>
      </c>
      <c r="G1150" s="549">
        <v>0.28381167091745702</v>
      </c>
      <c r="H1150" s="550">
        <v>2.27844288937358E-2</v>
      </c>
      <c r="I1150" s="551">
        <v>7.1001242377207197</v>
      </c>
      <c r="J1150" s="551">
        <v>0.31953054599726699</v>
      </c>
      <c r="K1150" s="551">
        <v>5.2901901544439502E-2</v>
      </c>
      <c r="L1150" s="551">
        <v>2.2313644569560802E-3</v>
      </c>
      <c r="M1150" s="552">
        <v>5.5293890783567702E-2</v>
      </c>
    </row>
    <row r="1151" spans="2:13" ht="15.75" x14ac:dyDescent="0.25">
      <c r="B1151" s="555">
        <v>2041</v>
      </c>
      <c r="C1151" s="556">
        <v>2003</v>
      </c>
      <c r="D1151" s="557" t="s">
        <v>4049</v>
      </c>
      <c r="E1151" s="547">
        <v>6.4114645103811888E-2</v>
      </c>
      <c r="F1151" s="548">
        <v>0.13110869764125102</v>
      </c>
      <c r="G1151" s="549">
        <v>0.28158299441731499</v>
      </c>
      <c r="H1151" s="550">
        <v>2.25431535250207E-2</v>
      </c>
      <c r="I1151" s="551">
        <v>7.1279364840736301</v>
      </c>
      <c r="J1151" s="551">
        <v>0.31943460232409499</v>
      </c>
      <c r="K1151" s="551">
        <v>5.24864809086222E-2</v>
      </c>
      <c r="L1151" s="551">
        <v>2.2082314164685399E-3</v>
      </c>
      <c r="M1151" s="552">
        <v>5.4859686670000497E-2</v>
      </c>
    </row>
    <row r="1152" spans="2:13" ht="15.75" x14ac:dyDescent="0.25">
      <c r="B1152" s="555">
        <v>2041</v>
      </c>
      <c r="C1152" s="556">
        <v>2004</v>
      </c>
      <c r="D1152" s="557" t="s">
        <v>4050</v>
      </c>
      <c r="E1152" s="547">
        <v>6.388331894745955E-2</v>
      </c>
      <c r="F1152" s="548">
        <v>0.13011937339472743</v>
      </c>
      <c r="G1152" s="549">
        <v>0.232411647178283</v>
      </c>
      <c r="H1152" s="550">
        <v>1.47719593090517E-2</v>
      </c>
      <c r="I1152" s="551">
        <v>5.9617247497088499</v>
      </c>
      <c r="J1152" s="551">
        <v>0.27031221625494101</v>
      </c>
      <c r="K1152" s="551">
        <v>5.2194311047938098E-2</v>
      </c>
      <c r="L1152" s="551">
        <v>1.4370452679949601E-4</v>
      </c>
      <c r="M1152" s="552">
        <v>5.45543061847008E-2</v>
      </c>
    </row>
    <row r="1153" spans="2:13" ht="15.75" x14ac:dyDescent="0.25">
      <c r="B1153" s="555">
        <v>2041</v>
      </c>
      <c r="C1153" s="556">
        <v>2005</v>
      </c>
      <c r="D1153" s="557" t="s">
        <v>4051</v>
      </c>
      <c r="E1153" s="547">
        <v>6.3923635758354941E-2</v>
      </c>
      <c r="F1153" s="548">
        <v>0.13047407338922126</v>
      </c>
      <c r="G1153" s="549">
        <v>0.23277276530350799</v>
      </c>
      <c r="H1153" s="550">
        <v>1.49766552466965E-2</v>
      </c>
      <c r="I1153" s="551">
        <v>5.9516576791135298</v>
      </c>
      <c r="J1153" s="551">
        <v>0.27217045237838799</v>
      </c>
      <c r="K1153" s="551">
        <v>5.2275409874016299E-2</v>
      </c>
      <c r="L1153" s="551">
        <v>1.45112239126765E-4</v>
      </c>
      <c r="M1153" s="552">
        <v>5.4639071939823501E-2</v>
      </c>
    </row>
    <row r="1154" spans="2:13" ht="15.75" x14ac:dyDescent="0.25">
      <c r="B1154" s="555">
        <v>2041</v>
      </c>
      <c r="C1154" s="556">
        <v>2006</v>
      </c>
      <c r="D1154" s="557" t="s">
        <v>4052</v>
      </c>
      <c r="E1154" s="547">
        <v>6.3750038016046298E-2</v>
      </c>
      <c r="F1154" s="548">
        <v>0.13077285359533863</v>
      </c>
      <c r="G1154" s="549">
        <v>0.231697883931412</v>
      </c>
      <c r="H1154" s="550">
        <v>1.5133997561387599E-2</v>
      </c>
      <c r="I1154" s="551">
        <v>5.9600634080966399</v>
      </c>
      <c r="J1154" s="551">
        <v>0.27384062430210898</v>
      </c>
      <c r="K1154" s="551">
        <v>5.2034016237527E-2</v>
      </c>
      <c r="L1154" s="551">
        <v>1.4628755173727099E-4</v>
      </c>
      <c r="M1154" s="552">
        <v>5.43867635542606E-2</v>
      </c>
    </row>
    <row r="1155" spans="2:13" ht="15.75" x14ac:dyDescent="0.25">
      <c r="B1155" s="555">
        <v>2041</v>
      </c>
      <c r="C1155" s="556">
        <v>2007</v>
      </c>
      <c r="D1155" s="557" t="s">
        <v>4053</v>
      </c>
      <c r="E1155" s="547">
        <v>6.3900410069159252E-2</v>
      </c>
      <c r="F1155" s="548">
        <v>0.13111666113237863</v>
      </c>
      <c r="G1155" s="549">
        <v>0.170199494787136</v>
      </c>
      <c r="H1155" s="550">
        <v>1.5301839205406099E-2</v>
      </c>
      <c r="I1155" s="551">
        <v>3.1143780632490699</v>
      </c>
      <c r="J1155" s="551">
        <v>0.27395902578840903</v>
      </c>
      <c r="K1155" s="551">
        <v>3.7811900320607203E-2</v>
      </c>
      <c r="L1155" s="551">
        <v>1.47647599782688E-4</v>
      </c>
      <c r="M1155" s="552">
        <v>3.9521586665282403E-2</v>
      </c>
    </row>
    <row r="1156" spans="2:13" ht="15.75" x14ac:dyDescent="0.25">
      <c r="B1156" s="555">
        <v>2041</v>
      </c>
      <c r="C1156" s="556">
        <v>2008</v>
      </c>
      <c r="D1156" s="557" t="s">
        <v>4054</v>
      </c>
      <c r="E1156" s="547">
        <v>6.4130249992559604E-2</v>
      </c>
      <c r="F1156" s="548">
        <v>0.13159805307356784</v>
      </c>
      <c r="G1156" s="549">
        <v>0.17231298554986599</v>
      </c>
      <c r="H1156" s="550">
        <v>1.20880449038072E-2</v>
      </c>
      <c r="I1156" s="551">
        <v>3.1005309900656499</v>
      </c>
      <c r="J1156" s="551">
        <v>0.193155524947455</v>
      </c>
      <c r="K1156" s="551">
        <v>3.8094065707036801E-2</v>
      </c>
      <c r="L1156" s="551">
        <v>1.7044123847603101E-4</v>
      </c>
      <c r="M1156" s="552">
        <v>3.9816510318396003E-2</v>
      </c>
    </row>
    <row r="1157" spans="2:13" ht="15.75" x14ac:dyDescent="0.25">
      <c r="B1157" s="555">
        <v>2041</v>
      </c>
      <c r="C1157" s="556">
        <v>2009</v>
      </c>
      <c r="D1157" s="557" t="s">
        <v>4055</v>
      </c>
      <c r="E1157" s="547">
        <v>6.4117811418515525E-2</v>
      </c>
      <c r="F1157" s="548">
        <v>0.1303493150794087</v>
      </c>
      <c r="G1157" s="549">
        <v>0.17244903637931</v>
      </c>
      <c r="H1157" s="550">
        <v>8.4781071184789301E-3</v>
      </c>
      <c r="I1157" s="551">
        <v>3.0985175185571698</v>
      </c>
      <c r="J1157" s="551">
        <v>0.108964933136699</v>
      </c>
      <c r="K1157" s="551">
        <v>3.8112308064674499E-2</v>
      </c>
      <c r="L1157" s="551">
        <v>1.86897256344477E-4</v>
      </c>
      <c r="M1157" s="552">
        <v>3.9835577514496803E-2</v>
      </c>
    </row>
    <row r="1158" spans="2:13" ht="15.75" x14ac:dyDescent="0.25">
      <c r="B1158" s="555">
        <v>2041</v>
      </c>
      <c r="C1158" s="556">
        <v>2010</v>
      </c>
      <c r="D1158" s="557" t="s">
        <v>4056</v>
      </c>
      <c r="E1158" s="547">
        <v>6.4125710792529086E-2</v>
      </c>
      <c r="F1158" s="548">
        <v>0.12924663870482189</v>
      </c>
      <c r="G1158" s="549">
        <v>0.110581949383578</v>
      </c>
      <c r="H1158" s="550">
        <v>8.2879666235719102E-3</v>
      </c>
      <c r="I1158" s="551">
        <v>0.28477004747415702</v>
      </c>
      <c r="J1158" s="551">
        <v>0.10883475474924401</v>
      </c>
      <c r="K1158" s="551">
        <v>2.35224912878714E-2</v>
      </c>
      <c r="L1158" s="551">
        <v>2.2274575102567199E-4</v>
      </c>
      <c r="M1158" s="552">
        <v>2.45860739643998E-2</v>
      </c>
    </row>
    <row r="1159" spans="2:13" ht="15.75" x14ac:dyDescent="0.25">
      <c r="B1159" s="555">
        <v>2041</v>
      </c>
      <c r="C1159" s="556">
        <v>2011</v>
      </c>
      <c r="D1159" s="557" t="s">
        <v>4057</v>
      </c>
      <c r="E1159" s="547">
        <v>6.4067816176516038E-2</v>
      </c>
      <c r="F1159" s="548">
        <v>0.13090886247010916</v>
      </c>
      <c r="G1159" s="549">
        <v>0.11028783479981601</v>
      </c>
      <c r="H1159" s="550">
        <v>8.6185447574923992E-3</v>
      </c>
      <c r="I1159" s="551">
        <v>0.28430130382018198</v>
      </c>
      <c r="J1159" s="551">
        <v>0.11069699626228501</v>
      </c>
      <c r="K1159" s="551">
        <v>2.34990195480499E-2</v>
      </c>
      <c r="L1159" s="551">
        <v>3.14413545425885E-4</v>
      </c>
      <c r="M1159" s="552">
        <v>2.45615409366578E-2</v>
      </c>
    </row>
    <row r="1160" spans="2:13" ht="15.75" x14ac:dyDescent="0.25">
      <c r="B1160" s="555">
        <v>2041</v>
      </c>
      <c r="C1160" s="556">
        <v>2012</v>
      </c>
      <c r="D1160" s="557" t="s">
        <v>4058</v>
      </c>
      <c r="E1160" s="547">
        <v>6.4176158146063048E-2</v>
      </c>
      <c r="F1160" s="548">
        <v>0.13131250243533235</v>
      </c>
      <c r="G1160" s="549">
        <v>0.111686945859824</v>
      </c>
      <c r="H1160" s="550">
        <v>8.7040708975337899E-3</v>
      </c>
      <c r="I1160" s="551">
        <v>0.28637907971413801</v>
      </c>
      <c r="J1160" s="551">
        <v>0.111465642326736</v>
      </c>
      <c r="K1160" s="551">
        <v>2.3596152631887302E-2</v>
      </c>
      <c r="L1160" s="551">
        <v>4.6436500742482302E-4</v>
      </c>
      <c r="M1160" s="552">
        <v>2.4663065947524699E-2</v>
      </c>
    </row>
    <row r="1161" spans="2:13" ht="15.75" x14ac:dyDescent="0.25">
      <c r="B1161" s="555">
        <v>2041</v>
      </c>
      <c r="C1161" s="556">
        <v>2013</v>
      </c>
      <c r="D1161" s="557" t="s">
        <v>4059</v>
      </c>
      <c r="E1161" s="547">
        <v>6.4030583345457581E-2</v>
      </c>
      <c r="F1161" s="548">
        <v>0.13130808628612595</v>
      </c>
      <c r="G1161" s="549">
        <v>0.110511899849237</v>
      </c>
      <c r="H1161" s="550">
        <v>8.7337323181201302E-3</v>
      </c>
      <c r="I1161" s="551">
        <v>0.28470325954175901</v>
      </c>
      <c r="J1161" s="551">
        <v>0.111067409572815</v>
      </c>
      <c r="K1161" s="551">
        <v>2.3527618065142399E-2</v>
      </c>
      <c r="L1161" s="551">
        <v>6.9571933277801697E-4</v>
      </c>
      <c r="M1161" s="552">
        <v>2.4591432551789302E-2</v>
      </c>
    </row>
    <row r="1162" spans="2:13" ht="15.75" x14ac:dyDescent="0.25">
      <c r="B1162" s="555">
        <v>2041</v>
      </c>
      <c r="C1162" s="556">
        <v>2014</v>
      </c>
      <c r="D1162" s="557" t="s">
        <v>4060</v>
      </c>
      <c r="E1162" s="547">
        <v>6.247660098665557E-2</v>
      </c>
      <c r="F1162" s="548">
        <v>0.12914020648379299</v>
      </c>
      <c r="G1162" s="549">
        <v>0.109917777057609</v>
      </c>
      <c r="H1162" s="550">
        <v>8.7057561747683997E-3</v>
      </c>
      <c r="I1162" s="551">
        <v>0.28375269412559401</v>
      </c>
      <c r="J1162" s="551">
        <v>0.111155271702214</v>
      </c>
      <c r="K1162" s="551">
        <v>2.3480643252751399E-2</v>
      </c>
      <c r="L1162" s="551">
        <v>9.6514422066014296E-4</v>
      </c>
      <c r="M1162" s="552">
        <v>2.4542333746829501E-2</v>
      </c>
    </row>
    <row r="1163" spans="2:13" ht="15.75" x14ac:dyDescent="0.25">
      <c r="B1163" s="555">
        <v>2041</v>
      </c>
      <c r="C1163" s="556">
        <v>2015</v>
      </c>
      <c r="D1163" s="557" t="s">
        <v>4061</v>
      </c>
      <c r="E1163" s="547">
        <v>6.194210808224495E-2</v>
      </c>
      <c r="F1163" s="548">
        <v>0.12909729791210192</v>
      </c>
      <c r="G1163" s="549">
        <v>0.109283065493226</v>
      </c>
      <c r="H1163" s="550">
        <v>8.8364109711808695E-3</v>
      </c>
      <c r="I1163" s="551">
        <v>0.28281244153055402</v>
      </c>
      <c r="J1163" s="551">
        <v>0.111744761428544</v>
      </c>
      <c r="K1163" s="551">
        <v>2.3432910295498599E-2</v>
      </c>
      <c r="L1163" s="551">
        <v>1.2341796827381999E-3</v>
      </c>
      <c r="M1163" s="552">
        <v>2.4492442517061602E-2</v>
      </c>
    </row>
    <row r="1164" spans="2:13" ht="15.75" x14ac:dyDescent="0.25">
      <c r="B1164" s="555">
        <v>2041</v>
      </c>
      <c r="C1164" s="556">
        <v>2016</v>
      </c>
      <c r="D1164" s="557" t="s">
        <v>4062</v>
      </c>
      <c r="E1164" s="547">
        <v>5.9925612354679927E-2</v>
      </c>
      <c r="F1164" s="548">
        <v>0.12516506313019599</v>
      </c>
      <c r="G1164" s="549">
        <v>0.108513898646435</v>
      </c>
      <c r="H1164" s="550">
        <v>8.0715936960483702E-3</v>
      </c>
      <c r="I1164" s="551">
        <v>0.24690833612756699</v>
      </c>
      <c r="J1164" s="551">
        <v>9.8100052935112897E-2</v>
      </c>
      <c r="K1164" s="551">
        <v>2.3375549023649401E-2</v>
      </c>
      <c r="L1164" s="551">
        <v>1.3891200667330501E-3</v>
      </c>
      <c r="M1164" s="552">
        <v>2.4432487623036299E-2</v>
      </c>
    </row>
    <row r="1165" spans="2:13" ht="15.75" x14ac:dyDescent="0.25">
      <c r="B1165" s="555">
        <v>2041</v>
      </c>
      <c r="C1165" s="556">
        <v>2017</v>
      </c>
      <c r="D1165" s="557" t="s">
        <v>4063</v>
      </c>
      <c r="E1165" s="547">
        <v>5.6418061635363483E-2</v>
      </c>
      <c r="F1165" s="548">
        <v>0.12125107128015951</v>
      </c>
      <c r="G1165" s="549">
        <v>9.0787063846812496E-2</v>
      </c>
      <c r="H1165" s="550">
        <v>7.2656393135771997E-3</v>
      </c>
      <c r="I1165" s="551">
        <v>0.19264189895241601</v>
      </c>
      <c r="J1165" s="551">
        <v>8.4756530057694304E-2</v>
      </c>
      <c r="K1165" s="551">
        <v>2.2203027906621299E-2</v>
      </c>
      <c r="L1165" s="551">
        <v>1.4476935986368999E-3</v>
      </c>
      <c r="M1165" s="552">
        <v>2.3206950304081601E-2</v>
      </c>
    </row>
    <row r="1166" spans="2:13" ht="15.75" x14ac:dyDescent="0.25">
      <c r="B1166" s="555">
        <v>2041</v>
      </c>
      <c r="C1166" s="556">
        <v>2018</v>
      </c>
      <c r="D1166" s="557" t="s">
        <v>4064</v>
      </c>
      <c r="E1166" s="547">
        <v>5.2678984244049064E-2</v>
      </c>
      <c r="F1166" s="548">
        <v>0.11605257081863364</v>
      </c>
      <c r="G1166" s="549">
        <v>9.0769051383882596E-2</v>
      </c>
      <c r="H1166" s="550">
        <v>6.5492840579451901E-3</v>
      </c>
      <c r="I1166" s="551">
        <v>0.15720856141850501</v>
      </c>
      <c r="J1166" s="551">
        <v>7.10865836480572E-2</v>
      </c>
      <c r="K1166" s="551">
        <v>2.21585341501923E-2</v>
      </c>
      <c r="L1166" s="551">
        <v>1.5083729020322601E-3</v>
      </c>
      <c r="M1166" s="552">
        <v>2.3160444737424901E-2</v>
      </c>
    </row>
    <row r="1167" spans="2:13" ht="15.75" x14ac:dyDescent="0.25">
      <c r="B1167" s="555">
        <v>2041</v>
      </c>
      <c r="C1167" s="556">
        <v>2019</v>
      </c>
      <c r="D1167" s="557" t="s">
        <v>4065</v>
      </c>
      <c r="E1167" s="547">
        <v>5.2660081656859974E-2</v>
      </c>
      <c r="F1167" s="548">
        <v>0.11600301918262616</v>
      </c>
      <c r="G1167" s="549">
        <v>9.0663438569329902E-2</v>
      </c>
      <c r="H1167" s="550">
        <v>5.9430145464219502E-3</v>
      </c>
      <c r="I1167" s="551">
        <v>0.13508066881332101</v>
      </c>
      <c r="J1167" s="551">
        <v>6.1948695139335902E-2</v>
      </c>
      <c r="K1167" s="551">
        <v>2.2055687276214899E-2</v>
      </c>
      <c r="L1167" s="551">
        <v>1.54902405983199E-3</v>
      </c>
      <c r="M1167" s="552">
        <v>2.3052947584182599E-2</v>
      </c>
    </row>
    <row r="1168" spans="2:13" ht="15.75" x14ac:dyDescent="0.25">
      <c r="B1168" s="555">
        <v>2041</v>
      </c>
      <c r="C1168" s="556">
        <v>2020</v>
      </c>
      <c r="D1168" s="557" t="s">
        <v>4066</v>
      </c>
      <c r="E1168" s="547">
        <v>5.2641427715814385E-2</v>
      </c>
      <c r="F1168" s="548">
        <v>0.11595436859388292</v>
      </c>
      <c r="G1168" s="549">
        <v>9.0469560285225098E-2</v>
      </c>
      <c r="H1168" s="550">
        <v>5.3239135709811699E-3</v>
      </c>
      <c r="I1168" s="551">
        <v>0.112542544838291</v>
      </c>
      <c r="J1168" s="551">
        <v>5.3211835113737602E-2</v>
      </c>
      <c r="K1168" s="551">
        <v>2.1894436446309E-2</v>
      </c>
      <c r="L1168" s="551">
        <v>1.5495386582523899E-3</v>
      </c>
      <c r="M1168" s="552">
        <v>2.2884405707288301E-2</v>
      </c>
    </row>
    <row r="1169" spans="2:13" ht="15.75" x14ac:dyDescent="0.25">
      <c r="B1169" s="555">
        <v>2041</v>
      </c>
      <c r="C1169" s="556">
        <v>2021</v>
      </c>
      <c r="D1169" s="557" t="s">
        <v>4067</v>
      </c>
      <c r="E1169" s="547">
        <v>5.1307510600741055E-2</v>
      </c>
      <c r="F1169" s="548">
        <v>0.1130151186083786</v>
      </c>
      <c r="G1169" s="549">
        <v>9.0188403379777599E-2</v>
      </c>
      <c r="H1169" s="550">
        <v>4.7053263686566401E-3</v>
      </c>
      <c r="I1169" s="551">
        <v>9.0395041431950096E-2</v>
      </c>
      <c r="J1169" s="551">
        <v>4.4004514130393198E-2</v>
      </c>
      <c r="K1169" s="551">
        <v>2.16748338093058E-2</v>
      </c>
      <c r="L1169" s="551">
        <v>1.55007453469771E-3</v>
      </c>
      <c r="M1169" s="552">
        <v>2.2654873613512001E-2</v>
      </c>
    </row>
    <row r="1170" spans="2:13" ht="15.75" x14ac:dyDescent="0.25">
      <c r="B1170" s="555">
        <v>2041</v>
      </c>
      <c r="C1170" s="556">
        <v>2022</v>
      </c>
      <c r="D1170" s="557" t="s">
        <v>4068</v>
      </c>
      <c r="E1170" s="547">
        <v>5.0027200987094338E-2</v>
      </c>
      <c r="F1170" s="548">
        <v>0.11019338234431936</v>
      </c>
      <c r="G1170" s="549">
        <v>8.9817357542960899E-2</v>
      </c>
      <c r="H1170" s="550">
        <v>4.0701982179464904E-3</v>
      </c>
      <c r="I1170" s="551">
        <v>6.7937516337295403E-2</v>
      </c>
      <c r="J1170" s="551">
        <v>3.4770245195673802E-2</v>
      </c>
      <c r="K1170" s="551">
        <v>2.1396687472430901E-2</v>
      </c>
      <c r="L1170" s="551">
        <v>1.5506094065411999E-3</v>
      </c>
      <c r="M1170" s="552">
        <v>2.2364150733539701E-2</v>
      </c>
    </row>
    <row r="1171" spans="2:13" ht="15.75" x14ac:dyDescent="0.25">
      <c r="B1171" s="555">
        <v>2041</v>
      </c>
      <c r="C1171" s="556">
        <v>2023</v>
      </c>
      <c r="D1171" s="557" t="s">
        <v>4069</v>
      </c>
      <c r="E1171" s="547">
        <v>4.8747940103136572E-2</v>
      </c>
      <c r="F1171" s="548">
        <v>0.10737617382964966</v>
      </c>
      <c r="G1171" s="549">
        <v>8.9357751896272E-2</v>
      </c>
      <c r="H1171" s="550">
        <v>4.0578342931566298E-3</v>
      </c>
      <c r="I1171" s="551">
        <v>6.7268662542053007E-2</v>
      </c>
      <c r="J1171" s="551">
        <v>3.3890979435012202E-2</v>
      </c>
      <c r="K1171" s="551">
        <v>2.1060071425789001E-2</v>
      </c>
      <c r="L1171" s="551">
        <v>1.5511568723983E-3</v>
      </c>
      <c r="M1171" s="552">
        <v>2.20123144029803E-2</v>
      </c>
    </row>
    <row r="1172" spans="2:13" ht="15.75" x14ac:dyDescent="0.25">
      <c r="B1172" s="555">
        <v>2041</v>
      </c>
      <c r="C1172" s="556">
        <v>2024</v>
      </c>
      <c r="D1172" s="557" t="s">
        <v>4070</v>
      </c>
      <c r="E1172" s="547">
        <v>4.7522140562010248E-2</v>
      </c>
      <c r="F1172" s="548">
        <v>0.10467620549061372</v>
      </c>
      <c r="G1172" s="549">
        <v>8.88078683328868E-2</v>
      </c>
      <c r="H1172" s="550">
        <v>4.0413765114338304E-3</v>
      </c>
      <c r="I1172" s="551">
        <v>6.6480460988094695E-2</v>
      </c>
      <c r="J1172" s="551">
        <v>3.4309818404106303E-2</v>
      </c>
      <c r="K1172" s="551">
        <v>2.0664858767286201E-2</v>
      </c>
      <c r="L1172" s="551">
        <v>1.55170335134216E-3</v>
      </c>
      <c r="M1172" s="552">
        <v>2.1599231981790201E-2</v>
      </c>
    </row>
    <row r="1173" spans="2:13" ht="15.75" x14ac:dyDescent="0.25">
      <c r="B1173" s="555">
        <v>2041</v>
      </c>
      <c r="C1173" s="556">
        <v>2025</v>
      </c>
      <c r="D1173" s="557" t="s">
        <v>4071</v>
      </c>
      <c r="E1173" s="547">
        <v>4.6297284251662116E-2</v>
      </c>
      <c r="F1173" s="548">
        <v>0.1019782301763705</v>
      </c>
      <c r="G1173" s="549">
        <v>8.8169090399547095E-2</v>
      </c>
      <c r="H1173" s="550">
        <v>4.0176282383338697E-3</v>
      </c>
      <c r="I1173" s="551">
        <v>6.5573387707636197E-2</v>
      </c>
      <c r="J1173" s="551">
        <v>3.31074100115673E-2</v>
      </c>
      <c r="K1173" s="551">
        <v>2.0211117537260501E-2</v>
      </c>
      <c r="L1173" s="551">
        <v>1.5522633859810101E-3</v>
      </c>
      <c r="M1173" s="552">
        <v>2.1124974586789701E-2</v>
      </c>
    </row>
    <row r="1174" spans="2:13" ht="15.75" x14ac:dyDescent="0.25">
      <c r="B1174" s="555">
        <v>2041</v>
      </c>
      <c r="C1174" s="556">
        <v>2026</v>
      </c>
      <c r="D1174" s="557" t="s">
        <v>4072</v>
      </c>
      <c r="E1174" s="547">
        <v>4.5125748380730746E-2</v>
      </c>
      <c r="F1174" s="548">
        <v>9.9397451407627749E-2</v>
      </c>
      <c r="G1174" s="549">
        <v>8.7439709776444594E-2</v>
      </c>
      <c r="H1174" s="550">
        <v>3.99949853825355E-3</v>
      </c>
      <c r="I1174" s="551">
        <v>6.4553704091278002E-2</v>
      </c>
      <c r="J1174" s="551">
        <v>3.3441662599050598E-2</v>
      </c>
      <c r="K1174" s="551">
        <v>1.9698716854765801E-2</v>
      </c>
      <c r="L1174" s="551">
        <v>1.5528225427199E-3</v>
      </c>
      <c r="M1174" s="552">
        <v>2.05894054191769E-2</v>
      </c>
    </row>
    <row r="1175" spans="2:13" ht="15.75" x14ac:dyDescent="0.25">
      <c r="B1175" s="555">
        <v>2041</v>
      </c>
      <c r="C1175" s="556">
        <v>2027</v>
      </c>
      <c r="D1175" s="557" t="s">
        <v>4073</v>
      </c>
      <c r="E1175" s="547">
        <v>4.4007649701350952E-2</v>
      </c>
      <c r="F1175" s="548">
        <v>9.6934495138116777E-2</v>
      </c>
      <c r="G1175" s="549">
        <v>8.6622212236590002E-2</v>
      </c>
      <c r="H1175" s="550">
        <v>3.9865311238875102E-3</v>
      </c>
      <c r="I1175" s="551">
        <v>6.3408253590579902E-2</v>
      </c>
      <c r="J1175" s="551">
        <v>3.2688622716698E-2</v>
      </c>
      <c r="K1175" s="551">
        <v>1.9127800558138001E-2</v>
      </c>
      <c r="L1175" s="551">
        <v>1.5534077818828501E-3</v>
      </c>
      <c r="M1175" s="552">
        <v>1.9992674821019098E-2</v>
      </c>
    </row>
    <row r="1176" spans="2:13" ht="15.75" x14ac:dyDescent="0.25">
      <c r="B1176" s="555">
        <v>2041</v>
      </c>
      <c r="C1176" s="556">
        <v>2028</v>
      </c>
      <c r="D1176" s="557" t="s">
        <v>4074</v>
      </c>
      <c r="E1176" s="547">
        <v>4.3992575771525391E-2</v>
      </c>
      <c r="F1176" s="548">
        <v>9.6896128771954734E-2</v>
      </c>
      <c r="G1176" s="549">
        <v>8.5712977568288606E-2</v>
      </c>
      <c r="H1176" s="550">
        <v>3.9934396244160602E-3</v>
      </c>
      <c r="I1176" s="551">
        <v>6.2142675537617403E-2</v>
      </c>
      <c r="J1176" s="551">
        <v>3.2664889934393003E-2</v>
      </c>
      <c r="K1176" s="551">
        <v>1.84981156531197E-2</v>
      </c>
      <c r="L1176" s="551">
        <v>1.5539855167251699E-3</v>
      </c>
      <c r="M1176" s="552">
        <v>1.9334518358781201E-2</v>
      </c>
    </row>
    <row r="1177" spans="2:13" ht="15.75" x14ac:dyDescent="0.25">
      <c r="B1177" s="555">
        <v>2041</v>
      </c>
      <c r="C1177" s="556">
        <v>2029</v>
      </c>
      <c r="D1177" s="557" t="s">
        <v>4075</v>
      </c>
      <c r="E1177" s="547">
        <v>4.3977375811488854E-2</v>
      </c>
      <c r="F1177" s="548">
        <v>9.6857829570240028E-2</v>
      </c>
      <c r="G1177" s="549">
        <v>8.4712932885307304E-2</v>
      </c>
      <c r="H1177" s="550">
        <v>4.0115535602821602E-3</v>
      </c>
      <c r="I1177" s="551">
        <v>6.0757240356811001E-2</v>
      </c>
      <c r="J1177" s="551">
        <v>3.2679582286008702E-2</v>
      </c>
      <c r="K1177" s="551">
        <v>1.7809689511994901E-2</v>
      </c>
      <c r="L1177" s="551">
        <v>1.5545661934686799E-3</v>
      </c>
      <c r="M1177" s="552">
        <v>1.8614964642400599E-2</v>
      </c>
    </row>
    <row r="1178" spans="2:13" ht="15.75" x14ac:dyDescent="0.25">
      <c r="B1178" s="555">
        <v>2041</v>
      </c>
      <c r="C1178" s="556">
        <v>2030</v>
      </c>
      <c r="D1178" s="557" t="s">
        <v>4076</v>
      </c>
      <c r="E1178" s="547">
        <v>4.3962079760017689E-2</v>
      </c>
      <c r="F1178" s="548">
        <v>9.681950278231205E-2</v>
      </c>
      <c r="G1178" s="549">
        <v>8.3623017765952296E-2</v>
      </c>
      <c r="H1178" s="550">
        <v>4.0387052119310596E-3</v>
      </c>
      <c r="I1178" s="551">
        <v>5.9252259495161497E-2</v>
      </c>
      <c r="J1178" s="551">
        <v>3.1811633339173001E-2</v>
      </c>
      <c r="K1178" s="551">
        <v>1.70625626386041E-2</v>
      </c>
      <c r="L1178" s="551">
        <v>1.5551622164237701E-3</v>
      </c>
      <c r="M1178" s="552">
        <v>1.7834056007121499E-2</v>
      </c>
    </row>
    <row r="1179" spans="2:13" ht="15.75" x14ac:dyDescent="0.25">
      <c r="B1179" s="555">
        <v>2041</v>
      </c>
      <c r="C1179" s="556">
        <v>2031</v>
      </c>
      <c r="D1179" s="557" t="s">
        <v>4077</v>
      </c>
      <c r="E1179" s="547">
        <v>4.3946440877323648E-2</v>
      </c>
      <c r="F1179" s="548">
        <v>9.6780210279928849E-2</v>
      </c>
      <c r="G1179" s="549">
        <v>8.2440705502339895E-2</v>
      </c>
      <c r="H1179" s="550">
        <v>4.0657576437653402E-3</v>
      </c>
      <c r="I1179" s="551">
        <v>5.7626710381582E-2</v>
      </c>
      <c r="J1179" s="551">
        <v>3.2251203967978002E-2</v>
      </c>
      <c r="K1179" s="551">
        <v>1.62565551415823E-2</v>
      </c>
      <c r="L1179" s="551">
        <v>1.5557487287456201E-3</v>
      </c>
      <c r="M1179" s="552">
        <v>1.6991604427689599E-2</v>
      </c>
    </row>
    <row r="1180" spans="2:13" ht="15.75" x14ac:dyDescent="0.25">
      <c r="B1180" s="555">
        <v>2041</v>
      </c>
      <c r="C1180" s="556">
        <v>2032</v>
      </c>
      <c r="D1180" s="557" t="s">
        <v>4078</v>
      </c>
      <c r="E1180" s="547">
        <v>4.3930519410345543E-2</v>
      </c>
      <c r="F1180" s="548">
        <v>9.6739849836823447E-2</v>
      </c>
      <c r="G1180" s="549">
        <v>8.1167674040867596E-2</v>
      </c>
      <c r="H1180" s="550">
        <v>4.0849651674995302E-3</v>
      </c>
      <c r="I1180" s="551">
        <v>5.5881182421429497E-2</v>
      </c>
      <c r="J1180" s="551">
        <v>3.1863244786741199E-2</v>
      </c>
      <c r="K1180" s="551">
        <v>1.53917509802348E-2</v>
      </c>
      <c r="L1180" s="551">
        <v>1.5563461312716E-3</v>
      </c>
      <c r="M1180" s="552">
        <v>1.6087697659677599E-2</v>
      </c>
    </row>
    <row r="1181" spans="2:13" ht="15.75" x14ac:dyDescent="0.25">
      <c r="B1181" s="555">
        <v>2041</v>
      </c>
      <c r="C1181" s="556">
        <v>2033</v>
      </c>
      <c r="D1181" s="557" t="s">
        <v>4079</v>
      </c>
      <c r="E1181" s="547">
        <v>4.3914106676667397E-2</v>
      </c>
      <c r="F1181" s="548">
        <v>9.6697578476586041E-2</v>
      </c>
      <c r="G1181" s="549">
        <v>7.98023800269059E-2</v>
      </c>
      <c r="H1181" s="550">
        <v>4.0792558229410499E-3</v>
      </c>
      <c r="I1181" s="551">
        <v>5.4015029183488002E-2</v>
      </c>
      <c r="J1181" s="551">
        <v>3.1180241294325398E-2</v>
      </c>
      <c r="K1181" s="551">
        <v>1.4468032623339599E-2</v>
      </c>
      <c r="L1181" s="551">
        <v>1.5569402298918299E-3</v>
      </c>
      <c r="M1181" s="552">
        <v>1.51222128576231E-2</v>
      </c>
    </row>
    <row r="1182" spans="2:13" ht="15.75" x14ac:dyDescent="0.25">
      <c r="B1182" s="555">
        <v>2041</v>
      </c>
      <c r="C1182" s="556">
        <v>2034</v>
      </c>
      <c r="D1182" s="557" t="s">
        <v>4080</v>
      </c>
      <c r="E1182" s="547">
        <v>4.3897148866292028E-2</v>
      </c>
      <c r="F1182" s="548">
        <v>9.6653190985321311E-2</v>
      </c>
      <c r="G1182" s="549">
        <v>7.8345699373090702E-2</v>
      </c>
      <c r="H1182" s="550">
        <v>4.0439323344109799E-3</v>
      </c>
      <c r="I1182" s="551">
        <v>5.2028504728155303E-2</v>
      </c>
      <c r="J1182" s="551">
        <v>3.05055808583122E-2</v>
      </c>
      <c r="K1182" s="551">
        <v>1.34854240118187E-2</v>
      </c>
      <c r="L1182" s="551">
        <v>1.55754211562394E-3</v>
      </c>
      <c r="M1182" s="552">
        <v>1.40951750449503E-2</v>
      </c>
    </row>
    <row r="1183" spans="2:13" ht="15.75" x14ac:dyDescent="0.25">
      <c r="B1183" s="555">
        <v>2041</v>
      </c>
      <c r="C1183" s="556">
        <v>2035</v>
      </c>
      <c r="D1183" s="557" t="s">
        <v>4081</v>
      </c>
      <c r="E1183" s="547">
        <v>4.3879517902169367E-2</v>
      </c>
      <c r="F1183" s="548">
        <v>9.6606695405068194E-2</v>
      </c>
      <c r="G1183" s="549">
        <v>7.6798049599770907E-2</v>
      </c>
      <c r="H1183" s="550">
        <v>3.9904964433541299E-3</v>
      </c>
      <c r="I1183" s="551">
        <v>4.9921683162441E-2</v>
      </c>
      <c r="J1183" s="551">
        <v>2.95500636074435E-2</v>
      </c>
      <c r="K1183" s="551">
        <v>1.2443917420770501E-2</v>
      </c>
      <c r="L1183" s="551">
        <v>1.5581596371139999E-3</v>
      </c>
      <c r="M1183" s="552">
        <v>1.3006576147472E-2</v>
      </c>
    </row>
    <row r="1184" spans="2:13" ht="15.75" x14ac:dyDescent="0.25">
      <c r="B1184" s="555">
        <v>2041</v>
      </c>
      <c r="C1184" s="556">
        <v>2036</v>
      </c>
      <c r="D1184" s="557" t="s">
        <v>4082</v>
      </c>
      <c r="E1184" s="547">
        <v>4.3860709634487904E-2</v>
      </c>
      <c r="F1184" s="548">
        <v>9.6557732528068319E-2</v>
      </c>
      <c r="G1184" s="549">
        <v>7.5156316343220994E-2</v>
      </c>
      <c r="H1184" s="550">
        <v>3.96256634560421E-3</v>
      </c>
      <c r="I1184" s="551">
        <v>4.7693411332500303E-2</v>
      </c>
      <c r="J1184" s="551">
        <v>2.9217058842412599E-2</v>
      </c>
      <c r="K1184" s="551">
        <v>1.1343333567701199E-2</v>
      </c>
      <c r="L1184" s="551">
        <v>1.5587602925104401E-3</v>
      </c>
      <c r="M1184" s="552">
        <v>1.1856228776335499E-2</v>
      </c>
    </row>
    <row r="1185" spans="2:13" ht="15.75" x14ac:dyDescent="0.25">
      <c r="B1185" s="555">
        <v>2041</v>
      </c>
      <c r="C1185" s="556">
        <v>2037</v>
      </c>
      <c r="D1185" s="557" t="s">
        <v>4083</v>
      </c>
      <c r="E1185" s="547">
        <v>4.3840546240315678E-2</v>
      </c>
      <c r="F1185" s="548">
        <v>9.6507862295587957E-2</v>
      </c>
      <c r="G1185" s="549">
        <v>7.3422713969802003E-2</v>
      </c>
      <c r="H1185" s="550">
        <v>4.0566769190413096E-3</v>
      </c>
      <c r="I1185" s="551">
        <v>4.5344413098680099E-2</v>
      </c>
      <c r="J1185" s="551">
        <v>2.9236337500961301E-2</v>
      </c>
      <c r="K1185" s="551">
        <v>1.0183760031920199E-2</v>
      </c>
      <c r="L1185" s="551">
        <v>1.55937120574283E-3</v>
      </c>
      <c r="M1185" s="552">
        <v>1.0644224470797801E-2</v>
      </c>
    </row>
    <row r="1186" spans="2:13" ht="15.75" x14ac:dyDescent="0.25">
      <c r="B1186" s="555">
        <v>2041</v>
      </c>
      <c r="C1186" s="556">
        <v>2038</v>
      </c>
      <c r="D1186" s="557" t="s">
        <v>4084</v>
      </c>
      <c r="E1186" s="547">
        <v>4.3818378220651336E-2</v>
      </c>
      <c r="F1186" s="548">
        <v>9.645779308208477E-2</v>
      </c>
      <c r="G1186" s="549">
        <v>7.1596494640319697E-2</v>
      </c>
      <c r="H1186" s="550">
        <v>4.4075551329070903E-3</v>
      </c>
      <c r="I1186" s="551">
        <v>4.2874329398554498E-2</v>
      </c>
      <c r="J1186" s="551">
        <v>3.0741101316014801E-2</v>
      </c>
      <c r="K1186" s="551">
        <v>8.9651248003853393E-3</v>
      </c>
      <c r="L1186" s="551">
        <v>1.55998643383622E-3</v>
      </c>
      <c r="M1186" s="552">
        <v>9.3704879617066503E-3</v>
      </c>
    </row>
    <row r="1187" spans="2:13" ht="15.75" x14ac:dyDescent="0.25">
      <c r="B1187" s="555">
        <v>2041</v>
      </c>
      <c r="C1187" s="556">
        <v>2039</v>
      </c>
      <c r="D1187" s="557" t="s">
        <v>4085</v>
      </c>
      <c r="E1187" s="547">
        <v>4.3793108174341205E-2</v>
      </c>
      <c r="F1187" s="548">
        <v>9.640441293009358E-2</v>
      </c>
      <c r="G1187" s="549">
        <v>6.9677041279875701E-2</v>
      </c>
      <c r="H1187" s="550">
        <v>5.0598577289237001E-3</v>
      </c>
      <c r="I1187" s="551">
        <v>4.0282900098369101E-2</v>
      </c>
      <c r="J1187" s="551">
        <v>3.3707310788553199E-2</v>
      </c>
      <c r="K1187" s="551">
        <v>7.6873785987687801E-3</v>
      </c>
      <c r="L1187" s="551">
        <v>1.5606010305718001E-3</v>
      </c>
      <c r="M1187" s="552">
        <v>8.0349677467677801E-3</v>
      </c>
    </row>
    <row r="1188" spans="2:13" ht="15.75" x14ac:dyDescent="0.25">
      <c r="B1188" s="555">
        <v>2041</v>
      </c>
      <c r="C1188" s="556">
        <v>2040</v>
      </c>
      <c r="D1188" s="557" t="s">
        <v>4086</v>
      </c>
      <c r="E1188" s="547">
        <v>4.3762647350052898E-2</v>
      </c>
      <c r="F1188" s="548">
        <v>9.6333600047594531E-2</v>
      </c>
      <c r="G1188" s="549">
        <v>6.7665170820315507E-2</v>
      </c>
      <c r="H1188" s="550">
        <v>5.6146441354645296E-3</v>
      </c>
      <c r="I1188" s="551">
        <v>3.7570300799381798E-2</v>
      </c>
      <c r="J1188" s="551">
        <v>3.6187058244481297E-2</v>
      </c>
      <c r="K1188" s="551">
        <v>6.3505168990110796E-3</v>
      </c>
      <c r="L1188" s="551">
        <v>1.56122895584787E-3</v>
      </c>
      <c r="M1188" s="552">
        <v>6.6376590931829802E-3</v>
      </c>
    </row>
    <row r="1189" spans="2:13" ht="15.75" x14ac:dyDescent="0.25">
      <c r="B1189" s="555">
        <v>2041</v>
      </c>
      <c r="C1189" s="556">
        <v>2041</v>
      </c>
      <c r="D1189" s="557" t="s">
        <v>4087</v>
      </c>
      <c r="E1189" s="547">
        <v>4.3720730876117379E-2</v>
      </c>
      <c r="F1189" s="548">
        <v>9.6218713997448649E-2</v>
      </c>
      <c r="G1189" s="549">
        <v>6.5559719737492306E-2</v>
      </c>
      <c r="H1189" s="550">
        <v>5.4516783694646201E-3</v>
      </c>
      <c r="I1189" s="551">
        <v>3.47360731545426E-2</v>
      </c>
      <c r="J1189" s="551">
        <v>5.9917443110693698E-2</v>
      </c>
      <c r="K1189" s="551">
        <v>4.9544652323744E-3</v>
      </c>
      <c r="L1189" s="551">
        <v>1.5618573211374099E-3</v>
      </c>
      <c r="M1189" s="552">
        <v>5.1784841650685202E-3</v>
      </c>
    </row>
    <row r="1190" spans="2:13" ht="15.75" x14ac:dyDescent="0.25">
      <c r="B1190" s="555">
        <v>2042</v>
      </c>
      <c r="C1190" s="556">
        <v>1998</v>
      </c>
      <c r="D1190" s="557" t="s">
        <v>4088</v>
      </c>
      <c r="E1190" s="547">
        <v>6.4754289137860327E-2</v>
      </c>
      <c r="F1190" s="548">
        <v>0.13159236227422627</v>
      </c>
      <c r="G1190" s="549">
        <v>0.36774247148505101</v>
      </c>
      <c r="H1190" s="550">
        <v>2.2559181929605598E-2</v>
      </c>
      <c r="I1190" s="551">
        <v>9.2053685954743401</v>
      </c>
      <c r="J1190" s="551">
        <v>0.39353508036443602</v>
      </c>
      <c r="K1190" s="551">
        <v>5.2656444959461597E-2</v>
      </c>
      <c r="L1190" s="551">
        <v>2.2052550387698399E-3</v>
      </c>
      <c r="M1190" s="552">
        <v>5.5037335741014597E-2</v>
      </c>
    </row>
    <row r="1191" spans="2:13" ht="15.75" x14ac:dyDescent="0.25">
      <c r="B1191" s="555">
        <v>2042</v>
      </c>
      <c r="C1191" s="556">
        <v>1999</v>
      </c>
      <c r="D1191" s="557" t="s">
        <v>4089</v>
      </c>
      <c r="E1191" s="547">
        <v>6.4672467588557492E-2</v>
      </c>
      <c r="F1191" s="548">
        <v>0.13139447627253709</v>
      </c>
      <c r="G1191" s="549">
        <v>0.36710009344272199</v>
      </c>
      <c r="H1191" s="550">
        <v>2.2531205944004599E-2</v>
      </c>
      <c r="I1191" s="551">
        <v>9.2068863752606802</v>
      </c>
      <c r="J1191" s="551">
        <v>0.393550837206255</v>
      </c>
      <c r="K1191" s="551">
        <v>5.2564463894852802E-2</v>
      </c>
      <c r="L1191" s="551">
        <v>2.1981658220180098E-3</v>
      </c>
      <c r="M1191" s="552">
        <v>5.4941195700824098E-2</v>
      </c>
    </row>
    <row r="1192" spans="2:13" ht="15.75" x14ac:dyDescent="0.25">
      <c r="B1192" s="555">
        <v>2042</v>
      </c>
      <c r="C1192" s="556">
        <v>2000</v>
      </c>
      <c r="D1192" s="557" t="s">
        <v>4090</v>
      </c>
      <c r="E1192" s="547">
        <v>6.4419033355120406E-2</v>
      </c>
      <c r="F1192" s="548">
        <v>0.1318232199301651</v>
      </c>
      <c r="G1192" s="549">
        <v>0.36472436949477199</v>
      </c>
      <c r="H1192" s="550">
        <v>2.2730163930253799E-2</v>
      </c>
      <c r="I1192" s="551">
        <v>9.2368528136241199</v>
      </c>
      <c r="J1192" s="551">
        <v>0.39552397863261002</v>
      </c>
      <c r="K1192" s="551">
        <v>5.2224287855901101E-2</v>
      </c>
      <c r="L1192" s="551">
        <v>2.22119356929543E-3</v>
      </c>
      <c r="M1192" s="552">
        <v>5.4585638410899799E-2</v>
      </c>
    </row>
    <row r="1193" spans="2:13" ht="15.75" x14ac:dyDescent="0.25">
      <c r="B1193" s="555">
        <v>2042</v>
      </c>
      <c r="C1193" s="556">
        <v>2001</v>
      </c>
      <c r="D1193" s="557" t="s">
        <v>4091</v>
      </c>
      <c r="E1193" s="547">
        <v>6.4627765984615657E-2</v>
      </c>
      <c r="F1193" s="548">
        <v>0.13198270470719256</v>
      </c>
      <c r="G1193" s="549">
        <v>0.36724294252071399</v>
      </c>
      <c r="H1193" s="550">
        <v>2.2832636715641699E-2</v>
      </c>
      <c r="I1193" s="551">
        <v>9.2028191029681494</v>
      </c>
      <c r="J1193" s="551">
        <v>0.39698665766688201</v>
      </c>
      <c r="K1193" s="551">
        <v>5.25849182214429E-2</v>
      </c>
      <c r="L1193" s="551">
        <v>2.2339545827456198E-3</v>
      </c>
      <c r="M1193" s="552">
        <v>5.4962574881297903E-2</v>
      </c>
    </row>
    <row r="1194" spans="2:13" ht="15.75" x14ac:dyDescent="0.25">
      <c r="B1194" s="555">
        <v>2042</v>
      </c>
      <c r="C1194" s="556">
        <v>2002</v>
      </c>
      <c r="D1194" s="557" t="s">
        <v>4092</v>
      </c>
      <c r="E1194" s="547">
        <v>6.4460530314933998E-2</v>
      </c>
      <c r="F1194" s="548">
        <v>0.13180146815946156</v>
      </c>
      <c r="G1194" s="549">
        <v>0.28381243439853998</v>
      </c>
      <c r="H1194" s="550">
        <v>2.2784971968452899E-2</v>
      </c>
      <c r="I1194" s="551">
        <v>7.1002013661126604</v>
      </c>
      <c r="J1194" s="551">
        <v>0.31953214277526598</v>
      </c>
      <c r="K1194" s="551">
        <v>5.2902043855715702E-2</v>
      </c>
      <c r="L1194" s="551">
        <v>2.2314126682829601E-3</v>
      </c>
      <c r="M1194" s="552">
        <v>5.5294039529528299E-2</v>
      </c>
    </row>
    <row r="1195" spans="2:13" ht="15.75" x14ac:dyDescent="0.25">
      <c r="B1195" s="555">
        <v>2042</v>
      </c>
      <c r="C1195" s="556">
        <v>2003</v>
      </c>
      <c r="D1195" s="557" t="s">
        <v>4093</v>
      </c>
      <c r="E1195" s="547">
        <v>6.4154702929400745E-2</v>
      </c>
      <c r="F1195" s="548">
        <v>0.13120566319197366</v>
      </c>
      <c r="G1195" s="549">
        <v>0.28158329091359002</v>
      </c>
      <c r="H1195" s="550">
        <v>2.2543867270292499E-2</v>
      </c>
      <c r="I1195" s="551">
        <v>7.1280345543890498</v>
      </c>
      <c r="J1195" s="551">
        <v>0.31943741213231402</v>
      </c>
      <c r="K1195" s="551">
        <v>5.2486536174907401E-2</v>
      </c>
      <c r="L1195" s="551">
        <v>2.2082979365835201E-3</v>
      </c>
      <c r="M1195" s="552">
        <v>5.4859744435181899E-2</v>
      </c>
    </row>
    <row r="1196" spans="2:13" ht="15.75" x14ac:dyDescent="0.25">
      <c r="B1196" s="555">
        <v>2042</v>
      </c>
      <c r="C1196" s="556">
        <v>2004</v>
      </c>
      <c r="D1196" s="557" t="s">
        <v>4094</v>
      </c>
      <c r="E1196" s="547">
        <v>6.3922863761478474E-2</v>
      </c>
      <c r="F1196" s="548">
        <v>0.13022022932409955</v>
      </c>
      <c r="G1196" s="549">
        <v>0.232413215934169</v>
      </c>
      <c r="H1196" s="550">
        <v>1.4772502462812399E-2</v>
      </c>
      <c r="I1196" s="551">
        <v>5.9617906330304997</v>
      </c>
      <c r="J1196" s="551">
        <v>0.27031490393872298</v>
      </c>
      <c r="K1196" s="551">
        <v>5.2194663354432597E-2</v>
      </c>
      <c r="L1196" s="551">
        <v>1.43709554324102E-4</v>
      </c>
      <c r="M1196" s="552">
        <v>5.45546744209316E-2</v>
      </c>
    </row>
    <row r="1197" spans="2:13" ht="15.75" x14ac:dyDescent="0.25">
      <c r="B1197" s="555">
        <v>2042</v>
      </c>
      <c r="C1197" s="556">
        <v>2005</v>
      </c>
      <c r="D1197" s="557" t="s">
        <v>4095</v>
      </c>
      <c r="E1197" s="547">
        <v>6.3962605785790438E-2</v>
      </c>
      <c r="F1197" s="548">
        <v>0.13057296114852152</v>
      </c>
      <c r="G1197" s="549">
        <v>0.23277429921673801</v>
      </c>
      <c r="H1197" s="550">
        <v>1.4977097402776E-2</v>
      </c>
      <c r="I1197" s="551">
        <v>5.9517124903932999</v>
      </c>
      <c r="J1197" s="551">
        <v>0.27217244537986701</v>
      </c>
      <c r="K1197" s="551">
        <v>5.2275754355651502E-2</v>
      </c>
      <c r="L1197" s="551">
        <v>1.4511625278802701E-4</v>
      </c>
      <c r="M1197" s="552">
        <v>5.4639431997389701E-2</v>
      </c>
    </row>
    <row r="1198" spans="2:13" ht="15.75" x14ac:dyDescent="0.25">
      <c r="B1198" s="555">
        <v>2042</v>
      </c>
      <c r="C1198" s="556">
        <v>2006</v>
      </c>
      <c r="D1198" s="557" t="s">
        <v>4096</v>
      </c>
      <c r="E1198" s="547">
        <v>6.3788574309895429E-2</v>
      </c>
      <c r="F1198" s="548">
        <v>0.13087022365288062</v>
      </c>
      <c r="G1198" s="549">
        <v>0.23170048287563499</v>
      </c>
      <c r="H1198" s="550">
        <v>1.5134578857359301E-2</v>
      </c>
      <c r="I1198" s="551">
        <v>5.9601014466355604</v>
      </c>
      <c r="J1198" s="551">
        <v>0.27384352991394001</v>
      </c>
      <c r="K1198" s="551">
        <v>5.2034599900630099E-2</v>
      </c>
      <c r="L1198" s="551">
        <v>1.4629292996995799E-4</v>
      </c>
      <c r="M1198" s="552">
        <v>5.43873736080192E-2</v>
      </c>
    </row>
    <row r="1199" spans="2:13" ht="15.75" x14ac:dyDescent="0.25">
      <c r="B1199" s="555">
        <v>2042</v>
      </c>
      <c r="C1199" s="556">
        <v>2007</v>
      </c>
      <c r="D1199" s="557" t="s">
        <v>4097</v>
      </c>
      <c r="E1199" s="547">
        <v>6.3937892829492041E-2</v>
      </c>
      <c r="F1199" s="548">
        <v>0.13121248760254495</v>
      </c>
      <c r="G1199" s="549">
        <v>0.17019821916165701</v>
      </c>
      <c r="H1199" s="550">
        <v>1.53023747107832E-2</v>
      </c>
      <c r="I1199" s="551">
        <v>3.1144140609561002</v>
      </c>
      <c r="J1199" s="551">
        <v>0.27396204564672</v>
      </c>
      <c r="K1199" s="551">
        <v>3.7811761604925297E-2</v>
      </c>
      <c r="L1199" s="551">
        <v>1.4765260412941299E-4</v>
      </c>
      <c r="M1199" s="552">
        <v>3.9521441677492899E-2</v>
      </c>
    </row>
    <row r="1200" spans="2:13" ht="15.75" x14ac:dyDescent="0.25">
      <c r="B1200" s="555">
        <v>2042</v>
      </c>
      <c r="C1200" s="556">
        <v>2008</v>
      </c>
      <c r="D1200" s="557" t="s">
        <v>4098</v>
      </c>
      <c r="E1200" s="547">
        <v>6.4167412275698485E-2</v>
      </c>
      <c r="F1200" s="548">
        <v>0.13169221750232871</v>
      </c>
      <c r="G1200" s="549">
        <v>0.17231325089364799</v>
      </c>
      <c r="H1200" s="550">
        <v>1.2088460987032101E-2</v>
      </c>
      <c r="I1200" s="551">
        <v>3.1005547583978199</v>
      </c>
      <c r="J1200" s="551">
        <v>0.19315694417080101</v>
      </c>
      <c r="K1200" s="551">
        <v>3.8094127713469698E-2</v>
      </c>
      <c r="L1200" s="551">
        <v>1.7044665456869199E-4</v>
      </c>
      <c r="M1200" s="552">
        <v>3.9816575128484598E-2</v>
      </c>
    </row>
    <row r="1201" spans="2:13" ht="15.75" x14ac:dyDescent="0.25">
      <c r="B1201" s="555">
        <v>2042</v>
      </c>
      <c r="C1201" s="556">
        <v>2009</v>
      </c>
      <c r="D1201" s="557" t="s">
        <v>4099</v>
      </c>
      <c r="E1201" s="547">
        <v>6.4154288447739863E-2</v>
      </c>
      <c r="F1201" s="548">
        <v>0.13044206016335419</v>
      </c>
      <c r="G1201" s="549">
        <v>0.172448691310498</v>
      </c>
      <c r="H1201" s="550">
        <v>8.4785501396216698E-3</v>
      </c>
      <c r="I1201" s="551">
        <v>3.09854378000054</v>
      </c>
      <c r="J1201" s="551">
        <v>0.10896655666073</v>
      </c>
      <c r="K1201" s="551">
        <v>3.8112283161756702E-2</v>
      </c>
      <c r="L1201" s="551">
        <v>1.8690669360299099E-4</v>
      </c>
      <c r="M1201" s="552">
        <v>3.9835551485579497E-2</v>
      </c>
    </row>
    <row r="1202" spans="2:13" ht="15.75" x14ac:dyDescent="0.25">
      <c r="B1202" s="555">
        <v>2042</v>
      </c>
      <c r="C1202" s="556">
        <v>2010</v>
      </c>
      <c r="D1202" s="557" t="s">
        <v>4100</v>
      </c>
      <c r="E1202" s="547">
        <v>6.4161635374417825E-2</v>
      </c>
      <c r="F1202" s="548">
        <v>0.12933717434713862</v>
      </c>
      <c r="G1202" s="549">
        <v>0.110581757344137</v>
      </c>
      <c r="H1202" s="550">
        <v>8.2882364943594501E-3</v>
      </c>
      <c r="I1202" s="551">
        <v>0.28476881153085098</v>
      </c>
      <c r="J1202" s="551">
        <v>0.10883563270371099</v>
      </c>
      <c r="K1202" s="551">
        <v>2.3522371747301402E-2</v>
      </c>
      <c r="L1202" s="551">
        <v>2.22752587236543E-4</v>
      </c>
      <c r="M1202" s="552">
        <v>2.45859490187357E-2</v>
      </c>
    </row>
    <row r="1203" spans="2:13" ht="15.75" x14ac:dyDescent="0.25">
      <c r="B1203" s="555">
        <v>2042</v>
      </c>
      <c r="C1203" s="556">
        <v>2011</v>
      </c>
      <c r="D1203" s="557" t="s">
        <v>4101</v>
      </c>
      <c r="E1203" s="547">
        <v>6.4103246287103552E-2</v>
      </c>
      <c r="F1203" s="548">
        <v>0.13099771085948814</v>
      </c>
      <c r="G1203" s="549">
        <v>0.11028770002018801</v>
      </c>
      <c r="H1203" s="550">
        <v>8.6188795451970501E-3</v>
      </c>
      <c r="I1203" s="551">
        <v>0.28430017482328301</v>
      </c>
      <c r="J1203" s="551">
        <v>0.11069803460828299</v>
      </c>
      <c r="K1203" s="551">
        <v>2.34989091222392E-2</v>
      </c>
      <c r="L1203" s="551">
        <v>3.14424937238886E-4</v>
      </c>
      <c r="M1203" s="552">
        <v>2.4561425517881999E-2</v>
      </c>
    </row>
    <row r="1204" spans="2:13" ht="15.75" x14ac:dyDescent="0.25">
      <c r="B1204" s="555">
        <v>2042</v>
      </c>
      <c r="C1204" s="556">
        <v>2012</v>
      </c>
      <c r="D1204" s="557" t="s">
        <v>4102</v>
      </c>
      <c r="E1204" s="547">
        <v>6.4210958621975858E-2</v>
      </c>
      <c r="F1204" s="548">
        <v>0.13140112486896879</v>
      </c>
      <c r="G1204" s="549">
        <v>0.111685966986642</v>
      </c>
      <c r="H1204" s="550">
        <v>8.7045062592080204E-3</v>
      </c>
      <c r="I1204" s="551">
        <v>0.28637664225949899</v>
      </c>
      <c r="J1204" s="551">
        <v>0.111467258237023</v>
      </c>
      <c r="K1204" s="551">
        <v>2.3595976695351399E-2</v>
      </c>
      <c r="L1204" s="551">
        <v>4.6438737176056902E-4</v>
      </c>
      <c r="M1204" s="552">
        <v>2.4662882055919301E-2</v>
      </c>
    </row>
    <row r="1205" spans="2:13" ht="15.75" x14ac:dyDescent="0.25">
      <c r="B1205" s="555">
        <v>2042</v>
      </c>
      <c r="C1205" s="556">
        <v>2013</v>
      </c>
      <c r="D1205" s="557" t="s">
        <v>4103</v>
      </c>
      <c r="E1205" s="547">
        <v>6.4065187255589726E-2</v>
      </c>
      <c r="F1205" s="548">
        <v>0.13139561760089971</v>
      </c>
      <c r="G1205" s="549">
        <v>0.110512441386342</v>
      </c>
      <c r="H1205" s="550">
        <v>8.7341951531483206E-3</v>
      </c>
      <c r="I1205" s="551">
        <v>0.28470323882627202</v>
      </c>
      <c r="J1205" s="551">
        <v>0.111068974417055</v>
      </c>
      <c r="K1205" s="551">
        <v>2.35275629206614E-2</v>
      </c>
      <c r="L1205" s="551">
        <v>6.9575440683266102E-4</v>
      </c>
      <c r="M1205" s="552">
        <v>2.4591374913919498E-2</v>
      </c>
    </row>
    <row r="1206" spans="2:13" ht="15.75" x14ac:dyDescent="0.25">
      <c r="B1206" s="555">
        <v>2042</v>
      </c>
      <c r="C1206" s="556">
        <v>2014</v>
      </c>
      <c r="D1206" s="557" t="s">
        <v>4104</v>
      </c>
      <c r="E1206" s="547">
        <v>6.2510022614705119E-2</v>
      </c>
      <c r="F1206" s="548">
        <v>0.12922475640085107</v>
      </c>
      <c r="G1206" s="549">
        <v>0.109917786547888</v>
      </c>
      <c r="H1206" s="550">
        <v>8.70601694392731E-3</v>
      </c>
      <c r="I1206" s="551">
        <v>0.283751860912003</v>
      </c>
      <c r="J1206" s="551">
        <v>0.111156169472395</v>
      </c>
      <c r="K1206" s="551">
        <v>2.3480549318006999E-2</v>
      </c>
      <c r="L1206" s="551">
        <v>9.6517160112872397E-4</v>
      </c>
      <c r="M1206" s="552">
        <v>2.45422355647728E-2</v>
      </c>
    </row>
    <row r="1207" spans="2:13" ht="15.75" x14ac:dyDescent="0.25">
      <c r="B1207" s="555">
        <v>2042</v>
      </c>
      <c r="C1207" s="556">
        <v>2015</v>
      </c>
      <c r="D1207" s="557" t="s">
        <v>4105</v>
      </c>
      <c r="E1207" s="547">
        <v>6.1974719699276884E-2</v>
      </c>
      <c r="F1207" s="548">
        <v>0.12918016588132486</v>
      </c>
      <c r="G1207" s="549">
        <v>0.109281470527947</v>
      </c>
      <c r="H1207" s="550">
        <v>8.8366181082325801E-3</v>
      </c>
      <c r="I1207" s="551">
        <v>0.28280909202271798</v>
      </c>
      <c r="J1207" s="551">
        <v>0.11174523519337599</v>
      </c>
      <c r="K1207" s="551">
        <v>2.3432691105205201E-2</v>
      </c>
      <c r="L1207" s="551">
        <v>1.2342056838549301E-3</v>
      </c>
      <c r="M1207" s="552">
        <v>2.44922134159558E-2</v>
      </c>
    </row>
    <row r="1208" spans="2:13" ht="15.75" x14ac:dyDescent="0.25">
      <c r="B1208" s="555">
        <v>2042</v>
      </c>
      <c r="C1208" s="556">
        <v>2016</v>
      </c>
      <c r="D1208" s="557" t="s">
        <v>4106</v>
      </c>
      <c r="E1208" s="547">
        <v>5.9956913082115884E-2</v>
      </c>
      <c r="F1208" s="548">
        <v>0.1252455762677849</v>
      </c>
      <c r="G1208" s="549">
        <v>0.10851342980169</v>
      </c>
      <c r="H1208" s="550">
        <v>8.0717980689805503E-3</v>
      </c>
      <c r="I1208" s="551">
        <v>0.24690693882585499</v>
      </c>
      <c r="J1208" s="551">
        <v>9.8100524769231395E-2</v>
      </c>
      <c r="K1208" s="551">
        <v>2.3375413715339199E-2</v>
      </c>
      <c r="L1208" s="551">
        <v>1.38915222863761E-3</v>
      </c>
      <c r="M1208" s="552">
        <v>2.4432346196684801E-2</v>
      </c>
    </row>
    <row r="1209" spans="2:13" ht="15.75" x14ac:dyDescent="0.25">
      <c r="B1209" s="555">
        <v>2042</v>
      </c>
      <c r="C1209" s="556">
        <v>2017</v>
      </c>
      <c r="D1209" s="557" t="s">
        <v>4107</v>
      </c>
      <c r="E1209" s="547">
        <v>5.64492353748502E-2</v>
      </c>
      <c r="F1209" s="548">
        <v>0.12132999659778705</v>
      </c>
      <c r="G1209" s="549">
        <v>9.0790194603496605E-2</v>
      </c>
      <c r="H1209" s="550">
        <v>7.2657948512774304E-3</v>
      </c>
      <c r="I1209" s="551">
        <v>0.192644765244255</v>
      </c>
      <c r="J1209" s="551">
        <v>8.4756909898015903E-2</v>
      </c>
      <c r="K1209" s="551">
        <v>2.22031526703384E-2</v>
      </c>
      <c r="L1209" s="551">
        <v>1.4477218547815701E-3</v>
      </c>
      <c r="M1209" s="552">
        <v>2.3207080709060302E-2</v>
      </c>
    </row>
    <row r="1210" spans="2:13" ht="15.75" x14ac:dyDescent="0.25">
      <c r="B1210" s="555">
        <v>2042</v>
      </c>
      <c r="C1210" s="556">
        <v>2018</v>
      </c>
      <c r="D1210" s="557" t="s">
        <v>4108</v>
      </c>
      <c r="E1210" s="547">
        <v>5.2707790746696528E-2</v>
      </c>
      <c r="F1210" s="548">
        <v>0.11612738870920349</v>
      </c>
      <c r="G1210" s="549">
        <v>9.0845223437880401E-2</v>
      </c>
      <c r="H1210" s="550">
        <v>6.5422459951931296E-3</v>
      </c>
      <c r="I1210" s="551">
        <v>0.15743114205256301</v>
      </c>
      <c r="J1210" s="551">
        <v>7.1020412312644707E-2</v>
      </c>
      <c r="K1210" s="551">
        <v>2.22065641240295E-2</v>
      </c>
      <c r="L1210" s="551">
        <v>1.50840243849531E-3</v>
      </c>
      <c r="M1210" s="552">
        <v>2.32106464135492E-2</v>
      </c>
    </row>
    <row r="1211" spans="2:13" ht="15.75" x14ac:dyDescent="0.25">
      <c r="B1211" s="555">
        <v>2042</v>
      </c>
      <c r="C1211" s="556">
        <v>2019</v>
      </c>
      <c r="D1211" s="557" t="s">
        <v>4109</v>
      </c>
      <c r="E1211" s="547">
        <v>5.268859966462542E-2</v>
      </c>
      <c r="F1211" s="548">
        <v>0.11607685158336235</v>
      </c>
      <c r="G1211" s="549">
        <v>9.0828778903863094E-2</v>
      </c>
      <c r="H1211" s="550">
        <v>5.9268302645044801E-3</v>
      </c>
      <c r="I1211" s="551">
        <v>0.135504006383492</v>
      </c>
      <c r="J1211" s="551">
        <v>6.1816616330509298E-2</v>
      </c>
      <c r="K1211" s="551">
        <v>2.2162151122024999E-2</v>
      </c>
      <c r="L1211" s="551">
        <v>1.5490545165980901E-3</v>
      </c>
      <c r="M1211" s="552">
        <v>2.3164225252673899E-2</v>
      </c>
    </row>
    <row r="1212" spans="2:13" ht="15.75" x14ac:dyDescent="0.25">
      <c r="B1212" s="555">
        <v>2042</v>
      </c>
      <c r="C1212" s="556">
        <v>2020</v>
      </c>
      <c r="D1212" s="557" t="s">
        <v>4110</v>
      </c>
      <c r="E1212" s="547">
        <v>5.2669681363751678E-2</v>
      </c>
      <c r="F1212" s="548">
        <v>0.11602731671317103</v>
      </c>
      <c r="G1212" s="549">
        <v>9.0724181214773006E-2</v>
      </c>
      <c r="H1212" s="550">
        <v>5.3051090697838598E-3</v>
      </c>
      <c r="I1212" s="551">
        <v>0.113090759719362</v>
      </c>
      <c r="J1212" s="551">
        <v>5.3101171150497402E-2</v>
      </c>
      <c r="K1212" s="551">
        <v>2.2059352806019401E-2</v>
      </c>
      <c r="L1212" s="551">
        <v>1.5495692621080501E-3</v>
      </c>
      <c r="M1212" s="552">
        <v>2.3056778852979298E-2</v>
      </c>
    </row>
    <row r="1213" spans="2:13" ht="15.75" x14ac:dyDescent="0.25">
      <c r="B1213" s="555">
        <v>2042</v>
      </c>
      <c r="C1213" s="556">
        <v>2021</v>
      </c>
      <c r="D1213" s="557" t="s">
        <v>4111</v>
      </c>
      <c r="E1213" s="547">
        <v>5.1334826467451293E-2</v>
      </c>
      <c r="F1213" s="548">
        <v>0.11308593290104434</v>
      </c>
      <c r="G1213" s="549">
        <v>9.0532424455376695E-2</v>
      </c>
      <c r="H1213" s="550">
        <v>4.6924860319958999E-3</v>
      </c>
      <c r="I1213" s="551">
        <v>9.0994974007903198E-2</v>
      </c>
      <c r="J1213" s="551">
        <v>4.3988095079839001E-2</v>
      </c>
      <c r="K1213" s="551">
        <v>2.1898222637354602E-2</v>
      </c>
      <c r="L1213" s="551">
        <v>1.5501052948929501E-3</v>
      </c>
      <c r="M1213" s="552">
        <v>2.2888363093092001E-2</v>
      </c>
    </row>
    <row r="1214" spans="2:13" ht="15.75" x14ac:dyDescent="0.25">
      <c r="B1214" s="555">
        <v>2042</v>
      </c>
      <c r="C1214" s="556">
        <v>2022</v>
      </c>
      <c r="D1214" s="557" t="s">
        <v>4112</v>
      </c>
      <c r="E1214" s="547">
        <v>5.0053642042564531E-2</v>
      </c>
      <c r="F1214" s="548">
        <v>0.1102623711864338</v>
      </c>
      <c r="G1214" s="549">
        <v>9.0250892810274805E-2</v>
      </c>
      <c r="H1214" s="550">
        <v>4.0681781811338601E-3</v>
      </c>
      <c r="I1214" s="551">
        <v>6.8510947648094997E-2</v>
      </c>
      <c r="J1214" s="551">
        <v>3.48696760668415E-2</v>
      </c>
      <c r="K1214" s="551">
        <v>2.1678567766271199E-2</v>
      </c>
      <c r="L1214" s="551">
        <v>1.55064032608379E-3</v>
      </c>
      <c r="M1214" s="552">
        <v>2.2658776403442198E-2</v>
      </c>
    </row>
    <row r="1215" spans="2:13" ht="15.75" x14ac:dyDescent="0.25">
      <c r="B1215" s="555">
        <v>2042</v>
      </c>
      <c r="C1215" s="556">
        <v>2023</v>
      </c>
      <c r="D1215" s="557" t="s">
        <v>4113</v>
      </c>
      <c r="E1215" s="547">
        <v>4.8773543279324122E-2</v>
      </c>
      <c r="F1215" s="548">
        <v>0.10744353759285546</v>
      </c>
      <c r="G1215" s="549">
        <v>8.9880923967942894E-2</v>
      </c>
      <c r="H1215" s="550">
        <v>4.0671170077402697E-3</v>
      </c>
      <c r="I1215" s="551">
        <v>6.7961078694615304E-2</v>
      </c>
      <c r="J1215" s="551">
        <v>3.4086367307716497E-2</v>
      </c>
      <c r="K1215" s="551">
        <v>2.1400463732038601E-2</v>
      </c>
      <c r="L1215" s="551">
        <v>1.55118795735682E-3</v>
      </c>
      <c r="M1215" s="552">
        <v>2.2368097738849999E-2</v>
      </c>
    </row>
    <row r="1216" spans="2:13" ht="15.75" x14ac:dyDescent="0.25">
      <c r="B1216" s="555">
        <v>2042</v>
      </c>
      <c r="C1216" s="556">
        <v>2024</v>
      </c>
      <c r="D1216" s="557" t="s">
        <v>4114</v>
      </c>
      <c r="E1216" s="547">
        <v>4.7546972380725513E-2</v>
      </c>
      <c r="F1216" s="548">
        <v>0.10474204275535687</v>
      </c>
      <c r="G1216" s="549">
        <v>8.9420791856501897E-2</v>
      </c>
      <c r="H1216" s="550">
        <v>4.0610580285258E-3</v>
      </c>
      <c r="I1216" s="551">
        <v>6.7291937920107806E-2</v>
      </c>
      <c r="J1216" s="551">
        <v>3.4612286924516698E-2</v>
      </c>
      <c r="K1216" s="551">
        <v>2.1063782459058499E-2</v>
      </c>
      <c r="L1216" s="551">
        <v>1.55173459253815E-3</v>
      </c>
      <c r="M1216" s="552">
        <v>2.2016193232706802E-2</v>
      </c>
    </row>
    <row r="1217" spans="2:13" ht="15.75" x14ac:dyDescent="0.25">
      <c r="B1217" s="555">
        <v>2042</v>
      </c>
      <c r="C1217" s="556">
        <v>2025</v>
      </c>
      <c r="D1217" s="557" t="s">
        <v>4115</v>
      </c>
      <c r="E1217" s="547">
        <v>4.6321379438382417E-2</v>
      </c>
      <c r="F1217" s="548">
        <v>0.10204247898806351</v>
      </c>
      <c r="G1217" s="549">
        <v>8.8871892583477205E-2</v>
      </c>
      <c r="H1217" s="550">
        <v>4.0425948944936398E-3</v>
      </c>
      <c r="I1217" s="551">
        <v>6.6504009753587501E-2</v>
      </c>
      <c r="J1217" s="551">
        <v>3.3442275034011003E-2</v>
      </c>
      <c r="K1217" s="551">
        <v>2.0668594189005799E-2</v>
      </c>
      <c r="L1217" s="551">
        <v>1.55229478154502E-3</v>
      </c>
      <c r="M1217" s="552">
        <v>2.16031363027042E-2</v>
      </c>
    </row>
    <row r="1218" spans="2:13" ht="15.75" x14ac:dyDescent="0.25">
      <c r="B1218" s="555">
        <v>2042</v>
      </c>
      <c r="C1218" s="556">
        <v>2026</v>
      </c>
      <c r="D1218" s="557" t="s">
        <v>4116</v>
      </c>
      <c r="E1218" s="547">
        <v>4.5149173936981188E-2</v>
      </c>
      <c r="F1218" s="548">
        <v>9.9460072020756934E-2</v>
      </c>
      <c r="G1218" s="549">
        <v>8.8232508936523193E-2</v>
      </c>
      <c r="H1218" s="550">
        <v>4.0232400208241601E-3</v>
      </c>
      <c r="I1218" s="551">
        <v>6.56036628369739E-2</v>
      </c>
      <c r="J1218" s="551">
        <v>3.3803056831795603E-2</v>
      </c>
      <c r="K1218" s="551">
        <v>2.02147663872373E-2</v>
      </c>
      <c r="L1218" s="551">
        <v>1.5528540942175699E-3</v>
      </c>
      <c r="M1218" s="552">
        <v>2.1128788421570899E-2</v>
      </c>
    </row>
    <row r="1219" spans="2:13" ht="15.75" x14ac:dyDescent="0.25">
      <c r="B1219" s="555">
        <v>2042</v>
      </c>
      <c r="C1219" s="556">
        <v>2027</v>
      </c>
      <c r="D1219" s="557" t="s">
        <v>4117</v>
      </c>
      <c r="E1219" s="547">
        <v>4.4030470592994427E-2</v>
      </c>
      <c r="F1219" s="548">
        <v>9.6995435174510675E-2</v>
      </c>
      <c r="G1219" s="549">
        <v>8.7505151424080496E-2</v>
      </c>
      <c r="H1219" s="550">
        <v>4.0005699328682096E-3</v>
      </c>
      <c r="I1219" s="551">
        <v>6.4577544721767799E-2</v>
      </c>
      <c r="J1219" s="551">
        <v>3.3012608142339098E-2</v>
      </c>
      <c r="K1219" s="551">
        <v>1.97024479406415E-2</v>
      </c>
      <c r="L1219" s="551">
        <v>1.5534394716151801E-3</v>
      </c>
      <c r="M1219" s="552">
        <v>2.0593305208199401E-2</v>
      </c>
    </row>
    <row r="1220" spans="2:13" ht="15.75" x14ac:dyDescent="0.25">
      <c r="B1220" s="555">
        <v>2042</v>
      </c>
      <c r="C1220" s="556">
        <v>2028</v>
      </c>
      <c r="D1220" s="557" t="s">
        <v>4118</v>
      </c>
      <c r="E1220" s="547">
        <v>4.4015406798997E-2</v>
      </c>
      <c r="F1220" s="548">
        <v>9.6956708086158069E-2</v>
      </c>
      <c r="G1220" s="549">
        <v>8.6686171281072893E-2</v>
      </c>
      <c r="H1220" s="550">
        <v>3.9935696721045697E-3</v>
      </c>
      <c r="I1220" s="551">
        <v>6.3431375275045096E-2</v>
      </c>
      <c r="J1220" s="551">
        <v>3.2937108716093698E-2</v>
      </c>
      <c r="K1220" s="551">
        <v>1.91313804644163E-2</v>
      </c>
      <c r="L1220" s="551">
        <v>1.5540173407057301E-3</v>
      </c>
      <c r="M1220" s="552">
        <v>1.9996416594773699E-2</v>
      </c>
    </row>
    <row r="1221" spans="2:13" ht="15.75" x14ac:dyDescent="0.25">
      <c r="B1221" s="555">
        <v>2042</v>
      </c>
      <c r="C1221" s="556">
        <v>2029</v>
      </c>
      <c r="D1221" s="557" t="s">
        <v>4119</v>
      </c>
      <c r="E1221" s="547">
        <v>4.4000263785730673E-2</v>
      </c>
      <c r="F1221" s="548">
        <v>9.6918162073698647E-2</v>
      </c>
      <c r="G1221" s="549">
        <v>8.5776506463076593E-2</v>
      </c>
      <c r="H1221" s="550">
        <v>3.9957800552840404E-3</v>
      </c>
      <c r="I1221" s="551">
        <v>6.2165431948421203E-2</v>
      </c>
      <c r="J1221" s="551">
        <v>3.2891378425460097E-2</v>
      </c>
      <c r="K1221" s="551">
        <v>1.8501593051169201E-2</v>
      </c>
      <c r="L1221" s="551">
        <v>1.5545981463425901E-3</v>
      </c>
      <c r="M1221" s="552">
        <v>1.9338152989339798E-2</v>
      </c>
    </row>
    <row r="1222" spans="2:13" ht="15.75" x14ac:dyDescent="0.25">
      <c r="B1222" s="555">
        <v>2042</v>
      </c>
      <c r="C1222" s="556">
        <v>2030</v>
      </c>
      <c r="D1222" s="557" t="s">
        <v>4120</v>
      </c>
      <c r="E1222" s="547">
        <v>4.3985081166268925E-2</v>
      </c>
      <c r="F1222" s="548">
        <v>9.6879849159516543E-2</v>
      </c>
      <c r="G1222" s="549">
        <v>8.4777114820458799E-2</v>
      </c>
      <c r="H1222" s="550">
        <v>4.0099428497187397E-3</v>
      </c>
      <c r="I1222" s="551">
        <v>6.07800388512146E-2</v>
      </c>
      <c r="J1222" s="551">
        <v>3.1937140631291203E-2</v>
      </c>
      <c r="K1222" s="551">
        <v>1.7813129717411901E-2</v>
      </c>
      <c r="L1222" s="551">
        <v>1.5551943096744E-3</v>
      </c>
      <c r="M1222" s="552">
        <v>1.86185603986408E-2</v>
      </c>
    </row>
    <row r="1223" spans="2:13" ht="15.75" x14ac:dyDescent="0.25">
      <c r="B1223" s="555">
        <v>2042</v>
      </c>
      <c r="C1223" s="556">
        <v>2031</v>
      </c>
      <c r="D1223" s="557" t="s">
        <v>4121</v>
      </c>
      <c r="E1223" s="547">
        <v>4.3969623195357299E-2</v>
      </c>
      <c r="F1223" s="548">
        <v>9.6841005953101286E-2</v>
      </c>
      <c r="G1223" s="549">
        <v>8.3685438589604005E-2</v>
      </c>
      <c r="H1223" s="550">
        <v>4.0325039262738603E-3</v>
      </c>
      <c r="I1223" s="551">
        <v>5.9274151723624102E-2</v>
      </c>
      <c r="J1223" s="551">
        <v>3.2416083591661198E-2</v>
      </c>
      <c r="K1223" s="551">
        <v>1.7065804629583101E-2</v>
      </c>
      <c r="L1223" s="551">
        <v>1.5557809593753399E-3</v>
      </c>
      <c r="M1223" s="552">
        <v>1.7837444586546399E-2</v>
      </c>
    </row>
    <row r="1224" spans="2:13" ht="15.75" x14ac:dyDescent="0.25">
      <c r="B1224" s="555">
        <v>2042</v>
      </c>
      <c r="C1224" s="556">
        <v>2032</v>
      </c>
      <c r="D1224" s="557" t="s">
        <v>4122</v>
      </c>
      <c r="E1224" s="547">
        <v>4.3953966753668507E-2</v>
      </c>
      <c r="F1224" s="548">
        <v>9.6801669389450118E-2</v>
      </c>
      <c r="G1224" s="549">
        <v>8.2503183009444606E-2</v>
      </c>
      <c r="H1224" s="550">
        <v>4.0616984107794598E-3</v>
      </c>
      <c r="I1224" s="551">
        <v>5.7648379669686001E-2</v>
      </c>
      <c r="J1224" s="551">
        <v>3.2116737526377198E-2</v>
      </c>
      <c r="K1224" s="551">
        <v>1.6259707305415101E-2</v>
      </c>
      <c r="L1224" s="551">
        <v>1.5563784959382501E-3</v>
      </c>
      <c r="M1224" s="552">
        <v>1.6994899118383401E-2</v>
      </c>
    </row>
    <row r="1225" spans="2:13" ht="15.75" x14ac:dyDescent="0.25">
      <c r="B1225" s="555">
        <v>2042</v>
      </c>
      <c r="C1225" s="556">
        <v>2033</v>
      </c>
      <c r="D1225" s="557" t="s">
        <v>4123</v>
      </c>
      <c r="E1225" s="547">
        <v>4.3937923049186707E-2</v>
      </c>
      <c r="F1225" s="548">
        <v>9.6761031681709866E-2</v>
      </c>
      <c r="G1225" s="549">
        <v>8.1228786070646597E-2</v>
      </c>
      <c r="H1225" s="550">
        <v>4.0801451123595499E-3</v>
      </c>
      <c r="I1225" s="551">
        <v>5.5902062210094403E-2</v>
      </c>
      <c r="J1225" s="551">
        <v>3.1590648900847097E-2</v>
      </c>
      <c r="K1225" s="551">
        <v>1.5394716194349799E-2</v>
      </c>
      <c r="L1225" s="551">
        <v>1.55697273811204E-3</v>
      </c>
      <c r="M1225" s="552">
        <v>1.6090796947617E-2</v>
      </c>
    </row>
    <row r="1226" spans="2:13" ht="15.75" x14ac:dyDescent="0.25">
      <c r="B1226" s="555">
        <v>2042</v>
      </c>
      <c r="C1226" s="556">
        <v>2034</v>
      </c>
      <c r="D1226" s="557" t="s">
        <v>4124</v>
      </c>
      <c r="E1226" s="547">
        <v>4.3921470849139332E-2</v>
      </c>
      <c r="F1226" s="548">
        <v>9.6718778813279754E-2</v>
      </c>
      <c r="G1226" s="549">
        <v>7.98631413502357E-2</v>
      </c>
      <c r="H1226" s="550">
        <v>4.0772975268778397E-3</v>
      </c>
      <c r="I1226" s="551">
        <v>5.4035466111295602E-2</v>
      </c>
      <c r="J1226" s="551">
        <v>3.1140590384046599E-2</v>
      </c>
      <c r="K1226" s="551">
        <v>1.44708587824361E-2</v>
      </c>
      <c r="L1226" s="551">
        <v>1.55757475742786E-3</v>
      </c>
      <c r="M1226" s="552">
        <v>1.51251668030931E-2</v>
      </c>
    </row>
    <row r="1227" spans="2:13" ht="15.75" x14ac:dyDescent="0.25">
      <c r="B1227" s="555">
        <v>2042</v>
      </c>
      <c r="C1227" s="556">
        <v>2035</v>
      </c>
      <c r="D1227" s="557" t="s">
        <v>4125</v>
      </c>
      <c r="E1227" s="547">
        <v>4.3904527959310533E-2</v>
      </c>
      <c r="F1227" s="548">
        <v>9.6674562879253245E-2</v>
      </c>
      <c r="G1227" s="549">
        <v>7.8406683743618796E-2</v>
      </c>
      <c r="H1227" s="550">
        <v>4.0462542761736404E-3</v>
      </c>
      <c r="I1227" s="551">
        <v>5.2048677425228701E-2</v>
      </c>
      <c r="J1227" s="551">
        <v>3.0317772561325999E-2</v>
      </c>
      <c r="K1227" s="551">
        <v>1.34881306738122E-2</v>
      </c>
      <c r="L1227" s="551">
        <v>1.5581924124746401E-3</v>
      </c>
      <c r="M1227" s="552">
        <v>1.40980040901885E-2</v>
      </c>
    </row>
    <row r="1228" spans="2:13" ht="15.75" x14ac:dyDescent="0.25">
      <c r="B1228" s="555">
        <v>2042</v>
      </c>
      <c r="C1228" s="556">
        <v>2036</v>
      </c>
      <c r="D1228" s="557" t="s">
        <v>4126</v>
      </c>
      <c r="E1228" s="547">
        <v>4.3886663497184827E-2</v>
      </c>
      <c r="F1228" s="548">
        <v>9.6627429054491218E-2</v>
      </c>
      <c r="G1228" s="549">
        <v>7.6856241429075003E-2</v>
      </c>
      <c r="H1228" s="550">
        <v>3.99279695471671E-3</v>
      </c>
      <c r="I1228" s="551">
        <v>4.9940501527026199E-2</v>
      </c>
      <c r="J1228" s="551">
        <v>2.98964028289362E-2</v>
      </c>
      <c r="K1228" s="551">
        <v>1.24463410989018E-2</v>
      </c>
      <c r="L1228" s="551">
        <v>1.55879321474641E-3</v>
      </c>
      <c r="M1228" s="552">
        <v>1.30091094135735E-2</v>
      </c>
    </row>
    <row r="1229" spans="2:13" ht="15.75" x14ac:dyDescent="0.25">
      <c r="B1229" s="555">
        <v>2042</v>
      </c>
      <c r="C1229" s="556">
        <v>2037</v>
      </c>
      <c r="D1229" s="557" t="s">
        <v>4127</v>
      </c>
      <c r="E1229" s="547">
        <v>4.3867821432329576E-2</v>
      </c>
      <c r="F1229" s="548">
        <v>9.6578275706224501E-2</v>
      </c>
      <c r="G1229" s="549">
        <v>7.5214078093094897E-2</v>
      </c>
      <c r="H1229" s="550">
        <v>3.95965602587649E-3</v>
      </c>
      <c r="I1229" s="551">
        <v>4.7711698402004198E-2</v>
      </c>
      <c r="J1229" s="551">
        <v>2.92102760381245E-2</v>
      </c>
      <c r="K1229" s="551">
        <v>1.1345587996937001E-2</v>
      </c>
      <c r="L1229" s="551">
        <v>1.55940426348577E-3</v>
      </c>
      <c r="M1229" s="552">
        <v>1.18585851408574E-2</v>
      </c>
    </row>
    <row r="1230" spans="2:13" ht="15.75" x14ac:dyDescent="0.25">
      <c r="B1230" s="555">
        <v>2042</v>
      </c>
      <c r="C1230" s="556">
        <v>2038</v>
      </c>
      <c r="D1230" s="557" t="s">
        <v>4128</v>
      </c>
      <c r="E1230" s="547">
        <v>4.3847573106063423E-2</v>
      </c>
      <c r="F1230" s="548">
        <v>9.65281689756749E-2</v>
      </c>
      <c r="G1230" s="549">
        <v>7.3479438420457496E-2</v>
      </c>
      <c r="H1230" s="550">
        <v>4.0503155970665903E-3</v>
      </c>
      <c r="I1230" s="551">
        <v>4.5361901225474899E-2</v>
      </c>
      <c r="J1230" s="551">
        <v>2.9233685461191102E-2</v>
      </c>
      <c r="K1230" s="551">
        <v>1.01857967919666E-2</v>
      </c>
      <c r="L1230" s="551">
        <v>1.56001963159407E-3</v>
      </c>
      <c r="M1230" s="552">
        <v>1.0646353324095401E-2</v>
      </c>
    </row>
    <row r="1231" spans="2:13" ht="15.75" x14ac:dyDescent="0.25">
      <c r="B1231" s="555">
        <v>2042</v>
      </c>
      <c r="C1231" s="556">
        <v>2039</v>
      </c>
      <c r="D1231" s="557" t="s">
        <v>4129</v>
      </c>
      <c r="E1231" s="547">
        <v>4.3825273980600966E-2</v>
      </c>
      <c r="F1231" s="548">
        <v>9.6478141574639298E-2</v>
      </c>
      <c r="G1231" s="549">
        <v>7.1651695611817307E-2</v>
      </c>
      <c r="H1231" s="550">
        <v>4.4182687641952803E-3</v>
      </c>
      <c r="I1231" s="551">
        <v>4.2890843100658903E-2</v>
      </c>
      <c r="J1231" s="551">
        <v>3.05585094672584E-2</v>
      </c>
      <c r="K1231" s="551">
        <v>8.9669166022437394E-3</v>
      </c>
      <c r="L1231" s="551">
        <v>1.5606343606450999E-3</v>
      </c>
      <c r="M1231" s="552">
        <v>9.3723607808940904E-3</v>
      </c>
    </row>
    <row r="1232" spans="2:13" ht="15.75" x14ac:dyDescent="0.25">
      <c r="B1232" s="555">
        <v>2042</v>
      </c>
      <c r="C1232" s="556">
        <v>2040</v>
      </c>
      <c r="D1232" s="557" t="s">
        <v>4130</v>
      </c>
      <c r="E1232" s="547">
        <v>4.3799958374550897E-2</v>
      </c>
      <c r="F1232" s="548">
        <v>9.6425392572724117E-2</v>
      </c>
      <c r="G1232" s="549">
        <v>6.9731699598193503E-2</v>
      </c>
      <c r="H1232" s="550">
        <v>5.10515669530337E-3</v>
      </c>
      <c r="I1232" s="551">
        <v>4.0298721810154703E-2</v>
      </c>
      <c r="J1232" s="551">
        <v>3.3930559817851598E-2</v>
      </c>
      <c r="K1232" s="551">
        <v>7.6889490155597302E-3</v>
      </c>
      <c r="L1232" s="551">
        <v>1.5612624242456301E-3</v>
      </c>
      <c r="M1232" s="552">
        <v>8.0366091708374103E-3</v>
      </c>
    </row>
    <row r="1233" spans="2:13" ht="15.75" x14ac:dyDescent="0.25">
      <c r="B1233" s="555">
        <v>2042</v>
      </c>
      <c r="C1233" s="556">
        <v>2041</v>
      </c>
      <c r="D1233" s="557" t="s">
        <v>4131</v>
      </c>
      <c r="E1233" s="547">
        <v>4.3769338649930427E-2</v>
      </c>
      <c r="F1233" s="548">
        <v>9.6352665683096209E-2</v>
      </c>
      <c r="G1233" s="549">
        <v>6.7718263660921194E-2</v>
      </c>
      <c r="H1233" s="550">
        <v>5.5782389804349903E-3</v>
      </c>
      <c r="I1233" s="551">
        <v>3.7585060168184803E-2</v>
      </c>
      <c r="J1233" s="551">
        <v>8.9663316316635502E-2</v>
      </c>
      <c r="K1233" s="551">
        <v>6.3518141288937202E-3</v>
      </c>
      <c r="L1233" s="551">
        <v>1.5618909338659399E-3</v>
      </c>
      <c r="M1233" s="552">
        <v>6.6390149780445303E-3</v>
      </c>
    </row>
    <row r="1234" spans="2:13" ht="15.75" x14ac:dyDescent="0.25">
      <c r="B1234" s="555">
        <v>2042</v>
      </c>
      <c r="C1234" s="556">
        <v>2042</v>
      </c>
      <c r="D1234" s="557" t="s">
        <v>4132</v>
      </c>
      <c r="E1234" s="547">
        <v>4.3727093915192458E-2</v>
      </c>
      <c r="F1234" s="548">
        <v>9.6237669013567853E-2</v>
      </c>
      <c r="G1234" s="549">
        <v>6.5609981142623106E-2</v>
      </c>
      <c r="H1234" s="550">
        <v>5.4612336215030298E-3</v>
      </c>
      <c r="I1234" s="551">
        <v>3.4749416485232797E-2</v>
      </c>
      <c r="J1234" s="551">
        <v>0.11538003273083999</v>
      </c>
      <c r="K1234" s="551">
        <v>4.9554553883769496E-3</v>
      </c>
      <c r="L1234" s="551">
        <v>1.56250534029045E-3</v>
      </c>
      <c r="M1234" s="552">
        <v>5.1795190915317497E-3</v>
      </c>
    </row>
    <row r="1235" spans="2:13" ht="15.75" x14ac:dyDescent="0.25">
      <c r="B1235" s="555">
        <v>2043</v>
      </c>
      <c r="C1235" s="556">
        <v>1999</v>
      </c>
      <c r="D1235" s="557" t="s">
        <v>4133</v>
      </c>
      <c r="E1235" s="547">
        <v>6.4716380820196512E-2</v>
      </c>
      <c r="F1235" s="548">
        <v>0.13150041512220545</v>
      </c>
      <c r="G1235" s="549">
        <v>0.36710062138368199</v>
      </c>
      <c r="H1235" s="550">
        <v>2.25313022373183E-2</v>
      </c>
      <c r="I1235" s="551">
        <v>9.2069940805697392</v>
      </c>
      <c r="J1235" s="551">
        <v>0.39355017198013498</v>
      </c>
      <c r="K1235" s="551">
        <v>5.2564539489858203E-2</v>
      </c>
      <c r="L1235" s="551">
        <v>2.19817017462156E-3</v>
      </c>
      <c r="M1235" s="552">
        <v>5.4941274713900201E-2</v>
      </c>
    </row>
    <row r="1236" spans="2:13" ht="15.75" x14ac:dyDescent="0.25">
      <c r="B1236" s="555">
        <v>2043</v>
      </c>
      <c r="C1236" s="556">
        <v>2000</v>
      </c>
      <c r="D1236" s="557" t="s">
        <v>4134</v>
      </c>
      <c r="E1236" s="547">
        <v>6.44622253132867E-2</v>
      </c>
      <c r="F1236" s="548">
        <v>0.13192739662660496</v>
      </c>
      <c r="G1236" s="549">
        <v>0.36472502301807203</v>
      </c>
      <c r="H1236" s="550">
        <v>2.2730325027258601E-2</v>
      </c>
      <c r="I1236" s="551">
        <v>9.2369662958343302</v>
      </c>
      <c r="J1236" s="551">
        <v>0.39552344577832499</v>
      </c>
      <c r="K1236" s="551">
        <v>5.22243814328371E-2</v>
      </c>
      <c r="L1236" s="551">
        <v>2.2212034531036299E-3</v>
      </c>
      <c r="M1236" s="552">
        <v>5.4585736218969498E-2</v>
      </c>
    </row>
    <row r="1237" spans="2:13" ht="15.75" x14ac:dyDescent="0.25">
      <c r="B1237" s="555">
        <v>2043</v>
      </c>
      <c r="C1237" s="556">
        <v>2001</v>
      </c>
      <c r="D1237" s="557" t="s">
        <v>4135</v>
      </c>
      <c r="E1237" s="547">
        <v>6.4670108891753966E-2</v>
      </c>
      <c r="F1237" s="548">
        <v>0.13208503381627507</v>
      </c>
      <c r="G1237" s="549">
        <v>0.36724167102883798</v>
      </c>
      <c r="H1237" s="550">
        <v>2.28330810203419E-2</v>
      </c>
      <c r="I1237" s="551">
        <v>9.2029509047396605</v>
      </c>
      <c r="J1237" s="551">
        <v>0.39698830241358002</v>
      </c>
      <c r="K1237" s="551">
        <v>5.2584736158594103E-2</v>
      </c>
      <c r="L1237" s="551">
        <v>2.2339938213567401E-3</v>
      </c>
      <c r="M1237" s="552">
        <v>5.4962384586375E-2</v>
      </c>
    </row>
    <row r="1238" spans="2:13" ht="15.75" x14ac:dyDescent="0.25">
      <c r="B1238" s="555">
        <v>2043</v>
      </c>
      <c r="C1238" s="556">
        <v>2002</v>
      </c>
      <c r="D1238" s="557" t="s">
        <v>4136</v>
      </c>
      <c r="E1238" s="547">
        <v>6.4502065628578076E-2</v>
      </c>
      <c r="F1238" s="548">
        <v>0.13190123479770854</v>
      </c>
      <c r="G1238" s="549">
        <v>0.28381195983817797</v>
      </c>
      <c r="H1238" s="550">
        <v>2.2785379305372899E-2</v>
      </c>
      <c r="I1238" s="551">
        <v>7.1002975571648204</v>
      </c>
      <c r="J1238" s="551">
        <v>0.31953306135722198</v>
      </c>
      <c r="K1238" s="551">
        <v>5.2901955398657302E-2</v>
      </c>
      <c r="L1238" s="551">
        <v>2.2314476629205701E-3</v>
      </c>
      <c r="M1238" s="552">
        <v>5.5293947072834297E-2</v>
      </c>
    </row>
    <row r="1239" spans="2:13" ht="15.75" x14ac:dyDescent="0.25">
      <c r="B1239" s="555">
        <v>2043</v>
      </c>
      <c r="C1239" s="556">
        <v>2003</v>
      </c>
      <c r="D1239" s="557" t="s">
        <v>4137</v>
      </c>
      <c r="E1239" s="547">
        <v>6.419543132650217E-2</v>
      </c>
      <c r="F1239" s="548">
        <v>0.13130424799027132</v>
      </c>
      <c r="G1239" s="549">
        <v>0.28158252234597703</v>
      </c>
      <c r="H1239" s="550">
        <v>2.25444416537703E-2</v>
      </c>
      <c r="I1239" s="551">
        <v>7.1281499166021502</v>
      </c>
      <c r="J1239" s="551">
        <v>0.319439542408051</v>
      </c>
      <c r="K1239" s="551">
        <v>5.2486392915512499E-2</v>
      </c>
      <c r="L1239" s="551">
        <v>2.20835099692844E-3</v>
      </c>
      <c r="M1239" s="552">
        <v>5.48595946982329E-2</v>
      </c>
    </row>
    <row r="1240" spans="2:13" ht="15.75" x14ac:dyDescent="0.25">
      <c r="B1240" s="555">
        <v>2043</v>
      </c>
      <c r="C1240" s="556">
        <v>2004</v>
      </c>
      <c r="D1240" s="557" t="s">
        <v>4138</v>
      </c>
      <c r="E1240" s="547">
        <v>6.3963028641370906E-2</v>
      </c>
      <c r="F1240" s="548">
        <v>0.13032271380109692</v>
      </c>
      <c r="G1240" s="549">
        <v>0.23241377816523801</v>
      </c>
      <c r="H1240" s="550">
        <v>1.4772944268184301E-2</v>
      </c>
      <c r="I1240" s="551">
        <v>5.9618729916320703</v>
      </c>
      <c r="J1240" s="551">
        <v>0.270317003081739</v>
      </c>
      <c r="K1240" s="551">
        <v>5.2194789618600697E-2</v>
      </c>
      <c r="L1240" s="551">
        <v>1.43713615846566E-4</v>
      </c>
      <c r="M1240" s="552">
        <v>5.4554806394205201E-2</v>
      </c>
    </row>
    <row r="1241" spans="2:13" ht="15.75" x14ac:dyDescent="0.25">
      <c r="B1241" s="555">
        <v>2043</v>
      </c>
      <c r="C1241" s="556">
        <v>2005</v>
      </c>
      <c r="D1241" s="557" t="s">
        <v>4139</v>
      </c>
      <c r="E1241" s="547">
        <v>6.4002146204523727E-2</v>
      </c>
      <c r="F1241" s="548">
        <v>0.13067350380326861</v>
      </c>
      <c r="G1241" s="549">
        <v>0.23277454514767101</v>
      </c>
      <c r="H1241" s="550">
        <v>1.49774708902167E-2</v>
      </c>
      <c r="I1241" s="551">
        <v>5.95178719825455</v>
      </c>
      <c r="J1241" s="551">
        <v>0.27217402448838102</v>
      </c>
      <c r="K1241" s="551">
        <v>5.2275809586083202E-2</v>
      </c>
      <c r="L1241" s="551">
        <v>1.4511961908589299E-4</v>
      </c>
      <c r="M1241" s="552">
        <v>5.4639489725096503E-2</v>
      </c>
    </row>
    <row r="1242" spans="2:13" ht="15.75" x14ac:dyDescent="0.25">
      <c r="B1242" s="555">
        <v>2043</v>
      </c>
      <c r="C1242" s="556">
        <v>2006</v>
      </c>
      <c r="D1242" s="557" t="s">
        <v>4140</v>
      </c>
      <c r="E1242" s="547">
        <v>6.3827666959209606E-2</v>
      </c>
      <c r="F1242" s="548">
        <v>0.13096911341454881</v>
      </c>
      <c r="G1242" s="549">
        <v>0.231701871599338</v>
      </c>
      <c r="H1242" s="550">
        <v>1.5135069162093799E-2</v>
      </c>
      <c r="I1242" s="551">
        <v>5.96015798314893</v>
      </c>
      <c r="J1242" s="551">
        <v>0.273845872728257</v>
      </c>
      <c r="K1242" s="551">
        <v>5.2034911776036502E-2</v>
      </c>
      <c r="L1242" s="551">
        <v>1.4629743728765101E-4</v>
      </c>
      <c r="M1242" s="552">
        <v>5.4387699585047598E-2</v>
      </c>
    </row>
    <row r="1243" spans="2:13" ht="15.75" x14ac:dyDescent="0.25">
      <c r="B1243" s="555">
        <v>2043</v>
      </c>
      <c r="C1243" s="556">
        <v>2007</v>
      </c>
      <c r="D1243" s="557" t="s">
        <v>4141</v>
      </c>
      <c r="E1243" s="547">
        <v>6.3975906358389664E-2</v>
      </c>
      <c r="F1243" s="548">
        <v>0.13130980683735813</v>
      </c>
      <c r="G1243" s="549">
        <v>0.17019533337321699</v>
      </c>
      <c r="H1243" s="550">
        <v>1.5302823830133599E-2</v>
      </c>
      <c r="I1243" s="551">
        <v>3.1144579881638701</v>
      </c>
      <c r="J1243" s="551">
        <v>0.27396452003048699</v>
      </c>
      <c r="K1243" s="551">
        <v>3.7811410028837499E-2</v>
      </c>
      <c r="L1243" s="551">
        <v>1.47656789706573E-4</v>
      </c>
      <c r="M1243" s="552">
        <v>3.9521074204694501E-2</v>
      </c>
    </row>
    <row r="1244" spans="2:13" ht="15.75" x14ac:dyDescent="0.25">
      <c r="B1244" s="555">
        <v>2043</v>
      </c>
      <c r="C1244" s="556">
        <v>2008</v>
      </c>
      <c r="D1244" s="557" t="s">
        <v>4142</v>
      </c>
      <c r="E1244" s="547">
        <v>6.420509849442671E-2</v>
      </c>
      <c r="F1244" s="548">
        <v>0.13178777606237285</v>
      </c>
      <c r="G1244" s="549">
        <v>0.17231200073042099</v>
      </c>
      <c r="H1244" s="550">
        <v>1.2088804286248299E-2</v>
      </c>
      <c r="I1244" s="551">
        <v>3.1005855120882999</v>
      </c>
      <c r="J1244" s="551">
        <v>0.19315794221200899</v>
      </c>
      <c r="K1244" s="551">
        <v>3.8093988928117599E-2</v>
      </c>
      <c r="L1244" s="551">
        <v>1.7045105445272999E-4</v>
      </c>
      <c r="M1244" s="552">
        <v>3.9816430067874699E-2</v>
      </c>
    </row>
    <row r="1245" spans="2:13" ht="15.75" x14ac:dyDescent="0.25">
      <c r="B1245" s="555">
        <v>2043</v>
      </c>
      <c r="C1245" s="556">
        <v>2009</v>
      </c>
      <c r="D1245" s="557" t="s">
        <v>4143</v>
      </c>
      <c r="E1245" s="547">
        <v>6.4191311392340439E-2</v>
      </c>
      <c r="F1245" s="548">
        <v>0.13053628793620398</v>
      </c>
      <c r="G1245" s="549">
        <v>0.172447329130927</v>
      </c>
      <c r="H1245" s="550">
        <v>8.4789754470717092E-3</v>
      </c>
      <c r="I1245" s="551">
        <v>3.0985744307340002</v>
      </c>
      <c r="J1245" s="551">
        <v>0.10896811402185599</v>
      </c>
      <c r="K1245" s="551">
        <v>3.8112124711995002E-2</v>
      </c>
      <c r="L1245" s="551">
        <v>1.86915777697238E-4</v>
      </c>
      <c r="M1245" s="552">
        <v>3.9835385871422699E-2</v>
      </c>
    </row>
    <row r="1246" spans="2:13" ht="15.75" x14ac:dyDescent="0.25">
      <c r="B1246" s="555">
        <v>2043</v>
      </c>
      <c r="C1246" s="556">
        <v>2010</v>
      </c>
      <c r="D1246" s="557" t="s">
        <v>4144</v>
      </c>
      <c r="E1246" s="547">
        <v>6.4198033757234221E-2</v>
      </c>
      <c r="F1246" s="548">
        <v>0.12942908329679984</v>
      </c>
      <c r="G1246" s="549">
        <v>0.11057979367029699</v>
      </c>
      <c r="H1246" s="550">
        <v>8.2884672246165796E-3</v>
      </c>
      <c r="I1246" s="551">
        <v>0.284764795757877</v>
      </c>
      <c r="J1246" s="551">
        <v>0.108836342783122</v>
      </c>
      <c r="K1246" s="551">
        <v>2.3522119848069699E-2</v>
      </c>
      <c r="L1246" s="551">
        <v>2.2275839853739E-4</v>
      </c>
      <c r="M1246" s="552">
        <v>2.4585685729738498E-2</v>
      </c>
    </row>
    <row r="1247" spans="2:13" ht="15.75" x14ac:dyDescent="0.25">
      <c r="B1247" s="555">
        <v>2043</v>
      </c>
      <c r="C1247" s="556">
        <v>2011</v>
      </c>
      <c r="D1247" s="557" t="s">
        <v>4145</v>
      </c>
      <c r="E1247" s="547">
        <v>6.4139132217766806E-2</v>
      </c>
      <c r="F1247" s="548">
        <v>0.13108767080842157</v>
      </c>
      <c r="G1247" s="549">
        <v>0.110285693657559</v>
      </c>
      <c r="H1247" s="550">
        <v>8.6191388430666097E-3</v>
      </c>
      <c r="I1247" s="551">
        <v>0.28429612710254498</v>
      </c>
      <c r="J1247" s="551">
        <v>0.110698757279896</v>
      </c>
      <c r="K1247" s="551">
        <v>2.3498661687060302E-2</v>
      </c>
      <c r="L1247" s="551">
        <v>3.14433637734113E-4</v>
      </c>
      <c r="M1247" s="552">
        <v>2.4561166894782299E-2</v>
      </c>
    </row>
    <row r="1248" spans="2:13" ht="15.75" x14ac:dyDescent="0.25">
      <c r="B1248" s="555">
        <v>2043</v>
      </c>
      <c r="C1248" s="556">
        <v>2012</v>
      </c>
      <c r="D1248" s="557" t="s">
        <v>4146</v>
      </c>
      <c r="E1248" s="547">
        <v>6.4246201847354495E-2</v>
      </c>
      <c r="F1248" s="548">
        <v>0.13149081194522166</v>
      </c>
      <c r="G1248" s="549">
        <v>0.11168326346641599</v>
      </c>
      <c r="H1248" s="550">
        <v>8.7048678702140395E-3</v>
      </c>
      <c r="I1248" s="551">
        <v>0.28637150603146699</v>
      </c>
      <c r="J1248" s="551">
        <v>0.11146855684868</v>
      </c>
      <c r="K1248" s="551">
        <v>2.35956740619826E-2</v>
      </c>
      <c r="L1248" s="551">
        <v>4.6440588481643701E-4</v>
      </c>
      <c r="M1248" s="552">
        <v>2.4662565738812502E-2</v>
      </c>
    </row>
    <row r="1249" spans="2:13" ht="15.75" x14ac:dyDescent="0.25">
      <c r="B1249" s="555">
        <v>2043</v>
      </c>
      <c r="C1249" s="556">
        <v>2013</v>
      </c>
      <c r="D1249" s="557" t="s">
        <v>4147</v>
      </c>
      <c r="E1249" s="547">
        <v>6.410021552172214E-2</v>
      </c>
      <c r="F1249" s="548">
        <v>0.1314841417026304</v>
      </c>
      <c r="G1249" s="549">
        <v>0.110511349399132</v>
      </c>
      <c r="H1249" s="550">
        <v>8.7345834997104802E-3</v>
      </c>
      <c r="I1249" s="551">
        <v>0.28470065948293499</v>
      </c>
      <c r="J1249" s="551">
        <v>0.1110702389826</v>
      </c>
      <c r="K1249" s="551">
        <v>2.3527387478688901E-2</v>
      </c>
      <c r="L1249" s="551">
        <v>6.9578372596966497E-4</v>
      </c>
      <c r="M1249" s="552">
        <v>2.4591191539239499E-2</v>
      </c>
    </row>
    <row r="1250" spans="2:13" ht="15.75" x14ac:dyDescent="0.25">
      <c r="B1250" s="555">
        <v>2043</v>
      </c>
      <c r="C1250" s="556">
        <v>2014</v>
      </c>
      <c r="D1250" s="557" t="s">
        <v>4148</v>
      </c>
      <c r="E1250" s="547">
        <v>6.2543815681836812E-2</v>
      </c>
      <c r="F1250" s="548">
        <v>0.12931042661900069</v>
      </c>
      <c r="G1250" s="549">
        <v>0.109915991860145</v>
      </c>
      <c r="H1250" s="550">
        <v>8.7062500656663391E-3</v>
      </c>
      <c r="I1250" s="551">
        <v>0.28374818713328398</v>
      </c>
      <c r="J1250" s="551">
        <v>0.11115694497465101</v>
      </c>
      <c r="K1250" s="551">
        <v>2.3480320675155798E-2</v>
      </c>
      <c r="L1250" s="551">
        <v>9.6519606830855302E-4</v>
      </c>
      <c r="M1250" s="552">
        <v>2.4541996583706399E-2</v>
      </c>
    </row>
    <row r="1251" spans="2:13" ht="15.75" x14ac:dyDescent="0.25">
      <c r="B1251" s="555">
        <v>2043</v>
      </c>
      <c r="C1251" s="556">
        <v>2015</v>
      </c>
      <c r="D1251" s="557" t="s">
        <v>4149</v>
      </c>
      <c r="E1251" s="547">
        <v>6.2007680841731083E-2</v>
      </c>
      <c r="F1251" s="548">
        <v>0.12926405453720149</v>
      </c>
      <c r="G1251" s="549">
        <v>0.109278184644096</v>
      </c>
      <c r="H1251" s="550">
        <v>8.8367891970480804E-3</v>
      </c>
      <c r="I1251" s="551">
        <v>0.28280308333112802</v>
      </c>
      <c r="J1251" s="551">
        <v>0.11174554641168299</v>
      </c>
      <c r="K1251" s="551">
        <v>2.34323460283461E-2</v>
      </c>
      <c r="L1251" s="551">
        <v>1.23422679129198E-3</v>
      </c>
      <c r="M1251" s="552">
        <v>2.4491852736252401E-2</v>
      </c>
    </row>
    <row r="1252" spans="2:13" ht="15.75" x14ac:dyDescent="0.25">
      <c r="B1252" s="555">
        <v>2043</v>
      </c>
      <c r="C1252" s="556">
        <v>2016</v>
      </c>
      <c r="D1252" s="557" t="s">
        <v>4150</v>
      </c>
      <c r="E1252" s="547">
        <v>5.998851688105989E-2</v>
      </c>
      <c r="F1252" s="548">
        <v>0.12532696405159738</v>
      </c>
      <c r="G1252" s="549">
        <v>0.10851118284928001</v>
      </c>
      <c r="H1252" s="550">
        <v>8.0719418864612803E-3</v>
      </c>
      <c r="I1252" s="551">
        <v>0.24690308543812201</v>
      </c>
      <c r="J1252" s="551">
        <v>9.8100745013275994E-2</v>
      </c>
      <c r="K1252" s="551">
        <v>2.33751437927999E-2</v>
      </c>
      <c r="L1252" s="551">
        <v>1.3891741218086701E-3</v>
      </c>
      <c r="M1252" s="552">
        <v>2.4432064069446001E-2</v>
      </c>
    </row>
    <row r="1253" spans="2:13" ht="15.75" x14ac:dyDescent="0.25">
      <c r="B1253" s="555">
        <v>2043</v>
      </c>
      <c r="C1253" s="556">
        <v>2017</v>
      </c>
      <c r="D1253" s="557" t="s">
        <v>4151</v>
      </c>
      <c r="E1253" s="547">
        <v>5.6480820079836222E-2</v>
      </c>
      <c r="F1253" s="548">
        <v>0.12140996112428314</v>
      </c>
      <c r="G1253" s="549">
        <v>9.0793308574656895E-2</v>
      </c>
      <c r="H1253" s="550">
        <v>7.2659491243077601E-3</v>
      </c>
      <c r="I1253" s="551">
        <v>0.19264756541144201</v>
      </c>
      <c r="J1253" s="551">
        <v>8.4757276307266496E-2</v>
      </c>
      <c r="K1253" s="551">
        <v>2.2203274031150601E-2</v>
      </c>
      <c r="L1253" s="551">
        <v>1.4477500487244299E-3</v>
      </c>
      <c r="M1253" s="552">
        <v>2.3207207557269901E-2</v>
      </c>
    </row>
    <row r="1254" spans="2:13" ht="15.75" x14ac:dyDescent="0.25">
      <c r="B1254" s="555">
        <v>2043</v>
      </c>
      <c r="C1254" s="556">
        <v>2018</v>
      </c>
      <c r="D1254" s="557" t="s">
        <v>4152</v>
      </c>
      <c r="E1254" s="547">
        <v>5.2736961935643915E-2</v>
      </c>
      <c r="F1254" s="548">
        <v>0.11620332771782514</v>
      </c>
      <c r="G1254" s="549">
        <v>9.0848346609747804E-2</v>
      </c>
      <c r="H1254" s="550">
        <v>6.5423852947974898E-3</v>
      </c>
      <c r="I1254" s="551">
        <v>0.15743343074966201</v>
      </c>
      <c r="J1254" s="551">
        <v>7.1020721338178799E-2</v>
      </c>
      <c r="K1254" s="551">
        <v>2.2206686289586101E-2</v>
      </c>
      <c r="L1254" s="551">
        <v>1.5084319083893301E-3</v>
      </c>
      <c r="M1254" s="552">
        <v>2.32107741028902E-2</v>
      </c>
    </row>
    <row r="1255" spans="2:13" ht="15.75" x14ac:dyDescent="0.25">
      <c r="B1255" s="555">
        <v>2043</v>
      </c>
      <c r="C1255" s="556">
        <v>2019</v>
      </c>
      <c r="D1255" s="557" t="s">
        <v>4153</v>
      </c>
      <c r="E1255" s="547">
        <v>5.2717459262353029E-2</v>
      </c>
      <c r="F1255" s="548">
        <v>0.11615171342227333</v>
      </c>
      <c r="G1255" s="549">
        <v>9.0904992760133793E-2</v>
      </c>
      <c r="H1255" s="550">
        <v>5.9179632470914003E-3</v>
      </c>
      <c r="I1255" s="551">
        <v>0.13569581948105899</v>
      </c>
      <c r="J1255" s="551">
        <v>6.1739040181320197E-2</v>
      </c>
      <c r="K1255" s="551">
        <v>2.2210186414122899E-2</v>
      </c>
      <c r="L1255" s="551">
        <v>1.54908489266085E-3</v>
      </c>
      <c r="M1255" s="552">
        <v>2.3214432487527002E-2</v>
      </c>
    </row>
    <row r="1256" spans="2:13" ht="15.75" x14ac:dyDescent="0.25">
      <c r="B1256" s="555">
        <v>2043</v>
      </c>
      <c r="C1256" s="556">
        <v>2020</v>
      </c>
      <c r="D1256" s="557" t="s">
        <v>4154</v>
      </c>
      <c r="E1256" s="547">
        <v>5.2698252880332523E-2</v>
      </c>
      <c r="F1256" s="548">
        <v>0.11610109739183827</v>
      </c>
      <c r="G1256" s="549">
        <v>9.0889623711188305E-2</v>
      </c>
      <c r="H1256" s="550">
        <v>5.28755813619417E-3</v>
      </c>
      <c r="I1256" s="551">
        <v>0.113445150641848</v>
      </c>
      <c r="J1256" s="551">
        <v>5.2975831825392998E-2</v>
      </c>
      <c r="K1256" s="551">
        <v>2.2165831801336799E-2</v>
      </c>
      <c r="L1256" s="551">
        <v>1.5495997694557899E-3</v>
      </c>
      <c r="M1256" s="552">
        <v>2.3168072355971299E-2</v>
      </c>
    </row>
    <row r="1257" spans="2:13" ht="15.75" x14ac:dyDescent="0.25">
      <c r="B1257" s="555">
        <v>2043</v>
      </c>
      <c r="C1257" s="556">
        <v>2021</v>
      </c>
      <c r="D1257" s="557" t="s">
        <v>4155</v>
      </c>
      <c r="E1257" s="547">
        <v>5.1362426171960754E-2</v>
      </c>
      <c r="F1257" s="548">
        <v>0.11315728930237683</v>
      </c>
      <c r="G1257" s="549">
        <v>9.0787212426247502E-2</v>
      </c>
      <c r="H1257" s="550">
        <v>4.6738188551991699E-3</v>
      </c>
      <c r="I1257" s="551">
        <v>9.1438201581426695E-2</v>
      </c>
      <c r="J1257" s="551">
        <v>4.38967168316571E-2</v>
      </c>
      <c r="K1257" s="551">
        <v>2.2063164880159199E-2</v>
      </c>
      <c r="L1257" s="551">
        <v>1.55013593742238E-3</v>
      </c>
      <c r="M1257" s="552">
        <v>2.30607632921958E-2</v>
      </c>
    </row>
    <row r="1258" spans="2:13" ht="15.75" x14ac:dyDescent="0.25">
      <c r="B1258" s="555">
        <v>2043</v>
      </c>
      <c r="C1258" s="556">
        <v>2022</v>
      </c>
      <c r="D1258" s="557" t="s">
        <v>4156</v>
      </c>
      <c r="E1258" s="547">
        <v>5.0080337030748261E-2</v>
      </c>
      <c r="F1258" s="548">
        <v>0.11033168203163195</v>
      </c>
      <c r="G1258" s="549">
        <v>9.05951399940398E-2</v>
      </c>
      <c r="H1258" s="550">
        <v>4.05574381461933E-3</v>
      </c>
      <c r="I1258" s="551">
        <v>6.8965619613077705E-2</v>
      </c>
      <c r="J1258" s="551">
        <v>3.4870590354161603E-2</v>
      </c>
      <c r="K1258" s="551">
        <v>2.1901992277727898E-2</v>
      </c>
      <c r="L1258" s="551">
        <v>1.5506711014290099E-3</v>
      </c>
      <c r="M1258" s="552">
        <v>2.2892303179875399E-2</v>
      </c>
    </row>
    <row r="1259" spans="2:13" ht="15.75" x14ac:dyDescent="0.25">
      <c r="B1259" s="555">
        <v>2043</v>
      </c>
      <c r="C1259" s="556">
        <v>2023</v>
      </c>
      <c r="D1259" s="557" t="s">
        <v>4157</v>
      </c>
      <c r="E1259" s="547">
        <v>4.8799367699084654E-2</v>
      </c>
      <c r="F1259" s="548">
        <v>0.10751109455891689</v>
      </c>
      <c r="G1259" s="549">
        <v>9.0314751273839505E-2</v>
      </c>
      <c r="H1259" s="550">
        <v>4.0634673985853404E-3</v>
      </c>
      <c r="I1259" s="551">
        <v>6.8534698505511402E-2</v>
      </c>
      <c r="J1259" s="551">
        <v>3.4172311267716297E-2</v>
      </c>
      <c r="K1259" s="551">
        <v>2.16823908085285E-2</v>
      </c>
      <c r="L1259" s="551">
        <v>1.5512188671954099E-3</v>
      </c>
      <c r="M1259" s="552">
        <v>2.2662772306705999E-2</v>
      </c>
    </row>
    <row r="1260" spans="2:13" ht="15.75" x14ac:dyDescent="0.25">
      <c r="B1260" s="555">
        <v>2043</v>
      </c>
      <c r="C1260" s="556">
        <v>2024</v>
      </c>
      <c r="D1260" s="557" t="s">
        <v>4158</v>
      </c>
      <c r="E1260" s="547">
        <v>4.757199028198178E-2</v>
      </c>
      <c r="F1260" s="548">
        <v>0.10480804671183454</v>
      </c>
      <c r="G1260" s="549">
        <v>8.9944314197708403E-2</v>
      </c>
      <c r="H1260" s="550">
        <v>4.0690025336880499E-3</v>
      </c>
      <c r="I1260" s="551">
        <v>6.7984581682520306E-2</v>
      </c>
      <c r="J1260" s="551">
        <v>3.4815727777762102E-2</v>
      </c>
      <c r="K1260" s="551">
        <v>2.1404231518011099E-2</v>
      </c>
      <c r="L1260" s="551">
        <v>1.5517656275447799E-3</v>
      </c>
      <c r="M1260" s="552">
        <v>2.23720358873848E-2</v>
      </c>
    </row>
    <row r="1261" spans="2:13" ht="15.75" x14ac:dyDescent="0.25">
      <c r="B1261" s="555">
        <v>2043</v>
      </c>
      <c r="C1261" s="556">
        <v>2025</v>
      </c>
      <c r="D1261" s="557" t="s">
        <v>4159</v>
      </c>
      <c r="E1261" s="547">
        <v>4.6345628781719106E-2</v>
      </c>
      <c r="F1261" s="548">
        <v>0.10210697539536999</v>
      </c>
      <c r="G1261" s="549">
        <v>8.9485235714632502E-2</v>
      </c>
      <c r="H1261" s="550">
        <v>4.06064972467623E-3</v>
      </c>
      <c r="I1261" s="551">
        <v>6.7315760843220399E-2</v>
      </c>
      <c r="J1261" s="551">
        <v>3.3715111831113601E-2</v>
      </c>
      <c r="K1261" s="551">
        <v>2.1067586558605699E-2</v>
      </c>
      <c r="L1261" s="551">
        <v>1.5523259383205901E-3</v>
      </c>
      <c r="M1261" s="552">
        <v>2.2020169336755099E-2</v>
      </c>
    </row>
    <row r="1262" spans="2:13" ht="15.75" x14ac:dyDescent="0.25">
      <c r="B1262" s="555">
        <v>2043</v>
      </c>
      <c r="C1262" s="556">
        <v>2026</v>
      </c>
      <c r="D1262" s="557" t="s">
        <v>4160</v>
      </c>
      <c r="E1262" s="547">
        <v>4.5172716274887587E-2</v>
      </c>
      <c r="F1262" s="548">
        <v>9.9523075481369766E-2</v>
      </c>
      <c r="G1262" s="549">
        <v>8.8935791153873803E-2</v>
      </c>
      <c r="H1262" s="550">
        <v>4.0476847758913401E-3</v>
      </c>
      <c r="I1262" s="551">
        <v>6.6534700051576606E-2</v>
      </c>
      <c r="J1262" s="551">
        <v>3.4147512145860301E-2</v>
      </c>
      <c r="K1262" s="551">
        <v>2.0672322017996798E-2</v>
      </c>
      <c r="L1262" s="551">
        <v>1.55288537185538E-3</v>
      </c>
      <c r="M1262" s="552">
        <v>2.16070326875803E-2</v>
      </c>
    </row>
    <row r="1263" spans="2:13" ht="15.75" x14ac:dyDescent="0.25">
      <c r="B1263" s="555">
        <v>2043</v>
      </c>
      <c r="C1263" s="556">
        <v>2027</v>
      </c>
      <c r="D1263" s="557" t="s">
        <v>4161</v>
      </c>
      <c r="E1263" s="547">
        <v>4.4053371967324381E-2</v>
      </c>
      <c r="F1263" s="548">
        <v>9.7056902743268572E-2</v>
      </c>
      <c r="G1263" s="549">
        <v>8.8298513257820996E-2</v>
      </c>
      <c r="H1263" s="550">
        <v>4.0236957124236503E-3</v>
      </c>
      <c r="I1263" s="551">
        <v>6.5627874804825195E-2</v>
      </c>
      <c r="J1263" s="551">
        <v>3.3372844840099801E-2</v>
      </c>
      <c r="K1263" s="551">
        <v>2.0218591314279E-2</v>
      </c>
      <c r="L1263" s="551">
        <v>1.5534708526451801E-3</v>
      </c>
      <c r="M1263" s="552">
        <v>2.11327862948405E-2</v>
      </c>
    </row>
    <row r="1264" spans="2:13" ht="15.75" x14ac:dyDescent="0.25">
      <c r="B1264" s="555">
        <v>2043</v>
      </c>
      <c r="C1264" s="556">
        <v>2028</v>
      </c>
      <c r="D1264" s="557" t="s">
        <v>4162</v>
      </c>
      <c r="E1264" s="547">
        <v>4.403827722256852E-2</v>
      </c>
      <c r="F1264" s="548">
        <v>9.7017884972642188E-2</v>
      </c>
      <c r="G1264" s="549">
        <v>8.7569728157948099E-2</v>
      </c>
      <c r="H1264" s="550">
        <v>4.0097752314718401E-3</v>
      </c>
      <c r="I1264" s="551">
        <v>6.4601075074643702E-2</v>
      </c>
      <c r="J1264" s="551">
        <v>3.3289037132494197E-2</v>
      </c>
      <c r="K1264" s="551">
        <v>1.97061313235458E-2</v>
      </c>
      <c r="L1264" s="551">
        <v>1.5540488207933501E-3</v>
      </c>
      <c r="M1264" s="552">
        <v>2.05971551373339E-2</v>
      </c>
    </row>
    <row r="1265" spans="2:13" ht="15.75" x14ac:dyDescent="0.25">
      <c r="B1265" s="555">
        <v>2043</v>
      </c>
      <c r="C1265" s="556">
        <v>2029</v>
      </c>
      <c r="D1265" s="557" t="s">
        <v>4163</v>
      </c>
      <c r="E1265" s="547">
        <v>4.4023145595382701E-2</v>
      </c>
      <c r="F1265" s="548">
        <v>9.6979030971263883E-2</v>
      </c>
      <c r="G1265" s="549">
        <v>8.6750383359873506E-2</v>
      </c>
      <c r="H1265" s="550">
        <v>3.99945065926007E-3</v>
      </c>
      <c r="I1265" s="551">
        <v>6.3454584553054999E-2</v>
      </c>
      <c r="J1265" s="551">
        <v>3.3204448959217897E-2</v>
      </c>
      <c r="K1265" s="551">
        <v>1.9134972670759101E-2</v>
      </c>
      <c r="L1265" s="551">
        <v>1.5546297184852701E-3</v>
      </c>
      <c r="M1265" s="552">
        <v>2.00001712247471E-2</v>
      </c>
    </row>
    <row r="1266" spans="2:13" ht="15.75" x14ac:dyDescent="0.25">
      <c r="B1266" s="555">
        <v>2043</v>
      </c>
      <c r="C1266" s="556">
        <v>2030</v>
      </c>
      <c r="D1266" s="557" t="s">
        <v>4164</v>
      </c>
      <c r="E1266" s="547">
        <v>4.4008021507509758E-2</v>
      </c>
      <c r="F1266" s="548">
        <v>9.6940482728069946E-2</v>
      </c>
      <c r="G1266" s="549">
        <v>8.5841453756049999E-2</v>
      </c>
      <c r="H1266" s="550">
        <v>3.9980964390800402E-3</v>
      </c>
      <c r="I1266" s="551">
        <v>6.2188739148802602E-2</v>
      </c>
      <c r="J1266" s="551">
        <v>3.2153899497154199E-2</v>
      </c>
      <c r="K1266" s="551">
        <v>1.85051626405222E-2</v>
      </c>
      <c r="L1266" s="551">
        <v>1.55522598343518E-3</v>
      </c>
      <c r="M1266" s="552">
        <v>1.9341883979683599E-2</v>
      </c>
    </row>
    <row r="1267" spans="2:13" ht="15.75" x14ac:dyDescent="0.25">
      <c r="B1267" s="555">
        <v>2043</v>
      </c>
      <c r="C1267" s="556">
        <v>2031</v>
      </c>
      <c r="D1267" s="557" t="s">
        <v>4165</v>
      </c>
      <c r="E1267" s="547">
        <v>4.3992678764237021E-2</v>
      </c>
      <c r="F1267" s="548">
        <v>9.6901638866714906E-2</v>
      </c>
      <c r="G1267" s="549">
        <v>8.4840353010322306E-2</v>
      </c>
      <c r="H1267" s="550">
        <v>4.0068928960713401E-3</v>
      </c>
      <c r="I1267" s="551">
        <v>6.0802474689516398E-2</v>
      </c>
      <c r="J1267" s="551">
        <v>3.2611211221858803E-2</v>
      </c>
      <c r="K1267" s="551">
        <v>1.7816509945737601E-2</v>
      </c>
      <c r="L1267" s="551">
        <v>1.55581273050044E-3</v>
      </c>
      <c r="M1267" s="552">
        <v>1.8622093465891901E-2</v>
      </c>
    </row>
    <row r="1268" spans="2:13" ht="15.75" x14ac:dyDescent="0.25">
      <c r="B1268" s="555">
        <v>2043</v>
      </c>
      <c r="C1268" s="556">
        <v>2032</v>
      </c>
      <c r="D1268" s="557" t="s">
        <v>4166</v>
      </c>
      <c r="E1268" s="547">
        <v>4.3977205307062985E-2</v>
      </c>
      <c r="F1268" s="548">
        <v>9.6862703825169441E-2</v>
      </c>
      <c r="G1268" s="549">
        <v>8.3748811804553402E-2</v>
      </c>
      <c r="H1268" s="550">
        <v>4.0307707189457297E-3</v>
      </c>
      <c r="I1268" s="551">
        <v>5.92964186035074E-2</v>
      </c>
      <c r="J1268" s="551">
        <v>3.2306105987927602E-2</v>
      </c>
      <c r="K1268" s="551">
        <v>1.70691092650735E-2</v>
      </c>
      <c r="L1268" s="551">
        <v>1.55641036207741E-3</v>
      </c>
      <c r="M1268" s="552">
        <v>1.78408986429896E-2</v>
      </c>
    </row>
    <row r="1269" spans="2:13" ht="15.75" x14ac:dyDescent="0.25">
      <c r="B1269" s="555">
        <v>2043</v>
      </c>
      <c r="C1269" s="556">
        <v>2033</v>
      </c>
      <c r="D1269" s="557" t="s">
        <v>4167</v>
      </c>
      <c r="E1269" s="547">
        <v>4.3961429258498698E-2</v>
      </c>
      <c r="F1269" s="548">
        <v>9.6823022998495836E-2</v>
      </c>
      <c r="G1269" s="549">
        <v>8.2565250927303602E-2</v>
      </c>
      <c r="H1269" s="550">
        <v>4.0557368324633802E-3</v>
      </c>
      <c r="I1269" s="551">
        <v>5.7669897467303201E-2</v>
      </c>
      <c r="J1269" s="551">
        <v>3.1833709014694102E-2</v>
      </c>
      <c r="K1269" s="551">
        <v>1.6262835339726701E-2</v>
      </c>
      <c r="L1269" s="551">
        <v>1.55700470981553E-3</v>
      </c>
      <c r="M1269" s="552">
        <v>1.69981685885261E-2</v>
      </c>
    </row>
    <row r="1270" spans="2:13" ht="15.75" x14ac:dyDescent="0.25">
      <c r="B1270" s="555">
        <v>2043</v>
      </c>
      <c r="C1270" s="556">
        <v>2034</v>
      </c>
      <c r="D1270" s="557" t="s">
        <v>4168</v>
      </c>
      <c r="E1270" s="547">
        <v>4.3945349037985061E-2</v>
      </c>
      <c r="F1270" s="548">
        <v>9.6782360287233818E-2</v>
      </c>
      <c r="G1270" s="549">
        <v>8.1290579954338194E-2</v>
      </c>
      <c r="H1270" s="550">
        <v>4.0740782768339898E-3</v>
      </c>
      <c r="I1270" s="551">
        <v>5.5923189763215003E-2</v>
      </c>
      <c r="J1270" s="551">
        <v>3.1548294174977801E-2</v>
      </c>
      <c r="K1270" s="551">
        <v>1.5397718942515E-2</v>
      </c>
      <c r="L1270" s="551">
        <v>1.55760682241904E-3</v>
      </c>
      <c r="M1270" s="552">
        <v>1.60939354667296E-2</v>
      </c>
    </row>
    <row r="1271" spans="2:13" ht="15.75" x14ac:dyDescent="0.25">
      <c r="B1271" s="555">
        <v>2043</v>
      </c>
      <c r="C1271" s="556">
        <v>2035</v>
      </c>
      <c r="D1271" s="557" t="s">
        <v>4169</v>
      </c>
      <c r="E1271" s="547">
        <v>4.39289155756507E-2</v>
      </c>
      <c r="F1271" s="548">
        <v>9.6740286530346969E-2</v>
      </c>
      <c r="G1271" s="549">
        <v>7.9925250812213702E-2</v>
      </c>
      <c r="H1271" s="550">
        <v>4.0752394284343596E-3</v>
      </c>
      <c r="I1271" s="551">
        <v>5.4056393145034298E-2</v>
      </c>
      <c r="J1271" s="551">
        <v>3.09230239697534E-2</v>
      </c>
      <c r="K1271" s="551">
        <v>1.4473758884232E-2</v>
      </c>
      <c r="L1271" s="551">
        <v>1.55822457349327E-3</v>
      </c>
      <c r="M1271" s="552">
        <v>1.51281980346231E-2</v>
      </c>
    </row>
    <row r="1272" spans="2:13" ht="15.75" x14ac:dyDescent="0.25">
      <c r="B1272" s="555">
        <v>2043</v>
      </c>
      <c r="C1272" s="556">
        <v>2036</v>
      </c>
      <c r="D1272" s="557" t="s">
        <v>4170</v>
      </c>
      <c r="E1272" s="547">
        <v>4.3911743827556582E-2</v>
      </c>
      <c r="F1272" s="548">
        <v>9.6695520738165217E-2</v>
      </c>
      <c r="G1272" s="549">
        <v>7.8466037017864698E-2</v>
      </c>
      <c r="H1272" s="550">
        <v>4.0472867420998796E-3</v>
      </c>
      <c r="I1272" s="551">
        <v>5.20682737784443E-2</v>
      </c>
      <c r="J1272" s="551">
        <v>3.07108738986397E-2</v>
      </c>
      <c r="K1272" s="551">
        <v>1.3490753553051699E-2</v>
      </c>
      <c r="L1272" s="551">
        <v>1.5588254820763901E-3</v>
      </c>
      <c r="M1272" s="552">
        <v>1.41007455643884E-2</v>
      </c>
    </row>
    <row r="1273" spans="2:13" ht="15.75" x14ac:dyDescent="0.25">
      <c r="B1273" s="555">
        <v>2043</v>
      </c>
      <c r="C1273" s="556">
        <v>2037</v>
      </c>
      <c r="D1273" s="557" t="s">
        <v>4171</v>
      </c>
      <c r="E1273" s="547">
        <v>4.3893851513591271E-2</v>
      </c>
      <c r="F1273" s="548">
        <v>9.6648258509801077E-2</v>
      </c>
      <c r="G1273" s="549">
        <v>7.6915249258402305E-2</v>
      </c>
      <c r="H1273" s="550">
        <v>3.99142117926216E-3</v>
      </c>
      <c r="I1273" s="551">
        <v>4.9959625944322898E-2</v>
      </c>
      <c r="J1273" s="551">
        <v>2.9919000498479498E-2</v>
      </c>
      <c r="K1273" s="551">
        <v>1.2448810691016301E-2</v>
      </c>
      <c r="L1273" s="551">
        <v>1.55943663096426E-3</v>
      </c>
      <c r="M1273" s="552">
        <v>1.3011690669684699E-2</v>
      </c>
    </row>
    <row r="1274" spans="2:13" ht="15.75" x14ac:dyDescent="0.25">
      <c r="B1274" s="555">
        <v>2043</v>
      </c>
      <c r="C1274" s="556">
        <v>2038</v>
      </c>
      <c r="D1274" s="557" t="s">
        <v>4172</v>
      </c>
      <c r="E1274" s="547">
        <v>4.387493221432591E-2</v>
      </c>
      <c r="F1274" s="548">
        <v>9.6598687850364059E-2</v>
      </c>
      <c r="G1274" s="549">
        <v>7.5272124760129996E-2</v>
      </c>
      <c r="H1274" s="550">
        <v>3.9489272239287701E-3</v>
      </c>
      <c r="I1274" s="551">
        <v>4.7730075453480597E-2</v>
      </c>
      <c r="J1274" s="551">
        <v>2.9189752718309699E-2</v>
      </c>
      <c r="K1274" s="551">
        <v>1.13478533056955E-2</v>
      </c>
      <c r="L1274" s="551">
        <v>1.5600521037127499E-3</v>
      </c>
      <c r="M1274" s="552">
        <v>1.18609528768258E-2</v>
      </c>
    </row>
    <row r="1275" spans="2:13" ht="15.75" x14ac:dyDescent="0.25">
      <c r="B1275" s="555">
        <v>2043</v>
      </c>
      <c r="C1275" s="556">
        <v>2039</v>
      </c>
      <c r="D1275" s="557" t="s">
        <v>4173</v>
      </c>
      <c r="E1275" s="547">
        <v>4.3854563368244184E-2</v>
      </c>
      <c r="F1275" s="548">
        <v>9.6548106526244376E-2</v>
      </c>
      <c r="G1275" s="549">
        <v>7.35360273348451E-2</v>
      </c>
      <c r="H1275" s="550">
        <v>4.03150822301627E-3</v>
      </c>
      <c r="I1275" s="551">
        <v>4.5379348995786502E-2</v>
      </c>
      <c r="J1275" s="551">
        <v>2.88255725415952E-2</v>
      </c>
      <c r="K1275" s="551">
        <v>1.0187828984563401E-2</v>
      </c>
      <c r="L1275" s="551">
        <v>1.56066693048211E-3</v>
      </c>
      <c r="M1275" s="552">
        <v>1.06484774034238E-2</v>
      </c>
    </row>
    <row r="1276" spans="2:13" ht="15.75" x14ac:dyDescent="0.25">
      <c r="B1276" s="555">
        <v>2043</v>
      </c>
      <c r="C1276" s="556">
        <v>2040</v>
      </c>
      <c r="D1276" s="557" t="s">
        <v>4174</v>
      </c>
      <c r="E1276" s="547">
        <v>4.3832234295854387E-2</v>
      </c>
      <c r="F1276" s="548">
        <v>9.6498604887546788E-2</v>
      </c>
      <c r="G1276" s="549">
        <v>7.1707838346556793E-2</v>
      </c>
      <c r="H1276" s="550">
        <v>4.4236417957417397E-3</v>
      </c>
      <c r="I1276" s="551">
        <v>4.2907665625077203E-2</v>
      </c>
      <c r="J1276" s="551">
        <v>3.0524143529117899E-2</v>
      </c>
      <c r="K1276" s="551">
        <v>8.9687451743515004E-3</v>
      </c>
      <c r="L1276" s="551">
        <v>1.5612950979398601E-3</v>
      </c>
      <c r="M1276" s="552">
        <v>9.3742720329183897E-3</v>
      </c>
    </row>
    <row r="1277" spans="2:13" ht="15.75" x14ac:dyDescent="0.25">
      <c r="B1277" s="555">
        <v>2043</v>
      </c>
      <c r="C1277" s="556">
        <v>2041</v>
      </c>
      <c r="D1277" s="557" t="s">
        <v>4175</v>
      </c>
      <c r="E1277" s="547">
        <v>4.3806785656802467E-2</v>
      </c>
      <c r="F1277" s="548">
        <v>9.644681567211276E-2</v>
      </c>
      <c r="G1277" s="549">
        <v>6.9786348736780496E-2</v>
      </c>
      <c r="H1277" s="550">
        <v>5.1758725278406199E-3</v>
      </c>
      <c r="I1277" s="551">
        <v>4.0314530238303503E-2</v>
      </c>
      <c r="J1277" s="551">
        <v>0.11506216704708</v>
      </c>
      <c r="K1277" s="551">
        <v>7.6905167982107602E-3</v>
      </c>
      <c r="L1277" s="551">
        <v>1.5619237166748E-3</v>
      </c>
      <c r="M1277" s="552">
        <v>8.0382478416629894E-3</v>
      </c>
    </row>
    <row r="1278" spans="2:13" ht="15.75" x14ac:dyDescent="0.25">
      <c r="B1278" s="555">
        <v>2043</v>
      </c>
      <c r="C1278" s="556">
        <v>2042</v>
      </c>
      <c r="D1278" s="557" t="s">
        <v>4176</v>
      </c>
      <c r="E1278" s="547">
        <v>4.3775892382115683E-2</v>
      </c>
      <c r="F1278" s="548">
        <v>9.6371231967799884E-2</v>
      </c>
      <c r="G1278" s="549">
        <v>6.7770113704267804E-2</v>
      </c>
      <c r="H1278" s="550">
        <v>5.5361681468886204E-3</v>
      </c>
      <c r="I1278" s="551">
        <v>3.7599475744400902E-2</v>
      </c>
      <c r="J1278" s="551">
        <v>0.205995902634312</v>
      </c>
      <c r="K1278" s="551">
        <v>6.3530811049575002E-3</v>
      </c>
      <c r="L1278" s="551">
        <v>1.56253822820288E-3</v>
      </c>
      <c r="M1278" s="552">
        <v>6.6403392411437997E-3</v>
      </c>
    </row>
    <row r="1279" spans="2:13" ht="15.75" x14ac:dyDescent="0.25">
      <c r="B1279" s="555">
        <v>2043</v>
      </c>
      <c r="C1279" s="556">
        <v>2043</v>
      </c>
      <c r="D1279" s="557" t="s">
        <v>4177</v>
      </c>
      <c r="E1279" s="547">
        <v>4.3733510180975446E-2</v>
      </c>
      <c r="F1279" s="548">
        <v>9.6256776661864954E-2</v>
      </c>
      <c r="G1279" s="549">
        <v>6.5660934803420806E-2</v>
      </c>
      <c r="H1279" s="550">
        <v>5.4694931098539902E-3</v>
      </c>
      <c r="I1279" s="551">
        <v>3.4762947540924002E-2</v>
      </c>
      <c r="J1279" s="551">
        <v>0.228011169975049</v>
      </c>
      <c r="K1279" s="551">
        <v>4.9564597707737702E-3</v>
      </c>
      <c r="L1279" s="551">
        <v>1.5631629063098001E-3</v>
      </c>
      <c r="M1279" s="552">
        <v>5.1805688876436599E-3</v>
      </c>
    </row>
    <row r="1280" spans="2:13" ht="15.75" x14ac:dyDescent="0.25">
      <c r="B1280" s="555">
        <v>2044</v>
      </c>
      <c r="C1280" s="556">
        <v>2000</v>
      </c>
      <c r="D1280" s="557" t="s">
        <v>4178</v>
      </c>
      <c r="E1280" s="547">
        <v>6.450623734519173E-2</v>
      </c>
      <c r="F1280" s="548">
        <v>0.13203355294640681</v>
      </c>
      <c r="G1280" s="549">
        <v>0.36472594543714298</v>
      </c>
      <c r="H1280" s="550">
        <v>2.2730489489771501E-2</v>
      </c>
      <c r="I1280" s="551">
        <v>9.2370778559617897</v>
      </c>
      <c r="J1280" s="551">
        <v>0.39552316723826397</v>
      </c>
      <c r="K1280" s="551">
        <v>5.2224513512519902E-2</v>
      </c>
      <c r="L1280" s="551">
        <v>2.2212142463112401E-3</v>
      </c>
      <c r="M1280" s="552">
        <v>5.4585874270709503E-2</v>
      </c>
    </row>
    <row r="1281" spans="2:13" ht="15.75" x14ac:dyDescent="0.25">
      <c r="B1281" s="555">
        <v>2044</v>
      </c>
      <c r="C1281" s="556">
        <v>2001</v>
      </c>
      <c r="D1281" s="557" t="s">
        <v>4179</v>
      </c>
      <c r="E1281" s="547">
        <v>6.4713246213494377E-2</v>
      </c>
      <c r="F1281" s="548">
        <v>0.13218924086975126</v>
      </c>
      <c r="G1281" s="549">
        <v>0.36724069279900101</v>
      </c>
      <c r="H1281" s="550">
        <v>2.2833521185348E-2</v>
      </c>
      <c r="I1281" s="551">
        <v>9.2030802893734904</v>
      </c>
      <c r="J1281" s="551">
        <v>0.396990138763122</v>
      </c>
      <c r="K1281" s="551">
        <v>5.2584596087458503E-2</v>
      </c>
      <c r="L1281" s="551">
        <v>2.2340331567995602E-3</v>
      </c>
      <c r="M1281" s="552">
        <v>5.4962238181844099E-2</v>
      </c>
    </row>
    <row r="1282" spans="2:13" ht="15.75" x14ac:dyDescent="0.25">
      <c r="B1282" s="555">
        <v>2044</v>
      </c>
      <c r="C1282" s="556">
        <v>2002</v>
      </c>
      <c r="D1282" s="557" t="s">
        <v>4180</v>
      </c>
      <c r="E1282" s="547">
        <v>6.4544362953709702E-2</v>
      </c>
      <c r="F1282" s="548">
        <v>0.13200282611651959</v>
      </c>
      <c r="G1282" s="549">
        <v>0.28381170409247702</v>
      </c>
      <c r="H1282" s="550">
        <v>2.2785801480867798E-2</v>
      </c>
      <c r="I1282" s="551">
        <v>7.1003920756097001</v>
      </c>
      <c r="J1282" s="551">
        <v>0.319534229261284</v>
      </c>
      <c r="K1282" s="551">
        <v>5.2901907728193802E-2</v>
      </c>
      <c r="L1282" s="551">
        <v>2.23148463267867E-3</v>
      </c>
      <c r="M1282" s="552">
        <v>5.5293897246923997E-2</v>
      </c>
    </row>
    <row r="1283" spans="2:13" ht="15.75" x14ac:dyDescent="0.25">
      <c r="B1283" s="555">
        <v>2044</v>
      </c>
      <c r="C1283" s="556">
        <v>2003</v>
      </c>
      <c r="D1283" s="557" t="s">
        <v>4181</v>
      </c>
      <c r="E1283" s="547">
        <v>6.4236907444587057E-2</v>
      </c>
      <c r="F1283" s="548">
        <v>0.13140453436742391</v>
      </c>
      <c r="G1283" s="549">
        <v>0.28158200511641901</v>
      </c>
      <c r="H1283" s="550">
        <v>2.2544985831225901E-2</v>
      </c>
      <c r="I1283" s="551">
        <v>7.1282628488421196</v>
      </c>
      <c r="J1283" s="551">
        <v>0.31944161670747301</v>
      </c>
      <c r="K1283" s="551">
        <v>5.24862965050054E-2</v>
      </c>
      <c r="L1283" s="551">
        <v>2.2084012949615101E-3</v>
      </c>
      <c r="M1283" s="552">
        <v>5.48594939284704E-2</v>
      </c>
    </row>
    <row r="1284" spans="2:13" ht="15.75" x14ac:dyDescent="0.25">
      <c r="B1284" s="555">
        <v>2044</v>
      </c>
      <c r="C1284" s="556">
        <v>2004</v>
      </c>
      <c r="D1284" s="557" t="s">
        <v>4182</v>
      </c>
      <c r="E1284" s="547">
        <v>6.4003883667069397E-2</v>
      </c>
      <c r="F1284" s="548">
        <v>0.13042695552464792</v>
      </c>
      <c r="G1284" s="549">
        <v>0.23241428533164199</v>
      </c>
      <c r="H1284" s="550">
        <v>1.47733798858844E-2</v>
      </c>
      <c r="I1284" s="551">
        <v>5.9619570451752804</v>
      </c>
      <c r="J1284" s="551">
        <v>0.27031916503324499</v>
      </c>
      <c r="K1284" s="551">
        <v>5.2194903516511397E-2</v>
      </c>
      <c r="L1284" s="551">
        <v>1.4371764034156801E-4</v>
      </c>
      <c r="M1284" s="552">
        <v>5.4554925442074E-2</v>
      </c>
    </row>
    <row r="1285" spans="2:13" ht="15.75" x14ac:dyDescent="0.25">
      <c r="B1285" s="555">
        <v>2044</v>
      </c>
      <c r="C1285" s="556">
        <v>2005</v>
      </c>
      <c r="D1285" s="557" t="s">
        <v>4183</v>
      </c>
      <c r="E1285" s="547">
        <v>6.4042374033082244E-2</v>
      </c>
      <c r="F1285" s="548">
        <v>0.13077570655336593</v>
      </c>
      <c r="G1285" s="549">
        <v>0.23277497939776201</v>
      </c>
      <c r="H1285" s="550">
        <v>1.4977824973754999E-2</v>
      </c>
      <c r="I1285" s="551">
        <v>5.9518604457061199</v>
      </c>
      <c r="J1285" s="551">
        <v>0.27217558747902298</v>
      </c>
      <c r="K1285" s="551">
        <v>5.2275907108666898E-2</v>
      </c>
      <c r="L1285" s="551">
        <v>1.4512281745407901E-4</v>
      </c>
      <c r="M1285" s="552">
        <v>5.46395916572186E-2</v>
      </c>
    </row>
    <row r="1286" spans="2:13" ht="15.75" x14ac:dyDescent="0.25">
      <c r="B1286" s="555">
        <v>2044</v>
      </c>
      <c r="C1286" s="556">
        <v>2006</v>
      </c>
      <c r="D1286" s="557" t="s">
        <v>4184</v>
      </c>
      <c r="E1286" s="547">
        <v>6.3867425209294157E-2</v>
      </c>
      <c r="F1286" s="548">
        <v>0.13106961991474644</v>
      </c>
      <c r="G1286" s="549">
        <v>0.231703485666376</v>
      </c>
      <c r="H1286" s="550">
        <v>1.5135552764232601E-2</v>
      </c>
      <c r="I1286" s="551">
        <v>5.9602129887705599</v>
      </c>
      <c r="J1286" s="551">
        <v>0.27384831701686102</v>
      </c>
      <c r="K1286" s="551">
        <v>5.20352742583736E-2</v>
      </c>
      <c r="L1286" s="551">
        <v>1.4630191132289201E-4</v>
      </c>
      <c r="M1286" s="552">
        <v>5.4388078457227498E-2</v>
      </c>
    </row>
    <row r="1287" spans="2:13" ht="15.75" x14ac:dyDescent="0.25">
      <c r="B1287" s="555">
        <v>2044</v>
      </c>
      <c r="C1287" s="556">
        <v>2007</v>
      </c>
      <c r="D1287" s="557" t="s">
        <v>4185</v>
      </c>
      <c r="E1287" s="547">
        <v>6.4014573557520008E-2</v>
      </c>
      <c r="F1287" s="548">
        <v>0.13140871598121495</v>
      </c>
      <c r="G1287" s="549">
        <v>0.170192813607452</v>
      </c>
      <c r="H1287" s="550">
        <v>1.53032743346304E-2</v>
      </c>
      <c r="I1287" s="551">
        <v>3.1145008147227902</v>
      </c>
      <c r="J1287" s="551">
        <v>0.27396710654369999</v>
      </c>
      <c r="K1287" s="551">
        <v>3.7811104910435302E-2</v>
      </c>
      <c r="L1287" s="551">
        <v>1.47661015102639E-4</v>
      </c>
      <c r="M1287" s="552">
        <v>3.9520755290192097E-2</v>
      </c>
    </row>
    <row r="1288" spans="2:13" ht="15.75" x14ac:dyDescent="0.25">
      <c r="B1288" s="555">
        <v>2044</v>
      </c>
      <c r="C1288" s="556">
        <v>2008</v>
      </c>
      <c r="D1288" s="557" t="s">
        <v>4186</v>
      </c>
      <c r="E1288" s="547">
        <v>6.4243411754817972E-2</v>
      </c>
      <c r="F1288" s="548">
        <v>0.13188482237586668</v>
      </c>
      <c r="G1288" s="549">
        <v>0.172311100515154</v>
      </c>
      <c r="H1288" s="550">
        <v>1.20891320276439E-2</v>
      </c>
      <c r="I1288" s="551">
        <v>3.10061540297071</v>
      </c>
      <c r="J1288" s="551">
        <v>0.19315893616778401</v>
      </c>
      <c r="K1288" s="551">
        <v>3.8093894940951799E-2</v>
      </c>
      <c r="L1288" s="551">
        <v>1.7045526321541899E-4</v>
      </c>
      <c r="M1288" s="552">
        <v>3.98163318310263E-2</v>
      </c>
    </row>
    <row r="1289" spans="2:13" ht="15.75" x14ac:dyDescent="0.25">
      <c r="B1289" s="555">
        <v>2044</v>
      </c>
      <c r="C1289" s="556">
        <v>2009</v>
      </c>
      <c r="D1289" s="557" t="s">
        <v>4187</v>
      </c>
      <c r="E1289" s="547">
        <v>6.4228924716458427E-2</v>
      </c>
      <c r="F1289" s="548">
        <v>0.13063182819437247</v>
      </c>
      <c r="G1289" s="549">
        <v>0.17244609604780001</v>
      </c>
      <c r="H1289" s="550">
        <v>8.4793683179504205E-3</v>
      </c>
      <c r="I1289" s="551">
        <v>3.0986052238431099</v>
      </c>
      <c r="J1289" s="551">
        <v>0.108969565188861</v>
      </c>
      <c r="K1289" s="551">
        <v>3.8111981598324303E-2</v>
      </c>
      <c r="L1289" s="551">
        <v>1.86924162566127E-4</v>
      </c>
      <c r="M1289" s="552">
        <v>3.9835236286787E-2</v>
      </c>
    </row>
    <row r="1290" spans="2:13" ht="15.75" x14ac:dyDescent="0.25">
      <c r="B1290" s="555">
        <v>2044</v>
      </c>
      <c r="C1290" s="556">
        <v>2010</v>
      </c>
      <c r="D1290" s="557" t="s">
        <v>4188</v>
      </c>
      <c r="E1290" s="547">
        <v>6.4234985213595427E-2</v>
      </c>
      <c r="F1290" s="548">
        <v>0.12952236564331293</v>
      </c>
      <c r="G1290" s="549">
        <v>0.110577938351808</v>
      </c>
      <c r="H1290" s="550">
        <v>8.28869376920662E-3</v>
      </c>
      <c r="I1290" s="551">
        <v>0.28476096377753102</v>
      </c>
      <c r="J1290" s="551">
        <v>0.108837088126795</v>
      </c>
      <c r="K1290" s="551">
        <v>2.35218726784816E-2</v>
      </c>
      <c r="L1290" s="551">
        <v>2.22764136127735E-4</v>
      </c>
      <c r="M1290" s="552">
        <v>2.4585427384238401E-2</v>
      </c>
    </row>
    <row r="1291" spans="2:13" ht="15.75" x14ac:dyDescent="0.25">
      <c r="B1291" s="555">
        <v>2044</v>
      </c>
      <c r="C1291" s="556">
        <v>2011</v>
      </c>
      <c r="D1291" s="557" t="s">
        <v>4189</v>
      </c>
      <c r="E1291" s="547">
        <v>6.4175540741424619E-2</v>
      </c>
      <c r="F1291" s="548">
        <v>0.13117903790447472</v>
      </c>
      <c r="G1291" s="549">
        <v>0.110283739434301</v>
      </c>
      <c r="H1291" s="550">
        <v>8.6194150290127298E-3</v>
      </c>
      <c r="I1291" s="551">
        <v>0.28429216323810103</v>
      </c>
      <c r="J1291" s="551">
        <v>0.11069959686787199</v>
      </c>
      <c r="K1291" s="551">
        <v>2.34984132466814E-2</v>
      </c>
      <c r="L1291" s="551">
        <v>3.1444301081912898E-4</v>
      </c>
      <c r="M1291" s="552">
        <v>2.4560907221031901E-2</v>
      </c>
    </row>
    <row r="1292" spans="2:13" ht="15.75" x14ac:dyDescent="0.25">
      <c r="B1292" s="555">
        <v>2044</v>
      </c>
      <c r="C1292" s="556">
        <v>2012</v>
      </c>
      <c r="D1292" s="557" t="s">
        <v>4190</v>
      </c>
      <c r="E1292" s="547">
        <v>6.4281952491839489E-2</v>
      </c>
      <c r="F1292" s="548">
        <v>0.1315818124172673</v>
      </c>
      <c r="G1292" s="549">
        <v>0.11168074837950701</v>
      </c>
      <c r="H1292" s="550">
        <v>8.7052359564581492E-3</v>
      </c>
      <c r="I1292" s="551">
        <v>0.28636666683513601</v>
      </c>
      <c r="J1292" s="551">
        <v>0.111469909662073</v>
      </c>
      <c r="K1292" s="551">
        <v>2.3595381033591802E-2</v>
      </c>
      <c r="L1292" s="551">
        <v>4.64424793835227E-4</v>
      </c>
      <c r="M1292" s="552">
        <v>2.4662259460978098E-2</v>
      </c>
    </row>
    <row r="1293" spans="2:13" ht="15.75" x14ac:dyDescent="0.25">
      <c r="B1293" s="555">
        <v>2044</v>
      </c>
      <c r="C1293" s="556">
        <v>2013</v>
      </c>
      <c r="D1293" s="557" t="s">
        <v>4191</v>
      </c>
      <c r="E1293" s="547">
        <v>6.4135730173422778E-2</v>
      </c>
      <c r="F1293" s="548">
        <v>0.1315738262416169</v>
      </c>
      <c r="G1293" s="549">
        <v>0.110510363494842</v>
      </c>
      <c r="H1293" s="550">
        <v>8.7349569422819698E-3</v>
      </c>
      <c r="I1293" s="551">
        <v>0.28469824837794</v>
      </c>
      <c r="J1293" s="551">
        <v>0.111071466178625</v>
      </c>
      <c r="K1293" s="551">
        <v>2.35272155712885E-2</v>
      </c>
      <c r="L1293" s="551">
        <v>6.95811928055689E-4</v>
      </c>
      <c r="M1293" s="552">
        <v>2.45910118589493E-2</v>
      </c>
    </row>
    <row r="1294" spans="2:13" ht="15.75" x14ac:dyDescent="0.25">
      <c r="B1294" s="555">
        <v>2044</v>
      </c>
      <c r="C1294" s="556">
        <v>2014</v>
      </c>
      <c r="D1294" s="557" t="s">
        <v>4192</v>
      </c>
      <c r="E1294" s="547">
        <v>6.2578072291687992E-2</v>
      </c>
      <c r="F1294" s="548">
        <v>0.12939717615316274</v>
      </c>
      <c r="G1294" s="549">
        <v>0.109914362043651</v>
      </c>
      <c r="H1294" s="550">
        <v>8.7064637584155398E-3</v>
      </c>
      <c r="I1294" s="551">
        <v>0.28374477767908401</v>
      </c>
      <c r="J1294" s="551">
        <v>0.111157669863478</v>
      </c>
      <c r="K1294" s="551">
        <v>2.3480099950454501E-2</v>
      </c>
      <c r="L1294" s="551">
        <v>9.6521846935517799E-4</v>
      </c>
      <c r="M1294" s="552">
        <v>2.4541765878813598E-2</v>
      </c>
    </row>
    <row r="1295" spans="2:13" ht="15.75" x14ac:dyDescent="0.25">
      <c r="B1295" s="555">
        <v>2044</v>
      </c>
      <c r="C1295" s="556">
        <v>2015</v>
      </c>
      <c r="D1295" s="557" t="s">
        <v>4193</v>
      </c>
      <c r="E1295" s="547">
        <v>6.2041094450022163E-2</v>
      </c>
      <c r="F1295" s="548">
        <v>0.12934902540005602</v>
      </c>
      <c r="G1295" s="549">
        <v>0.10927529797353</v>
      </c>
      <c r="H1295" s="550">
        <v>8.8369545191976703E-3</v>
      </c>
      <c r="I1295" s="551">
        <v>0.28279769460531901</v>
      </c>
      <c r="J1295" s="551">
        <v>0.11174588356533</v>
      </c>
      <c r="K1295" s="551">
        <v>2.3432026281806299E-2</v>
      </c>
      <c r="L1295" s="551">
        <v>1.23424731676323E-3</v>
      </c>
      <c r="M1295" s="552">
        <v>2.4491518532192901E-2</v>
      </c>
    </row>
    <row r="1296" spans="2:13" ht="15.75" x14ac:dyDescent="0.25">
      <c r="B1296" s="555">
        <v>2044</v>
      </c>
      <c r="C1296" s="556">
        <v>2016</v>
      </c>
      <c r="D1296" s="557" t="s">
        <v>4194</v>
      </c>
      <c r="E1296" s="547">
        <v>6.0020525157768345E-2</v>
      </c>
      <c r="F1296" s="548">
        <v>0.12540969565542623</v>
      </c>
      <c r="G1296" s="549">
        <v>0.10850913263549899</v>
      </c>
      <c r="H1296" s="550">
        <v>8.0721554042412994E-3</v>
      </c>
      <c r="I1296" s="551">
        <v>0.246899500943527</v>
      </c>
      <c r="J1296" s="551">
        <v>9.8101288135498302E-2</v>
      </c>
      <c r="K1296" s="551">
        <v>2.3374884734440399E-2</v>
      </c>
      <c r="L1296" s="551">
        <v>1.38920827660089E-3</v>
      </c>
      <c r="M1296" s="552">
        <v>2.4431793297617001E-2</v>
      </c>
    </row>
    <row r="1297" spans="2:13" ht="15.75" x14ac:dyDescent="0.25">
      <c r="B1297" s="555">
        <v>2044</v>
      </c>
      <c r="C1297" s="556">
        <v>2017</v>
      </c>
      <c r="D1297" s="557" t="s">
        <v>4195</v>
      </c>
      <c r="E1297" s="547">
        <v>5.6512779932012328E-2</v>
      </c>
      <c r="F1297" s="548">
        <v>0.12149086497767402</v>
      </c>
      <c r="G1297" s="549">
        <v>9.0796325265666805E-2</v>
      </c>
      <c r="H1297" s="550">
        <v>7.2660958651265799E-3</v>
      </c>
      <c r="I1297" s="551">
        <v>0.19265024439756301</v>
      </c>
      <c r="J1297" s="551">
        <v>8.4757651191045197E-2</v>
      </c>
      <c r="K1297" s="551">
        <v>2.22033842641115E-2</v>
      </c>
      <c r="L1297" s="551">
        <v>1.4477770162704801E-3</v>
      </c>
      <c r="M1297" s="552">
        <v>2.32073227744761E-2</v>
      </c>
    </row>
    <row r="1298" spans="2:13" ht="15.75" x14ac:dyDescent="0.25">
      <c r="B1298" s="555">
        <v>2044</v>
      </c>
      <c r="C1298" s="556">
        <v>2018</v>
      </c>
      <c r="D1298" s="557" t="s">
        <v>4196</v>
      </c>
      <c r="E1298" s="547">
        <v>5.2766458596208439E-2</v>
      </c>
      <c r="F1298" s="548">
        <v>0.11628010405344051</v>
      </c>
      <c r="G1298" s="549">
        <v>9.0851366011653001E-2</v>
      </c>
      <c r="H1298" s="550">
        <v>6.5425175498037497E-3</v>
      </c>
      <c r="I1298" s="551">
        <v>0.15743561144843399</v>
      </c>
      <c r="J1298" s="551">
        <v>7.1021036453585998E-2</v>
      </c>
      <c r="K1298" s="551">
        <v>2.2206796832504601E-2</v>
      </c>
      <c r="L1298" s="551">
        <v>1.50846003837951E-3</v>
      </c>
      <c r="M1298" s="552">
        <v>2.3210889644068901E-2</v>
      </c>
    </row>
    <row r="1299" spans="2:13" ht="15.75" x14ac:dyDescent="0.25">
      <c r="B1299" s="555">
        <v>2044</v>
      </c>
      <c r="C1299" s="556">
        <v>2019</v>
      </c>
      <c r="D1299" s="557" t="s">
        <v>4197</v>
      </c>
      <c r="E1299" s="547">
        <v>5.2746625785927301E-2</v>
      </c>
      <c r="F1299" s="548">
        <v>0.11622756045148525</v>
      </c>
      <c r="G1299" s="549">
        <v>9.0908016699131705E-2</v>
      </c>
      <c r="H1299" s="550">
        <v>5.91808306401264E-3</v>
      </c>
      <c r="I1299" s="551">
        <v>0.135697697584621</v>
      </c>
      <c r="J1299" s="551">
        <v>6.17393152438463E-2</v>
      </c>
      <c r="K1299" s="551">
        <v>2.22102974007602E-2</v>
      </c>
      <c r="L1299" s="551">
        <v>1.54911383211745E-3</v>
      </c>
      <c r="M1299" s="552">
        <v>2.32145484924875E-2</v>
      </c>
    </row>
    <row r="1300" spans="2:13" ht="15.75" x14ac:dyDescent="0.25">
      <c r="B1300" s="555">
        <v>2044</v>
      </c>
      <c r="C1300" s="556">
        <v>2020</v>
      </c>
      <c r="D1300" s="557" t="s">
        <v>4198</v>
      </c>
      <c r="E1300" s="547">
        <v>5.2727108913770825E-2</v>
      </c>
      <c r="F1300" s="548">
        <v>0.11617580824380422</v>
      </c>
      <c r="G1300" s="549">
        <v>9.0965782102110898E-2</v>
      </c>
      <c r="H1300" s="550">
        <v>5.2781551256364601E-3</v>
      </c>
      <c r="I1300" s="551">
        <v>0.11360565243901299</v>
      </c>
      <c r="J1300" s="551">
        <v>5.2904226467182999E-2</v>
      </c>
      <c r="K1300" s="551">
        <v>2.2213863465761499E-2</v>
      </c>
      <c r="L1300" s="551">
        <v>1.54962877880237E-3</v>
      </c>
      <c r="M1300" s="552">
        <v>2.3218275799124E-2</v>
      </c>
    </row>
    <row r="1301" spans="2:13" ht="15.75" x14ac:dyDescent="0.25">
      <c r="B1301" s="555">
        <v>2044</v>
      </c>
      <c r="C1301" s="556">
        <v>2021</v>
      </c>
      <c r="D1301" s="557" t="s">
        <v>4199</v>
      </c>
      <c r="E1301" s="547">
        <v>5.1390280839886393E-2</v>
      </c>
      <c r="F1301" s="548">
        <v>0.1132293088233802</v>
      </c>
      <c r="G1301" s="549">
        <v>9.0952657689716401E-2</v>
      </c>
      <c r="H1301" s="550">
        <v>4.6568786828366402E-3</v>
      </c>
      <c r="I1301" s="551">
        <v>9.17246642215295E-2</v>
      </c>
      <c r="J1301" s="551">
        <v>4.3795861113326597E-2</v>
      </c>
      <c r="K1301" s="551">
        <v>2.2169650248025499E-2</v>
      </c>
      <c r="L1301" s="551">
        <v>1.5501650216139099E-3</v>
      </c>
      <c r="M1301" s="552">
        <v>2.3172063455875198E-2</v>
      </c>
    </row>
    <row r="1302" spans="2:13" ht="15.75" x14ac:dyDescent="0.25">
      <c r="B1302" s="555">
        <v>2044</v>
      </c>
      <c r="C1302" s="556">
        <v>2022</v>
      </c>
      <c r="D1302" s="557" t="s">
        <v>4200</v>
      </c>
      <c r="E1302" s="547">
        <v>5.0107255967341849E-2</v>
      </c>
      <c r="F1302" s="548">
        <v>0.11040137887081911</v>
      </c>
      <c r="G1302" s="549">
        <v>9.0849986394239607E-2</v>
      </c>
      <c r="H1302" s="550">
        <v>4.0386627070152798E-3</v>
      </c>
      <c r="I1302" s="551">
        <v>6.9301479137825694E-2</v>
      </c>
      <c r="J1302" s="551">
        <v>3.4815230441785798E-2</v>
      </c>
      <c r="K1302" s="551">
        <v>2.2066950471162999E-2</v>
      </c>
      <c r="L1302" s="551">
        <v>1.5507002598953001E-3</v>
      </c>
      <c r="M1302" s="552">
        <v>2.30647200508265E-2</v>
      </c>
    </row>
    <row r="1303" spans="2:13" ht="15.75" x14ac:dyDescent="0.25">
      <c r="B1303" s="555">
        <v>2044</v>
      </c>
      <c r="C1303" s="556">
        <v>2023</v>
      </c>
      <c r="D1303" s="557" t="s">
        <v>4201</v>
      </c>
      <c r="E1303" s="547">
        <v>4.8825388810290228E-2</v>
      </c>
      <c r="F1303" s="548">
        <v>0.10757882478114546</v>
      </c>
      <c r="G1303" s="549">
        <v>9.0659118698984298E-2</v>
      </c>
      <c r="H1303" s="550">
        <v>4.0500083548074498E-3</v>
      </c>
      <c r="I1303" s="551">
        <v>6.8989467894344694E-2</v>
      </c>
      <c r="J1303" s="551">
        <v>3.4170897233310099E-2</v>
      </c>
      <c r="K1303" s="551">
        <v>2.1905841939422101E-2</v>
      </c>
      <c r="L1303" s="551">
        <v>1.55124810277856E-3</v>
      </c>
      <c r="M1303" s="552">
        <v>2.2896326906188799E-2</v>
      </c>
    </row>
    <row r="1304" spans="2:13" ht="15.75" x14ac:dyDescent="0.25">
      <c r="B1304" s="555">
        <v>2044</v>
      </c>
      <c r="C1304" s="556">
        <v>2024</v>
      </c>
      <c r="D1304" s="557" t="s">
        <v>4202</v>
      </c>
      <c r="E1304" s="547">
        <v>4.7597175099618881E-2</v>
      </c>
      <c r="F1304" s="548">
        <v>0.10487409276627463</v>
      </c>
      <c r="G1304" s="549">
        <v>9.0378318114127804E-2</v>
      </c>
      <c r="H1304" s="550">
        <v>4.0645440961301601E-3</v>
      </c>
      <c r="I1304" s="551">
        <v>6.8558337366147595E-2</v>
      </c>
      <c r="J1304" s="551">
        <v>3.4916973497675301E-2</v>
      </c>
      <c r="K1304" s="551">
        <v>2.1686195086033401E-2</v>
      </c>
      <c r="L1304" s="551">
        <v>1.5517949325458899E-3</v>
      </c>
      <c r="M1304" s="552">
        <v>2.2666748596758299E-2</v>
      </c>
    </row>
    <row r="1305" spans="2:13" ht="15.75" x14ac:dyDescent="0.25">
      <c r="B1305" s="555">
        <v>2044</v>
      </c>
      <c r="C1305" s="556">
        <v>2025</v>
      </c>
      <c r="D1305" s="557" t="s">
        <v>4203</v>
      </c>
      <c r="E1305" s="547">
        <v>4.6370012566162459E-2</v>
      </c>
      <c r="F1305" s="548">
        <v>0.10217147982339472</v>
      </c>
      <c r="G1305" s="549">
        <v>9.0009000709544304E-2</v>
      </c>
      <c r="H1305" s="550">
        <v>4.0671631435649797E-3</v>
      </c>
      <c r="I1305" s="551">
        <v>6.8008585398155005E-2</v>
      </c>
      <c r="J1305" s="551">
        <v>3.3898599141718E-2</v>
      </c>
      <c r="K1305" s="551">
        <v>2.1408083684696901E-2</v>
      </c>
      <c r="L1305" s="551">
        <v>1.5523553094588399E-3</v>
      </c>
      <c r="M1305" s="552">
        <v>2.2376062231954399E-2</v>
      </c>
    </row>
    <row r="1306" spans="2:13" ht="15.75" x14ac:dyDescent="0.25">
      <c r="B1306" s="555">
        <v>2044</v>
      </c>
      <c r="C1306" s="556">
        <v>2026</v>
      </c>
      <c r="D1306" s="557" t="s">
        <v>4204</v>
      </c>
      <c r="E1306" s="547">
        <v>4.5196363879610679E-2</v>
      </c>
      <c r="F1306" s="548">
        <v>9.9586165006937163E-2</v>
      </c>
      <c r="G1306" s="549">
        <v>8.9549436084096407E-2</v>
      </c>
      <c r="H1306" s="550">
        <v>4.0650867612315403E-3</v>
      </c>
      <c r="I1306" s="551">
        <v>6.7346759754942698E-2</v>
      </c>
      <c r="J1306" s="551">
        <v>3.4429378372008601E-2</v>
      </c>
      <c r="K1306" s="551">
        <v>2.10713727409979E-2</v>
      </c>
      <c r="L1306" s="551">
        <v>1.5529148102103501E-3</v>
      </c>
      <c r="M1306" s="552">
        <v>2.20241267135141E-2</v>
      </c>
    </row>
    <row r="1307" spans="2:13" ht="15.75" x14ac:dyDescent="0.25">
      <c r="B1307" s="555">
        <v>2044</v>
      </c>
      <c r="C1307" s="556">
        <v>2027</v>
      </c>
      <c r="D1307" s="557" t="s">
        <v>4205</v>
      </c>
      <c r="E1307" s="547">
        <v>4.407634400408976E-2</v>
      </c>
      <c r="F1307" s="548">
        <v>9.7118590606892694E-2</v>
      </c>
      <c r="G1307" s="549">
        <v>8.9002176496657703E-2</v>
      </c>
      <c r="H1307" s="550">
        <v>4.0469031524742799E-3</v>
      </c>
      <c r="I1307" s="551">
        <v>6.6559187656519497E-2</v>
      </c>
      <c r="J1307" s="551">
        <v>3.3714952159717801E-2</v>
      </c>
      <c r="K1307" s="551">
        <v>2.0676219674313601E-2</v>
      </c>
      <c r="L1307" s="551">
        <v>1.5535003433580601E-3</v>
      </c>
      <c r="M1307" s="552">
        <v>2.1611106578620101E-2</v>
      </c>
    </row>
    <row r="1308" spans="2:13" ht="15.75" x14ac:dyDescent="0.25">
      <c r="B1308" s="555">
        <v>2044</v>
      </c>
      <c r="C1308" s="556">
        <v>2028</v>
      </c>
      <c r="D1308" s="557" t="s">
        <v>4206</v>
      </c>
      <c r="E1308" s="547">
        <v>4.4061185535580159E-2</v>
      </c>
      <c r="F1308" s="548">
        <v>9.7079434596497968E-2</v>
      </c>
      <c r="G1308" s="549">
        <v>8.8363526317999402E-2</v>
      </c>
      <c r="H1308" s="550">
        <v>4.0342601132022102E-3</v>
      </c>
      <c r="I1308" s="551">
        <v>6.5651718695218297E-2</v>
      </c>
      <c r="J1308" s="551">
        <v>3.3672734054221803E-2</v>
      </c>
      <c r="K1308" s="551">
        <v>2.0222357264356301E-2</v>
      </c>
      <c r="L1308" s="551">
        <v>1.5540783604640501E-3</v>
      </c>
      <c r="M1308" s="552">
        <v>2.1136722524469201E-2</v>
      </c>
    </row>
    <row r="1309" spans="2:13" ht="15.75" x14ac:dyDescent="0.25">
      <c r="B1309" s="555">
        <v>2044</v>
      </c>
      <c r="C1309" s="556">
        <v>2029</v>
      </c>
      <c r="D1309" s="557" t="s">
        <v>4207</v>
      </c>
      <c r="E1309" s="547">
        <v>4.4046024855584953E-2</v>
      </c>
      <c r="F1309" s="548">
        <v>9.7040361797091093E-2</v>
      </c>
      <c r="G1309" s="549">
        <v>8.7634441577401398E-2</v>
      </c>
      <c r="H1309" s="550">
        <v>4.0188500020148302E-3</v>
      </c>
      <c r="I1309" s="551">
        <v>6.4624642116894906E-2</v>
      </c>
      <c r="J1309" s="551">
        <v>3.3595512845717997E-2</v>
      </c>
      <c r="K1309" s="551">
        <v>1.9709817497556601E-2</v>
      </c>
      <c r="L1309" s="551">
        <v>1.5546593023366799E-3</v>
      </c>
      <c r="M1309" s="552">
        <v>2.0601007983776301E-2</v>
      </c>
    </row>
    <row r="1310" spans="2:13" ht="15.75" x14ac:dyDescent="0.25">
      <c r="B1310" s="555">
        <v>2044</v>
      </c>
      <c r="C1310" s="556">
        <v>2030</v>
      </c>
      <c r="D1310" s="557" t="s">
        <v>4208</v>
      </c>
      <c r="E1310" s="547">
        <v>4.4030914358501004E-2</v>
      </c>
      <c r="F1310" s="548">
        <v>9.7001550603963357E-2</v>
      </c>
      <c r="G1310" s="549">
        <v>8.6815912542882401E-2</v>
      </c>
      <c r="H1310" s="550">
        <v>4.0062911860228902E-3</v>
      </c>
      <c r="I1310" s="551">
        <v>6.3478304588026002E-2</v>
      </c>
      <c r="J1310" s="551">
        <v>3.2480332201643397E-2</v>
      </c>
      <c r="K1310" s="551">
        <v>1.9138650650845399E-2</v>
      </c>
      <c r="L1310" s="551">
        <v>1.55525561870865E-3</v>
      </c>
      <c r="M1310" s="552">
        <v>2.0004015506772201E-2</v>
      </c>
    </row>
    <row r="1311" spans="2:13" ht="15.75" x14ac:dyDescent="0.25">
      <c r="B1311" s="555">
        <v>2044</v>
      </c>
      <c r="C1311" s="556">
        <v>2031</v>
      </c>
      <c r="D1311" s="557" t="s">
        <v>4209</v>
      </c>
      <c r="E1311" s="547">
        <v>4.4015632553206931E-2</v>
      </c>
      <c r="F1311" s="548">
        <v>9.696249891150531E-2</v>
      </c>
      <c r="G1311" s="549">
        <v>8.5905327358710495E-2</v>
      </c>
      <c r="H1311" s="550">
        <v>4.00048116188378E-3</v>
      </c>
      <c r="I1311" s="551">
        <v>6.2211624014331501E-2</v>
      </c>
      <c r="J1311" s="551">
        <v>3.2906615915105901E-2</v>
      </c>
      <c r="K1311" s="551">
        <v>1.8508660508478599E-2</v>
      </c>
      <c r="L1311" s="551">
        <v>1.5558424167938401E-3</v>
      </c>
      <c r="M1311" s="552">
        <v>1.9345540005707401E-2</v>
      </c>
    </row>
    <row r="1312" spans="2:13" ht="15.75" x14ac:dyDescent="0.25">
      <c r="B1312" s="555">
        <v>2044</v>
      </c>
      <c r="C1312" s="556">
        <v>2032</v>
      </c>
      <c r="D1312" s="557" t="s">
        <v>4210</v>
      </c>
      <c r="E1312" s="547">
        <v>4.4000276960784263E-2</v>
      </c>
      <c r="F1312" s="548">
        <v>9.6923548848288771E-2</v>
      </c>
      <c r="G1312" s="549">
        <v>8.4904439655156899E-2</v>
      </c>
      <c r="H1312" s="550">
        <v>4.0114872386373297E-3</v>
      </c>
      <c r="I1312" s="551">
        <v>6.0825244524948703E-2</v>
      </c>
      <c r="J1312" s="551">
        <v>3.2546333328616797E-2</v>
      </c>
      <c r="K1312" s="551">
        <v>1.78199464724202E-2</v>
      </c>
      <c r="L1312" s="551">
        <v>1.55644009654994E-3</v>
      </c>
      <c r="M1312" s="552">
        <v>1.8625685377061701E-2</v>
      </c>
    </row>
    <row r="1313" spans="2:13" ht="15.75" x14ac:dyDescent="0.25">
      <c r="B1313" s="555">
        <v>2044</v>
      </c>
      <c r="C1313" s="556">
        <v>2033</v>
      </c>
      <c r="D1313" s="557" t="s">
        <v>4211</v>
      </c>
      <c r="E1313" s="547">
        <v>4.3984687003959015E-2</v>
      </c>
      <c r="F1313" s="548">
        <v>9.6884215424421424E-2</v>
      </c>
      <c r="G1313" s="549">
        <v>8.3811654514018397E-2</v>
      </c>
      <c r="H1313" s="550">
        <v>4.0285494256960897E-3</v>
      </c>
      <c r="I1313" s="551">
        <v>5.9318480863486601E-2</v>
      </c>
      <c r="J1313" s="551">
        <v>3.20392528534564E-2</v>
      </c>
      <c r="K1313" s="551">
        <v>1.70723798879171E-2</v>
      </c>
      <c r="L1313" s="551">
        <v>1.5570345027915099E-3</v>
      </c>
      <c r="M1313" s="552">
        <v>1.7844317148885E-2</v>
      </c>
    </row>
    <row r="1314" spans="2:13" ht="15.75" x14ac:dyDescent="0.25">
      <c r="B1314" s="555">
        <v>2044</v>
      </c>
      <c r="C1314" s="556">
        <v>2034</v>
      </c>
      <c r="D1314" s="557" t="s">
        <v>4212</v>
      </c>
      <c r="E1314" s="547">
        <v>4.3968877776203473E-2</v>
      </c>
      <c r="F1314" s="548">
        <v>9.6844444762164847E-2</v>
      </c>
      <c r="G1314" s="549">
        <v>8.2627896283125501E-2</v>
      </c>
      <c r="H1314" s="550">
        <v>4.0500492122135202E-3</v>
      </c>
      <c r="I1314" s="551">
        <v>5.76916223900905E-2</v>
      </c>
      <c r="J1314" s="551">
        <v>3.1813032158552003E-2</v>
      </c>
      <c r="K1314" s="551">
        <v>1.62659945803082E-2</v>
      </c>
      <c r="L1314" s="551">
        <v>1.5576366624633299E-3</v>
      </c>
      <c r="M1314" s="552">
        <v>1.7001470675947799E-2</v>
      </c>
    </row>
    <row r="1315" spans="2:13" ht="15.75" x14ac:dyDescent="0.25">
      <c r="B1315" s="555">
        <v>2044</v>
      </c>
      <c r="C1315" s="556">
        <v>2035</v>
      </c>
      <c r="D1315" s="557" t="s">
        <v>4213</v>
      </c>
      <c r="E1315" s="547">
        <v>4.3952820361571124E-2</v>
      </c>
      <c r="F1315" s="548">
        <v>9.6803909872994393E-2</v>
      </c>
      <c r="G1315" s="549">
        <v>8.1353633063637201E-2</v>
      </c>
      <c r="H1315" s="550">
        <v>4.07025933183043E-3</v>
      </c>
      <c r="I1315" s="551">
        <v>5.5944777827082202E-2</v>
      </c>
      <c r="J1315" s="551">
        <v>3.1312670431436103E-2</v>
      </c>
      <c r="K1315" s="551">
        <v>1.5400792417137999E-2</v>
      </c>
      <c r="L1315" s="551">
        <v>1.5582544635995301E-3</v>
      </c>
      <c r="M1315" s="552">
        <v>1.6097147910236798E-2</v>
      </c>
    </row>
    <row r="1316" spans="2:13" ht="15.75" x14ac:dyDescent="0.25">
      <c r="B1316" s="555">
        <v>2044</v>
      </c>
      <c r="C1316" s="556">
        <v>2036</v>
      </c>
      <c r="D1316" s="557" t="s">
        <v>4214</v>
      </c>
      <c r="E1316" s="547">
        <v>4.3936162709600872E-2</v>
      </c>
      <c r="F1316" s="548">
        <v>9.6761331369063744E-2</v>
      </c>
      <c r="G1316" s="549">
        <v>7.9985587079461906E-2</v>
      </c>
      <c r="H1316" s="550">
        <v>4.0761215282515799E-3</v>
      </c>
      <c r="I1316" s="551">
        <v>5.4076676581436001E-2</v>
      </c>
      <c r="J1316" s="551">
        <v>3.1361323537800502E-2</v>
      </c>
      <c r="K1316" s="551">
        <v>1.44765616163888E-2</v>
      </c>
      <c r="L1316" s="551">
        <v>1.5588554331596399E-3</v>
      </c>
      <c r="M1316" s="552">
        <v>1.5131127493891099E-2</v>
      </c>
    </row>
    <row r="1317" spans="2:13" ht="15.75" x14ac:dyDescent="0.25">
      <c r="B1317" s="555">
        <v>2044</v>
      </c>
      <c r="C1317" s="556">
        <v>2037</v>
      </c>
      <c r="D1317" s="557" t="s">
        <v>4215</v>
      </c>
      <c r="E1317" s="547">
        <v>4.3918968763288546E-2</v>
      </c>
      <c r="F1317" s="548">
        <v>9.6716583056776745E-2</v>
      </c>
      <c r="G1317" s="549">
        <v>7.8526112929679606E-2</v>
      </c>
      <c r="H1317" s="550">
        <v>4.0509529946832698E-3</v>
      </c>
      <c r="I1317" s="551">
        <v>5.2088145128768297E-2</v>
      </c>
      <c r="J1317" s="551">
        <v>3.0773138044969599E-2</v>
      </c>
      <c r="K1317" s="551">
        <v>1.34934191302662E-2</v>
      </c>
      <c r="L1317" s="551">
        <v>1.5594666366463301E-3</v>
      </c>
      <c r="M1317" s="552">
        <v>1.4103531667176299E-2</v>
      </c>
    </row>
    <row r="1318" spans="2:13" ht="15.75" x14ac:dyDescent="0.25">
      <c r="B1318" s="555">
        <v>2044</v>
      </c>
      <c r="C1318" s="556">
        <v>2038</v>
      </c>
      <c r="D1318" s="557" t="s">
        <v>4216</v>
      </c>
      <c r="E1318" s="547">
        <v>4.3901006021649022E-2</v>
      </c>
      <c r="F1318" s="548">
        <v>9.6669026777141037E-2</v>
      </c>
      <c r="G1318" s="549">
        <v>7.6974440871502195E-2</v>
      </c>
      <c r="H1318" s="550">
        <v>3.9913811264062696E-3</v>
      </c>
      <c r="I1318" s="551">
        <v>4.9978802458621199E-2</v>
      </c>
      <c r="J1318" s="551">
        <v>2.9972397258460799E-2</v>
      </c>
      <c r="K1318" s="551">
        <v>1.2451285716571199E-2</v>
      </c>
      <c r="L1318" s="551">
        <v>1.5600821678359801E-3</v>
      </c>
      <c r="M1318" s="552">
        <v>1.30142776049125E-2</v>
      </c>
    </row>
    <row r="1319" spans="2:13" ht="15.75" x14ac:dyDescent="0.25">
      <c r="B1319" s="555">
        <v>2044</v>
      </c>
      <c r="C1319" s="556">
        <v>2039</v>
      </c>
      <c r="D1319" s="557" t="s">
        <v>4217</v>
      </c>
      <c r="E1319" s="547">
        <v>4.3881974882706225E-2</v>
      </c>
      <c r="F1319" s="548">
        <v>9.6618745408082601E-2</v>
      </c>
      <c r="G1319" s="549">
        <v>7.5329925873116599E-2</v>
      </c>
      <c r="H1319" s="550">
        <v>3.9310393215108604E-3</v>
      </c>
      <c r="I1319" s="551">
        <v>4.7748369259347501E-2</v>
      </c>
      <c r="J1319" s="551">
        <v>2.8741542493254099E-2</v>
      </c>
      <c r="K1319" s="551">
        <v>1.1350107519335E-2</v>
      </c>
      <c r="L1319" s="551">
        <v>1.5606970483220601E-3</v>
      </c>
      <c r="M1319" s="552">
        <v>1.1863309016003101E-2</v>
      </c>
    </row>
    <row r="1320" spans="2:13" ht="15.75" x14ac:dyDescent="0.25">
      <c r="B1320" s="555">
        <v>2044</v>
      </c>
      <c r="C1320" s="556">
        <v>2040</v>
      </c>
      <c r="D1320" s="557" t="s">
        <v>4218</v>
      </c>
      <c r="E1320" s="547">
        <v>4.386158768262121E-2</v>
      </c>
      <c r="F1320" s="548">
        <v>9.6567730460315609E-2</v>
      </c>
      <c r="G1320" s="549">
        <v>7.3593478970690407E-2</v>
      </c>
      <c r="H1320" s="550">
        <v>3.9921900133207799E-3</v>
      </c>
      <c r="I1320" s="551">
        <v>4.53970848679352E-2</v>
      </c>
      <c r="J1320" s="551">
        <v>2.8505134805192098E-2</v>
      </c>
      <c r="K1320" s="551">
        <v>1.01898975776592E-2</v>
      </c>
      <c r="L1320" s="551">
        <v>1.56132527485575E-3</v>
      </c>
      <c r="M1320" s="552">
        <v>1.06506395291201E-2</v>
      </c>
    </row>
    <row r="1321" spans="2:13" ht="15.75" x14ac:dyDescent="0.25">
      <c r="B1321" s="555">
        <v>2044</v>
      </c>
      <c r="C1321" s="556">
        <v>2041</v>
      </c>
      <c r="D1321" s="557" t="s">
        <v>4219</v>
      </c>
      <c r="E1321" s="547">
        <v>4.3839142192647097E-2</v>
      </c>
      <c r="F1321" s="548">
        <v>9.6518504511558939E-2</v>
      </c>
      <c r="G1321" s="549">
        <v>7.1763869845349298E-2</v>
      </c>
      <c r="H1321" s="550">
        <v>4.4084651530849296E-3</v>
      </c>
      <c r="I1321" s="551">
        <v>4.2924437234085497E-2</v>
      </c>
      <c r="J1321" s="551">
        <v>0.136980026827172</v>
      </c>
      <c r="K1321" s="551">
        <v>8.9705659071902498E-3</v>
      </c>
      <c r="L1321" s="551">
        <v>1.56195395822871E-3</v>
      </c>
      <c r="M1321" s="552">
        <v>9.3761750912167204E-3</v>
      </c>
    </row>
    <row r="1322" spans="2:13" ht="15.75" x14ac:dyDescent="0.25">
      <c r="B1322" s="555">
        <v>2044</v>
      </c>
      <c r="C1322" s="556">
        <v>2042</v>
      </c>
      <c r="D1322" s="557" t="s">
        <v>4220</v>
      </c>
      <c r="E1322" s="547">
        <v>4.3813446952735938E-2</v>
      </c>
      <c r="F1322" s="548">
        <v>9.6468304231055055E-2</v>
      </c>
      <c r="G1322" s="549">
        <v>6.9839617010741595E-2</v>
      </c>
      <c r="H1322" s="550">
        <v>5.2742810685216896E-3</v>
      </c>
      <c r="I1322" s="551">
        <v>4.0329934968455397E-2</v>
      </c>
      <c r="J1322" s="551">
        <v>0.29083667989184903</v>
      </c>
      <c r="K1322" s="551">
        <v>7.6920438156115297E-3</v>
      </c>
      <c r="L1322" s="551">
        <v>1.56256853222415E-3</v>
      </c>
      <c r="M1322" s="552">
        <v>8.0398439040145694E-3</v>
      </c>
    </row>
    <row r="1323" spans="2:13" ht="15.75" x14ac:dyDescent="0.25">
      <c r="B1323" s="555">
        <v>2044</v>
      </c>
      <c r="C1323" s="556">
        <v>2043</v>
      </c>
      <c r="D1323" s="557" t="s">
        <v>4221</v>
      </c>
      <c r="E1323" s="547">
        <v>4.3782471839774954E-2</v>
      </c>
      <c r="F1323" s="548">
        <v>9.6389940924483761E-2</v>
      </c>
      <c r="G1323" s="549">
        <v>6.7822580961861306E-2</v>
      </c>
      <c r="H1323" s="550">
        <v>5.4972719944235901E-3</v>
      </c>
      <c r="I1323" s="551">
        <v>3.7614061678901099E-2</v>
      </c>
      <c r="J1323" s="551">
        <v>0.44272540659922499</v>
      </c>
      <c r="K1323" s="551">
        <v>6.3543628871200403E-3</v>
      </c>
      <c r="L1323" s="551">
        <v>1.56319326776155E-3</v>
      </c>
      <c r="M1323" s="552">
        <v>6.64167897980791E-3</v>
      </c>
    </row>
    <row r="1324" spans="2:13" ht="15.75" x14ac:dyDescent="0.25">
      <c r="B1324" s="555">
        <v>2044</v>
      </c>
      <c r="C1324" s="556">
        <v>2044</v>
      </c>
      <c r="D1324" s="557" t="s">
        <v>4222</v>
      </c>
      <c r="E1324" s="547">
        <v>4.3739916334423229E-2</v>
      </c>
      <c r="F1324" s="548">
        <v>9.6275815708475501E-2</v>
      </c>
      <c r="G1324" s="549">
        <v>6.5712083442795902E-2</v>
      </c>
      <c r="H1324" s="550">
        <v>5.4748562534661198E-3</v>
      </c>
      <c r="I1324" s="551">
        <v>3.4776521854715102E-2</v>
      </c>
      <c r="J1324" s="551">
        <v>0</v>
      </c>
      <c r="K1324" s="551">
        <v>4.9574665696987801E-3</v>
      </c>
      <c r="L1324" s="551">
        <v>1.5638224377415601E-3</v>
      </c>
      <c r="M1324" s="552">
        <v>5.1816212095484602E-3</v>
      </c>
    </row>
    <row r="1325" spans="2:13" ht="15.75" x14ac:dyDescent="0.25">
      <c r="B1325" s="555">
        <v>2045</v>
      </c>
      <c r="C1325" s="556">
        <v>2001</v>
      </c>
      <c r="D1325" s="557" t="s">
        <v>4223</v>
      </c>
      <c r="E1325" s="547">
        <v>6.475721403519942E-2</v>
      </c>
      <c r="F1325" s="548">
        <v>0.13229508117995473</v>
      </c>
      <c r="G1325" s="549">
        <v>0.36724014363046698</v>
      </c>
      <c r="H1325" s="550">
        <v>2.28338503625788E-2</v>
      </c>
      <c r="I1325" s="551">
        <v>9.2031983659344103</v>
      </c>
      <c r="J1325" s="551">
        <v>0.396991357223617</v>
      </c>
      <c r="K1325" s="551">
        <v>5.2584517452911497E-2</v>
      </c>
      <c r="L1325" s="551">
        <v>2.2340616677884598E-3</v>
      </c>
      <c r="M1325" s="552">
        <v>5.49621559917918E-2</v>
      </c>
    </row>
    <row r="1326" spans="2:13" ht="15.75" x14ac:dyDescent="0.25">
      <c r="B1326" s="555">
        <v>2045</v>
      </c>
      <c r="C1326" s="556">
        <v>2002</v>
      </c>
      <c r="D1326" s="557" t="s">
        <v>4224</v>
      </c>
      <c r="E1326" s="547">
        <v>6.458748661922567E-2</v>
      </c>
      <c r="F1326" s="548">
        <v>0.13210599855531668</v>
      </c>
      <c r="G1326" s="549">
        <v>0.28381200921732602</v>
      </c>
      <c r="H1326" s="550">
        <v>2.2786121387817701E-2</v>
      </c>
      <c r="I1326" s="551">
        <v>7.1004750833686803</v>
      </c>
      <c r="J1326" s="551">
        <v>0.319534963749603</v>
      </c>
      <c r="K1326" s="551">
        <v>5.2901964602827201E-2</v>
      </c>
      <c r="L1326" s="551">
        <v>2.2315117077280401E-3</v>
      </c>
      <c r="M1326" s="552">
        <v>5.52939566931758E-2</v>
      </c>
    </row>
    <row r="1327" spans="2:13" ht="15.75" x14ac:dyDescent="0.25">
      <c r="B1327" s="555">
        <v>2045</v>
      </c>
      <c r="C1327" s="556">
        <v>2003</v>
      </c>
      <c r="D1327" s="557" t="s">
        <v>4225</v>
      </c>
      <c r="E1327" s="547">
        <v>6.4279160534864294E-2</v>
      </c>
      <c r="F1327" s="548">
        <v>0.13150639305986597</v>
      </c>
      <c r="G1327" s="549">
        <v>0.28158179578252601</v>
      </c>
      <c r="H1327" s="550">
        <v>2.2545458983703099E-2</v>
      </c>
      <c r="I1327" s="551">
        <v>7.1283662473860998</v>
      </c>
      <c r="J1327" s="551">
        <v>0.31944337446815202</v>
      </c>
      <c r="K1327" s="551">
        <v>5.2486257485605703E-2</v>
      </c>
      <c r="L1327" s="551">
        <v>2.2084446766275001E-3</v>
      </c>
      <c r="M1327" s="552">
        <v>5.4859453144786699E-2</v>
      </c>
    </row>
    <row r="1328" spans="2:13" ht="15.75" x14ac:dyDescent="0.25">
      <c r="B1328" s="555">
        <v>2045</v>
      </c>
      <c r="C1328" s="556">
        <v>2004</v>
      </c>
      <c r="D1328" s="557" t="s">
        <v>4226</v>
      </c>
      <c r="E1328" s="547">
        <v>6.4045513859947695E-2</v>
      </c>
      <c r="F1328" s="548">
        <v>0.13053276787933818</v>
      </c>
      <c r="G1328" s="549">
        <v>0.23241527255730299</v>
      </c>
      <c r="H1328" s="550">
        <v>1.47737561352065E-2</v>
      </c>
      <c r="I1328" s="551">
        <v>5.9620298874425197</v>
      </c>
      <c r="J1328" s="551">
        <v>0.27032097548656597</v>
      </c>
      <c r="K1328" s="551">
        <v>5.2195125224691101E-2</v>
      </c>
      <c r="L1328" s="551">
        <v>1.43721085423141E-4</v>
      </c>
      <c r="M1328" s="552">
        <v>5.4555157174913702E-2</v>
      </c>
    </row>
    <row r="1329" spans="2:13" ht="15.75" x14ac:dyDescent="0.25">
      <c r="B1329" s="555">
        <v>2045</v>
      </c>
      <c r="C1329" s="556">
        <v>2005</v>
      </c>
      <c r="D1329" s="557" t="s">
        <v>4227</v>
      </c>
      <c r="E1329" s="547">
        <v>6.4083349678270771E-2</v>
      </c>
      <c r="F1329" s="548">
        <v>0.13087940403998005</v>
      </c>
      <c r="G1329" s="549">
        <v>0.23277586885031501</v>
      </c>
      <c r="H1329" s="550">
        <v>1.4978115383911399E-2</v>
      </c>
      <c r="I1329" s="551">
        <v>5.9519235051767598</v>
      </c>
      <c r="J1329" s="551">
        <v>0.272176808899525</v>
      </c>
      <c r="K1329" s="551">
        <v>5.2276106859254899E-2</v>
      </c>
      <c r="L1329" s="551">
        <v>1.45125405913862E-4</v>
      </c>
      <c r="M1329" s="552">
        <v>5.4639800439641797E-2</v>
      </c>
    </row>
    <row r="1330" spans="2:13" ht="15.75" x14ac:dyDescent="0.25">
      <c r="B1330" s="555">
        <v>2045</v>
      </c>
      <c r="C1330" s="556">
        <v>2006</v>
      </c>
      <c r="D1330" s="557" t="s">
        <v>4228</v>
      </c>
      <c r="E1330" s="547">
        <v>6.3907879618996188E-2</v>
      </c>
      <c r="F1330" s="548">
        <v>0.13117156725268764</v>
      </c>
      <c r="G1330" s="549">
        <v>0.23170530332688699</v>
      </c>
      <c r="H1330" s="550">
        <v>1.51359753057433E-2</v>
      </c>
      <c r="I1330" s="551">
        <v>5.96026092502278</v>
      </c>
      <c r="J1330" s="551">
        <v>0.27385044709252299</v>
      </c>
      <c r="K1330" s="551">
        <v>5.2035682463122498E-2</v>
      </c>
      <c r="L1330" s="551">
        <v>1.46305808746866E-4</v>
      </c>
      <c r="M1330" s="552">
        <v>5.4388505119183798E-2</v>
      </c>
    </row>
    <row r="1331" spans="2:13" ht="15.75" x14ac:dyDescent="0.25">
      <c r="B1331" s="555">
        <v>2045</v>
      </c>
      <c r="C1331" s="556">
        <v>2007</v>
      </c>
      <c r="D1331" s="557" t="s">
        <v>4229</v>
      </c>
      <c r="E1331" s="547">
        <v>6.4053927212166531E-2</v>
      </c>
      <c r="F1331" s="548">
        <v>0.13150888533401528</v>
      </c>
      <c r="G1331" s="549">
        <v>0.17019093701018401</v>
      </c>
      <c r="H1331" s="550">
        <v>1.53036273869423E-2</v>
      </c>
      <c r="I1331" s="551">
        <v>3.1145393254854299</v>
      </c>
      <c r="J1331" s="551">
        <v>0.27396910682389403</v>
      </c>
      <c r="K1331" s="551">
        <v>3.7810885165575701E-2</v>
      </c>
      <c r="L1331" s="551">
        <v>1.4766429155986901E-4</v>
      </c>
      <c r="M1331" s="552">
        <v>3.9520525609445002E-2</v>
      </c>
    </row>
    <row r="1332" spans="2:13" ht="15.75" x14ac:dyDescent="0.25">
      <c r="B1332" s="555">
        <v>2045</v>
      </c>
      <c r="C1332" s="556">
        <v>2008</v>
      </c>
      <c r="D1332" s="557" t="s">
        <v>4230</v>
      </c>
      <c r="E1332" s="547">
        <v>6.4282377276903224E-2</v>
      </c>
      <c r="F1332" s="548">
        <v>0.13198316905250407</v>
      </c>
      <c r="G1332" s="549">
        <v>0.17231070432839701</v>
      </c>
      <c r="H1332" s="550">
        <v>1.20894051645893E-2</v>
      </c>
      <c r="I1332" s="551">
        <v>3.1006418535210298</v>
      </c>
      <c r="J1332" s="551">
        <v>0.19315968072897499</v>
      </c>
      <c r="K1332" s="551">
        <v>3.8093868275903602E-2</v>
      </c>
      <c r="L1332" s="551">
        <v>1.7045871934293601E-4</v>
      </c>
      <c r="M1332" s="552">
        <v>3.9816303960303001E-2</v>
      </c>
    </row>
    <row r="1333" spans="2:13" ht="15.75" x14ac:dyDescent="0.25">
      <c r="B1333" s="555">
        <v>2045</v>
      </c>
      <c r="C1333" s="556">
        <v>2009</v>
      </c>
      <c r="D1333" s="557" t="s">
        <v>4231</v>
      </c>
      <c r="E1333" s="547">
        <v>6.4267131366274863E-2</v>
      </c>
      <c r="F1333" s="548">
        <v>0.13072845820679152</v>
      </c>
      <c r="G1333" s="549">
        <v>0.17244515951036199</v>
      </c>
      <c r="H1333" s="550">
        <v>8.4797066254588098E-3</v>
      </c>
      <c r="I1333" s="551">
        <v>3.09863382101938</v>
      </c>
      <c r="J1333" s="551">
        <v>0.108970812811421</v>
      </c>
      <c r="K1333" s="551">
        <v>3.8111877411142803E-2</v>
      </c>
      <c r="L1333" s="551">
        <v>1.86931353980459E-4</v>
      </c>
      <c r="M1333" s="552">
        <v>3.9835127388723399E-2</v>
      </c>
    </row>
    <row r="1334" spans="2:13" ht="15.75" x14ac:dyDescent="0.25">
      <c r="B1334" s="555">
        <v>2045</v>
      </c>
      <c r="C1334" s="556">
        <v>2010</v>
      </c>
      <c r="D1334" s="557" t="s">
        <v>4232</v>
      </c>
      <c r="E1334" s="547">
        <v>6.4272532223746917E-2</v>
      </c>
      <c r="F1334" s="548">
        <v>0.12961663038284971</v>
      </c>
      <c r="G1334" s="549">
        <v>0.110576648521272</v>
      </c>
      <c r="H1334" s="550">
        <v>8.2888594779170592E-3</v>
      </c>
      <c r="I1334" s="551">
        <v>0.28475806678222798</v>
      </c>
      <c r="J1334" s="551">
        <v>0.10883759139622699</v>
      </c>
      <c r="K1334" s="551">
        <v>2.35216732232368E-2</v>
      </c>
      <c r="L1334" s="551">
        <v>2.2276823757483801E-4</v>
      </c>
      <c r="M1334" s="552">
        <v>2.4585218910512501E-2</v>
      </c>
    </row>
    <row r="1335" spans="2:13" ht="15.75" x14ac:dyDescent="0.25">
      <c r="B1335" s="555">
        <v>2045</v>
      </c>
      <c r="C1335" s="556">
        <v>2011</v>
      </c>
      <c r="D1335" s="557" t="s">
        <v>4233</v>
      </c>
      <c r="E1335" s="547">
        <v>6.4212515751177673E-2</v>
      </c>
      <c r="F1335" s="548">
        <v>0.13127155966702847</v>
      </c>
      <c r="G1335" s="549">
        <v>0.110282390598527</v>
      </c>
      <c r="H1335" s="550">
        <v>8.6196694763483808E-3</v>
      </c>
      <c r="I1335" s="551">
        <v>0.28428918642708501</v>
      </c>
      <c r="J1335" s="551">
        <v>0.11070034996774999</v>
      </c>
      <c r="K1335" s="551">
        <v>2.3498213445242101E-2</v>
      </c>
      <c r="L1335" s="551">
        <v>3.1445158092915302E-4</v>
      </c>
      <c r="M1335" s="552">
        <v>2.4560698385458098E-2</v>
      </c>
    </row>
    <row r="1336" spans="2:13" ht="15.75" x14ac:dyDescent="0.25">
      <c r="B1336" s="555">
        <v>2045</v>
      </c>
      <c r="C1336" s="556">
        <v>2012</v>
      </c>
      <c r="D1336" s="557" t="s">
        <v>4234</v>
      </c>
      <c r="E1336" s="547">
        <v>6.4318239987884621E-2</v>
      </c>
      <c r="F1336" s="548">
        <v>0.13167392698269442</v>
      </c>
      <c r="G1336" s="549">
        <v>0.111678782788626</v>
      </c>
      <c r="H1336" s="550">
        <v>8.7055873012251307E-3</v>
      </c>
      <c r="I1336" s="551">
        <v>0.28636273253524402</v>
      </c>
      <c r="J1336" s="551">
        <v>0.111471207268939</v>
      </c>
      <c r="K1336" s="551">
        <v>2.3595132374448002E-2</v>
      </c>
      <c r="L1336" s="551">
        <v>4.6444281616650203E-4</v>
      </c>
      <c r="M1336" s="552">
        <v>2.4661999558571301E-2</v>
      </c>
    </row>
    <row r="1337" spans="2:13" ht="15.75" x14ac:dyDescent="0.25">
      <c r="B1337" s="555">
        <v>2045</v>
      </c>
      <c r="C1337" s="556">
        <v>2013</v>
      </c>
      <c r="D1337" s="557" t="s">
        <v>4235</v>
      </c>
      <c r="E1337" s="547">
        <v>6.4171766636347646E-2</v>
      </c>
      <c r="F1337" s="548">
        <v>0.13166477808334975</v>
      </c>
      <c r="G1337" s="549">
        <v>0.11050989912890399</v>
      </c>
      <c r="H1337" s="550">
        <v>8.7353532906742203E-3</v>
      </c>
      <c r="I1337" s="551">
        <v>0.28469669742783299</v>
      </c>
      <c r="J1337" s="551">
        <v>0.111072797651247</v>
      </c>
      <c r="K1337" s="551">
        <v>2.3527086562467301E-2</v>
      </c>
      <c r="L1337" s="551">
        <v>6.95841980683939E-4</v>
      </c>
      <c r="M1337" s="552">
        <v>2.45908770169216E-2</v>
      </c>
    </row>
    <row r="1338" spans="2:13" ht="15.75" x14ac:dyDescent="0.25">
      <c r="B1338" s="555">
        <v>2045</v>
      </c>
      <c r="C1338" s="556">
        <v>2014</v>
      </c>
      <c r="D1338" s="557" t="s">
        <v>4236</v>
      </c>
      <c r="E1338" s="547">
        <v>6.2612847843641628E-2</v>
      </c>
      <c r="F1338" s="548">
        <v>0.12948494535875466</v>
      </c>
      <c r="G1338" s="549">
        <v>0.109913638416543</v>
      </c>
      <c r="H1338" s="550">
        <v>8.7066577485237096E-3</v>
      </c>
      <c r="I1338" s="551">
        <v>0.28374283377570703</v>
      </c>
      <c r="J1338" s="551">
        <v>0.111158323817953</v>
      </c>
      <c r="K1338" s="551">
        <v>2.3479952490637598E-2</v>
      </c>
      <c r="L1338" s="551">
        <v>9.6523870235853005E-4</v>
      </c>
      <c r="M1338" s="552">
        <v>2.45416117515182E-2</v>
      </c>
    </row>
    <row r="1339" spans="2:13" ht="15.75" x14ac:dyDescent="0.25">
      <c r="B1339" s="555">
        <v>2045</v>
      </c>
      <c r="C1339" s="556">
        <v>2015</v>
      </c>
      <c r="D1339" s="557" t="s">
        <v>4237</v>
      </c>
      <c r="E1339" s="547">
        <v>6.2074998651067623E-2</v>
      </c>
      <c r="F1339" s="548">
        <v>0.12943495264916452</v>
      </c>
      <c r="G1339" s="549">
        <v>0.109273199874641</v>
      </c>
      <c r="H1339" s="550">
        <v>8.8370914905044496E-3</v>
      </c>
      <c r="I1339" s="551">
        <v>0.28279358343144401</v>
      </c>
      <c r="J1339" s="551">
        <v>0.11174610956568801</v>
      </c>
      <c r="K1339" s="551">
        <v>2.3431770482538201E-2</v>
      </c>
      <c r="L1339" s="551">
        <v>1.23426395152484E-3</v>
      </c>
      <c r="M1339" s="552">
        <v>2.4491251166817E-2</v>
      </c>
    </row>
    <row r="1340" spans="2:13" ht="15.75" x14ac:dyDescent="0.25">
      <c r="B1340" s="555">
        <v>2045</v>
      </c>
      <c r="C1340" s="556">
        <v>2016</v>
      </c>
      <c r="D1340" s="557" t="s">
        <v>4238</v>
      </c>
      <c r="E1340" s="547">
        <v>6.005300782128694E-2</v>
      </c>
      <c r="F1340" s="548">
        <v>0.12549312326244544</v>
      </c>
      <c r="G1340" s="549">
        <v>0.10850806524432401</v>
      </c>
      <c r="H1340" s="550">
        <v>8.0723150688564293E-3</v>
      </c>
      <c r="I1340" s="551">
        <v>0.246897309584372</v>
      </c>
      <c r="J1340" s="551">
        <v>9.8101621144219303E-2</v>
      </c>
      <c r="K1340" s="551">
        <v>2.33747057991305E-2</v>
      </c>
      <c r="L1340" s="551">
        <v>1.3892330634441999E-3</v>
      </c>
      <c r="M1340" s="552">
        <v>2.4431606271646401E-2</v>
      </c>
    </row>
    <row r="1341" spans="2:13" ht="15.75" x14ac:dyDescent="0.25">
      <c r="B1341" s="555">
        <v>2045</v>
      </c>
      <c r="C1341" s="556">
        <v>2017</v>
      </c>
      <c r="D1341" s="557" t="s">
        <v>4239</v>
      </c>
      <c r="E1341" s="547">
        <v>5.6545033240729091E-2</v>
      </c>
      <c r="F1341" s="548">
        <v>0.12157247797706672</v>
      </c>
      <c r="G1341" s="549">
        <v>9.0798592992530097E-2</v>
      </c>
      <c r="H1341" s="550">
        <v>7.2662104706077103E-3</v>
      </c>
      <c r="I1341" s="551">
        <v>0.19265214700859201</v>
      </c>
      <c r="J1341" s="551">
        <v>8.4757907925365195E-2</v>
      </c>
      <c r="K1341" s="551">
        <v>2.2203450049766201E-2</v>
      </c>
      <c r="L1341" s="551">
        <v>1.4477975836405599E-3</v>
      </c>
      <c r="M1341" s="552">
        <v>2.3207391534666201E-2</v>
      </c>
    </row>
    <row r="1342" spans="2:13" ht="15.75" x14ac:dyDescent="0.25">
      <c r="B1342" s="555">
        <v>2045</v>
      </c>
      <c r="C1342" s="556">
        <v>2018</v>
      </c>
      <c r="D1342" s="557" t="s">
        <v>4240</v>
      </c>
      <c r="E1342" s="547">
        <v>5.2796213752628739E-2</v>
      </c>
      <c r="F1342" s="548">
        <v>0.11635752157562676</v>
      </c>
      <c r="G1342" s="549">
        <v>9.0853636630589193E-2</v>
      </c>
      <c r="H1342" s="550">
        <v>6.5426208840824902E-3</v>
      </c>
      <c r="I1342" s="551">
        <v>0.157437159442056</v>
      </c>
      <c r="J1342" s="551">
        <v>7.1021252576087601E-2</v>
      </c>
      <c r="K1342" s="551">
        <v>2.2206862941925799E-2</v>
      </c>
      <c r="L1342" s="551">
        <v>1.50848150320847E-3</v>
      </c>
      <c r="M1342" s="552">
        <v>2.3210958742664801E-2</v>
      </c>
    </row>
    <row r="1343" spans="2:13" ht="15.75" x14ac:dyDescent="0.25">
      <c r="B1343" s="555">
        <v>2045</v>
      </c>
      <c r="C1343" s="556">
        <v>2019</v>
      </c>
      <c r="D1343" s="557" t="s">
        <v>4241</v>
      </c>
      <c r="E1343" s="547">
        <v>5.277602724891569E-2</v>
      </c>
      <c r="F1343" s="548">
        <v>0.11630398682609458</v>
      </c>
      <c r="G1343" s="549">
        <v>9.0910292173734197E-2</v>
      </c>
      <c r="H1343" s="550">
        <v>5.9181767395633201E-3</v>
      </c>
      <c r="I1343" s="551">
        <v>0.13569903143165599</v>
      </c>
      <c r="J1343" s="551">
        <v>6.1739504268494103E-2</v>
      </c>
      <c r="K1343" s="551">
        <v>2.22103639814735E-2</v>
      </c>
      <c r="L1343" s="551">
        <v>1.54913593163994E-3</v>
      </c>
      <c r="M1343" s="552">
        <v>2.32146180836852E-2</v>
      </c>
    </row>
    <row r="1344" spans="2:13" ht="15.75" x14ac:dyDescent="0.25">
      <c r="B1344" s="555">
        <v>2045</v>
      </c>
      <c r="C1344" s="556">
        <v>2020</v>
      </c>
      <c r="D1344" s="557" t="s">
        <v>4242</v>
      </c>
      <c r="E1344" s="547">
        <v>5.2756182753069716E-2</v>
      </c>
      <c r="F1344" s="548">
        <v>0.11625131054910406</v>
      </c>
      <c r="G1344" s="549">
        <v>9.0968063923371006E-2</v>
      </c>
      <c r="H1344" s="550">
        <v>5.2782389016444399E-3</v>
      </c>
      <c r="I1344" s="551">
        <v>0.113606768057887</v>
      </c>
      <c r="J1344" s="551">
        <v>5.29043895678903E-2</v>
      </c>
      <c r="K1344" s="551">
        <v>2.22139306194244E-2</v>
      </c>
      <c r="L1344" s="551">
        <v>1.54965095567473E-3</v>
      </c>
      <c r="M1344" s="552">
        <v>2.3218345989177599E-2</v>
      </c>
    </row>
    <row r="1345" spans="2:13" ht="15.75" x14ac:dyDescent="0.25">
      <c r="B1345" s="555">
        <v>2045</v>
      </c>
      <c r="C1345" s="556">
        <v>2021</v>
      </c>
      <c r="D1345" s="557" t="s">
        <v>4243</v>
      </c>
      <c r="E1345" s="547">
        <v>5.1418327346773082E-2</v>
      </c>
      <c r="F1345" s="548">
        <v>0.11330199563803491</v>
      </c>
      <c r="G1345" s="549">
        <v>9.1028125635744903E-2</v>
      </c>
      <c r="H1345" s="550">
        <v>4.6478783768720703E-3</v>
      </c>
      <c r="I1345" s="551">
        <v>9.1854065924712E-2</v>
      </c>
      <c r="J1345" s="551">
        <v>4.3738607725277302E-2</v>
      </c>
      <c r="K1345" s="551">
        <v>2.2217646395684201E-2</v>
      </c>
      <c r="L1345" s="551">
        <v>1.5501872768137E-3</v>
      </c>
      <c r="M1345" s="552">
        <v>2.32222297763513E-2</v>
      </c>
    </row>
    <row r="1346" spans="2:13" ht="15.75" x14ac:dyDescent="0.25">
      <c r="B1346" s="555">
        <v>2045</v>
      </c>
      <c r="C1346" s="556">
        <v>2022</v>
      </c>
      <c r="D1346" s="557" t="s">
        <v>4244</v>
      </c>
      <c r="E1346" s="547">
        <v>5.0134341446015168E-2</v>
      </c>
      <c r="F1346" s="548">
        <v>0.1104714881820317</v>
      </c>
      <c r="G1346" s="549">
        <v>9.1014804427266699E-2</v>
      </c>
      <c r="H1346" s="550">
        <v>4.0234187438336899E-3</v>
      </c>
      <c r="I1346" s="551">
        <v>6.9518308326660797E-2</v>
      </c>
      <c r="J1346" s="551">
        <v>3.4749785198776501E-2</v>
      </c>
      <c r="K1346" s="551">
        <v>2.2173410483757799E-2</v>
      </c>
      <c r="L1346" s="551">
        <v>1.55072259898591E-3</v>
      </c>
      <c r="M1346" s="552">
        <v>2.3175993712781499E-2</v>
      </c>
    </row>
    <row r="1347" spans="2:13" ht="15.75" x14ac:dyDescent="0.25">
      <c r="B1347" s="555">
        <v>2045</v>
      </c>
      <c r="C1347" s="556">
        <v>2023</v>
      </c>
      <c r="D1347" s="557" t="s">
        <v>4245</v>
      </c>
      <c r="E1347" s="547">
        <v>4.8851549387756078E-2</v>
      </c>
      <c r="F1347" s="548">
        <v>0.10764670539588099</v>
      </c>
      <c r="G1347" s="549">
        <v>9.0913406113866696E-2</v>
      </c>
      <c r="H1347" s="550">
        <v>4.0323425601810096E-3</v>
      </c>
      <c r="I1347" s="551">
        <v>6.9325172078230302E-2</v>
      </c>
      <c r="J1347" s="551">
        <v>3.4119420932769803E-2</v>
      </c>
      <c r="K1347" s="551">
        <v>2.20707858038427E-2</v>
      </c>
      <c r="L1347" s="551">
        <v>1.5512705284325601E-3</v>
      </c>
      <c r="M1347" s="552">
        <v>2.3068728800231E-2</v>
      </c>
    </row>
    <row r="1348" spans="2:13" ht="15.75" x14ac:dyDescent="0.25">
      <c r="B1348" s="555">
        <v>2045</v>
      </c>
      <c r="C1348" s="556">
        <v>2024</v>
      </c>
      <c r="D1348" s="557" t="s">
        <v>4246</v>
      </c>
      <c r="E1348" s="547">
        <v>4.7622476045887638E-2</v>
      </c>
      <c r="F1348" s="548">
        <v>0.10494008120014287</v>
      </c>
      <c r="G1348" s="549">
        <v>9.0722191223530604E-2</v>
      </c>
      <c r="H1348" s="550">
        <v>4.0506641641640797E-3</v>
      </c>
      <c r="I1348" s="551">
        <v>6.9012993511846005E-2</v>
      </c>
      <c r="J1348" s="551">
        <v>3.4934450055868101E-2</v>
      </c>
      <c r="K1348" s="551">
        <v>2.1909642431617801E-2</v>
      </c>
      <c r="L1348" s="551">
        <v>1.5518174360839301E-3</v>
      </c>
      <c r="M1348" s="552">
        <v>2.2900299239777201E-2</v>
      </c>
    </row>
    <row r="1349" spans="2:13" ht="15.75" x14ac:dyDescent="0.25">
      <c r="B1349" s="555">
        <v>2045</v>
      </c>
      <c r="C1349" s="556">
        <v>2025</v>
      </c>
      <c r="D1349" s="557" t="s">
        <v>4247</v>
      </c>
      <c r="E1349" s="547">
        <v>4.6394486389224755E-2</v>
      </c>
      <c r="F1349" s="548">
        <v>0.1022357904153483</v>
      </c>
      <c r="G1349" s="549">
        <v>9.0442583564208104E-2</v>
      </c>
      <c r="H1349" s="550">
        <v>4.0614104738607602E-3</v>
      </c>
      <c r="I1349" s="551">
        <v>6.8582275623346706E-2</v>
      </c>
      <c r="J1349" s="551">
        <v>3.39875048226859E-2</v>
      </c>
      <c r="K1349" s="551">
        <v>2.16900554940259E-2</v>
      </c>
      <c r="L1349" s="551">
        <v>1.5523778886821001E-3</v>
      </c>
      <c r="M1349" s="552">
        <v>2.267078355527E-2</v>
      </c>
    </row>
    <row r="1350" spans="2:13" ht="15.75" x14ac:dyDescent="0.25">
      <c r="B1350" s="555">
        <v>2045</v>
      </c>
      <c r="C1350" s="556">
        <v>2026</v>
      </c>
      <c r="D1350" s="557" t="s">
        <v>4248</v>
      </c>
      <c r="E1350" s="547">
        <v>4.5220072811645709E-2</v>
      </c>
      <c r="F1350" s="548">
        <v>9.9649021016307307E-2</v>
      </c>
      <c r="G1350" s="549">
        <v>9.0072848348474302E-2</v>
      </c>
      <c r="H1350" s="550">
        <v>4.0706863111843799E-3</v>
      </c>
      <c r="I1350" s="551">
        <v>6.8039637973477105E-2</v>
      </c>
      <c r="J1350" s="551">
        <v>3.4619271633493501E-2</v>
      </c>
      <c r="K1350" s="551">
        <v>2.14118891802434E-2</v>
      </c>
      <c r="L1350" s="551">
        <v>1.55293746547595E-3</v>
      </c>
      <c r="M1350" s="552">
        <v>2.2380039795123E-2</v>
      </c>
    </row>
    <row r="1351" spans="2:13" ht="15.75" x14ac:dyDescent="0.25">
      <c r="B1351" s="555">
        <v>2045</v>
      </c>
      <c r="C1351" s="556">
        <v>2027</v>
      </c>
      <c r="D1351" s="557" t="s">
        <v>4249</v>
      </c>
      <c r="E1351" s="547">
        <v>4.4099351700725334E-2</v>
      </c>
      <c r="F1351" s="548">
        <v>9.7180115906168957E-2</v>
      </c>
      <c r="G1351" s="549">
        <v>8.9615554662137997E-2</v>
      </c>
      <c r="H1351" s="550">
        <v>4.0621167278223199E-3</v>
      </c>
      <c r="I1351" s="551">
        <v>6.7371283333174298E-2</v>
      </c>
      <c r="J1351" s="551">
        <v>3.3988435112710401E-2</v>
      </c>
      <c r="K1351" s="551">
        <v>2.1075304381446801E-2</v>
      </c>
      <c r="L1351" s="551">
        <v>1.55352306003421E-3</v>
      </c>
      <c r="M1351" s="552">
        <v>2.2028236125297699E-2</v>
      </c>
    </row>
    <row r="1352" spans="2:13" ht="15.75" x14ac:dyDescent="0.25">
      <c r="B1352" s="555">
        <v>2045</v>
      </c>
      <c r="C1352" s="556">
        <v>2028</v>
      </c>
      <c r="D1352" s="557" t="s">
        <v>4250</v>
      </c>
      <c r="E1352" s="547">
        <v>4.4084098419866109E-2</v>
      </c>
      <c r="F1352" s="548">
        <v>9.7140947530172078E-2</v>
      </c>
      <c r="G1352" s="549">
        <v>8.9066988396133098E-2</v>
      </c>
      <c r="H1352" s="550">
        <v>4.0571438033327901E-3</v>
      </c>
      <c r="I1352" s="551">
        <v>6.6583110376909893E-2</v>
      </c>
      <c r="J1352" s="551">
        <v>3.4025454980264699E-2</v>
      </c>
      <c r="K1352" s="551">
        <v>2.06800304167645E-2</v>
      </c>
      <c r="L1352" s="551">
        <v>1.5541011332715301E-3</v>
      </c>
      <c r="M1352" s="552">
        <v>2.16150896259347E-2</v>
      </c>
    </row>
    <row r="1353" spans="2:13" ht="15.75" x14ac:dyDescent="0.25">
      <c r="B1353" s="555">
        <v>2045</v>
      </c>
      <c r="C1353" s="556">
        <v>2029</v>
      </c>
      <c r="D1353" s="557" t="s">
        <v>4251</v>
      </c>
      <c r="E1353" s="547">
        <v>4.4068876829932782E-2</v>
      </c>
      <c r="F1353" s="548">
        <v>9.7101810410464479E-2</v>
      </c>
      <c r="G1353" s="549">
        <v>8.8428113059890207E-2</v>
      </c>
      <c r="H1353" s="550">
        <v>4.0446160953662696E-3</v>
      </c>
      <c r="I1353" s="551">
        <v>6.5675413212042094E-2</v>
      </c>
      <c r="J1353" s="551">
        <v>3.40039913572356E-2</v>
      </c>
      <c r="K1353" s="551">
        <v>2.02261004628074E-2</v>
      </c>
      <c r="L1353" s="551">
        <v>1.55468212591163E-3</v>
      </c>
      <c r="M1353" s="552">
        <v>2.1140634973744001E-2</v>
      </c>
    </row>
    <row r="1354" spans="2:13" ht="15.75" x14ac:dyDescent="0.25">
      <c r="B1354" s="555">
        <v>2045</v>
      </c>
      <c r="C1354" s="556">
        <v>2030</v>
      </c>
      <c r="D1354" s="557" t="s">
        <v>4252</v>
      </c>
      <c r="E1354" s="547">
        <v>4.405374034578035E-2</v>
      </c>
      <c r="F1354" s="548">
        <v>9.7062845230968323E-2</v>
      </c>
      <c r="G1354" s="549">
        <v>8.7699933260473803E-2</v>
      </c>
      <c r="H1354" s="550">
        <v>4.0286640003004102E-3</v>
      </c>
      <c r="I1354" s="551">
        <v>6.4648548453862795E-2</v>
      </c>
      <c r="J1354" s="551">
        <v>3.2876309427002197E-2</v>
      </c>
      <c r="K1354" s="551">
        <v>1.9713567550308401E-2</v>
      </c>
      <c r="L1354" s="551">
        <v>1.5552785015331401E-3</v>
      </c>
      <c r="M1354" s="552">
        <v>2.0604927597273E-2</v>
      </c>
    </row>
    <row r="1355" spans="2:13" ht="15.75" x14ac:dyDescent="0.25">
      <c r="B1355" s="555">
        <v>2045</v>
      </c>
      <c r="C1355" s="556">
        <v>2031</v>
      </c>
      <c r="D1355" s="557" t="s">
        <v>4253</v>
      </c>
      <c r="E1355" s="547">
        <v>4.4038475370877156E-2</v>
      </c>
      <c r="F1355" s="548">
        <v>9.7023596033048817E-2</v>
      </c>
      <c r="G1355" s="549">
        <v>8.6879813794124197E-2</v>
      </c>
      <c r="H1355" s="550">
        <v>4.0137839584907303E-3</v>
      </c>
      <c r="I1355" s="551">
        <v>6.3501417730329399E-2</v>
      </c>
      <c r="J1355" s="551">
        <v>3.3301972595909002E-2</v>
      </c>
      <c r="K1355" s="551">
        <v>1.9142231001500799E-2</v>
      </c>
      <c r="L1355" s="551">
        <v>1.55586535703086E-3</v>
      </c>
      <c r="M1355" s="552">
        <v>2.0007757744996701E-2</v>
      </c>
    </row>
    <row r="1356" spans="2:13" ht="15.75" x14ac:dyDescent="0.25">
      <c r="B1356" s="555">
        <v>2045</v>
      </c>
      <c r="C1356" s="556">
        <v>2032</v>
      </c>
      <c r="D1356" s="557" t="s">
        <v>4254</v>
      </c>
      <c r="E1356" s="547">
        <v>4.4023184103566239E-2</v>
      </c>
      <c r="F1356" s="548">
        <v>9.6984468867678211E-2</v>
      </c>
      <c r="G1356" s="549">
        <v>8.5969529319274707E-2</v>
      </c>
      <c r="H1356" s="550">
        <v>4.0128796162861502E-3</v>
      </c>
      <c r="I1356" s="551">
        <v>6.2234680455450699E-2</v>
      </c>
      <c r="J1356" s="551">
        <v>3.2888698763831797E-2</v>
      </c>
      <c r="K1356" s="551">
        <v>1.8512194537030301E-2</v>
      </c>
      <c r="L1356" s="551">
        <v>1.5564630914026601E-3</v>
      </c>
      <c r="M1356" s="552">
        <v>1.9349233827348201E-2</v>
      </c>
    </row>
    <row r="1357" spans="2:13" ht="15.75" x14ac:dyDescent="0.25">
      <c r="B1357" s="555">
        <v>2045</v>
      </c>
      <c r="C1357" s="556">
        <v>2033</v>
      </c>
      <c r="D1357" s="557" t="s">
        <v>4255</v>
      </c>
      <c r="E1357" s="547">
        <v>4.4007715791731968E-2</v>
      </c>
      <c r="F1357" s="548">
        <v>9.6945107618568963E-2</v>
      </c>
      <c r="G1357" s="549">
        <v>8.4967470437607495E-2</v>
      </c>
      <c r="H1357" s="550">
        <v>4.0161654581012196E-3</v>
      </c>
      <c r="I1357" s="551">
        <v>6.0847640542142499E-2</v>
      </c>
      <c r="J1357" s="551">
        <v>3.2307545308300302E-2</v>
      </c>
      <c r="K1357" s="551">
        <v>1.7823326400138999E-2</v>
      </c>
      <c r="L1357" s="551">
        <v>1.55705756036686E-3</v>
      </c>
      <c r="M1357" s="552">
        <v>1.8629218130113801E-2</v>
      </c>
    </row>
    <row r="1358" spans="2:13" ht="15.75" x14ac:dyDescent="0.25">
      <c r="B1358" s="555">
        <v>2045</v>
      </c>
      <c r="C1358" s="556">
        <v>2034</v>
      </c>
      <c r="D1358" s="557" t="s">
        <v>4256</v>
      </c>
      <c r="E1358" s="547">
        <v>4.3992096570032849E-2</v>
      </c>
      <c r="F1358" s="548">
        <v>9.6905637586404622E-2</v>
      </c>
      <c r="G1358" s="549">
        <v>8.3874575095087195E-2</v>
      </c>
      <c r="H1358" s="550">
        <v>4.0274145673554699E-3</v>
      </c>
      <c r="I1358" s="551">
        <v>5.9340597396016902E-2</v>
      </c>
      <c r="J1358" s="551">
        <v>3.2057640030342997E-2</v>
      </c>
      <c r="K1358" s="551">
        <v>1.7075663234583101E-2</v>
      </c>
      <c r="L1358" s="551">
        <v>1.5576597703260799E-3</v>
      </c>
      <c r="M1358" s="552">
        <v>1.7847748953917501E-2</v>
      </c>
    </row>
    <row r="1359" spans="2:13" ht="15.75" x14ac:dyDescent="0.25">
      <c r="B1359" s="555">
        <v>2045</v>
      </c>
      <c r="C1359" s="556">
        <v>2035</v>
      </c>
      <c r="D1359" s="557" t="s">
        <v>4257</v>
      </c>
      <c r="E1359" s="547">
        <v>4.3976314686853257E-2</v>
      </c>
      <c r="F1359" s="548">
        <v>9.6865912341595695E-2</v>
      </c>
      <c r="G1359" s="549">
        <v>8.2691326975665697E-2</v>
      </c>
      <c r="H1359" s="550">
        <v>4.0479469010515799E-3</v>
      </c>
      <c r="I1359" s="551">
        <v>5.7713670363384102E-2</v>
      </c>
      <c r="J1359" s="551">
        <v>3.1571999065075199E-2</v>
      </c>
      <c r="K1359" s="551">
        <v>1.6269209828547401E-2</v>
      </c>
      <c r="L1359" s="551">
        <v>1.5582776260636699E-3</v>
      </c>
      <c r="M1359" s="552">
        <v>1.7004831303444899E-2</v>
      </c>
    </row>
    <row r="1360" spans="2:13" ht="15.75" x14ac:dyDescent="0.25">
      <c r="B1360" s="555">
        <v>2045</v>
      </c>
      <c r="C1360" s="556">
        <v>2036</v>
      </c>
      <c r="D1360" s="557" t="s">
        <v>4258</v>
      </c>
      <c r="E1360" s="547">
        <v>4.3960038045436668E-2</v>
      </c>
      <c r="F1360" s="548">
        <v>9.6824846532231681E-2</v>
      </c>
      <c r="G1360" s="549">
        <v>8.1414400074583795E-2</v>
      </c>
      <c r="H1360" s="550">
        <v>4.0718073924516001E-3</v>
      </c>
      <c r="I1360" s="551">
        <v>5.5965554421593698E-2</v>
      </c>
      <c r="J1360" s="551">
        <v>3.1791216949182501E-2</v>
      </c>
      <c r="K1360" s="551">
        <v>1.54037448827996E-2</v>
      </c>
      <c r="L1360" s="551">
        <v>1.5588786597903099E-3</v>
      </c>
      <c r="M1360" s="552">
        <v>1.6100233873294199E-2</v>
      </c>
    </row>
    <row r="1361" spans="2:13" ht="15.75" x14ac:dyDescent="0.25">
      <c r="B1361" s="555">
        <v>2045</v>
      </c>
      <c r="C1361" s="556">
        <v>2037</v>
      </c>
      <c r="D1361" s="557" t="s">
        <v>4259</v>
      </c>
      <c r="E1361" s="547">
        <v>4.3943363910992593E-2</v>
      </c>
      <c r="F1361" s="548">
        <v>9.6782389724795026E-2</v>
      </c>
      <c r="G1361" s="549">
        <v>8.0046190194955902E-2</v>
      </c>
      <c r="H1361" s="550">
        <v>4.0832903432311499E-3</v>
      </c>
      <c r="I1361" s="551">
        <v>5.4097106255798298E-2</v>
      </c>
      <c r="J1361" s="551">
        <v>3.14442250023746E-2</v>
      </c>
      <c r="K1361" s="551">
        <v>1.44793939829659E-2</v>
      </c>
      <c r="L1361" s="551">
        <v>1.55948992253246E-3</v>
      </c>
      <c r="M1361" s="552">
        <v>1.51340879275164E-2</v>
      </c>
    </row>
    <row r="1362" spans="2:13" ht="15.75" x14ac:dyDescent="0.25">
      <c r="B1362" s="555">
        <v>2045</v>
      </c>
      <c r="C1362" s="556">
        <v>2038</v>
      </c>
      <c r="D1362" s="557" t="s">
        <v>4260</v>
      </c>
      <c r="E1362" s="547">
        <v>4.3926106020732214E-2</v>
      </c>
      <c r="F1362" s="548">
        <v>9.6737643222370703E-2</v>
      </c>
      <c r="G1362" s="549">
        <v>7.8585920690426705E-2</v>
      </c>
      <c r="H1362" s="550">
        <v>4.0649522534950003E-3</v>
      </c>
      <c r="I1362" s="551">
        <v>5.2107938408139903E-2</v>
      </c>
      <c r="J1362" s="551">
        <v>3.0920703846139201E-2</v>
      </c>
      <c r="K1362" s="551">
        <v>1.34960757775814E-2</v>
      </c>
      <c r="L1362" s="551">
        <v>1.56010551333764E-3</v>
      </c>
      <c r="M1362" s="552">
        <v>1.4106308436294301E-2</v>
      </c>
    </row>
    <row r="1363" spans="2:13" ht="15.75" x14ac:dyDescent="0.25">
      <c r="B1363" s="555">
        <v>2045</v>
      </c>
      <c r="C1363" s="556">
        <v>2039</v>
      </c>
      <c r="D1363" s="557" t="s">
        <v>4261</v>
      </c>
      <c r="E1363" s="547">
        <v>4.3908039203731979E-2</v>
      </c>
      <c r="F1363" s="548">
        <v>9.6689704029849638E-2</v>
      </c>
      <c r="G1363" s="549">
        <v>7.7032938396751502E-2</v>
      </c>
      <c r="H1363" s="550">
        <v>4.0019216746662997E-3</v>
      </c>
      <c r="I1363" s="551">
        <v>4.9997766025758998E-2</v>
      </c>
      <c r="J1363" s="551">
        <v>2.9652005998734701E-2</v>
      </c>
      <c r="K1363" s="551">
        <v>1.2453735063446899E-2</v>
      </c>
      <c r="L1363" s="551">
        <v>1.5607204493301499E-3</v>
      </c>
      <c r="M1363" s="552">
        <v>1.30168377003851E-2</v>
      </c>
    </row>
    <row r="1364" spans="2:13" ht="15.75" x14ac:dyDescent="0.25">
      <c r="B1364" s="555">
        <v>2045</v>
      </c>
      <c r="C1364" s="556">
        <v>2040</v>
      </c>
      <c r="D1364" s="557" t="s">
        <v>4262</v>
      </c>
      <c r="E1364" s="547">
        <v>4.3888999298044074E-2</v>
      </c>
      <c r="F1364" s="548">
        <v>9.6638822692784607E-2</v>
      </c>
      <c r="G1364" s="549">
        <v>7.5388182329320597E-2</v>
      </c>
      <c r="H1364" s="550">
        <v>3.9145278090998202E-3</v>
      </c>
      <c r="I1364" s="551">
        <v>4.7766847746354202E-2</v>
      </c>
      <c r="J1364" s="551">
        <v>2.85386373834902E-2</v>
      </c>
      <c r="K1364" s="551">
        <v>1.1352390205412099E-2</v>
      </c>
      <c r="L1364" s="551">
        <v>1.5613487353905E-3</v>
      </c>
      <c r="M1364" s="552">
        <v>1.18656949150154E-2</v>
      </c>
    </row>
    <row r="1365" spans="2:13" ht="15.75" x14ac:dyDescent="0.25">
      <c r="B1365" s="555">
        <v>2045</v>
      </c>
      <c r="C1365" s="556">
        <v>2041</v>
      </c>
      <c r="D1365" s="557" t="s">
        <v>4263</v>
      </c>
      <c r="E1365" s="547">
        <v>4.3868508119270434E-2</v>
      </c>
      <c r="F1365" s="548">
        <v>9.6586536950694357E-2</v>
      </c>
      <c r="G1365" s="549">
        <v>7.3650401904127194E-2</v>
      </c>
      <c r="H1365" s="550">
        <v>3.9286583516302803E-3</v>
      </c>
      <c r="I1365" s="551">
        <v>4.5414655494004003E-2</v>
      </c>
      <c r="J1365" s="551">
        <v>0.15932603365027501</v>
      </c>
      <c r="K1365" s="551">
        <v>1.0191946571535999E-2</v>
      </c>
      <c r="L1365" s="551">
        <v>1.5619774822139801E-3</v>
      </c>
      <c r="M1365" s="552">
        <v>1.06527811694078E-2</v>
      </c>
    </row>
    <row r="1366" spans="2:13" ht="15.75" x14ac:dyDescent="0.25">
      <c r="B1366" s="555">
        <v>2045</v>
      </c>
      <c r="C1366" s="556">
        <v>2042</v>
      </c>
      <c r="D1366" s="557" t="s">
        <v>4264</v>
      </c>
      <c r="E1366" s="547">
        <v>4.3845833469315761E-2</v>
      </c>
      <c r="F1366" s="548">
        <v>9.6536836372287452E-2</v>
      </c>
      <c r="G1366" s="549">
        <v>7.1818080357007402E-2</v>
      </c>
      <c r="H1366" s="550">
        <v>4.3482277388881899E-3</v>
      </c>
      <c r="I1366" s="551">
        <v>4.2940674652141402E-2</v>
      </c>
      <c r="J1366" s="551">
        <v>0.36785438260008901</v>
      </c>
      <c r="K1366" s="551">
        <v>8.9723297825840698E-3</v>
      </c>
      <c r="L1366" s="551">
        <v>1.5625921159222601E-3</v>
      </c>
      <c r="M1366" s="552">
        <v>9.3780187212287695E-3</v>
      </c>
    </row>
    <row r="1367" spans="2:13" ht="15.75" x14ac:dyDescent="0.25">
      <c r="B1367" s="555">
        <v>2045</v>
      </c>
      <c r="C1367" s="556">
        <v>2043</v>
      </c>
      <c r="D1367" s="557" t="s">
        <v>4265</v>
      </c>
      <c r="E1367" s="547">
        <v>4.3820083975208222E-2</v>
      </c>
      <c r="F1367" s="548">
        <v>9.6490043896536454E-2</v>
      </c>
      <c r="G1367" s="549">
        <v>6.9893134546471197E-2</v>
      </c>
      <c r="H1367" s="550">
        <v>5.3881031025142202E-3</v>
      </c>
      <c r="I1367" s="551">
        <v>4.0345425434591499E-2</v>
      </c>
      <c r="J1367" s="551">
        <v>0.64762466806311703</v>
      </c>
      <c r="K1367" s="551">
        <v>7.6935808940242203E-3</v>
      </c>
      <c r="L1367" s="551">
        <v>1.5632169088864499E-3</v>
      </c>
      <c r="M1367" s="552">
        <v>8.0414504822924008E-3</v>
      </c>
    </row>
    <row r="1368" spans="2:13" ht="15.75" x14ac:dyDescent="0.25">
      <c r="B1368" s="555">
        <v>2045</v>
      </c>
      <c r="C1368" s="556">
        <v>2044</v>
      </c>
      <c r="D1368" s="557" t="s">
        <v>4266</v>
      </c>
      <c r="E1368" s="547">
        <v>4.3788991287461262E-2</v>
      </c>
      <c r="F1368" s="548">
        <v>9.6408776339647104E-2</v>
      </c>
      <c r="G1368" s="549">
        <v>6.7874878198861496E-2</v>
      </c>
      <c r="H1368" s="550">
        <v>5.4749116458348004E-3</v>
      </c>
      <c r="I1368" s="551">
        <v>3.7628605157458798E-2</v>
      </c>
      <c r="J1368" s="551">
        <v>0</v>
      </c>
      <c r="K1368" s="551">
        <v>6.3556413816030699E-3</v>
      </c>
      <c r="L1368" s="551">
        <v>1.5638461385282601E-3</v>
      </c>
      <c r="M1368" s="552">
        <v>6.6430152821382203E-3</v>
      </c>
    </row>
    <row r="1369" spans="2:13" ht="15.75" x14ac:dyDescent="0.25">
      <c r="B1369" s="555">
        <v>2045</v>
      </c>
      <c r="C1369" s="556">
        <v>2045</v>
      </c>
      <c r="D1369" s="557" t="s">
        <v>4267</v>
      </c>
      <c r="E1369" s="547">
        <v>4.3746264974162001E-2</v>
      </c>
      <c r="F1369" s="548">
        <v>9.6294649976168031E-2</v>
      </c>
      <c r="G1369" s="549">
        <v>6.5763016207439698E-2</v>
      </c>
      <c r="H1369" s="550">
        <v>5.4771561157383403E-3</v>
      </c>
      <c r="I1369" s="551">
        <v>3.47900625211226E-2</v>
      </c>
      <c r="J1369" s="551">
        <v>3.4576013545170203E-2</v>
      </c>
      <c r="K1369" s="551">
        <v>4.9584729029693601E-3</v>
      </c>
      <c r="L1369" s="551">
        <v>1.56448016090511E-3</v>
      </c>
      <c r="M1369" s="552">
        <v>5.1826730447439998E-3</v>
      </c>
    </row>
    <row r="1370" spans="2:13" ht="15.75" x14ac:dyDescent="0.25">
      <c r="B1370" s="555">
        <v>2046</v>
      </c>
      <c r="C1370" s="556">
        <v>2002</v>
      </c>
      <c r="D1370" s="557" t="s">
        <v>4268</v>
      </c>
      <c r="E1370" s="547">
        <v>6.4631268380790668E-2</v>
      </c>
      <c r="F1370" s="548">
        <v>0.13221100383966541</v>
      </c>
      <c r="G1370" s="549">
        <v>0.28381091226473898</v>
      </c>
      <c r="H1370" s="550">
        <v>2.2786302968384201E-2</v>
      </c>
      <c r="I1370" s="551">
        <v>7.1005916334265304</v>
      </c>
      <c r="J1370" s="551">
        <v>0.319535017384108</v>
      </c>
      <c r="K1370" s="551">
        <v>5.2901760133160503E-2</v>
      </c>
      <c r="L1370" s="551">
        <v>2.2315247562800702E-3</v>
      </c>
      <c r="M1370" s="552">
        <v>5.5293742978298199E-2</v>
      </c>
    </row>
    <row r="1371" spans="2:13" ht="15.75" x14ac:dyDescent="0.25">
      <c r="B1371" s="555">
        <v>2046</v>
      </c>
      <c r="C1371" s="556">
        <v>2003</v>
      </c>
      <c r="D1371" s="557" t="s">
        <v>4269</v>
      </c>
      <c r="E1371" s="547">
        <v>6.4322052565299936E-2</v>
      </c>
      <c r="F1371" s="548">
        <v>0.13160998745801697</v>
      </c>
      <c r="G1371" s="549">
        <v>0.28158039892144998</v>
      </c>
      <c r="H1371" s="550">
        <v>2.2545782612610699E-2</v>
      </c>
      <c r="I1371" s="551">
        <v>7.1285017994436402</v>
      </c>
      <c r="J1371" s="551">
        <v>0.31944433058086102</v>
      </c>
      <c r="K1371" s="551">
        <v>5.2485997113624401E-2</v>
      </c>
      <c r="L1371" s="551">
        <v>2.20847268117023E-3</v>
      </c>
      <c r="M1371" s="552">
        <v>5.4859180999939701E-2</v>
      </c>
    </row>
    <row r="1372" spans="2:13" ht="15.75" x14ac:dyDescent="0.25">
      <c r="B1372" s="555">
        <v>2046</v>
      </c>
      <c r="C1372" s="556">
        <v>2004</v>
      </c>
      <c r="D1372" s="557" t="s">
        <v>4270</v>
      </c>
      <c r="E1372" s="547">
        <v>6.4087732746226242E-2</v>
      </c>
      <c r="F1372" s="548">
        <v>0.13064037383689009</v>
      </c>
      <c r="G1372" s="549">
        <v>0.23241518538150599</v>
      </c>
      <c r="H1372" s="550">
        <v>1.47740371095487E-2</v>
      </c>
      <c r="I1372" s="551">
        <v>5.96213177658771</v>
      </c>
      <c r="J1372" s="551">
        <v>0.27032217407861697</v>
      </c>
      <c r="K1372" s="551">
        <v>5.2195105647011998E-2</v>
      </c>
      <c r="L1372" s="551">
        <v>1.4372356485809799E-4</v>
      </c>
      <c r="M1372" s="552">
        <v>5.4555136712018802E-2</v>
      </c>
    </row>
    <row r="1373" spans="2:13" ht="15.75" x14ac:dyDescent="0.25">
      <c r="B1373" s="555">
        <v>2046</v>
      </c>
      <c r="C1373" s="556">
        <v>2005</v>
      </c>
      <c r="D1373" s="557" t="s">
        <v>4271</v>
      </c>
      <c r="E1373" s="547">
        <v>6.4124887558627969E-2</v>
      </c>
      <c r="F1373" s="548">
        <v>0.13098481025606679</v>
      </c>
      <c r="G1373" s="549">
        <v>0.23277557430690701</v>
      </c>
      <c r="H1373" s="550">
        <v>1.497830977678E-2</v>
      </c>
      <c r="I1373" s="551">
        <v>5.9520158885809398</v>
      </c>
      <c r="J1373" s="551">
        <v>0.27217739572850902</v>
      </c>
      <c r="K1373" s="551">
        <v>5.2276040711579402E-2</v>
      </c>
      <c r="L1373" s="551">
        <v>1.4512702043376999E-4</v>
      </c>
      <c r="M1373" s="552">
        <v>5.4639731301061999E-2</v>
      </c>
    </row>
    <row r="1374" spans="2:13" ht="15.75" x14ac:dyDescent="0.25">
      <c r="B1374" s="555">
        <v>2046</v>
      </c>
      <c r="C1374" s="556">
        <v>2006</v>
      </c>
      <c r="D1374" s="557" t="s">
        <v>4272</v>
      </c>
      <c r="E1374" s="547">
        <v>6.3948884598311717E-2</v>
      </c>
      <c r="F1374" s="548">
        <v>0.13127515359172967</v>
      </c>
      <c r="G1374" s="549">
        <v>0.231706056775599</v>
      </c>
      <c r="H1374" s="550">
        <v>1.51363066651969E-2</v>
      </c>
      <c r="I1374" s="551">
        <v>5.9603357102930996</v>
      </c>
      <c r="J1374" s="551">
        <v>0.27385200877381499</v>
      </c>
      <c r="K1374" s="551">
        <v>5.2035851670375798E-2</v>
      </c>
      <c r="L1374" s="551">
        <v>1.4630879316989201E-4</v>
      </c>
      <c r="M1374" s="552">
        <v>5.4388681977238298E-2</v>
      </c>
    </row>
    <row r="1375" spans="2:13" ht="15.75" x14ac:dyDescent="0.25">
      <c r="B1375" s="555">
        <v>2046</v>
      </c>
      <c r="C1375" s="556">
        <v>2007</v>
      </c>
      <c r="D1375" s="557" t="s">
        <v>4273</v>
      </c>
      <c r="E1375" s="547">
        <v>6.4093793742410671E-2</v>
      </c>
      <c r="F1375" s="548">
        <v>0.13161063162372913</v>
      </c>
      <c r="G1375" s="549">
        <v>0.17018749060036301</v>
      </c>
      <c r="H1375" s="550">
        <v>1.53038823957056E-2</v>
      </c>
      <c r="I1375" s="551">
        <v>3.1145902004177999</v>
      </c>
      <c r="J1375" s="551">
        <v>0.27397045774333101</v>
      </c>
      <c r="K1375" s="551">
        <v>3.7810454724884299E-2</v>
      </c>
      <c r="L1375" s="551">
        <v>1.4766657412697501E-4</v>
      </c>
      <c r="M1375" s="552">
        <v>3.95200757061357E-2</v>
      </c>
    </row>
    <row r="1376" spans="2:13" ht="15.75" x14ac:dyDescent="0.25">
      <c r="B1376" s="555">
        <v>2046</v>
      </c>
      <c r="C1376" s="556">
        <v>2008</v>
      </c>
      <c r="D1376" s="557" t="s">
        <v>4274</v>
      </c>
      <c r="E1376" s="547">
        <v>6.4321870761162928E-2</v>
      </c>
      <c r="F1376" s="548">
        <v>0.13208305429446776</v>
      </c>
      <c r="G1376" s="549">
        <v>0.17230890952924099</v>
      </c>
      <c r="H1376" s="550">
        <v>1.20896187379376E-2</v>
      </c>
      <c r="I1376" s="551">
        <v>3.10067881849979</v>
      </c>
      <c r="J1376" s="551">
        <v>0.193160038154713</v>
      </c>
      <c r="K1376" s="551">
        <v>3.80936531829753E-2</v>
      </c>
      <c r="L1376" s="551">
        <v>1.7046127516132299E-4</v>
      </c>
      <c r="M1376" s="552">
        <v>3.9816079141826999E-2</v>
      </c>
    </row>
    <row r="1377" spans="2:13" ht="15.75" x14ac:dyDescent="0.25">
      <c r="B1377" s="555">
        <v>2046</v>
      </c>
      <c r="C1377" s="556">
        <v>2009</v>
      </c>
      <c r="D1377" s="557" t="s">
        <v>4275</v>
      </c>
      <c r="E1377" s="547">
        <v>6.4305878860886651E-2</v>
      </c>
      <c r="F1377" s="548">
        <v>0.13082683050946786</v>
      </c>
      <c r="G1377" s="549">
        <v>0.17244313762119801</v>
      </c>
      <c r="H1377" s="550">
        <v>8.4800510872659694E-3</v>
      </c>
      <c r="I1377" s="551">
        <v>3.0986714418090502</v>
      </c>
      <c r="J1377" s="551">
        <v>0.108972051079848</v>
      </c>
      <c r="K1377" s="551">
        <v>3.8111626674149503E-2</v>
      </c>
      <c r="L1377" s="551">
        <v>1.86938642025686E-4</v>
      </c>
      <c r="M1377" s="552">
        <v>3.9834865314515903E-2</v>
      </c>
    </row>
    <row r="1378" spans="2:13" ht="15.75" x14ac:dyDescent="0.25">
      <c r="B1378" s="555">
        <v>2046</v>
      </c>
      <c r="C1378" s="556">
        <v>2010</v>
      </c>
      <c r="D1378" s="557" t="s">
        <v>4276</v>
      </c>
      <c r="E1378" s="547">
        <v>6.4310531434882232E-2</v>
      </c>
      <c r="F1378" s="548">
        <v>0.12971238896761422</v>
      </c>
      <c r="G1378" s="549">
        <v>0.110573353102577</v>
      </c>
      <c r="H1378" s="550">
        <v>8.2890003509301403E-3</v>
      </c>
      <c r="I1378" s="551">
        <v>0.28475191330736299</v>
      </c>
      <c r="J1378" s="551">
        <v>0.10883797224724499</v>
      </c>
      <c r="K1378" s="551">
        <v>2.3521303485457199E-2</v>
      </c>
      <c r="L1378" s="551">
        <v>2.2277162940289899E-4</v>
      </c>
      <c r="M1378" s="552">
        <v>2.4584832454831201E-2</v>
      </c>
    </row>
    <row r="1379" spans="2:13" ht="15.75" x14ac:dyDescent="0.25">
      <c r="B1379" s="555">
        <v>2046</v>
      </c>
      <c r="C1379" s="556">
        <v>2011</v>
      </c>
      <c r="D1379" s="557" t="s">
        <v>4277</v>
      </c>
      <c r="E1379" s="547">
        <v>6.4249897314799395E-2</v>
      </c>
      <c r="F1379" s="548">
        <v>0.13136532838125062</v>
      </c>
      <c r="G1379" s="549">
        <v>0.11027878990418</v>
      </c>
      <c r="H1379" s="550">
        <v>8.6198643371003907E-3</v>
      </c>
      <c r="I1379" s="551">
        <v>0.284282586489709</v>
      </c>
      <c r="J1379" s="551">
        <v>0.110700812433198</v>
      </c>
      <c r="K1379" s="551">
        <v>2.3497826677738198E-2</v>
      </c>
      <c r="L1379" s="551">
        <v>3.1445788353464597E-4</v>
      </c>
      <c r="M1379" s="552">
        <v>2.4560294130043899E-2</v>
      </c>
    </row>
    <row r="1380" spans="2:13" ht="15.75" x14ac:dyDescent="0.25">
      <c r="B1380" s="555">
        <v>2046</v>
      </c>
      <c r="C1380" s="556">
        <v>2012</v>
      </c>
      <c r="D1380" s="557" t="s">
        <v>4278</v>
      </c>
      <c r="E1380" s="547">
        <v>6.4354913777452144E-2</v>
      </c>
      <c r="F1380" s="548">
        <v>0.13176721556347507</v>
      </c>
      <c r="G1380" s="549">
        <v>0.11167469265928399</v>
      </c>
      <c r="H1380" s="550">
        <v>8.7058715584700606E-3</v>
      </c>
      <c r="I1380" s="551">
        <v>0.28635536319071903</v>
      </c>
      <c r="J1380" s="551">
        <v>0.111472172297995</v>
      </c>
      <c r="K1380" s="551">
        <v>2.3594705662317E-2</v>
      </c>
      <c r="L1380" s="551">
        <v>4.6445710067193199E-4</v>
      </c>
      <c r="M1380" s="552">
        <v>2.4661553552411199E-2</v>
      </c>
    </row>
    <row r="1381" spans="2:13" ht="15.75" x14ac:dyDescent="0.25">
      <c r="B1381" s="555">
        <v>2046</v>
      </c>
      <c r="C1381" s="556">
        <v>2013</v>
      </c>
      <c r="D1381" s="557" t="s">
        <v>4279</v>
      </c>
      <c r="E1381" s="547">
        <v>6.4208194954156139E-2</v>
      </c>
      <c r="F1381" s="548">
        <v>0.13175679276590141</v>
      </c>
      <c r="G1381" s="549">
        <v>0.11050751082672799</v>
      </c>
      <c r="H1381" s="550">
        <v>8.7356786776763892E-3</v>
      </c>
      <c r="I1381" s="551">
        <v>0.28469203793942</v>
      </c>
      <c r="J1381" s="551">
        <v>0.111073772959766</v>
      </c>
      <c r="K1381" s="551">
        <v>2.35267960593258E-2</v>
      </c>
      <c r="L1381" s="551">
        <v>6.9586610310711102E-4</v>
      </c>
      <c r="M1381" s="552">
        <v>2.4590573378517201E-2</v>
      </c>
    </row>
    <row r="1382" spans="2:13" ht="15.75" x14ac:dyDescent="0.25">
      <c r="B1382" s="555">
        <v>2046</v>
      </c>
      <c r="C1382" s="556">
        <v>2014</v>
      </c>
      <c r="D1382" s="557" t="s">
        <v>4280</v>
      </c>
      <c r="E1382" s="547">
        <v>6.2647970607313211E-2</v>
      </c>
      <c r="F1382" s="548">
        <v>0.12957367672378273</v>
      </c>
      <c r="G1382" s="549">
        <v>0.109910833248702</v>
      </c>
      <c r="H1382" s="550">
        <v>8.7067754714615104E-3</v>
      </c>
      <c r="I1382" s="551">
        <v>0.28373752431179999</v>
      </c>
      <c r="J1382" s="551">
        <v>0.111158609211885</v>
      </c>
      <c r="K1382" s="551">
        <v>2.34796306867406E-2</v>
      </c>
      <c r="L1382" s="551">
        <v>9.6525013279847704E-4</v>
      </c>
      <c r="M1382" s="552">
        <v>2.4541275397077001E-2</v>
      </c>
    </row>
    <row r="1383" spans="2:13" ht="15.75" x14ac:dyDescent="0.25">
      <c r="B1383" s="555">
        <v>2046</v>
      </c>
      <c r="C1383" s="556">
        <v>2015</v>
      </c>
      <c r="D1383" s="557" t="s">
        <v>4281</v>
      </c>
      <c r="E1383" s="547">
        <v>6.2109206886432247E-2</v>
      </c>
      <c r="F1383" s="548">
        <v>0.12952185135162073</v>
      </c>
      <c r="G1383" s="549">
        <v>0.109268791268603</v>
      </c>
      <c r="H1383" s="550">
        <v>8.8371662711880499E-3</v>
      </c>
      <c r="I1383" s="551">
        <v>0.28278576030029201</v>
      </c>
      <c r="J1383" s="551">
        <v>0.111746032519689</v>
      </c>
      <c r="K1383" s="551">
        <v>2.3431322748243399E-2</v>
      </c>
      <c r="L1383" s="551">
        <v>1.2342714656468101E-3</v>
      </c>
      <c r="M1383" s="552">
        <v>2.4490783187964101E-2</v>
      </c>
    </row>
    <row r="1384" spans="2:13" ht="15.75" x14ac:dyDescent="0.25">
      <c r="B1384" s="555">
        <v>2046</v>
      </c>
      <c r="C1384" s="556">
        <v>2016</v>
      </c>
      <c r="D1384" s="557" t="s">
        <v>4282</v>
      </c>
      <c r="E1384" s="547">
        <v>6.008577061302408E-2</v>
      </c>
      <c r="F1384" s="548">
        <v>0.12557728279636163</v>
      </c>
      <c r="G1384" s="549">
        <v>0.108504736949953</v>
      </c>
      <c r="H1384" s="550">
        <v>8.0723609547009596E-3</v>
      </c>
      <c r="I1384" s="551">
        <v>0.24689192410390501</v>
      </c>
      <c r="J1384" s="551">
        <v>9.8101474631683006E-2</v>
      </c>
      <c r="K1384" s="551">
        <v>2.3374337974544E-2</v>
      </c>
      <c r="L1384" s="551">
        <v>1.3892379825500699E-3</v>
      </c>
      <c r="M1384" s="552">
        <v>2.4431221815664299E-2</v>
      </c>
    </row>
    <row r="1385" spans="2:13" ht="15.75" x14ac:dyDescent="0.25">
      <c r="B1385" s="555">
        <v>2046</v>
      </c>
      <c r="C1385" s="556">
        <v>2017</v>
      </c>
      <c r="D1385" s="557" t="s">
        <v>4283</v>
      </c>
      <c r="E1385" s="547">
        <v>5.6577715092663614E-2</v>
      </c>
      <c r="F1385" s="548">
        <v>0.12165517167097978</v>
      </c>
      <c r="G1385" s="549">
        <v>9.0800359380041704E-2</v>
      </c>
      <c r="H1385" s="550">
        <v>7.2663011519430998E-3</v>
      </c>
      <c r="I1385" s="551">
        <v>0.19265331387234899</v>
      </c>
      <c r="J1385" s="551">
        <v>8.4758056251740793E-2</v>
      </c>
      <c r="K1385" s="551">
        <v>2.2203454504573499E-2</v>
      </c>
      <c r="L1385" s="551">
        <v>1.44781299869446E-3</v>
      </c>
      <c r="M1385" s="552">
        <v>2.32073961909002E-2</v>
      </c>
    </row>
    <row r="1386" spans="2:13" ht="15.75" x14ac:dyDescent="0.25">
      <c r="B1386" s="555">
        <v>2046</v>
      </c>
      <c r="C1386" s="556">
        <v>2018</v>
      </c>
      <c r="D1386" s="557" t="s">
        <v>4284</v>
      </c>
      <c r="E1386" s="547">
        <v>5.2826346089289995E-2</v>
      </c>
      <c r="F1386" s="548">
        <v>0.11643591721265713</v>
      </c>
      <c r="G1386" s="549">
        <v>9.0855399689386093E-2</v>
      </c>
      <c r="H1386" s="550">
        <v>6.5427024263317902E-3</v>
      </c>
      <c r="I1386" s="551">
        <v>0.15743809807716699</v>
      </c>
      <c r="J1386" s="551">
        <v>7.1021376994375399E-2</v>
      </c>
      <c r="K1386" s="551">
        <v>2.2206867230270901E-2</v>
      </c>
      <c r="L1386" s="551">
        <v>1.50849754164263E-3</v>
      </c>
      <c r="M1386" s="552">
        <v>2.3210963224909901E-2</v>
      </c>
    </row>
    <row r="1387" spans="2:13" ht="15.75" x14ac:dyDescent="0.25">
      <c r="B1387" s="555">
        <v>2046</v>
      </c>
      <c r="C1387" s="556">
        <v>2019</v>
      </c>
      <c r="D1387" s="557" t="s">
        <v>4285</v>
      </c>
      <c r="E1387" s="547">
        <v>5.2805787434308395E-2</v>
      </c>
      <c r="F1387" s="548">
        <v>0.11638134222869148</v>
      </c>
      <c r="G1387" s="549">
        <v>9.0912053650184205E-2</v>
      </c>
      <c r="H1387" s="550">
        <v>5.91825046907332E-3</v>
      </c>
      <c r="I1387" s="551">
        <v>0.13569983382529399</v>
      </c>
      <c r="J1387" s="551">
        <v>6.1739612799209698E-2</v>
      </c>
      <c r="K1387" s="551">
        <v>2.2210368233728E-2</v>
      </c>
      <c r="L1387" s="551">
        <v>1.54915239690105E-3</v>
      </c>
      <c r="M1387" s="552">
        <v>2.3214622528207801E-2</v>
      </c>
    </row>
    <row r="1388" spans="2:13" ht="15.75" x14ac:dyDescent="0.25">
      <c r="B1388" s="555">
        <v>2046</v>
      </c>
      <c r="C1388" s="556">
        <v>2020</v>
      </c>
      <c r="D1388" s="557" t="s">
        <v>4286</v>
      </c>
      <c r="E1388" s="547">
        <v>5.2785588855470966E-2</v>
      </c>
      <c r="F1388" s="548">
        <v>0.11632767214446917</v>
      </c>
      <c r="G1388" s="549">
        <v>9.0969824997758394E-2</v>
      </c>
      <c r="H1388" s="550">
        <v>5.27830467011196E-3</v>
      </c>
      <c r="I1388" s="551">
        <v>0.113607432934002</v>
      </c>
      <c r="J1388" s="551">
        <v>5.2904482999250803E-2</v>
      </c>
      <c r="K1388" s="551">
        <v>2.22139349143083E-2</v>
      </c>
      <c r="L1388" s="551">
        <v>1.54966743191982E-3</v>
      </c>
      <c r="M1388" s="552">
        <v>2.3218350478256999E-2</v>
      </c>
    </row>
    <row r="1389" spans="2:13" ht="15.75" x14ac:dyDescent="0.25">
      <c r="B1389" s="555">
        <v>2046</v>
      </c>
      <c r="C1389" s="556">
        <v>2021</v>
      </c>
      <c r="D1389" s="557" t="s">
        <v>4287</v>
      </c>
      <c r="E1389" s="547">
        <v>5.1446678283907317E-2</v>
      </c>
      <c r="F1389" s="548">
        <v>0.11337572401022859</v>
      </c>
      <c r="G1389" s="549">
        <v>9.1029886494372103E-2</v>
      </c>
      <c r="H1389" s="550">
        <v>4.6479363058461003E-3</v>
      </c>
      <c r="I1389" s="551">
        <v>9.1854595576671999E-2</v>
      </c>
      <c r="J1389" s="551">
        <v>4.3738685357329901E-2</v>
      </c>
      <c r="K1389" s="551">
        <v>2.2217650735071499E-2</v>
      </c>
      <c r="L1389" s="551">
        <v>1.5502037658112601E-3</v>
      </c>
      <c r="M1389" s="552">
        <v>2.3222234311946401E-2</v>
      </c>
    </row>
    <row r="1390" spans="2:13" ht="15.75" x14ac:dyDescent="0.25">
      <c r="B1390" s="555">
        <v>2046</v>
      </c>
      <c r="C1390" s="556">
        <v>2022</v>
      </c>
      <c r="D1390" s="557" t="s">
        <v>4288</v>
      </c>
      <c r="E1390" s="547">
        <v>5.0161701109232397E-2</v>
      </c>
      <c r="F1390" s="548">
        <v>0.11054249733613128</v>
      </c>
      <c r="G1390" s="549">
        <v>9.1089795155802802E-2</v>
      </c>
      <c r="H1390" s="550">
        <v>4.0153688836440798E-3</v>
      </c>
      <c r="I1390" s="551">
        <v>6.9616091968681404E-2</v>
      </c>
      <c r="J1390" s="551">
        <v>3.4711899074935902E-2</v>
      </c>
      <c r="K1390" s="551">
        <v>2.2221351443035098E-2</v>
      </c>
      <c r="L1390" s="551">
        <v>1.5507391044944001E-3</v>
      </c>
      <c r="M1390" s="552">
        <v>2.3226102349502498E-2</v>
      </c>
    </row>
    <row r="1391" spans="2:13" ht="15.75" x14ac:dyDescent="0.25">
      <c r="B1391" s="555">
        <v>2046</v>
      </c>
      <c r="C1391" s="556">
        <v>2023</v>
      </c>
      <c r="D1391" s="557" t="s">
        <v>4289</v>
      </c>
      <c r="E1391" s="547">
        <v>4.8877954478089784E-2</v>
      </c>
      <c r="F1391" s="548">
        <v>0.107715226225854</v>
      </c>
      <c r="G1391" s="549">
        <v>9.1077804242396102E-2</v>
      </c>
      <c r="H1391" s="550">
        <v>4.0168137104490201E-3</v>
      </c>
      <c r="I1391" s="551">
        <v>6.9541791098772607E-2</v>
      </c>
      <c r="J1391" s="551">
        <v>3.4059344452070497E-2</v>
      </c>
      <c r="K1391" s="551">
        <v>2.2177200601104299E-2</v>
      </c>
      <c r="L1391" s="551">
        <v>1.55128705309711E-3</v>
      </c>
      <c r="M1391" s="552">
        <v>2.31799552024161E-2</v>
      </c>
    </row>
    <row r="1392" spans="2:13" ht="15.75" x14ac:dyDescent="0.25">
      <c r="B1392" s="555">
        <v>2046</v>
      </c>
      <c r="C1392" s="556">
        <v>2024</v>
      </c>
      <c r="D1392" s="557" t="s">
        <v>4290</v>
      </c>
      <c r="E1392" s="547">
        <v>4.7647990523803162E-2</v>
      </c>
      <c r="F1392" s="548">
        <v>0.10500643687402884</v>
      </c>
      <c r="G1392" s="549">
        <v>9.0976113974070502E-2</v>
      </c>
      <c r="H1392" s="550">
        <v>4.0328370182314199E-3</v>
      </c>
      <c r="I1392" s="551">
        <v>6.9348525558699997E-2</v>
      </c>
      <c r="J1392" s="551">
        <v>3.49013963969875E-2</v>
      </c>
      <c r="K1392" s="551">
        <v>2.2074550904499099E-2</v>
      </c>
      <c r="L1392" s="551">
        <v>1.55183397270909E-3</v>
      </c>
      <c r="M1392" s="552">
        <v>2.3072664142031699E-2</v>
      </c>
    </row>
    <row r="1393" spans="2:13" ht="15.75" x14ac:dyDescent="0.25">
      <c r="B1393" s="555">
        <v>2046</v>
      </c>
      <c r="C1393" s="556">
        <v>2025</v>
      </c>
      <c r="D1393" s="557" t="s">
        <v>4291</v>
      </c>
      <c r="E1393" s="547">
        <v>4.64191464134504E-2</v>
      </c>
      <c r="F1393" s="548">
        <v>0.10230023759439426</v>
      </c>
      <c r="G1393" s="549">
        <v>9.0786153931987607E-2</v>
      </c>
      <c r="H1393" s="550">
        <v>4.0463953021935804E-3</v>
      </c>
      <c r="I1393" s="551">
        <v>6.9036802271907199E-2</v>
      </c>
      <c r="J1393" s="551">
        <v>3.3998191704794997E-2</v>
      </c>
      <c r="K1393" s="551">
        <v>2.19134785262383E-2</v>
      </c>
      <c r="L1393" s="551">
        <v>1.5523944327822301E-3</v>
      </c>
      <c r="M1393" s="552">
        <v>2.2904308785574E-2</v>
      </c>
    </row>
    <row r="1394" spans="2:13" ht="15.75" x14ac:dyDescent="0.25">
      <c r="B1394" s="555">
        <v>2046</v>
      </c>
      <c r="C1394" s="556">
        <v>2026</v>
      </c>
      <c r="D1394" s="557" t="s">
        <v>4292</v>
      </c>
      <c r="E1394" s="547">
        <v>4.5243938270720201E-2</v>
      </c>
      <c r="F1394" s="548">
        <v>9.9711849223817886E-2</v>
      </c>
      <c r="G1394" s="549">
        <v>9.0506186823764004E-2</v>
      </c>
      <c r="H1394" s="550">
        <v>4.0637838804967897E-3</v>
      </c>
      <c r="I1394" s="551">
        <v>6.8613300911882502E-2</v>
      </c>
      <c r="J1394" s="551">
        <v>3.4711238197013702E-2</v>
      </c>
      <c r="K1394" s="551">
        <v>2.1693847146489299E-2</v>
      </c>
      <c r="L1394" s="551">
        <v>1.55295401830036E-3</v>
      </c>
      <c r="M1394" s="552">
        <v>2.2674746649432601E-2</v>
      </c>
    </row>
    <row r="1395" spans="2:13" ht="15.75" x14ac:dyDescent="0.25">
      <c r="B1395" s="555">
        <v>2046</v>
      </c>
      <c r="C1395" s="556">
        <v>2027</v>
      </c>
      <c r="D1395" s="557" t="s">
        <v>4293</v>
      </c>
      <c r="E1395" s="547">
        <v>4.4122483865956401E-2</v>
      </c>
      <c r="F1395" s="548">
        <v>9.7241541683480703E-2</v>
      </c>
      <c r="G1395" s="549">
        <v>9.01387955175805E-2</v>
      </c>
      <c r="H1395" s="550">
        <v>4.0645663975275304E-3</v>
      </c>
      <c r="I1395" s="551">
        <v>6.8064123503726898E-2</v>
      </c>
      <c r="J1395" s="551">
        <v>3.4162056040434798E-2</v>
      </c>
      <c r="K1395" s="551">
        <v>2.14158205780552E-2</v>
      </c>
      <c r="L1395" s="551">
        <v>1.55353960516765E-3</v>
      </c>
      <c r="M1395" s="552">
        <v>2.2384148953298499E-2</v>
      </c>
    </row>
    <row r="1396" spans="2:13" ht="15.75" x14ac:dyDescent="0.25">
      <c r="B1396" s="555">
        <v>2046</v>
      </c>
      <c r="C1396" s="556">
        <v>2028</v>
      </c>
      <c r="D1396" s="557" t="s">
        <v>4294</v>
      </c>
      <c r="E1396" s="547">
        <v>4.4107109218073669E-2</v>
      </c>
      <c r="F1396" s="548">
        <v>9.7202396911169747E-2</v>
      </c>
      <c r="G1396" s="549">
        <v>8.9680251333949801E-2</v>
      </c>
      <c r="H1396" s="550">
        <v>4.06993708085426E-3</v>
      </c>
      <c r="I1396" s="551">
        <v>6.7395207516117703E-2</v>
      </c>
      <c r="J1396" s="551">
        <v>3.4292211769744702E-2</v>
      </c>
      <c r="K1396" s="551">
        <v>2.10791253607115E-2</v>
      </c>
      <c r="L1396" s="551">
        <v>1.5541176673051101E-3</v>
      </c>
      <c r="M1396" s="552">
        <v>2.2032229872289401E-2</v>
      </c>
    </row>
    <row r="1397" spans="2:13" ht="15.75" x14ac:dyDescent="0.25">
      <c r="B1397" s="555">
        <v>2046</v>
      </c>
      <c r="C1397" s="556">
        <v>2029</v>
      </c>
      <c r="D1397" s="557" t="s">
        <v>4295</v>
      </c>
      <c r="E1397" s="547">
        <v>4.4091793224340731E-2</v>
      </c>
      <c r="F1397" s="548">
        <v>9.7163293406717144E-2</v>
      </c>
      <c r="G1397" s="549">
        <v>8.9131523807866098E-2</v>
      </c>
      <c r="H1397" s="550">
        <v>4.0657826315356202E-3</v>
      </c>
      <c r="I1397" s="551">
        <v>6.6606851059137495E-2</v>
      </c>
      <c r="J1397" s="551">
        <v>3.4358391350824899E-2</v>
      </c>
      <c r="K1397" s="551">
        <v>2.0683795661083599E-2</v>
      </c>
      <c r="L1397" s="551">
        <v>1.55469864223756E-3</v>
      </c>
      <c r="M1397" s="552">
        <v>2.16190251178939E-2</v>
      </c>
    </row>
    <row r="1398" spans="2:13" ht="15.75" x14ac:dyDescent="0.25">
      <c r="B1398" s="555">
        <v>2046</v>
      </c>
      <c r="C1398" s="556">
        <v>2030</v>
      </c>
      <c r="D1398" s="557" t="s">
        <v>4296</v>
      </c>
      <c r="E1398" s="547">
        <v>4.4076596518117128E-2</v>
      </c>
      <c r="F1398" s="548">
        <v>9.712431646573387E-2</v>
      </c>
      <c r="G1398" s="549">
        <v>8.8493631154491506E-2</v>
      </c>
      <c r="H1398" s="550">
        <v>4.0540095631378297E-3</v>
      </c>
      <c r="I1398" s="551">
        <v>6.5699420018953805E-2</v>
      </c>
      <c r="J1398" s="551">
        <v>3.3267321737733203E-2</v>
      </c>
      <c r="K1398" s="551">
        <v>2.0229887050740102E-2</v>
      </c>
      <c r="L1398" s="551">
        <v>1.55529501200279E-3</v>
      </c>
      <c r="M1398" s="552">
        <v>2.11445927743803E-2</v>
      </c>
    </row>
    <row r="1399" spans="2:13" ht="15.75" x14ac:dyDescent="0.25">
      <c r="B1399" s="555">
        <v>2046</v>
      </c>
      <c r="C1399" s="556">
        <v>2031</v>
      </c>
      <c r="D1399" s="557" t="s">
        <v>4297</v>
      </c>
      <c r="E1399" s="547">
        <v>4.4061306345800071E-2</v>
      </c>
      <c r="F1399" s="548">
        <v>9.7084988511087877E-2</v>
      </c>
      <c r="G1399" s="549">
        <v>8.7763916462810093E-2</v>
      </c>
      <c r="H1399" s="550">
        <v>4.0381823267616797E-3</v>
      </c>
      <c r="I1399" s="551">
        <v>6.4671801181833494E-2</v>
      </c>
      <c r="J1399" s="551">
        <v>3.3739629996994903E-2</v>
      </c>
      <c r="K1399" s="551">
        <v>1.9717194821934701E-2</v>
      </c>
      <c r="L1399" s="551">
        <v>1.5558818549802999E-3</v>
      </c>
      <c r="M1399" s="552">
        <v>2.06087188780264E-2</v>
      </c>
    </row>
    <row r="1400" spans="2:13" ht="15.75" x14ac:dyDescent="0.25">
      <c r="B1400" s="555">
        <v>2046</v>
      </c>
      <c r="C1400" s="556">
        <v>2032</v>
      </c>
      <c r="D1400" s="557" t="s">
        <v>4298</v>
      </c>
      <c r="E1400" s="547">
        <v>4.4046032833371267E-2</v>
      </c>
      <c r="F1400" s="548">
        <v>9.7045725363654189E-2</v>
      </c>
      <c r="G1400" s="549">
        <v>8.6944173941302799E-2</v>
      </c>
      <c r="H1400" s="550">
        <v>4.0321405224932501E-3</v>
      </c>
      <c r="I1400" s="551">
        <v>6.3524668012117202E-2</v>
      </c>
      <c r="J1400" s="551">
        <v>3.3312447205674202E-2</v>
      </c>
      <c r="K1400" s="551">
        <v>1.9145826643289499E-2</v>
      </c>
      <c r="L1400" s="551">
        <v>1.556479574735E-3</v>
      </c>
      <c r="M1400" s="552">
        <v>2.0011515965751701E-2</v>
      </c>
    </row>
    <row r="1401" spans="2:13" ht="15.75" x14ac:dyDescent="0.25">
      <c r="B1401" s="555">
        <v>2046</v>
      </c>
      <c r="C1401" s="556">
        <v>2033</v>
      </c>
      <c r="D1401" s="557" t="s">
        <v>4299</v>
      </c>
      <c r="E1401" s="547">
        <v>4.4030630143537967E-2</v>
      </c>
      <c r="F1401" s="548">
        <v>9.7006218814976813E-2</v>
      </c>
      <c r="G1401" s="549">
        <v>8.6032781511725706E-2</v>
      </c>
      <c r="H1401" s="550">
        <v>4.0243663703770204E-3</v>
      </c>
      <c r="I1401" s="551">
        <v>6.2257314806872299E-2</v>
      </c>
      <c r="J1401" s="551">
        <v>3.26698862773738E-2</v>
      </c>
      <c r="K1401" s="551">
        <v>1.8515647985324998E-2</v>
      </c>
      <c r="L1401" s="551">
        <v>1.55707404108025E-3</v>
      </c>
      <c r="M1401" s="552">
        <v>1.9352843425250399E-2</v>
      </c>
    </row>
    <row r="1402" spans="2:13" ht="15.75" x14ac:dyDescent="0.25">
      <c r="B1402" s="555">
        <v>2046</v>
      </c>
      <c r="C1402" s="556">
        <v>2034</v>
      </c>
      <c r="D1402" s="557" t="s">
        <v>4300</v>
      </c>
      <c r="E1402" s="547">
        <v>4.4015133937245418E-2</v>
      </c>
      <c r="F1402" s="548">
        <v>9.6966716897144603E-2</v>
      </c>
      <c r="G1402" s="549">
        <v>8.5030688884377301E-2</v>
      </c>
      <c r="H1402" s="550">
        <v>4.0213800419791499E-3</v>
      </c>
      <c r="I1402" s="551">
        <v>6.0870049940404097E-2</v>
      </c>
      <c r="J1402" s="551">
        <v>3.2367416271447201E-2</v>
      </c>
      <c r="K1402" s="551">
        <v>1.78266980388628E-2</v>
      </c>
      <c r="L1402" s="551">
        <v>1.5576762343656599E-3</v>
      </c>
      <c r="M1402" s="552">
        <v>1.86327422193792E-2</v>
      </c>
    </row>
    <row r="1403" spans="2:13" ht="15.75" x14ac:dyDescent="0.25">
      <c r="B1403" s="555">
        <v>2046</v>
      </c>
      <c r="C1403" s="556">
        <v>2035</v>
      </c>
      <c r="D1403" s="557" t="s">
        <v>4301</v>
      </c>
      <c r="E1403" s="547">
        <v>4.3999543970557657E-2</v>
      </c>
      <c r="F1403" s="548">
        <v>9.6927213960871686E-2</v>
      </c>
      <c r="G1403" s="549">
        <v>8.3938394779809702E-2</v>
      </c>
      <c r="H1403" s="550">
        <v>4.0295701059634799E-3</v>
      </c>
      <c r="I1403" s="551">
        <v>5.9363002955841002E-2</v>
      </c>
      <c r="J1403" s="551">
        <v>3.18182234765454E-2</v>
      </c>
      <c r="K1403" s="551">
        <v>1.7078984381708701E-2</v>
      </c>
      <c r="L1403" s="551">
        <v>1.5582940783388001E-3</v>
      </c>
      <c r="M1403" s="552">
        <v>1.7851220268578799E-2</v>
      </c>
    </row>
    <row r="1404" spans="2:13" ht="15.75" x14ac:dyDescent="0.25">
      <c r="B1404" s="555">
        <v>2046</v>
      </c>
      <c r="C1404" s="556">
        <v>2036</v>
      </c>
      <c r="D1404" s="557" t="s">
        <v>4302</v>
      </c>
      <c r="E1404" s="547">
        <v>4.3983545074193262E-2</v>
      </c>
      <c r="F1404" s="548">
        <v>9.6886865856776305E-2</v>
      </c>
      <c r="G1404" s="549">
        <v>8.2752528307029102E-2</v>
      </c>
      <c r="H1404" s="550">
        <v>4.0504465916161997E-3</v>
      </c>
      <c r="I1404" s="551">
        <v>5.7734836819778701E-2</v>
      </c>
      <c r="J1404" s="551">
        <v>3.2084653802077201E-2</v>
      </c>
      <c r="K1404" s="551">
        <v>1.62722768644121E-2</v>
      </c>
      <c r="L1404" s="551">
        <v>1.55889511015737E-3</v>
      </c>
      <c r="M1404" s="552">
        <v>1.7008037017061699E-2</v>
      </c>
    </row>
    <row r="1405" spans="2:13" ht="15.75" x14ac:dyDescent="0.25">
      <c r="B1405" s="555">
        <v>2046</v>
      </c>
      <c r="C1405" s="556">
        <v>2037</v>
      </c>
      <c r="D1405" s="557" t="s">
        <v>4303</v>
      </c>
      <c r="E1405" s="547">
        <v>4.3967254730320392E-2</v>
      </c>
      <c r="F1405" s="548">
        <v>9.6845872939484989E-2</v>
      </c>
      <c r="G1405" s="549">
        <v>8.1475523387638693E-2</v>
      </c>
      <c r="H1405" s="550">
        <v>4.0771487273984896E-3</v>
      </c>
      <c r="I1405" s="551">
        <v>5.5986436318961601E-2</v>
      </c>
      <c r="J1405" s="551">
        <v>3.18580067269442E-2</v>
      </c>
      <c r="K1405" s="551">
        <v>1.54067091160182E-2</v>
      </c>
      <c r="L1405" s="551">
        <v>1.5595063650207699E-3</v>
      </c>
      <c r="M1405" s="552">
        <v>1.6103332135985301E-2</v>
      </c>
    </row>
    <row r="1406" spans="2:13" ht="15.75" x14ac:dyDescent="0.25">
      <c r="B1406" s="555">
        <v>2046</v>
      </c>
      <c r="C1406" s="556">
        <v>2038</v>
      </c>
      <c r="D1406" s="557" t="s">
        <v>4304</v>
      </c>
      <c r="E1406" s="547">
        <v>4.395051995466439E-2</v>
      </c>
      <c r="F1406" s="548">
        <v>9.6803579581663801E-2</v>
      </c>
      <c r="G1406" s="549">
        <v>8.0106597481455696E-2</v>
      </c>
      <c r="H1406" s="550">
        <v>4.0997027538179198E-3</v>
      </c>
      <c r="I1406" s="551">
        <v>5.4117408246568702E-2</v>
      </c>
      <c r="J1406" s="551">
        <v>3.1614496918672297E-2</v>
      </c>
      <c r="K1406" s="551">
        <v>1.4482197864737799E-2</v>
      </c>
      <c r="L1406" s="551">
        <v>1.56012195209316E-3</v>
      </c>
      <c r="M1406" s="552">
        <v>1.513701858838E-2</v>
      </c>
    </row>
    <row r="1407" spans="2:13" ht="15.75" x14ac:dyDescent="0.25">
      <c r="B1407" s="555">
        <v>2046</v>
      </c>
      <c r="C1407" s="556">
        <v>2039</v>
      </c>
      <c r="D1407" s="557" t="s">
        <v>4305</v>
      </c>
      <c r="E1407" s="547">
        <v>4.3933162172398718E-2</v>
      </c>
      <c r="F1407" s="548">
        <v>9.6758934380087411E-2</v>
      </c>
      <c r="G1407" s="549">
        <v>7.8645089124710896E-2</v>
      </c>
      <c r="H1407" s="550">
        <v>4.0970583244778098E-3</v>
      </c>
      <c r="I1407" s="551">
        <v>5.2127462354752102E-2</v>
      </c>
      <c r="J1407" s="551">
        <v>3.0688878300135999E-2</v>
      </c>
      <c r="K1407" s="551">
        <v>1.3498686612937299E-2</v>
      </c>
      <c r="L1407" s="551">
        <v>1.5607368781655299E-3</v>
      </c>
      <c r="M1407" s="552">
        <v>1.4109037322039599E-2</v>
      </c>
    </row>
    <row r="1408" spans="2:13" ht="15.75" x14ac:dyDescent="0.25">
      <c r="B1408" s="555">
        <v>2046</v>
      </c>
      <c r="C1408" s="556">
        <v>2040</v>
      </c>
      <c r="D1408" s="557" t="s">
        <v>4306</v>
      </c>
      <c r="E1408" s="547">
        <v>4.391509195629488E-2</v>
      </c>
      <c r="F1408" s="548">
        <v>9.6711183998582334E-2</v>
      </c>
      <c r="G1408" s="549">
        <v>7.709196426461E-2</v>
      </c>
      <c r="H1408" s="550">
        <v>4.0409458692697896E-3</v>
      </c>
      <c r="I1408" s="551">
        <v>5.0016875808157502E-2</v>
      </c>
      <c r="J1408" s="551">
        <v>2.9762260144085201E-2</v>
      </c>
      <c r="K1408" s="551">
        <v>1.2456198815065701E-2</v>
      </c>
      <c r="L1408" s="551">
        <v>1.5613651607974E-3</v>
      </c>
      <c r="M1408" s="552">
        <v>1.30194128519193E-2</v>
      </c>
    </row>
    <row r="1409" spans="2:13" ht="15.75" x14ac:dyDescent="0.25">
      <c r="B1409" s="555">
        <v>2046</v>
      </c>
      <c r="C1409" s="556">
        <v>2041</v>
      </c>
      <c r="D1409" s="557" t="s">
        <v>4307</v>
      </c>
      <c r="E1409" s="547">
        <v>4.3895955162040819E-2</v>
      </c>
      <c r="F1409" s="548">
        <v>9.6659396051399019E-2</v>
      </c>
      <c r="G1409" s="549">
        <v>7.5445953036774704E-2</v>
      </c>
      <c r="H1409" s="550">
        <v>3.9265619585005396E-3</v>
      </c>
      <c r="I1409" s="551">
        <v>4.7785105411841597E-2</v>
      </c>
      <c r="J1409" s="551">
        <v>0.18327984339565301</v>
      </c>
      <c r="K1409" s="551">
        <v>1.13546354504424E-2</v>
      </c>
      <c r="L1409" s="551">
        <v>1.56199390993028E-3</v>
      </c>
      <c r="M1409" s="552">
        <v>1.1868041680062899E-2</v>
      </c>
    </row>
    <row r="1410" spans="2:13" ht="15.75" x14ac:dyDescent="0.25">
      <c r="B1410" s="555">
        <v>2046</v>
      </c>
      <c r="C1410" s="556">
        <v>2042</v>
      </c>
      <c r="D1410" s="557" t="s">
        <v>4308</v>
      </c>
      <c r="E1410" s="547">
        <v>4.3875244653970191E-2</v>
      </c>
      <c r="F1410" s="548">
        <v>9.6604733177836008E-2</v>
      </c>
      <c r="G1410" s="549">
        <v>7.3705504709321995E-2</v>
      </c>
      <c r="H1410" s="550">
        <v>3.8618286844001098E-3</v>
      </c>
      <c r="I1410" s="551">
        <v>4.5431614347739402E-2</v>
      </c>
      <c r="J1410" s="551">
        <v>0.443630579555158</v>
      </c>
      <c r="K1410" s="551">
        <v>1.01939167025379E-2</v>
      </c>
      <c r="L1410" s="551">
        <v>1.5626085427508001E-3</v>
      </c>
      <c r="M1410" s="552">
        <v>1.0654840380991199E-2</v>
      </c>
    </row>
    <row r="1411" spans="2:13" ht="15.75" x14ac:dyDescent="0.25">
      <c r="B1411" s="555">
        <v>2046</v>
      </c>
      <c r="C1411" s="556">
        <v>2043</v>
      </c>
      <c r="D1411" s="557" t="s">
        <v>4309</v>
      </c>
      <c r="E1411" s="547">
        <v>4.3852530300178473E-2</v>
      </c>
      <c r="F1411" s="548">
        <v>9.6553783242446997E-2</v>
      </c>
      <c r="G1411" s="549">
        <v>7.1872589491518896E-2</v>
      </c>
      <c r="H1411" s="550">
        <v>4.2203658847898102E-3</v>
      </c>
      <c r="I1411" s="551">
        <v>4.2956957682836902E-2</v>
      </c>
      <c r="J1411" s="551">
        <v>0.83714561355578698</v>
      </c>
      <c r="K1411" s="551">
        <v>8.9740926480049409E-3</v>
      </c>
      <c r="L1411" s="551">
        <v>1.5632333310893001E-3</v>
      </c>
      <c r="M1411" s="552">
        <v>9.3798612956013695E-3</v>
      </c>
    </row>
    <row r="1412" spans="2:13" ht="15.75" x14ac:dyDescent="0.25">
      <c r="B1412" s="555">
        <v>2046</v>
      </c>
      <c r="C1412" s="556">
        <v>2044</v>
      </c>
      <c r="D1412" s="557" t="s">
        <v>4310</v>
      </c>
      <c r="E1412" s="547">
        <v>4.3826687387305788E-2</v>
      </c>
      <c r="F1412" s="548">
        <v>9.6511198365230949E-2</v>
      </c>
      <c r="G1412" s="549">
        <v>6.9946513371119207E-2</v>
      </c>
      <c r="H1412" s="550">
        <v>5.4747540589882102E-3</v>
      </c>
      <c r="I1412" s="551">
        <v>4.03608260049097E-2</v>
      </c>
      <c r="J1412" s="551">
        <v>0</v>
      </c>
      <c r="K1412" s="551">
        <v>7.6951029052899798E-3</v>
      </c>
      <c r="L1412" s="551">
        <v>1.5638625560367E-3</v>
      </c>
      <c r="M1412" s="552">
        <v>8.0430413121537706E-3</v>
      </c>
    </row>
    <row r="1413" spans="2:13" ht="15.75" x14ac:dyDescent="0.25">
      <c r="B1413" s="555">
        <v>2046</v>
      </c>
      <c r="C1413" s="556">
        <v>2045</v>
      </c>
      <c r="D1413" s="557" t="s">
        <v>4311</v>
      </c>
      <c r="E1413" s="547">
        <v>4.3795475056669357E-2</v>
      </c>
      <c r="F1413" s="548">
        <v>9.6427974273095504E-2</v>
      </c>
      <c r="G1413" s="549">
        <v>6.7926982090207602E-2</v>
      </c>
      <c r="H1413" s="550">
        <v>5.4772269954952799E-3</v>
      </c>
      <c r="I1413" s="551">
        <v>3.76430691152796E-2</v>
      </c>
      <c r="J1413" s="551">
        <v>3.5411623226872101E-2</v>
      </c>
      <c r="K1413" s="551">
        <v>6.3569099508878303E-3</v>
      </c>
      <c r="L1413" s="551">
        <v>1.5644965657222499E-3</v>
      </c>
      <c r="M1413" s="552">
        <v>6.6443412104968498E-3</v>
      </c>
    </row>
    <row r="1414" spans="2:13" ht="15.75" x14ac:dyDescent="0.25">
      <c r="B1414" s="555">
        <v>2046</v>
      </c>
      <c r="C1414" s="556">
        <v>2046</v>
      </c>
      <c r="D1414" s="557" t="s">
        <v>4312</v>
      </c>
      <c r="E1414" s="547">
        <v>4.375254728201753E-2</v>
      </c>
      <c r="F1414" s="548">
        <v>9.6313313333983408E-2</v>
      </c>
      <c r="G1414" s="549">
        <v>6.5813435020074001E-2</v>
      </c>
      <c r="H1414" s="550">
        <v>5.4794300955810903E-3</v>
      </c>
      <c r="I1414" s="551">
        <v>3.4803400105040398E-2</v>
      </c>
      <c r="J1414" s="551">
        <v>3.4566979206066099E-2</v>
      </c>
      <c r="K1414" s="551">
        <v>4.95945806501168E-3</v>
      </c>
      <c r="L1414" s="551">
        <v>1.56512980707907E-3</v>
      </c>
      <c r="M1414" s="552">
        <v>5.1837027514422896E-3</v>
      </c>
    </row>
    <row r="1415" spans="2:13" ht="15.75" x14ac:dyDescent="0.25">
      <c r="B1415" s="555">
        <v>2047</v>
      </c>
      <c r="C1415" s="556">
        <v>2003</v>
      </c>
      <c r="D1415" s="557" t="s">
        <v>4313</v>
      </c>
      <c r="E1415" s="547">
        <v>6.4365843830972116E-2</v>
      </c>
      <c r="F1415" s="548">
        <v>0.13171557572064474</v>
      </c>
      <c r="G1415" s="549">
        <v>0.28157939193834902</v>
      </c>
      <c r="H1415" s="550">
        <v>2.25461173036847E-2</v>
      </c>
      <c r="I1415" s="551">
        <v>7.1286261494700902</v>
      </c>
      <c r="J1415" s="551">
        <v>0.31944538823830498</v>
      </c>
      <c r="K1415" s="551">
        <v>5.2485809414081701E-2</v>
      </c>
      <c r="L1415" s="551">
        <v>2.20850235064319E-3</v>
      </c>
      <c r="M1415" s="552">
        <v>5.4858984813456503E-2</v>
      </c>
    </row>
    <row r="1416" spans="2:13" ht="15.75" x14ac:dyDescent="0.25">
      <c r="B1416" s="555">
        <v>2047</v>
      </c>
      <c r="C1416" s="556">
        <v>2004</v>
      </c>
      <c r="D1416" s="557" t="s">
        <v>4314</v>
      </c>
      <c r="E1416" s="547">
        <v>6.4130816783855654E-2</v>
      </c>
      <c r="F1416" s="548">
        <v>0.13074998700385371</v>
      </c>
      <c r="G1416" s="549">
        <v>0.232415373522421</v>
      </c>
      <c r="H1416" s="550">
        <v>1.4774332835357199E-2</v>
      </c>
      <c r="I1416" s="551">
        <v>5.9622248901097201</v>
      </c>
      <c r="J1416" s="551">
        <v>0.27032349391389499</v>
      </c>
      <c r="K1416" s="551">
        <v>5.21951478991345E-2</v>
      </c>
      <c r="L1416" s="551">
        <v>1.4372622553911099E-4</v>
      </c>
      <c r="M1416" s="552">
        <v>5.4555180874594898E-2</v>
      </c>
    </row>
    <row r="1417" spans="2:13" ht="15.75" x14ac:dyDescent="0.25">
      <c r="B1417" s="555">
        <v>2047</v>
      </c>
      <c r="C1417" s="556">
        <v>2005</v>
      </c>
      <c r="D1417" s="557" t="s">
        <v>4315</v>
      </c>
      <c r="E1417" s="547">
        <v>6.4167260400244328E-2</v>
      </c>
      <c r="F1417" s="548">
        <v>0.13109226037195776</v>
      </c>
      <c r="G1417" s="549">
        <v>0.23277556218325399</v>
      </c>
      <c r="H1417" s="550">
        <v>1.49785411236484E-2</v>
      </c>
      <c r="I1417" s="551">
        <v>5.9520999575046796</v>
      </c>
      <c r="J1417" s="551">
        <v>0.272178249713596</v>
      </c>
      <c r="K1417" s="551">
        <v>5.22760379888857E-2</v>
      </c>
      <c r="L1417" s="551">
        <v>1.4512903717365399E-4</v>
      </c>
      <c r="M1417" s="552">
        <v>5.4639728455260099E-2</v>
      </c>
    </row>
    <row r="1418" spans="2:13" ht="15.75" x14ac:dyDescent="0.25">
      <c r="B1418" s="555">
        <v>2047</v>
      </c>
      <c r="C1418" s="556">
        <v>2006</v>
      </c>
      <c r="D1418" s="557" t="s">
        <v>4316</v>
      </c>
      <c r="E1418" s="547">
        <v>6.3990683227320003E-2</v>
      </c>
      <c r="F1418" s="548">
        <v>0.13138062349067989</v>
      </c>
      <c r="G1418" s="549">
        <v>0.23170700168818401</v>
      </c>
      <c r="H1418" s="550">
        <v>1.51366518108738E-2</v>
      </c>
      <c r="I1418" s="551">
        <v>5.9604035011011396</v>
      </c>
      <c r="J1418" s="551">
        <v>0.27385366668814998</v>
      </c>
      <c r="K1418" s="551">
        <v>5.2036063876011597E-2</v>
      </c>
      <c r="L1418" s="551">
        <v>1.4631194259966801E-4</v>
      </c>
      <c r="M1418" s="552">
        <v>5.43889037778712E-2</v>
      </c>
    </row>
    <row r="1419" spans="2:13" ht="15.75" x14ac:dyDescent="0.25">
      <c r="B1419" s="555">
        <v>2047</v>
      </c>
      <c r="C1419" s="556">
        <v>2007</v>
      </c>
      <c r="D1419" s="557" t="s">
        <v>4317</v>
      </c>
      <c r="E1419" s="547">
        <v>6.4134441619929261E-2</v>
      </c>
      <c r="F1419" s="548">
        <v>0.13171423189851303</v>
      </c>
      <c r="G1419" s="549">
        <v>0.170184452074058</v>
      </c>
      <c r="H1419" s="550">
        <v>1.5304158603515699E-2</v>
      </c>
      <c r="I1419" s="551">
        <v>3.1146369518399002</v>
      </c>
      <c r="J1419" s="551">
        <v>0.27397196038579702</v>
      </c>
      <c r="K1419" s="551">
        <v>3.7810085128846503E-2</v>
      </c>
      <c r="L1419" s="551">
        <v>1.4766910132738001E-4</v>
      </c>
      <c r="M1419" s="552">
        <v>3.9519689398605097E-2</v>
      </c>
    </row>
    <row r="1420" spans="2:13" ht="15.75" x14ac:dyDescent="0.25">
      <c r="B1420" s="555">
        <v>2047</v>
      </c>
      <c r="C1420" s="556">
        <v>2008</v>
      </c>
      <c r="D1420" s="557" t="s">
        <v>4318</v>
      </c>
      <c r="E1420" s="547">
        <v>6.4362114241819424E-2</v>
      </c>
      <c r="F1420" s="548">
        <v>0.13218458679473724</v>
      </c>
      <c r="G1420" s="549">
        <v>0.172307480448501</v>
      </c>
      <c r="H1420" s="550">
        <v>1.20898179788765E-2</v>
      </c>
      <c r="I1420" s="551">
        <v>3.1007121543885798</v>
      </c>
      <c r="J1420" s="551">
        <v>0.19316036755427299</v>
      </c>
      <c r="K1420" s="551">
        <v>3.80934930565235E-2</v>
      </c>
      <c r="L1420" s="551">
        <v>1.7046368079941699E-4</v>
      </c>
      <c r="M1420" s="552">
        <v>3.9815911775167599E-2</v>
      </c>
    </row>
    <row r="1421" spans="2:13" ht="15.75" x14ac:dyDescent="0.25">
      <c r="B1421" s="555">
        <v>2047</v>
      </c>
      <c r="C1421" s="556">
        <v>2009</v>
      </c>
      <c r="D1421" s="557" t="s">
        <v>4319</v>
      </c>
      <c r="E1421" s="547">
        <v>6.4345364404353525E-2</v>
      </c>
      <c r="F1421" s="548">
        <v>0.13092677281652471</v>
      </c>
      <c r="G1421" s="549">
        <v>0.172441612264355</v>
      </c>
      <c r="H1421" s="550">
        <v>8.4803849760559692E-3</v>
      </c>
      <c r="I1421" s="551">
        <v>3.0987045012223802</v>
      </c>
      <c r="J1421" s="551">
        <v>0.108973255947931</v>
      </c>
      <c r="K1421" s="551">
        <v>3.8111449044726999E-2</v>
      </c>
      <c r="L1421" s="551">
        <v>1.86945733947307E-4</v>
      </c>
      <c r="M1421" s="552">
        <v>3.9834679653479102E-2</v>
      </c>
    </row>
    <row r="1422" spans="2:13" ht="15.75" x14ac:dyDescent="0.25">
      <c r="B1422" s="555">
        <v>2047</v>
      </c>
      <c r="C1422" s="556">
        <v>2010</v>
      </c>
      <c r="D1422" s="557" t="s">
        <v>4320</v>
      </c>
      <c r="E1422" s="547">
        <v>6.4349252510416802E-2</v>
      </c>
      <c r="F1422" s="548">
        <v>0.12980981333121905</v>
      </c>
      <c r="G1422" s="549">
        <v>0.11057070804015399</v>
      </c>
      <c r="H1422" s="550">
        <v>8.2891485912168997E-3</v>
      </c>
      <c r="I1422" s="551">
        <v>0.28474683463226702</v>
      </c>
      <c r="J1422" s="551">
        <v>0.108838408982465</v>
      </c>
      <c r="K1422" s="551">
        <v>2.3520994275126401E-2</v>
      </c>
      <c r="L1422" s="551">
        <v>2.22775290583584E-4</v>
      </c>
      <c r="M1422" s="552">
        <v>2.45845092633813E-2</v>
      </c>
    </row>
    <row r="1423" spans="2:13" ht="15.75" x14ac:dyDescent="0.25">
      <c r="B1423" s="555">
        <v>2047</v>
      </c>
      <c r="C1423" s="556">
        <v>2011</v>
      </c>
      <c r="D1423" s="557" t="s">
        <v>4321</v>
      </c>
      <c r="E1423" s="547">
        <v>6.4288013312253853E-2</v>
      </c>
      <c r="F1423" s="548">
        <v>0.1314609438599052</v>
      </c>
      <c r="G1423" s="549">
        <v>0.11027617585385301</v>
      </c>
      <c r="H1423" s="550">
        <v>8.6201074833146506E-3</v>
      </c>
      <c r="I1423" s="551">
        <v>0.284277586201442</v>
      </c>
      <c r="J1423" s="551">
        <v>0.110701519390875</v>
      </c>
      <c r="K1423" s="551">
        <v>2.3497527048856499E-2</v>
      </c>
      <c r="L1423" s="551">
        <v>3.14466084145468E-4</v>
      </c>
      <c r="M1423" s="552">
        <v>2.4559980953273799E-2</v>
      </c>
    </row>
    <row r="1424" spans="2:13" ht="15.75" x14ac:dyDescent="0.25">
      <c r="B1424" s="555">
        <v>2047</v>
      </c>
      <c r="C1424" s="556">
        <v>2012</v>
      </c>
      <c r="D1424" s="557" t="s">
        <v>4322</v>
      </c>
      <c r="E1424" s="547">
        <v>6.4392295954004516E-2</v>
      </c>
      <c r="F1424" s="548">
        <v>0.13186205287815767</v>
      </c>
      <c r="G1424" s="549">
        <v>0.111671492173884</v>
      </c>
      <c r="H1424" s="550">
        <v>8.7061700900179992E-3</v>
      </c>
      <c r="I1424" s="551">
        <v>0.28634943819487102</v>
      </c>
      <c r="J1424" s="551">
        <v>0.111473235914905</v>
      </c>
      <c r="K1424" s="551">
        <v>2.35943586747096E-2</v>
      </c>
      <c r="L1424" s="551">
        <v>4.6447232894466101E-4</v>
      </c>
      <c r="M1424" s="552">
        <v>2.4661190875563999E-2</v>
      </c>
    </row>
    <row r="1425" spans="2:13" ht="15.75" x14ac:dyDescent="0.25">
      <c r="B1425" s="555">
        <v>2047</v>
      </c>
      <c r="C1425" s="556">
        <v>2013</v>
      </c>
      <c r="D1425" s="557" t="s">
        <v>4323</v>
      </c>
      <c r="E1425" s="547">
        <v>6.4245314460946973E-2</v>
      </c>
      <c r="F1425" s="548">
        <v>0.13185039621681477</v>
      </c>
      <c r="G1425" s="549">
        <v>0.110506129395259</v>
      </c>
      <c r="H1425" s="550">
        <v>8.7360328664835597E-3</v>
      </c>
      <c r="I1425" s="551">
        <v>0.28468898353173899</v>
      </c>
      <c r="J1425" s="551">
        <v>0.111074915217187</v>
      </c>
      <c r="K1425" s="551">
        <v>2.3526591561338801E-2</v>
      </c>
      <c r="L1425" s="551">
        <v>6.9589282408874401E-4</v>
      </c>
      <c r="M1425" s="552">
        <v>2.4590359634038599E-2</v>
      </c>
    </row>
    <row r="1426" spans="2:13" ht="15.75" x14ac:dyDescent="0.25">
      <c r="B1426" s="555">
        <v>2047</v>
      </c>
      <c r="C1426" s="556">
        <v>2014</v>
      </c>
      <c r="D1426" s="557" t="s">
        <v>4324</v>
      </c>
      <c r="E1426" s="547">
        <v>6.2683713503181998E-2</v>
      </c>
      <c r="F1426" s="548">
        <v>0.12966405604514905</v>
      </c>
      <c r="G1426" s="549">
        <v>0.109908810967909</v>
      </c>
      <c r="H1426" s="550">
        <v>8.7069518250016999E-3</v>
      </c>
      <c r="I1426" s="551">
        <v>0.28373347712011099</v>
      </c>
      <c r="J1426" s="551">
        <v>0.1111591684667</v>
      </c>
      <c r="K1426" s="551">
        <v>2.3479377867150202E-2</v>
      </c>
      <c r="L1426" s="551">
        <v>9.6526842031310098E-4</v>
      </c>
      <c r="M1426" s="552">
        <v>2.45410111461065E-2</v>
      </c>
    </row>
    <row r="1427" spans="2:13" ht="15.75" x14ac:dyDescent="0.25">
      <c r="B1427" s="555">
        <v>2047</v>
      </c>
      <c r="C1427" s="556">
        <v>2015</v>
      </c>
      <c r="D1427" s="557" t="s">
        <v>4325</v>
      </c>
      <c r="E1427" s="547">
        <v>6.2144023398962814E-2</v>
      </c>
      <c r="F1427" s="548">
        <v>0.12961027498656369</v>
      </c>
      <c r="G1427" s="549">
        <v>0.10926530982492</v>
      </c>
      <c r="H1427" s="550">
        <v>8.8372862877304607E-3</v>
      </c>
      <c r="I1427" s="551">
        <v>0.28277942548561402</v>
      </c>
      <c r="J1427" s="551">
        <v>0.11174618668405301</v>
      </c>
      <c r="K1427" s="551">
        <v>2.34309557807755E-2</v>
      </c>
      <c r="L1427" s="551">
        <v>1.23428580198654E-3</v>
      </c>
      <c r="M1427" s="552">
        <v>2.4490399627855701E-2</v>
      </c>
    </row>
    <row r="1428" spans="2:13" ht="15.75" x14ac:dyDescent="0.25">
      <c r="B1428" s="555">
        <v>2047</v>
      </c>
      <c r="C1428" s="556">
        <v>2016</v>
      </c>
      <c r="D1428" s="557" t="s">
        <v>4326</v>
      </c>
      <c r="E1428" s="547">
        <v>6.0119087962231102E-2</v>
      </c>
      <c r="F1428" s="548">
        <v>0.12566297419864561</v>
      </c>
      <c r="G1428" s="549">
        <v>0.108502235029525</v>
      </c>
      <c r="H1428" s="550">
        <v>8.0724740937135105E-3</v>
      </c>
      <c r="I1428" s="551">
        <v>0.24688769659545001</v>
      </c>
      <c r="J1428" s="551">
        <v>9.8101625469234205E-2</v>
      </c>
      <c r="K1428" s="551">
        <v>2.3374040880362299E-2</v>
      </c>
      <c r="L1428" s="551">
        <v>1.38925491788616E-3</v>
      </c>
      <c r="M1428" s="552">
        <v>2.4430911288202E-2</v>
      </c>
    </row>
    <row r="1429" spans="2:13" ht="15.75" x14ac:dyDescent="0.25">
      <c r="B1429" s="555">
        <v>2047</v>
      </c>
      <c r="C1429" s="556">
        <v>2017</v>
      </c>
      <c r="D1429" s="557" t="s">
        <v>4327</v>
      </c>
      <c r="E1429" s="547">
        <v>5.6610833286122909E-2</v>
      </c>
      <c r="F1429" s="548">
        <v>0.1217389808669419</v>
      </c>
      <c r="G1429" s="549">
        <v>9.08022246943085E-2</v>
      </c>
      <c r="H1429" s="550">
        <v>7.2664011897122802E-3</v>
      </c>
      <c r="I1429" s="551">
        <v>0.192654708408663</v>
      </c>
      <c r="J1429" s="551">
        <v>8.4758252210970594E-2</v>
      </c>
      <c r="K1429" s="551">
        <v>2.22034857329125E-2</v>
      </c>
      <c r="L1429" s="551">
        <v>1.4478306499407399E-3</v>
      </c>
      <c r="M1429" s="552">
        <v>2.3207428831246098E-2</v>
      </c>
    </row>
    <row r="1430" spans="2:13" ht="15.75" x14ac:dyDescent="0.25">
      <c r="B1430" s="555">
        <v>2047</v>
      </c>
      <c r="C1430" s="556">
        <v>2018</v>
      </c>
      <c r="D1430" s="557" t="s">
        <v>4328</v>
      </c>
      <c r="E1430" s="547">
        <v>5.2856864339957281E-2</v>
      </c>
      <c r="F1430" s="548">
        <v>0.11651532795985824</v>
      </c>
      <c r="G1430" s="549">
        <v>9.0857264313829997E-2</v>
      </c>
      <c r="H1430" s="550">
        <v>6.5427924890271404E-3</v>
      </c>
      <c r="I1430" s="551">
        <v>0.157439230754611</v>
      </c>
      <c r="J1430" s="551">
        <v>7.1021541662861995E-2</v>
      </c>
      <c r="K1430" s="551">
        <v>2.2206898490062101E-2</v>
      </c>
      <c r="L1430" s="551">
        <v>1.5085159326263099E-3</v>
      </c>
      <c r="M1430" s="552">
        <v>2.32109958981301E-2</v>
      </c>
    </row>
    <row r="1431" spans="2:13" ht="15.75" x14ac:dyDescent="0.25">
      <c r="B1431" s="555">
        <v>2047</v>
      </c>
      <c r="C1431" s="556">
        <v>2019</v>
      </c>
      <c r="D1431" s="557" t="s">
        <v>4329</v>
      </c>
      <c r="E1431" s="547">
        <v>5.2835912796203692E-2</v>
      </c>
      <c r="F1431" s="548">
        <v>0.11645965810174599</v>
      </c>
      <c r="G1431" s="549">
        <v>9.0913919316782402E-2</v>
      </c>
      <c r="H1431" s="550">
        <v>5.9183319906067596E-3</v>
      </c>
      <c r="I1431" s="551">
        <v>0.135700808097417</v>
      </c>
      <c r="J1431" s="551">
        <v>6.1739756609730898E-2</v>
      </c>
      <c r="K1431" s="551">
        <v>2.2210399649052099E-2</v>
      </c>
      <c r="L1431" s="551">
        <v>1.54917130091021E-3</v>
      </c>
      <c r="M1431" s="552">
        <v>2.3214655363993499E-2</v>
      </c>
    </row>
    <row r="1432" spans="2:13" ht="15.75" x14ac:dyDescent="0.25">
      <c r="B1432" s="555">
        <v>2047</v>
      </c>
      <c r="C1432" s="556">
        <v>2020</v>
      </c>
      <c r="D1432" s="557" t="s">
        <v>4330</v>
      </c>
      <c r="E1432" s="547">
        <v>5.2815344067588192E-2</v>
      </c>
      <c r="F1432" s="548">
        <v>0.11640495172912046</v>
      </c>
      <c r="G1432" s="549">
        <v>9.0971692743735302E-2</v>
      </c>
      <c r="H1432" s="550">
        <v>5.2783774590909804E-3</v>
      </c>
      <c r="I1432" s="551">
        <v>0.113608246430971</v>
      </c>
      <c r="J1432" s="551">
        <v>5.2904606889816803E-2</v>
      </c>
      <c r="K1432" s="551">
        <v>2.2213966555507399E-2</v>
      </c>
      <c r="L1432" s="551">
        <v>1.5496863691432301E-3</v>
      </c>
      <c r="M1432" s="552">
        <v>2.3218383550130801E-2</v>
      </c>
    </row>
    <row r="1433" spans="2:13" ht="15.75" x14ac:dyDescent="0.25">
      <c r="B1433" s="555">
        <v>2047</v>
      </c>
      <c r="C1433" s="556">
        <v>2021</v>
      </c>
      <c r="D1433" s="557" t="s">
        <v>4331</v>
      </c>
      <c r="E1433" s="547">
        <v>5.1475346105745216E-2</v>
      </c>
      <c r="F1433" s="548">
        <v>0.11345028777563108</v>
      </c>
      <c r="G1433" s="549">
        <v>9.1031756585142995E-2</v>
      </c>
      <c r="H1433" s="550">
        <v>4.6480004809271698E-3</v>
      </c>
      <c r="I1433" s="551">
        <v>9.18552503328708E-2</v>
      </c>
      <c r="J1433" s="551">
        <v>4.3738788369643802E-2</v>
      </c>
      <c r="K1433" s="551">
        <v>2.2217682608694202E-2</v>
      </c>
      <c r="L1433" s="551">
        <v>1.5502227386737001E-3</v>
      </c>
      <c r="M1433" s="552">
        <v>2.3222267626753001E-2</v>
      </c>
    </row>
    <row r="1434" spans="2:13" ht="15.75" x14ac:dyDescent="0.25">
      <c r="B1434" s="555">
        <v>2047</v>
      </c>
      <c r="C1434" s="556">
        <v>2022</v>
      </c>
      <c r="D1434" s="557" t="s">
        <v>4332</v>
      </c>
      <c r="E1434" s="547">
        <v>5.0189353037976094E-2</v>
      </c>
      <c r="F1434" s="548">
        <v>0.11061452045020351</v>
      </c>
      <c r="G1434" s="549">
        <v>9.1091667701960893E-2</v>
      </c>
      <c r="H1434" s="550">
        <v>4.0154243947812E-3</v>
      </c>
      <c r="I1434" s="551">
        <v>6.9616583636394197E-2</v>
      </c>
      <c r="J1434" s="551">
        <v>3.4711981305089401E-2</v>
      </c>
      <c r="K1434" s="551">
        <v>2.2221383548679599E-2</v>
      </c>
      <c r="L1434" s="551">
        <v>1.55075811374506E-3</v>
      </c>
      <c r="M1434" s="552">
        <v>2.32261359068218E-2</v>
      </c>
    </row>
    <row r="1435" spans="2:13" ht="15.75" x14ac:dyDescent="0.25">
      <c r="B1435" s="555">
        <v>2047</v>
      </c>
      <c r="C1435" s="556">
        <v>2023</v>
      </c>
      <c r="D1435" s="557" t="s">
        <v>4333</v>
      </c>
      <c r="E1435" s="547">
        <v>4.8904624421198202E-2</v>
      </c>
      <c r="F1435" s="548">
        <v>0.10778463129178043</v>
      </c>
      <c r="G1435" s="549">
        <v>9.1152959762810806E-2</v>
      </c>
      <c r="H1435" s="550">
        <v>4.0086736445573198E-3</v>
      </c>
      <c r="I1435" s="551">
        <v>6.9639709177874695E-2</v>
      </c>
      <c r="J1435" s="551">
        <v>3.4024713135999203E-2</v>
      </c>
      <c r="K1435" s="551">
        <v>2.2225177687709201E-2</v>
      </c>
      <c r="L1435" s="551">
        <v>1.5513061000613801E-3</v>
      </c>
      <c r="M1435" s="552">
        <v>2.3230101599982001E-2</v>
      </c>
    </row>
    <row r="1436" spans="2:13" ht="15.75" x14ac:dyDescent="0.25">
      <c r="B1436" s="555">
        <v>2047</v>
      </c>
      <c r="C1436" s="556">
        <v>2024</v>
      </c>
      <c r="D1436" s="557" t="s">
        <v>4334</v>
      </c>
      <c r="E1436" s="547">
        <v>4.7673743172538557E-2</v>
      </c>
      <c r="F1436" s="548">
        <v>0.10507343019197526</v>
      </c>
      <c r="G1436" s="549">
        <v>9.1140739850055899E-2</v>
      </c>
      <c r="H1436" s="550">
        <v>4.0172928664736103E-3</v>
      </c>
      <c r="I1436" s="551">
        <v>6.9565319426716593E-2</v>
      </c>
      <c r="J1436" s="551">
        <v>3.4855509175780397E-2</v>
      </c>
      <c r="K1436" s="551">
        <v>2.2181011834322299E-2</v>
      </c>
      <c r="L1436" s="551">
        <v>1.5518530516209E-3</v>
      </c>
      <c r="M1436" s="552">
        <v>2.3183938762688101E-2</v>
      </c>
    </row>
    <row r="1437" spans="2:13" ht="15.75" x14ac:dyDescent="0.25">
      <c r="B1437" s="555">
        <v>2047</v>
      </c>
      <c r="C1437" s="556">
        <v>2025</v>
      </c>
      <c r="D1437" s="557" t="s">
        <v>4335</v>
      </c>
      <c r="E1437" s="547">
        <v>4.6444016245351598E-2</v>
      </c>
      <c r="F1437" s="548">
        <v>0.10236505057936682</v>
      </c>
      <c r="G1437" s="549">
        <v>9.1040371666424202E-2</v>
      </c>
      <c r="H1437" s="550">
        <v>4.0276588503611304E-3</v>
      </c>
      <c r="I1437" s="551">
        <v>6.9372552354772396E-2</v>
      </c>
      <c r="J1437" s="551">
        <v>3.3962005266021097E-2</v>
      </c>
      <c r="K1437" s="551">
        <v>2.20784438444807E-2</v>
      </c>
      <c r="L1437" s="551">
        <v>1.55241353936707E-3</v>
      </c>
      <c r="M1437" s="552">
        <v>2.3076733103484501E-2</v>
      </c>
    </row>
    <row r="1438" spans="2:13" ht="15.75" x14ac:dyDescent="0.25">
      <c r="B1438" s="555">
        <v>2047</v>
      </c>
      <c r="C1438" s="556">
        <v>2026</v>
      </c>
      <c r="D1438" s="557" t="s">
        <v>4336</v>
      </c>
      <c r="E1438" s="547">
        <v>4.5267988880179078E-2</v>
      </c>
      <c r="F1438" s="548">
        <v>9.9774802415813116E-2</v>
      </c>
      <c r="G1438" s="549">
        <v>9.0850116847614903E-2</v>
      </c>
      <c r="H1438" s="550">
        <v>4.0475236339254502E-3</v>
      </c>
      <c r="I1438" s="551">
        <v>6.9068135919119603E-2</v>
      </c>
      <c r="J1438" s="551">
        <v>3.4722081134407098E-2</v>
      </c>
      <c r="K1438" s="551">
        <v>2.1917337161651201E-2</v>
      </c>
      <c r="L1438" s="551">
        <v>1.55297315331289E-3</v>
      </c>
      <c r="M1438" s="552">
        <v>2.2908341891357799E-2</v>
      </c>
    </row>
    <row r="1439" spans="2:13" ht="15.75" x14ac:dyDescent="0.25">
      <c r="B1439" s="555">
        <v>2047</v>
      </c>
      <c r="C1439" s="556">
        <v>2027</v>
      </c>
      <c r="D1439" s="557" t="s">
        <v>4337</v>
      </c>
      <c r="E1439" s="547">
        <v>4.4145774087281667E-2</v>
      </c>
      <c r="F1439" s="548">
        <v>9.7302909506796154E-2</v>
      </c>
      <c r="G1439" s="549">
        <v>9.0572569327553198E-2</v>
      </c>
      <c r="H1439" s="550">
        <v>4.0538340785101499E-3</v>
      </c>
      <c r="I1439" s="551">
        <v>6.8638095135418895E-2</v>
      </c>
      <c r="J1439" s="551">
        <v>3.42309612436437E-2</v>
      </c>
      <c r="K1439" s="551">
        <v>2.1697857987476699E-2</v>
      </c>
      <c r="L1439" s="551">
        <v>1.5535587520459199E-3</v>
      </c>
      <c r="M1439" s="552">
        <v>2.26789388428516E-2</v>
      </c>
    </row>
    <row r="1440" spans="2:13" ht="15.75" x14ac:dyDescent="0.25">
      <c r="B1440" s="555">
        <v>2047</v>
      </c>
      <c r="C1440" s="556">
        <v>2028</v>
      </c>
      <c r="D1440" s="557" t="s">
        <v>4338</v>
      </c>
      <c r="E1440" s="547">
        <v>4.4130251662951814E-2</v>
      </c>
      <c r="F1440" s="548">
        <v>9.7263690091848334E-2</v>
      </c>
      <c r="G1440" s="549">
        <v>9.02039894466454E-2</v>
      </c>
      <c r="H1440" s="550">
        <v>4.0679713958495303E-3</v>
      </c>
      <c r="I1440" s="551">
        <v>6.8088395887953498E-2</v>
      </c>
      <c r="J1440" s="551">
        <v>3.4441711349445001E-2</v>
      </c>
      <c r="K1440" s="551">
        <v>2.1419730739065401E-2</v>
      </c>
      <c r="L1440" s="551">
        <v>1.55413682354596E-3</v>
      </c>
      <c r="M1440" s="552">
        <v>2.23882359144385E-2</v>
      </c>
    </row>
    <row r="1441" spans="2:13" ht="15.75" x14ac:dyDescent="0.25">
      <c r="B1441" s="555">
        <v>2047</v>
      </c>
      <c r="C1441" s="556">
        <v>2029</v>
      </c>
      <c r="D1441" s="557" t="s">
        <v>4339</v>
      </c>
      <c r="E1441" s="547">
        <v>4.4114816493258414E-2</v>
      </c>
      <c r="F1441" s="548">
        <v>9.722462054043747E-2</v>
      </c>
      <c r="G1441" s="549">
        <v>8.9745351328408801E-2</v>
      </c>
      <c r="H1441" s="550">
        <v>4.0734608840752497E-3</v>
      </c>
      <c r="I1441" s="551">
        <v>6.7419339430921002E-2</v>
      </c>
      <c r="J1441" s="551">
        <v>3.4600335967486899E-2</v>
      </c>
      <c r="K1441" s="551">
        <v>2.1082990371457899E-2</v>
      </c>
      <c r="L1441" s="551">
        <v>1.5547177995031301E-3</v>
      </c>
      <c r="M1441" s="552">
        <v>2.2036269641671099E-2</v>
      </c>
    </row>
    <row r="1442" spans="2:13" ht="15.75" x14ac:dyDescent="0.25">
      <c r="B1442" s="555">
        <v>2047</v>
      </c>
      <c r="C1442" s="556">
        <v>2030</v>
      </c>
      <c r="D1442" s="557" t="s">
        <v>4340</v>
      </c>
      <c r="E1442" s="547">
        <v>4.4099527788325474E-2</v>
      </c>
      <c r="F1442" s="548">
        <v>9.7185702218738165E-2</v>
      </c>
      <c r="G1442" s="549">
        <v>8.9197685395769694E-2</v>
      </c>
      <c r="H1442" s="550">
        <v>4.07021180681619E-3</v>
      </c>
      <c r="I1442" s="551">
        <v>6.6631299965034002E-2</v>
      </c>
      <c r="J1442" s="551">
        <v>3.3573461687908701E-2</v>
      </c>
      <c r="K1442" s="551">
        <v>2.0687694733268001E-2</v>
      </c>
      <c r="L1442" s="551">
        <v>1.5553141785767501E-3</v>
      </c>
      <c r="M1442" s="552">
        <v>2.1623100488820601E-2</v>
      </c>
    </row>
    <row r="1443" spans="2:13" ht="15.75" x14ac:dyDescent="0.25">
      <c r="B1443" s="555">
        <v>2047</v>
      </c>
      <c r="C1443" s="556">
        <v>2031</v>
      </c>
      <c r="D1443" s="557" t="s">
        <v>4341</v>
      </c>
      <c r="E1443" s="547">
        <v>4.4084179869228267E-2</v>
      </c>
      <c r="F1443" s="548">
        <v>9.7146429489139402E-2</v>
      </c>
      <c r="G1443" s="549">
        <v>8.8558316035265094E-2</v>
      </c>
      <c r="H1443" s="550">
        <v>4.0602027535030496E-3</v>
      </c>
      <c r="I1443" s="551">
        <v>6.5723151400576399E-2</v>
      </c>
      <c r="J1443" s="551">
        <v>3.4132164574238899E-2</v>
      </c>
      <c r="K1443" s="551">
        <v>2.02336356084361E-2</v>
      </c>
      <c r="L1443" s="551">
        <v>1.55590102624903E-3</v>
      </c>
      <c r="M1443" s="552">
        <v>2.11485108252213E-2</v>
      </c>
    </row>
    <row r="1444" spans="2:13" ht="15.75" x14ac:dyDescent="0.25">
      <c r="B1444" s="555">
        <v>2047</v>
      </c>
      <c r="C1444" s="556">
        <v>2032</v>
      </c>
      <c r="D1444" s="557" t="s">
        <v>4342</v>
      </c>
      <c r="E1444" s="547">
        <v>4.4068883740843397E-2</v>
      </c>
      <c r="F1444" s="548">
        <v>9.7107169554900036E-2</v>
      </c>
      <c r="G1444" s="549">
        <v>8.7829054653735805E-2</v>
      </c>
      <c r="H1444" s="550">
        <v>4.0573254916546897E-3</v>
      </c>
      <c r="I1444" s="551">
        <v>6.4695579657454594E-2</v>
      </c>
      <c r="J1444" s="551">
        <v>3.3741982974226002E-2</v>
      </c>
      <c r="K1444" s="551">
        <v>1.9720924178259401E-2</v>
      </c>
      <c r="L1444" s="551">
        <v>1.5564987475307299E-3</v>
      </c>
      <c r="M1444" s="552">
        <v>2.0612616859295298E-2</v>
      </c>
    </row>
    <row r="1445" spans="2:13" ht="15.75" x14ac:dyDescent="0.25">
      <c r="B1445" s="555">
        <v>2047</v>
      </c>
      <c r="C1445" s="556">
        <v>2033</v>
      </c>
      <c r="D1445" s="557" t="s">
        <v>4343</v>
      </c>
      <c r="E1445" s="547">
        <v>4.4053501701832976E-2</v>
      </c>
      <c r="F1445" s="548">
        <v>9.7067606062463244E-2</v>
      </c>
      <c r="G1445" s="549">
        <v>8.7008267838569395E-2</v>
      </c>
      <c r="H1445" s="550">
        <v>4.0463708600270397E-3</v>
      </c>
      <c r="I1445" s="551">
        <v>6.3547870455767999E-2</v>
      </c>
      <c r="J1445" s="551">
        <v>3.3084626445379003E-2</v>
      </c>
      <c r="K1445" s="551">
        <v>1.9149423440864798E-2</v>
      </c>
      <c r="L1445" s="551">
        <v>1.5570932252133699E-3</v>
      </c>
      <c r="M1445" s="552">
        <v>2.0015275394552699E-2</v>
      </c>
    </row>
    <row r="1446" spans="2:13" ht="15.75" x14ac:dyDescent="0.25">
      <c r="B1446" s="555">
        <v>2047</v>
      </c>
      <c r="C1446" s="556">
        <v>2034</v>
      </c>
      <c r="D1446" s="557" t="s">
        <v>4344</v>
      </c>
      <c r="E1446" s="547">
        <v>4.4038074000829666E-2</v>
      </c>
      <c r="F1446" s="548">
        <v>9.7028024660393911E-2</v>
      </c>
      <c r="G1446" s="549">
        <v>8.6096915909479002E-2</v>
      </c>
      <c r="H1446" s="550">
        <v>4.0338538103643004E-3</v>
      </c>
      <c r="I1446" s="551">
        <v>6.2280340309827702E-2</v>
      </c>
      <c r="J1446" s="551">
        <v>3.2753981328681202E-2</v>
      </c>
      <c r="K1446" s="551">
        <v>1.8519174902373901E-2</v>
      </c>
      <c r="L1446" s="551">
        <v>1.5576954149885999E-3</v>
      </c>
      <c r="M1446" s="552">
        <v>1.93565298138378E-2</v>
      </c>
    </row>
    <row r="1447" spans="2:13" ht="15.75" x14ac:dyDescent="0.25">
      <c r="B1447" s="555">
        <v>2047</v>
      </c>
      <c r="C1447" s="556">
        <v>2035</v>
      </c>
      <c r="D1447" s="557" t="s">
        <v>4345</v>
      </c>
      <c r="E1447" s="547">
        <v>4.4022610417054388E-2</v>
      </c>
      <c r="F1447" s="548">
        <v>9.6988472123770625E-2</v>
      </c>
      <c r="G1447" s="549">
        <v>8.5095511892963799E-2</v>
      </c>
      <c r="H1447" s="550">
        <v>4.0277270248182499E-3</v>
      </c>
      <c r="I1447" s="551">
        <v>6.08931284406245E-2</v>
      </c>
      <c r="J1447" s="551">
        <v>3.2125229716055803E-2</v>
      </c>
      <c r="K1447" s="551">
        <v>1.7830188780931899E-2</v>
      </c>
      <c r="L1447" s="551">
        <v>1.5583132598917201E-3</v>
      </c>
      <c r="M1447" s="552">
        <v>1.86363907973147E-2</v>
      </c>
    </row>
    <row r="1448" spans="2:13" ht="15.75" x14ac:dyDescent="0.25">
      <c r="B1448" s="555">
        <v>2047</v>
      </c>
      <c r="C1448" s="556">
        <v>2036</v>
      </c>
      <c r="D1448" s="557" t="s">
        <v>4346</v>
      </c>
      <c r="E1448" s="547">
        <v>4.4006806989740584E-2</v>
      </c>
      <c r="F1448" s="548">
        <v>9.6948258377948154E-2</v>
      </c>
      <c r="G1448" s="549">
        <v>8.4000643035428202E-2</v>
      </c>
      <c r="H1448" s="550">
        <v>4.0327830393439897E-3</v>
      </c>
      <c r="I1448" s="551">
        <v>5.9384868096445699E-2</v>
      </c>
      <c r="J1448" s="551">
        <v>3.2360402068204397E-2</v>
      </c>
      <c r="K1448" s="551">
        <v>1.7082226723408599E-2</v>
      </c>
      <c r="L1448" s="551">
        <v>1.5589142987719299E-3</v>
      </c>
      <c r="M1448" s="552">
        <v>1.7854609214582699E-2</v>
      </c>
    </row>
    <row r="1449" spans="2:13" ht="15.75" x14ac:dyDescent="0.25">
      <c r="B1449" s="555">
        <v>2047</v>
      </c>
      <c r="C1449" s="556">
        <v>2037</v>
      </c>
      <c r="D1449" s="557" t="s">
        <v>4347</v>
      </c>
      <c r="E1449" s="547">
        <v>4.3990798425007277E-2</v>
      </c>
      <c r="F1449" s="548">
        <v>9.6907792257261871E-2</v>
      </c>
      <c r="G1449" s="549">
        <v>8.2814779107517694E-2</v>
      </c>
      <c r="H1449" s="550">
        <v>4.0489025308375398E-3</v>
      </c>
      <c r="I1449" s="551">
        <v>5.7756470337846297E-2</v>
      </c>
      <c r="J1449" s="551">
        <v>3.2106067064228798E-2</v>
      </c>
      <c r="K1449" s="551">
        <v>1.6275429853883298E-2</v>
      </c>
      <c r="L1449" s="551">
        <v>1.55952555789165E-3</v>
      </c>
      <c r="M1449" s="552">
        <v>1.7011332570725599E-2</v>
      </c>
    </row>
    <row r="1450" spans="2:13" ht="15.75" x14ac:dyDescent="0.25">
      <c r="B1450" s="555">
        <v>2047</v>
      </c>
      <c r="C1450" s="556">
        <v>2038</v>
      </c>
      <c r="D1450" s="557" t="s">
        <v>4348</v>
      </c>
      <c r="E1450" s="547">
        <v>4.3974451818989096E-2</v>
      </c>
      <c r="F1450" s="548">
        <v>9.6866791082800094E-2</v>
      </c>
      <c r="G1450" s="549">
        <v>8.1537131493931894E-2</v>
      </c>
      <c r="H1450" s="550">
        <v>4.0784941391873702E-3</v>
      </c>
      <c r="I1450" s="551">
        <v>5.6007536468594202E-2</v>
      </c>
      <c r="J1450" s="551">
        <v>3.19436078562782E-2</v>
      </c>
      <c r="K1450" s="551">
        <v>1.5409713102534301E-2</v>
      </c>
      <c r="L1450" s="551">
        <v>1.5601411490010801E-3</v>
      </c>
      <c r="M1450" s="552">
        <v>1.61064719494418E-2</v>
      </c>
    </row>
    <row r="1451" spans="2:13" ht="15.75" x14ac:dyDescent="0.25">
      <c r="B1451" s="555">
        <v>2047</v>
      </c>
      <c r="C1451" s="556">
        <v>2039</v>
      </c>
      <c r="D1451" s="557" t="s">
        <v>4349</v>
      </c>
      <c r="E1451" s="547">
        <v>4.3957622195532529E-2</v>
      </c>
      <c r="F1451" s="548">
        <v>9.6824634340286819E-2</v>
      </c>
      <c r="G1451" s="549">
        <v>8.0167031469975905E-2</v>
      </c>
      <c r="H1451" s="550">
        <v>4.1165595037369104E-3</v>
      </c>
      <c r="I1451" s="551">
        <v>5.4137771405662803E-2</v>
      </c>
      <c r="J1451" s="551">
        <v>3.1251379761638297E-2</v>
      </c>
      <c r="K1451" s="551">
        <v>1.44850187903565E-2</v>
      </c>
      <c r="L1451" s="551">
        <v>1.5607560756423901E-3</v>
      </c>
      <c r="M1451" s="552">
        <v>1.51399670637375E-2</v>
      </c>
    </row>
    <row r="1452" spans="2:13" ht="15.75" x14ac:dyDescent="0.25">
      <c r="B1452" s="555">
        <v>2047</v>
      </c>
      <c r="C1452" s="556">
        <v>2040</v>
      </c>
      <c r="D1452" s="557" t="s">
        <v>4350</v>
      </c>
      <c r="E1452" s="547">
        <v>4.3940266900102797E-2</v>
      </c>
      <c r="F1452" s="548">
        <v>9.678080258449924E-2</v>
      </c>
      <c r="G1452" s="549">
        <v>7.8705469941681205E-2</v>
      </c>
      <c r="H1452" s="550">
        <v>4.1435317495117398E-3</v>
      </c>
      <c r="I1452" s="551">
        <v>5.2147469713102197E-2</v>
      </c>
      <c r="J1452" s="551">
        <v>3.0824556930156798E-2</v>
      </c>
      <c r="K1452" s="551">
        <v>1.35013751710406E-2</v>
      </c>
      <c r="L1452" s="551">
        <v>1.56138436206939E-3</v>
      </c>
      <c r="M1452" s="552">
        <v>1.41118474448101E-2</v>
      </c>
    </row>
    <row r="1453" spans="2:13" ht="15.75" x14ac:dyDescent="0.25">
      <c r="B1453" s="555">
        <v>2047</v>
      </c>
      <c r="C1453" s="556">
        <v>2041</v>
      </c>
      <c r="D1453" s="557" t="s">
        <v>4351</v>
      </c>
      <c r="E1453" s="547">
        <v>4.3922106835371261E-2</v>
      </c>
      <c r="F1453" s="548">
        <v>9.6733660983440523E-2</v>
      </c>
      <c r="G1453" s="549">
        <v>7.7151158958993396E-2</v>
      </c>
      <c r="H1453" s="550">
        <v>4.1233581441229303E-3</v>
      </c>
      <c r="I1453" s="551">
        <v>5.0036074052107797E-2</v>
      </c>
      <c r="J1453" s="551">
        <v>0.20721216815812599</v>
      </c>
      <c r="K1453" s="551">
        <v>1.24586791057591E-2</v>
      </c>
      <c r="L1453" s="551">
        <v>1.56201311924229E-3</v>
      </c>
      <c r="M1453" s="552">
        <v>1.3022005290351701E-2</v>
      </c>
    </row>
    <row r="1454" spans="2:13" ht="15.75" x14ac:dyDescent="0.25">
      <c r="B1454" s="555">
        <v>2047</v>
      </c>
      <c r="C1454" s="556">
        <v>2042</v>
      </c>
      <c r="D1454" s="557" t="s">
        <v>4352</v>
      </c>
      <c r="E1454" s="547">
        <v>4.3902759493136594E-2</v>
      </c>
      <c r="F1454" s="548">
        <v>9.6681383135716725E-2</v>
      </c>
      <c r="G1454" s="549">
        <v>7.5502515359236202E-2</v>
      </c>
      <c r="H1454" s="550">
        <v>4.0190001057175103E-3</v>
      </c>
      <c r="I1454" s="551">
        <v>4.78030264872846E-2</v>
      </c>
      <c r="J1454" s="551">
        <v>0.51942549138536498</v>
      </c>
      <c r="K1454" s="551">
        <v>1.1356845597688099E-2</v>
      </c>
      <c r="L1454" s="551">
        <v>1.56262775641283E-3</v>
      </c>
      <c r="M1454" s="552">
        <v>1.1870351760359501E-2</v>
      </c>
    </row>
    <row r="1455" spans="2:13" ht="15.75" x14ac:dyDescent="0.25">
      <c r="B1455" s="555">
        <v>2047</v>
      </c>
      <c r="C1455" s="556">
        <v>2043</v>
      </c>
      <c r="D1455" s="557" t="s">
        <v>4353</v>
      </c>
      <c r="E1455" s="547">
        <v>4.388202078947627E-2</v>
      </c>
      <c r="F1455" s="548">
        <v>9.6624686356868425E-2</v>
      </c>
      <c r="G1455" s="549">
        <v>7.3761560048090299E-2</v>
      </c>
      <c r="H1455" s="550">
        <v>3.8702247776838099E-3</v>
      </c>
      <c r="I1455" s="551">
        <v>4.5448915267158503E-2</v>
      </c>
      <c r="J1455" s="551">
        <v>1.0224335332893999</v>
      </c>
      <c r="K1455" s="551">
        <v>1.01959333008534E-2</v>
      </c>
      <c r="L1455" s="551">
        <v>1.56325254663085E-3</v>
      </c>
      <c r="M1455" s="552">
        <v>1.0656948160934101E-2</v>
      </c>
    </row>
    <row r="1456" spans="2:13" ht="15.75" x14ac:dyDescent="0.25">
      <c r="B1456" s="555">
        <v>2047</v>
      </c>
      <c r="C1456" s="556">
        <v>2044</v>
      </c>
      <c r="D1456" s="557" t="s">
        <v>4354</v>
      </c>
      <c r="E1456" s="547">
        <v>4.3859229222089249E-2</v>
      </c>
      <c r="F1456" s="548">
        <v>9.6570063516997734E-2</v>
      </c>
      <c r="G1456" s="549">
        <v>7.1927591498315305E-2</v>
      </c>
      <c r="H1456" s="550">
        <v>4.0573375095684303E-3</v>
      </c>
      <c r="I1456" s="551">
        <v>4.2973424650244903E-2</v>
      </c>
      <c r="J1456" s="551">
        <v>0</v>
      </c>
      <c r="K1456" s="551">
        <v>8.97588008250641E-3</v>
      </c>
      <c r="L1456" s="551">
        <v>1.5638817737749699E-3</v>
      </c>
      <c r="M1456" s="552">
        <v>9.3817295499593802E-3</v>
      </c>
    </row>
    <row r="1457" spans="2:13" ht="15.75" x14ac:dyDescent="0.25">
      <c r="B1457" s="555">
        <v>2047</v>
      </c>
      <c r="C1457" s="556">
        <v>2045</v>
      </c>
      <c r="D1457" s="557" t="s">
        <v>4355</v>
      </c>
      <c r="E1457" s="547">
        <v>4.3833292520973628E-2</v>
      </c>
      <c r="F1457" s="548">
        <v>9.6530734572005936E-2</v>
      </c>
      <c r="G1457" s="549">
        <v>7.0000316076157795E-2</v>
      </c>
      <c r="H1457" s="550">
        <v>5.4773243811021702E-3</v>
      </c>
      <c r="I1457" s="551">
        <v>4.03764055349752E-2</v>
      </c>
      <c r="J1457" s="551">
        <v>3.6212475421800602E-2</v>
      </c>
      <c r="K1457" s="551">
        <v>7.6966492055972197E-3</v>
      </c>
      <c r="L1457" s="551">
        <v>1.5645157783041701E-3</v>
      </c>
      <c r="M1457" s="552">
        <v>8.0446575292993008E-3</v>
      </c>
    </row>
    <row r="1458" spans="2:13" ht="15.75" x14ac:dyDescent="0.25">
      <c r="B1458" s="555">
        <v>2047</v>
      </c>
      <c r="C1458" s="556">
        <v>2046</v>
      </c>
      <c r="D1458" s="557" t="s">
        <v>4356</v>
      </c>
      <c r="E1458" s="547">
        <v>4.3801931157391304E-2</v>
      </c>
      <c r="F1458" s="548">
        <v>9.6447116387724158E-2</v>
      </c>
      <c r="G1458" s="549">
        <v>6.7979166219936396E-2</v>
      </c>
      <c r="H1458" s="550">
        <v>5.4795103059971598E-3</v>
      </c>
      <c r="I1458" s="551">
        <v>3.7657561653726898E-2</v>
      </c>
      <c r="J1458" s="551">
        <v>3.5402670805348799E-2</v>
      </c>
      <c r="K1458" s="551">
        <v>6.3581815544590603E-3</v>
      </c>
      <c r="L1458" s="551">
        <v>1.5651490181020501E-3</v>
      </c>
      <c r="M1458" s="552">
        <v>6.6456703103389197E-3</v>
      </c>
    </row>
    <row r="1459" spans="2:13" ht="15.75" x14ac:dyDescent="0.25">
      <c r="B1459" s="555">
        <v>2047</v>
      </c>
      <c r="C1459" s="556">
        <v>2047</v>
      </c>
      <c r="D1459" s="557" t="s">
        <v>4357</v>
      </c>
      <c r="E1459" s="547">
        <v>4.3758889055779474E-2</v>
      </c>
      <c r="F1459" s="548">
        <v>9.6332190990148781E-2</v>
      </c>
      <c r="G1459" s="549">
        <v>6.5864719521855297E-2</v>
      </c>
      <c r="H1459" s="550">
        <v>5.48175150138854E-3</v>
      </c>
      <c r="I1459" s="551">
        <v>3.4817028637645797E-2</v>
      </c>
      <c r="J1459" s="551">
        <v>3.4571598494671202E-2</v>
      </c>
      <c r="K1459" s="551">
        <v>4.9604700594472802E-3</v>
      </c>
      <c r="L1459" s="551">
        <v>1.5657939725905901E-3</v>
      </c>
      <c r="M1459" s="552">
        <v>5.1847605037756003E-3</v>
      </c>
    </row>
    <row r="1460" spans="2:13" ht="15.75" x14ac:dyDescent="0.25">
      <c r="B1460" s="555">
        <v>2048</v>
      </c>
      <c r="C1460" s="556">
        <v>2004</v>
      </c>
      <c r="D1460" s="557" t="s">
        <v>4358</v>
      </c>
      <c r="E1460" s="547">
        <v>6.4174650817560505E-2</v>
      </c>
      <c r="F1460" s="548">
        <v>0.13086139783625103</v>
      </c>
      <c r="G1460" s="549">
        <v>0.232415270275418</v>
      </c>
      <c r="H1460" s="550">
        <v>1.47745549011652E-2</v>
      </c>
      <c r="I1460" s="551">
        <v>5.9623211726025804</v>
      </c>
      <c r="J1460" s="551">
        <v>0.27032456174261998</v>
      </c>
      <c r="K1460" s="551">
        <v>5.2195124712232303E-2</v>
      </c>
      <c r="L1460" s="551">
        <v>1.4372819650060699E-4</v>
      </c>
      <c r="M1460" s="552">
        <v>5.45551566392838E-2</v>
      </c>
    </row>
    <row r="1461" spans="2:13" ht="15.75" x14ac:dyDescent="0.25">
      <c r="B1461" s="555">
        <v>2048</v>
      </c>
      <c r="C1461" s="556">
        <v>2005</v>
      </c>
      <c r="D1461" s="557" t="s">
        <v>4359</v>
      </c>
      <c r="E1461" s="547">
        <v>6.4210367443515326E-2</v>
      </c>
      <c r="F1461" s="548">
        <v>0.1312014391947669</v>
      </c>
      <c r="G1461" s="549">
        <v>0.232775441702116</v>
      </c>
      <c r="H1461" s="550">
        <v>1.4978714620060099E-2</v>
      </c>
      <c r="I1461" s="551">
        <v>5.9521850466141499</v>
      </c>
      <c r="J1461" s="551">
        <v>0.27217898029747201</v>
      </c>
      <c r="K1461" s="551">
        <v>5.2276010931593002E-2</v>
      </c>
      <c r="L1461" s="551">
        <v>1.4513052866901001E-4</v>
      </c>
      <c r="M1461" s="552">
        <v>5.4639700174556702E-2</v>
      </c>
    </row>
    <row r="1462" spans="2:13" ht="15.75" x14ac:dyDescent="0.25">
      <c r="B1462" s="555">
        <v>2048</v>
      </c>
      <c r="C1462" s="556">
        <v>2006</v>
      </c>
      <c r="D1462" s="557" t="s">
        <v>4360</v>
      </c>
      <c r="E1462" s="547">
        <v>6.4033192194549518E-2</v>
      </c>
      <c r="F1462" s="548">
        <v>0.13148777704449927</v>
      </c>
      <c r="G1462" s="549">
        <v>0.23170784940936601</v>
      </c>
      <c r="H1462" s="550">
        <v>1.51369488966713E-2</v>
      </c>
      <c r="I1462" s="551">
        <v>5.9604721280725501</v>
      </c>
      <c r="J1462" s="551">
        <v>0.27385526922863002</v>
      </c>
      <c r="K1462" s="551">
        <v>5.2036254254693597E-2</v>
      </c>
      <c r="L1462" s="551">
        <v>1.46314665669023E-4</v>
      </c>
      <c r="M1462" s="552">
        <v>5.4389102764632498E-2</v>
      </c>
    </row>
    <row r="1463" spans="2:13" ht="15.75" x14ac:dyDescent="0.25">
      <c r="B1463" s="555">
        <v>2048</v>
      </c>
      <c r="C1463" s="556">
        <v>2007</v>
      </c>
      <c r="D1463" s="557" t="s">
        <v>4361</v>
      </c>
      <c r="E1463" s="547">
        <v>6.4175792350739072E-2</v>
      </c>
      <c r="F1463" s="548">
        <v>0.13181947084452023</v>
      </c>
      <c r="G1463" s="549">
        <v>0.170181609699769</v>
      </c>
      <c r="H1463" s="550">
        <v>1.5304398106325799E-2</v>
      </c>
      <c r="I1463" s="551">
        <v>3.1146830323801402</v>
      </c>
      <c r="J1463" s="551">
        <v>0.27397349391508702</v>
      </c>
      <c r="K1463" s="551">
        <v>3.78097370873949E-2</v>
      </c>
      <c r="L1463" s="551">
        <v>1.4767132148400201E-4</v>
      </c>
      <c r="M1463" s="552">
        <v>3.9519325620263501E-2</v>
      </c>
    </row>
    <row r="1464" spans="2:13" ht="15.75" x14ac:dyDescent="0.25">
      <c r="B1464" s="555">
        <v>2048</v>
      </c>
      <c r="C1464" s="556">
        <v>2008</v>
      </c>
      <c r="D1464" s="557" t="s">
        <v>4362</v>
      </c>
      <c r="E1464" s="547">
        <v>6.4403021641024655E-2</v>
      </c>
      <c r="F1464" s="548">
        <v>0.13228773331319862</v>
      </c>
      <c r="G1464" s="549">
        <v>0.172306156956886</v>
      </c>
      <c r="H1464" s="550">
        <v>1.20899869975859E-2</v>
      </c>
      <c r="I1464" s="551">
        <v>3.1007452893515302</v>
      </c>
      <c r="J1464" s="551">
        <v>0.19316067153539501</v>
      </c>
      <c r="K1464" s="551">
        <v>3.8093342574508797E-2</v>
      </c>
      <c r="L1464" s="551">
        <v>1.7046569596986601E-4</v>
      </c>
      <c r="M1464" s="552">
        <v>3.9815754489023997E-2</v>
      </c>
    </row>
    <row r="1465" spans="2:13" ht="15.75" x14ac:dyDescent="0.25">
      <c r="B1465" s="555">
        <v>2048</v>
      </c>
      <c r="C1465" s="556">
        <v>2009</v>
      </c>
      <c r="D1465" s="557" t="s">
        <v>4363</v>
      </c>
      <c r="E1465" s="547">
        <v>6.4385484205636598E-2</v>
      </c>
      <c r="F1465" s="548">
        <v>0.13102801219142976</v>
      </c>
      <c r="G1465" s="549">
        <v>0.17244018775639</v>
      </c>
      <c r="H1465" s="550">
        <v>8.48065186964728E-3</v>
      </c>
      <c r="I1465" s="551">
        <v>3.0987375646754201</v>
      </c>
      <c r="J1465" s="551">
        <v>0.108974232992212</v>
      </c>
      <c r="K1465" s="551">
        <v>3.8111280301430302E-2</v>
      </c>
      <c r="L1465" s="551">
        <v>1.8695136873687101E-4</v>
      </c>
      <c r="M1465" s="552">
        <v>3.9834503280359299E-2</v>
      </c>
    </row>
    <row r="1466" spans="2:13" ht="15.75" x14ac:dyDescent="0.25">
      <c r="B1466" s="555">
        <v>2048</v>
      </c>
      <c r="C1466" s="556">
        <v>2010</v>
      </c>
      <c r="D1466" s="557" t="s">
        <v>4364</v>
      </c>
      <c r="E1466" s="547">
        <v>6.438856474610806E-2</v>
      </c>
      <c r="F1466" s="548">
        <v>0.12990869530147631</v>
      </c>
      <c r="G1466" s="549">
        <v>0.110568092642506</v>
      </c>
      <c r="H1466" s="550">
        <v>8.2892869490098307E-3</v>
      </c>
      <c r="I1466" s="551">
        <v>0.28474187989365801</v>
      </c>
      <c r="J1466" s="551">
        <v>0.1088388939706</v>
      </c>
      <c r="K1466" s="551">
        <v>2.3520686582401501E-2</v>
      </c>
      <c r="L1466" s="551">
        <v>2.2277874859205301E-4</v>
      </c>
      <c r="M1466" s="552">
        <v>2.45841876581568E-2</v>
      </c>
    </row>
    <row r="1467" spans="2:13" ht="15.75" x14ac:dyDescent="0.25">
      <c r="B1467" s="555">
        <v>2048</v>
      </c>
      <c r="C1467" s="556">
        <v>2011</v>
      </c>
      <c r="D1467" s="557" t="s">
        <v>4365</v>
      </c>
      <c r="E1467" s="547">
        <v>6.4326699381295108E-2</v>
      </c>
      <c r="F1467" s="548">
        <v>0.13155770299190192</v>
      </c>
      <c r="G1467" s="549">
        <v>0.110273670307567</v>
      </c>
      <c r="H1467" s="550">
        <v>8.6203004458375899E-3</v>
      </c>
      <c r="I1467" s="551">
        <v>0.28427283226990202</v>
      </c>
      <c r="J1467" s="551">
        <v>0.110702103235002</v>
      </c>
      <c r="K1467" s="551">
        <v>2.3497234086466201E-2</v>
      </c>
      <c r="L1467" s="551">
        <v>3.1447253385932599E-4</v>
      </c>
      <c r="M1467" s="552">
        <v>2.4559674744424199E-2</v>
      </c>
    </row>
    <row r="1468" spans="2:13" ht="15.75" x14ac:dyDescent="0.25">
      <c r="B1468" s="555">
        <v>2048</v>
      </c>
      <c r="C1468" s="556">
        <v>2012</v>
      </c>
      <c r="D1468" s="557" t="s">
        <v>4366</v>
      </c>
      <c r="E1468" s="547">
        <v>6.4430215561706639E-2</v>
      </c>
      <c r="F1468" s="548">
        <v>0.13195812590047984</v>
      </c>
      <c r="G1468" s="549">
        <v>0.111668306180432</v>
      </c>
      <c r="H1468" s="550">
        <v>8.7064356587950396E-3</v>
      </c>
      <c r="I1468" s="551">
        <v>0.28634361768913602</v>
      </c>
      <c r="J1468" s="551">
        <v>0.11147424073468699</v>
      </c>
      <c r="K1468" s="551">
        <v>2.3594011962201001E-2</v>
      </c>
      <c r="L1468" s="551">
        <v>4.6448591058011602E-4</v>
      </c>
      <c r="M1468" s="552">
        <v>2.4660828486254199E-2</v>
      </c>
    </row>
    <row r="1469" spans="2:13" ht="15.75" x14ac:dyDescent="0.25">
      <c r="B1469" s="555">
        <v>2048</v>
      </c>
      <c r="C1469" s="556">
        <v>2013</v>
      </c>
      <c r="D1469" s="557" t="s">
        <v>4367</v>
      </c>
      <c r="E1469" s="547">
        <v>6.4282930357763876E-2</v>
      </c>
      <c r="F1469" s="548">
        <v>0.13194500347292681</v>
      </c>
      <c r="G1469" s="549">
        <v>0.11050457279727099</v>
      </c>
      <c r="H1469" s="550">
        <v>8.7363205294775908E-3</v>
      </c>
      <c r="I1469" s="551">
        <v>0.28468574576425099</v>
      </c>
      <c r="J1469" s="551">
        <v>0.111075849559062</v>
      </c>
      <c r="K1469" s="551">
        <v>2.35263739791076E-2</v>
      </c>
      <c r="L1469" s="551">
        <v>6.9591435818434596E-4</v>
      </c>
      <c r="M1469" s="552">
        <v>2.4590132213704499E-2</v>
      </c>
    </row>
    <row r="1470" spans="2:13" ht="15.75" x14ac:dyDescent="0.25">
      <c r="B1470" s="555">
        <v>2048</v>
      </c>
      <c r="C1470" s="556">
        <v>2014</v>
      </c>
      <c r="D1470" s="557" t="s">
        <v>4368</v>
      </c>
      <c r="E1470" s="547">
        <v>6.2719949472108988E-2</v>
      </c>
      <c r="F1470" s="548">
        <v>0.12975541974571148</v>
      </c>
      <c r="G1470" s="549">
        <v>0.109906879972309</v>
      </c>
      <c r="H1470" s="550">
        <v>8.7070705635764294E-3</v>
      </c>
      <c r="I1470" s="551">
        <v>0.28372965647340698</v>
      </c>
      <c r="J1470" s="551">
        <v>0.111159564181625</v>
      </c>
      <c r="K1470" s="551">
        <v>2.3479131129205699E-2</v>
      </c>
      <c r="L1470" s="551">
        <v>9.65280482822969E-4</v>
      </c>
      <c r="M1470" s="552">
        <v>2.4540753251767099E-2</v>
      </c>
    </row>
    <row r="1471" spans="2:13" ht="15.75" x14ac:dyDescent="0.25">
      <c r="B1471" s="555">
        <v>2048</v>
      </c>
      <c r="C1471" s="556">
        <v>2015</v>
      </c>
      <c r="D1471" s="557" t="s">
        <v>4369</v>
      </c>
      <c r="E1471" s="547">
        <v>6.2179300858036531E-2</v>
      </c>
      <c r="F1471" s="548">
        <v>0.12969969332705231</v>
      </c>
      <c r="G1471" s="549">
        <v>0.109261802090365</v>
      </c>
      <c r="H1471" s="550">
        <v>8.8373637482381095E-3</v>
      </c>
      <c r="I1471" s="551">
        <v>0.282773132517881</v>
      </c>
      <c r="J1471" s="551">
        <v>0.11174625096764799</v>
      </c>
      <c r="K1471" s="551">
        <v>2.3430586229351302E-2</v>
      </c>
      <c r="L1471" s="551">
        <v>1.2342944564093399E-3</v>
      </c>
      <c r="M1471" s="552">
        <v>2.4490013366956099E-2</v>
      </c>
    </row>
    <row r="1472" spans="2:13" ht="15.75" x14ac:dyDescent="0.25">
      <c r="B1472" s="555">
        <v>2048</v>
      </c>
      <c r="C1472" s="556">
        <v>2016</v>
      </c>
      <c r="D1472" s="557" t="s">
        <v>4370</v>
      </c>
      <c r="E1472" s="547">
        <v>6.0152829501405165E-2</v>
      </c>
      <c r="F1472" s="548">
        <v>0.1257496406777793</v>
      </c>
      <c r="G1472" s="549">
        <v>0.10849976814713801</v>
      </c>
      <c r="H1472" s="550">
        <v>8.0725572509413399E-3</v>
      </c>
      <c r="I1472" s="551">
        <v>0.246883590301328</v>
      </c>
      <c r="J1472" s="551">
        <v>9.8101715698512504E-2</v>
      </c>
      <c r="K1472" s="551">
        <v>2.3373746696137E-2</v>
      </c>
      <c r="L1472" s="551">
        <v>1.3892669411851499E-3</v>
      </c>
      <c r="M1472" s="552">
        <v>2.4430603802271401E-2</v>
      </c>
    </row>
    <row r="1473" spans="2:13" ht="15.75" x14ac:dyDescent="0.25">
      <c r="B1473" s="555">
        <v>2048</v>
      </c>
      <c r="C1473" s="556">
        <v>2017</v>
      </c>
      <c r="D1473" s="557" t="s">
        <v>4371</v>
      </c>
      <c r="E1473" s="547">
        <v>5.6644351832961903E-2</v>
      </c>
      <c r="F1473" s="548">
        <v>0.1218237573075133</v>
      </c>
      <c r="G1473" s="549">
        <v>9.0803539372875802E-2</v>
      </c>
      <c r="H1473" s="550">
        <v>7.2664705954291198E-3</v>
      </c>
      <c r="I1473" s="551">
        <v>0.19265548089766801</v>
      </c>
      <c r="J1473" s="551">
        <v>8.4758393342326904E-2</v>
      </c>
      <c r="K1473" s="551">
        <v>2.22034728059958E-2</v>
      </c>
      <c r="L1473" s="551">
        <v>1.4478425211932201E-3</v>
      </c>
      <c r="M1473" s="552">
        <v>2.3207415319831601E-2</v>
      </c>
    </row>
    <row r="1474" spans="2:13" ht="15.75" x14ac:dyDescent="0.25">
      <c r="B1474" s="555">
        <v>2048</v>
      </c>
      <c r="C1474" s="556">
        <v>2018</v>
      </c>
      <c r="D1474" s="557" t="s">
        <v>4372</v>
      </c>
      <c r="E1474" s="547">
        <v>5.2887740230084496E-2</v>
      </c>
      <c r="F1474" s="548">
        <v>0.11659562584698416</v>
      </c>
      <c r="G1474" s="549">
        <v>9.0858576210140096E-2</v>
      </c>
      <c r="H1474" s="550">
        <v>6.5428548995469498E-3</v>
      </c>
      <c r="I1474" s="551">
        <v>0.15743984798153801</v>
      </c>
      <c r="J1474" s="551">
        <v>7.1021660064213801E-2</v>
      </c>
      <c r="K1474" s="551">
        <v>2.2206885439345299E-2</v>
      </c>
      <c r="L1474" s="551">
        <v>1.5085282842264699E-3</v>
      </c>
      <c r="M1474" s="552">
        <v>2.3210982257317801E-2</v>
      </c>
    </row>
    <row r="1475" spans="2:13" ht="15.75" x14ac:dyDescent="0.25">
      <c r="B1475" s="555">
        <v>2048</v>
      </c>
      <c r="C1475" s="556">
        <v>2019</v>
      </c>
      <c r="D1475" s="557" t="s">
        <v>4373</v>
      </c>
      <c r="E1475" s="547">
        <v>5.2866373274882222E-2</v>
      </c>
      <c r="F1475" s="548">
        <v>0.1165388016817773</v>
      </c>
      <c r="G1475" s="549">
        <v>9.0915229910184497E-2</v>
      </c>
      <c r="H1475" s="550">
        <v>5.9183884267240703E-3</v>
      </c>
      <c r="I1475" s="551">
        <v>0.13570133388042199</v>
      </c>
      <c r="J1475" s="551">
        <v>6.1739859887632101E-2</v>
      </c>
      <c r="K1475" s="551">
        <v>2.2210386582215001E-2</v>
      </c>
      <c r="L1475" s="551">
        <v>1.5491839829118101E-3</v>
      </c>
      <c r="M1475" s="552">
        <v>2.3214641706332001E-2</v>
      </c>
    </row>
    <row r="1476" spans="2:13" ht="15.75" x14ac:dyDescent="0.25">
      <c r="B1476" s="555">
        <v>2048</v>
      </c>
      <c r="C1476" s="556">
        <v>2020</v>
      </c>
      <c r="D1476" s="557" t="s">
        <v>4374</v>
      </c>
      <c r="E1476" s="547">
        <v>5.2845412783193553E-2</v>
      </c>
      <c r="F1476" s="548">
        <v>0.11648300202388126</v>
      </c>
      <c r="G1476" s="549">
        <v>9.0973002908537895E-2</v>
      </c>
      <c r="H1476" s="550">
        <v>5.2784278059208904E-3</v>
      </c>
      <c r="I1476" s="551">
        <v>0.113608679940863</v>
      </c>
      <c r="J1476" s="551">
        <v>5.2904695761453298E-2</v>
      </c>
      <c r="K1476" s="551">
        <v>2.22139535304418E-2</v>
      </c>
      <c r="L1476" s="551">
        <v>1.54969906096768E-3</v>
      </c>
      <c r="M1476" s="552">
        <v>2.3218369936129499E-2</v>
      </c>
    </row>
    <row r="1477" spans="2:13" ht="15.75" x14ac:dyDescent="0.25">
      <c r="B1477" s="555">
        <v>2048</v>
      </c>
      <c r="C1477" s="556">
        <v>2021</v>
      </c>
      <c r="D1477" s="557" t="s">
        <v>4375</v>
      </c>
      <c r="E1477" s="547">
        <v>5.1504303103828072E-2</v>
      </c>
      <c r="F1477" s="548">
        <v>0.11352556150661726</v>
      </c>
      <c r="G1477" s="549">
        <v>9.1033066679808095E-2</v>
      </c>
      <c r="H1477" s="550">
        <v>4.6480448359686698E-3</v>
      </c>
      <c r="I1477" s="551">
        <v>9.1855593254765902E-2</v>
      </c>
      <c r="J1477" s="551">
        <v>4.3738862204734601E-2</v>
      </c>
      <c r="K1477" s="551">
        <v>2.22176696392524E-2</v>
      </c>
      <c r="L1477" s="551">
        <v>1.5502354436917199E-3</v>
      </c>
      <c r="M1477" s="552">
        <v>2.32222540708905E-2</v>
      </c>
    </row>
    <row r="1478" spans="2:13" ht="15.75" x14ac:dyDescent="0.25">
      <c r="B1478" s="555">
        <v>2048</v>
      </c>
      <c r="C1478" s="556">
        <v>2022</v>
      </c>
      <c r="D1478" s="557" t="s">
        <v>4376</v>
      </c>
      <c r="E1478" s="547">
        <v>5.0217263269547882E-2</v>
      </c>
      <c r="F1478" s="548">
        <v>0.11068717554777432</v>
      </c>
      <c r="G1478" s="549">
        <v>9.1092977889134299E-2</v>
      </c>
      <c r="H1478" s="550">
        <v>4.0154627346526001E-3</v>
      </c>
      <c r="I1478" s="551">
        <v>6.9616833717479606E-2</v>
      </c>
      <c r="J1478" s="551">
        <v>3.4712040204451497E-2</v>
      </c>
      <c r="K1478" s="551">
        <v>2.2221370638240898E-2</v>
      </c>
      <c r="L1478" s="551">
        <v>1.55077083326693E-3</v>
      </c>
      <c r="M1478" s="552">
        <v>2.32261224126304E-2</v>
      </c>
    </row>
    <row r="1479" spans="2:13" ht="15.75" x14ac:dyDescent="0.25">
      <c r="B1479" s="555">
        <v>2048</v>
      </c>
      <c r="C1479" s="556">
        <v>2023</v>
      </c>
      <c r="D1479" s="557" t="s">
        <v>4377</v>
      </c>
      <c r="E1479" s="547">
        <v>4.8931528975916905E-2</v>
      </c>
      <c r="F1479" s="548">
        <v>0.10785484359748572</v>
      </c>
      <c r="G1479" s="549">
        <v>9.1154270124326503E-2</v>
      </c>
      <c r="H1479" s="550">
        <v>4.0087119431477204E-3</v>
      </c>
      <c r="I1479" s="551">
        <v>6.9639959467748494E-2</v>
      </c>
      <c r="J1479" s="551">
        <v>3.4024771172020803E-2</v>
      </c>
      <c r="K1479" s="551">
        <v>2.2225164833031701E-2</v>
      </c>
      <c r="L1479" s="551">
        <v>1.55131883462127E-3</v>
      </c>
      <c r="M1479" s="552">
        <v>2.3230088164073098E-2</v>
      </c>
    </row>
    <row r="1480" spans="2:13" ht="15.75" x14ac:dyDescent="0.25">
      <c r="B1480" s="555">
        <v>2048</v>
      </c>
      <c r="C1480" s="556">
        <v>2024</v>
      </c>
      <c r="D1480" s="557" t="s">
        <v>4378</v>
      </c>
      <c r="E1480" s="547">
        <v>4.7699704310667959E-2</v>
      </c>
      <c r="F1480" s="548">
        <v>0.10514111426465356</v>
      </c>
      <c r="G1480" s="549">
        <v>9.1215380948876906E-2</v>
      </c>
      <c r="H1480" s="550">
        <v>4.0091462303701898E-3</v>
      </c>
      <c r="I1480" s="551">
        <v>6.9663027902014701E-2</v>
      </c>
      <c r="J1480" s="551">
        <v>3.4827854767125299E-2</v>
      </c>
      <c r="K1480" s="551">
        <v>2.2228951982853299E-2</v>
      </c>
      <c r="L1480" s="551">
        <v>1.5518657966592699E-3</v>
      </c>
      <c r="M1480" s="552">
        <v>2.3234046552004398E-2</v>
      </c>
    </row>
    <row r="1481" spans="2:13" ht="15.75" x14ac:dyDescent="0.25">
      <c r="B1481" s="555">
        <v>2048</v>
      </c>
      <c r="C1481" s="556">
        <v>2025</v>
      </c>
      <c r="D1481" s="557" t="s">
        <v>4379</v>
      </c>
      <c r="E1481" s="547">
        <v>4.6469068912784899E-2</v>
      </c>
      <c r="F1481" s="548">
        <v>0.10243031494959566</v>
      </c>
      <c r="G1481" s="549">
        <v>9.1204545217976704E-2</v>
      </c>
      <c r="H1481" s="550">
        <v>4.0114576538840896E-3</v>
      </c>
      <c r="I1481" s="551">
        <v>6.9589177831966706E-2</v>
      </c>
      <c r="J1481" s="551">
        <v>3.3914922021679297E-2</v>
      </c>
      <c r="K1481" s="551">
        <v>2.21848782612264E-2</v>
      </c>
      <c r="L1481" s="551">
        <v>1.55242629125737E-3</v>
      </c>
      <c r="M1481" s="552">
        <v>2.3187980012259801E-2</v>
      </c>
    </row>
    <row r="1482" spans="2:13" ht="15.75" x14ac:dyDescent="0.25">
      <c r="B1482" s="555">
        <v>2048</v>
      </c>
      <c r="C1482" s="556">
        <v>2026</v>
      </c>
      <c r="D1482" s="557" t="s">
        <v>4380</v>
      </c>
      <c r="E1482" s="547">
        <v>4.529219526500064E-2</v>
      </c>
      <c r="F1482" s="548">
        <v>9.9837928811202487E-2</v>
      </c>
      <c r="G1482" s="549">
        <v>9.1103943987107097E-2</v>
      </c>
      <c r="H1482" s="550">
        <v>4.0275962962926402E-3</v>
      </c>
      <c r="I1482" s="551">
        <v>6.94037947298623E-2</v>
      </c>
      <c r="J1482" s="551">
        <v>3.4684185617962798E-2</v>
      </c>
      <c r="K1482" s="551">
        <v>2.2082286292565499E-2</v>
      </c>
      <c r="L1482" s="551">
        <v>1.5529859128044601E-3</v>
      </c>
      <c r="M1482" s="552">
        <v>2.3080749290021199E-2</v>
      </c>
    </row>
    <row r="1483" spans="2:13" ht="15.75" x14ac:dyDescent="0.25">
      <c r="B1483" s="555">
        <v>2048</v>
      </c>
      <c r="C1483" s="556">
        <v>2027</v>
      </c>
      <c r="D1483" s="557" t="s">
        <v>4381</v>
      </c>
      <c r="E1483" s="547">
        <v>4.4169196619774004E-2</v>
      </c>
      <c r="F1483" s="548">
        <v>9.7364192084906778E-2</v>
      </c>
      <c r="G1483" s="549">
        <v>9.0916179580650403E-2</v>
      </c>
      <c r="H1483" s="550">
        <v>4.0335038019837996E-3</v>
      </c>
      <c r="I1483" s="551">
        <v>6.9092850440550094E-2</v>
      </c>
      <c r="J1483" s="551">
        <v>3.4215212072420897E-2</v>
      </c>
      <c r="K1483" s="551">
        <v>2.1921344141269301E-2</v>
      </c>
      <c r="L1483" s="551">
        <v>1.5535715034383001E-3</v>
      </c>
      <c r="M1483" s="552">
        <v>2.2912530048813599E-2</v>
      </c>
    </row>
    <row r="1484" spans="2:13" ht="15.75" x14ac:dyDescent="0.25">
      <c r="B1484" s="555">
        <v>2048</v>
      </c>
      <c r="C1484" s="556">
        <v>2028</v>
      </c>
      <c r="D1484" s="557" t="s">
        <v>4382</v>
      </c>
      <c r="E1484" s="547">
        <v>4.4153503118148266E-2</v>
      </c>
      <c r="F1484" s="548">
        <v>9.7324682287872818E-2</v>
      </c>
      <c r="G1484" s="549">
        <v>9.06375046843335E-2</v>
      </c>
      <c r="H1484" s="550">
        <v>4.0513408623247997E-3</v>
      </c>
      <c r="I1484" s="551">
        <v>6.8662328739775805E-2</v>
      </c>
      <c r="J1484" s="551">
        <v>3.4472963961331697E-2</v>
      </c>
      <c r="K1484" s="551">
        <v>2.17017747394074E-2</v>
      </c>
      <c r="L1484" s="551">
        <v>1.55414956340648E-3</v>
      </c>
      <c r="M1484" s="552">
        <v>2.26830326929243E-2</v>
      </c>
    </row>
    <row r="1485" spans="2:13" ht="15.75" x14ac:dyDescent="0.25">
      <c r="B1485" s="555">
        <v>2048</v>
      </c>
      <c r="C1485" s="556">
        <v>2029</v>
      </c>
      <c r="D1485" s="557" t="s">
        <v>4383</v>
      </c>
      <c r="E1485" s="547">
        <v>4.4137921629207121E-2</v>
      </c>
      <c r="F1485" s="548">
        <v>9.7285492902117909E-2</v>
      </c>
      <c r="G1485" s="549">
        <v>9.0268897270171997E-2</v>
      </c>
      <c r="H1485" s="550">
        <v>4.0632695634230196E-3</v>
      </c>
      <c r="I1485" s="551">
        <v>6.8112533448262097E-2</v>
      </c>
      <c r="J1485" s="551">
        <v>3.4700668048793203E-2</v>
      </c>
      <c r="K1485" s="551">
        <v>2.14236136785937E-2</v>
      </c>
      <c r="L1485" s="551">
        <v>1.5547305225536399E-3</v>
      </c>
      <c r="M1485" s="552">
        <v>2.2392294423261998E-2</v>
      </c>
    </row>
    <row r="1486" spans="2:13" ht="15.75" x14ac:dyDescent="0.25">
      <c r="B1486" s="555">
        <v>2048</v>
      </c>
      <c r="C1486" s="556">
        <v>2030</v>
      </c>
      <c r="D1486" s="557" t="s">
        <v>4384</v>
      </c>
      <c r="E1486" s="547">
        <v>4.4122515427327688E-2</v>
      </c>
      <c r="F1486" s="548">
        <v>9.724657549189071E-2</v>
      </c>
      <c r="G1486" s="549">
        <v>8.9811398226092395E-2</v>
      </c>
      <c r="H1486" s="550">
        <v>4.0680933093003501E-3</v>
      </c>
      <c r="I1486" s="551">
        <v>6.7443845986050105E-2</v>
      </c>
      <c r="J1486" s="551">
        <v>3.3734647544709999E-2</v>
      </c>
      <c r="K1486" s="551">
        <v>2.10869207961282E-2</v>
      </c>
      <c r="L1486" s="551">
        <v>1.5553268910991299E-3</v>
      </c>
      <c r="M1486" s="552">
        <v>2.2040377782703902E-2</v>
      </c>
    </row>
    <row r="1487" spans="2:13" ht="15.75" x14ac:dyDescent="0.25">
      <c r="B1487" s="555">
        <v>2048</v>
      </c>
      <c r="C1487" s="556">
        <v>2031</v>
      </c>
      <c r="D1487" s="557" t="s">
        <v>4385</v>
      </c>
      <c r="E1487" s="547">
        <v>4.4107077271039616E-2</v>
      </c>
      <c r="F1487" s="548">
        <v>9.7207380554044792E-2</v>
      </c>
      <c r="G1487" s="549">
        <v>8.9262316221182303E-2</v>
      </c>
      <c r="H1487" s="550">
        <v>4.0663795120424399E-3</v>
      </c>
      <c r="I1487" s="551">
        <v>6.6655129350770004E-2</v>
      </c>
      <c r="J1487" s="551">
        <v>3.4393460281121099E-2</v>
      </c>
      <c r="K1487" s="551">
        <v>2.0691484890778999E-2</v>
      </c>
      <c r="L1487" s="551">
        <v>1.5559137265882901E-3</v>
      </c>
      <c r="M1487" s="552">
        <v>2.1627062020435701E-2</v>
      </c>
    </row>
    <row r="1488" spans="2:13" ht="15.75" x14ac:dyDescent="0.25">
      <c r="B1488" s="555">
        <v>2048</v>
      </c>
      <c r="C1488" s="556">
        <v>2032</v>
      </c>
      <c r="D1488" s="557" t="s">
        <v>4386</v>
      </c>
      <c r="E1488" s="547">
        <v>4.4091725237762593E-2</v>
      </c>
      <c r="F1488" s="548">
        <v>9.7168238487114464E-2</v>
      </c>
      <c r="G1488" s="549">
        <v>8.8623477382497595E-2</v>
      </c>
      <c r="H1488" s="550">
        <v>4.0723159107257803E-3</v>
      </c>
      <c r="I1488" s="551">
        <v>6.5747080278421993E-2</v>
      </c>
      <c r="J1488" s="551">
        <v>3.4077625606153503E-2</v>
      </c>
      <c r="K1488" s="551">
        <v>2.0237420214850501E-2</v>
      </c>
      <c r="L1488" s="551">
        <v>1.55651143124356E-3</v>
      </c>
      <c r="M1488" s="552">
        <v>2.1152466554743898E-2</v>
      </c>
    </row>
    <row r="1489" spans="2:13" ht="15.75" x14ac:dyDescent="0.25">
      <c r="B1489" s="555">
        <v>2048</v>
      </c>
      <c r="C1489" s="556">
        <v>2033</v>
      </c>
      <c r="D1489" s="557" t="s">
        <v>4387</v>
      </c>
      <c r="E1489" s="547">
        <v>4.4076322708671081E-2</v>
      </c>
      <c r="F1489" s="548">
        <v>9.7128770291453073E-2</v>
      </c>
      <c r="G1489" s="549">
        <v>8.7893238466655199E-2</v>
      </c>
      <c r="H1489" s="550">
        <v>4.0663982208238797E-3</v>
      </c>
      <c r="I1489" s="551">
        <v>6.4718976999053601E-2</v>
      </c>
      <c r="J1489" s="551">
        <v>3.3458419805396801E-2</v>
      </c>
      <c r="K1489" s="551">
        <v>1.9724587600788601E-2</v>
      </c>
      <c r="L1489" s="551">
        <v>1.55710590104521E-3</v>
      </c>
      <c r="M1489" s="552">
        <v>2.0616445925535101E-2</v>
      </c>
    </row>
    <row r="1490" spans="2:13" ht="15.75" x14ac:dyDescent="0.25">
      <c r="B1490" s="555">
        <v>2048</v>
      </c>
      <c r="C1490" s="556">
        <v>2034</v>
      </c>
      <c r="D1490" s="557" t="s">
        <v>4388</v>
      </c>
      <c r="E1490" s="547">
        <v>4.4060917784985082E-2</v>
      </c>
      <c r="F1490" s="548">
        <v>9.7089255078199418E-2</v>
      </c>
      <c r="G1490" s="549">
        <v>8.7072569567202301E-2</v>
      </c>
      <c r="H1490" s="550">
        <v>4.0535334331761597E-3</v>
      </c>
      <c r="I1490" s="551">
        <v>6.3571143465406196E-2</v>
      </c>
      <c r="J1490" s="551">
        <v>3.3155265475275197E-2</v>
      </c>
      <c r="K1490" s="551">
        <v>1.9153030661624802E-2</v>
      </c>
      <c r="L1490" s="551">
        <v>1.55770807134154E-3</v>
      </c>
      <c r="M1490" s="552">
        <v>2.0019045717828601E-2</v>
      </c>
    </row>
    <row r="1491" spans="2:13" ht="15.75" x14ac:dyDescent="0.25">
      <c r="B1491" s="555">
        <v>2048</v>
      </c>
      <c r="C1491" s="556">
        <v>2035</v>
      </c>
      <c r="D1491" s="557" t="s">
        <v>4389</v>
      </c>
      <c r="E1491" s="547">
        <v>4.4045525258308085E-2</v>
      </c>
      <c r="F1491" s="548">
        <v>9.7049694022601787E-2</v>
      </c>
      <c r="G1491" s="549">
        <v>8.6161996665245794E-2</v>
      </c>
      <c r="H1491" s="550">
        <v>4.0405553980610697E-3</v>
      </c>
      <c r="I1491" s="551">
        <v>6.2303727818602501E-2</v>
      </c>
      <c r="J1491" s="551">
        <v>3.24895901333613E-2</v>
      </c>
      <c r="K1491" s="551">
        <v>1.8522762067726101E-2</v>
      </c>
      <c r="L1491" s="551">
        <v>1.55832589860973E-3</v>
      </c>
      <c r="M1491" s="552">
        <v>1.9360279174889299E-2</v>
      </c>
    </row>
    <row r="1492" spans="2:13" ht="15.75" x14ac:dyDescent="0.25">
      <c r="B1492" s="555">
        <v>2048</v>
      </c>
      <c r="C1492" s="556">
        <v>2036</v>
      </c>
      <c r="D1492" s="557" t="s">
        <v>4390</v>
      </c>
      <c r="E1492" s="547">
        <v>4.4029850926899178E-2</v>
      </c>
      <c r="F1492" s="548">
        <v>9.7009434706390743E-2</v>
      </c>
      <c r="G1492" s="549">
        <v>8.51580691541102E-2</v>
      </c>
      <c r="H1492" s="550">
        <v>4.0309858690841102E-3</v>
      </c>
      <c r="I1492" s="551">
        <v>6.09153362426266E-2</v>
      </c>
      <c r="J1492" s="551">
        <v>3.2696139197241701E-2</v>
      </c>
      <c r="K1492" s="551">
        <v>1.78335359669845E-2</v>
      </c>
      <c r="L1492" s="551">
        <v>1.5589269299640599E-3</v>
      </c>
      <c r="M1492" s="552">
        <v>1.8639889328267701E-2</v>
      </c>
    </row>
    <row r="1493" spans="2:13" ht="15.75" x14ac:dyDescent="0.25">
      <c r="B1493" s="555">
        <v>2048</v>
      </c>
      <c r="C1493" s="556">
        <v>2037</v>
      </c>
      <c r="D1493" s="557" t="s">
        <v>4391</v>
      </c>
      <c r="E1493" s="547">
        <v>4.4014040950013773E-2</v>
      </c>
      <c r="F1493" s="548">
        <v>9.6968910152355356E-2</v>
      </c>
      <c r="G1493" s="549">
        <v>8.4063289032195204E-2</v>
      </c>
      <c r="H1493" s="550">
        <v>4.0246085053629397E-3</v>
      </c>
      <c r="I1493" s="551">
        <v>5.9406903740775403E-2</v>
      </c>
      <c r="J1493" s="551">
        <v>3.2343490641165297E-2</v>
      </c>
      <c r="K1493" s="551">
        <v>1.7085500351971299E-2</v>
      </c>
      <c r="L1493" s="551">
        <v>1.55953817540127E-3</v>
      </c>
      <c r="M1493" s="552">
        <v>1.7858030862102501E-2</v>
      </c>
    </row>
    <row r="1494" spans="2:13" ht="15.75" x14ac:dyDescent="0.25">
      <c r="B1494" s="555">
        <v>2048</v>
      </c>
      <c r="C1494" s="556">
        <v>2038</v>
      </c>
      <c r="D1494" s="557" t="s">
        <v>4392</v>
      </c>
      <c r="E1494" s="547">
        <v>4.3997979483616147E-2</v>
      </c>
      <c r="F1494" s="548">
        <v>9.6928027422157212E-2</v>
      </c>
      <c r="G1494" s="549">
        <v>8.2876862708984006E-2</v>
      </c>
      <c r="H1494" s="550">
        <v>4.0285452266637196E-3</v>
      </c>
      <c r="I1494" s="551">
        <v>5.7778026844516897E-2</v>
      </c>
      <c r="J1494" s="551">
        <v>3.2066225469709497E-2</v>
      </c>
      <c r="K1494" s="551">
        <v>1.62785685479175E-2</v>
      </c>
      <c r="L1494" s="551">
        <v>1.5601537548830401E-3</v>
      </c>
      <c r="M1494" s="552">
        <v>1.7014613182576299E-2</v>
      </c>
    </row>
    <row r="1495" spans="2:13" ht="15.75" x14ac:dyDescent="0.25">
      <c r="B1495" s="555">
        <v>2048</v>
      </c>
      <c r="C1495" s="556">
        <v>2039</v>
      </c>
      <c r="D1495" s="557" t="s">
        <v>4393</v>
      </c>
      <c r="E1495" s="547">
        <v>4.3981541920295318E-2</v>
      </c>
      <c r="F1495" s="548">
        <v>9.6886544808453989E-2</v>
      </c>
      <c r="G1495" s="549">
        <v>8.1598114390831894E-2</v>
      </c>
      <c r="H1495" s="550">
        <v>4.0495189307460698E-3</v>
      </c>
      <c r="I1495" s="551">
        <v>5.6028405883818501E-2</v>
      </c>
      <c r="J1495" s="551">
        <v>3.1267146722062801E-2</v>
      </c>
      <c r="K1495" s="551">
        <v>1.54126817618518E-2</v>
      </c>
      <c r="L1495" s="551">
        <v>1.56076866637895E-3</v>
      </c>
      <c r="M1495" s="552">
        <v>1.61095748383604E-2</v>
      </c>
    </row>
    <row r="1496" spans="2:13" ht="15.75" x14ac:dyDescent="0.25">
      <c r="B1496" s="555">
        <v>2048</v>
      </c>
      <c r="C1496" s="556">
        <v>2040</v>
      </c>
      <c r="D1496" s="557" t="s">
        <v>4394</v>
      </c>
      <c r="E1496" s="547">
        <v>4.3964719282726904E-2</v>
      </c>
      <c r="F1496" s="548">
        <v>9.6844599716871579E-2</v>
      </c>
      <c r="G1496" s="549">
        <v>8.0228058547031397E-2</v>
      </c>
      <c r="H1496" s="550">
        <v>4.0902133054232697E-3</v>
      </c>
      <c r="I1496" s="551">
        <v>5.4158351894053998E-2</v>
      </c>
      <c r="J1496" s="551">
        <v>3.0932531558282399E-2</v>
      </c>
      <c r="K1496" s="551">
        <v>1.4487872786478799E-2</v>
      </c>
      <c r="L1496" s="551">
        <v>1.5613969414426201E-3</v>
      </c>
      <c r="M1496" s="552">
        <v>1.5142950104900001E-2</v>
      </c>
    </row>
    <row r="1497" spans="2:13" ht="15.75" x14ac:dyDescent="0.25">
      <c r="B1497" s="555">
        <v>2048</v>
      </c>
      <c r="C1497" s="556">
        <v>2041</v>
      </c>
      <c r="D1497" s="557" t="s">
        <v>4395</v>
      </c>
      <c r="E1497" s="547">
        <v>4.3947279476876225E-2</v>
      </c>
      <c r="F1497" s="548">
        <v>9.680136278544911E-2</v>
      </c>
      <c r="G1497" s="549">
        <v>7.8765390363936996E-2</v>
      </c>
      <c r="H1497" s="550">
        <v>4.14689687604576E-3</v>
      </c>
      <c r="I1497" s="551">
        <v>5.2167294355912303E-2</v>
      </c>
      <c r="J1497" s="551">
        <v>0.22891453422797001</v>
      </c>
      <c r="K1497" s="551">
        <v>1.35040346328469E-2</v>
      </c>
      <c r="L1497" s="551">
        <v>1.5620256934515101E-3</v>
      </c>
      <c r="M1497" s="552">
        <v>1.41146271556781E-2</v>
      </c>
    </row>
    <row r="1498" spans="2:13" ht="15.75" x14ac:dyDescent="0.25">
      <c r="B1498" s="555">
        <v>2048</v>
      </c>
      <c r="C1498" s="556">
        <v>2042</v>
      </c>
      <c r="D1498" s="557" t="s">
        <v>4396</v>
      </c>
      <c r="E1498" s="547">
        <v>4.3928915378114088E-2</v>
      </c>
      <c r="F1498" s="548">
        <v>9.6755363232100988E-2</v>
      </c>
      <c r="G1498" s="549">
        <v>7.7208495613477895E-2</v>
      </c>
      <c r="H1498" s="550">
        <v>4.2007732764775697E-3</v>
      </c>
      <c r="I1498" s="551">
        <v>5.00546552281785E-2</v>
      </c>
      <c r="J1498" s="551">
        <v>0.59159062402556695</v>
      </c>
      <c r="K1498" s="551">
        <v>1.24610773713488E-2</v>
      </c>
      <c r="L1498" s="551">
        <v>1.5626403226273501E-3</v>
      </c>
      <c r="M1498" s="552">
        <v>1.3024511994869301E-2</v>
      </c>
    </row>
    <row r="1499" spans="2:13" ht="15.75" x14ac:dyDescent="0.25">
      <c r="B1499" s="555">
        <v>2048</v>
      </c>
      <c r="C1499" s="556">
        <v>2043</v>
      </c>
      <c r="D1499" s="557" t="s">
        <v>4397</v>
      </c>
      <c r="E1499" s="547">
        <v>4.3909548045037487E-2</v>
      </c>
      <c r="F1499" s="548">
        <v>9.6705107951092675E-2</v>
      </c>
      <c r="G1499" s="549">
        <v>7.5559442888630396E-2</v>
      </c>
      <c r="H1499" s="550">
        <v>4.1919024393445598E-3</v>
      </c>
      <c r="I1499" s="551">
        <v>4.7821054147859997E-2</v>
      </c>
      <c r="J1499" s="551">
        <v>1.2026762087621099</v>
      </c>
      <c r="K1499" s="551">
        <v>1.13590677761795E-2</v>
      </c>
      <c r="L1499" s="551">
        <v>1.5632651007958401E-3</v>
      </c>
      <c r="M1499" s="552">
        <v>1.1872674415901599E-2</v>
      </c>
    </row>
    <row r="1500" spans="2:13" ht="15.75" x14ac:dyDescent="0.25">
      <c r="B1500" s="555">
        <v>2048</v>
      </c>
      <c r="C1500" s="556">
        <v>2044</v>
      </c>
      <c r="D1500" s="557" t="s">
        <v>4398</v>
      </c>
      <c r="E1500" s="547">
        <v>4.3888742966828091E-2</v>
      </c>
      <c r="F1500" s="548">
        <v>9.6648537162044246E-2</v>
      </c>
      <c r="G1500" s="549">
        <v>7.38175238616888E-2</v>
      </c>
      <c r="H1500" s="550">
        <v>4.0555425919234197E-3</v>
      </c>
      <c r="I1500" s="551">
        <v>4.5466169586111702E-2</v>
      </c>
      <c r="J1500" s="551">
        <v>0</v>
      </c>
      <c r="K1500" s="551">
        <v>1.0197942088725801E-2</v>
      </c>
      <c r="L1500" s="551">
        <v>1.5638943186047E-3</v>
      </c>
      <c r="M1500" s="552">
        <v>1.06590477772802E-2</v>
      </c>
    </row>
    <row r="1501" spans="2:13" ht="15.75" x14ac:dyDescent="0.25">
      <c r="B1501" s="555">
        <v>2048</v>
      </c>
      <c r="C1501" s="556">
        <v>2045</v>
      </c>
      <c r="D1501" s="557" t="s">
        <v>4399</v>
      </c>
      <c r="E1501" s="547">
        <v>4.3865873053129327E-2</v>
      </c>
      <c r="F1501" s="548">
        <v>9.6589580095571115E-2</v>
      </c>
      <c r="G1501" s="549">
        <v>7.1982445072495502E-2</v>
      </c>
      <c r="H1501" s="550">
        <v>4.0601218693038302E-3</v>
      </c>
      <c r="I1501" s="551">
        <v>4.2989853442065802E-2</v>
      </c>
      <c r="J1501" s="551">
        <v>2.8498803852797901E-2</v>
      </c>
      <c r="K1501" s="551">
        <v>8.9776643157457592E-3</v>
      </c>
      <c r="L1501" s="551">
        <v>1.5645283059066201E-3</v>
      </c>
      <c r="M1501" s="552">
        <v>9.3835944583084106E-3</v>
      </c>
    </row>
    <row r="1502" spans="2:13" ht="15.75" x14ac:dyDescent="0.25">
      <c r="B1502" s="555">
        <v>2048</v>
      </c>
      <c r="C1502" s="556">
        <v>2046</v>
      </c>
      <c r="D1502" s="557" t="s">
        <v>4400</v>
      </c>
      <c r="E1502" s="547">
        <v>4.3839811952940233E-2</v>
      </c>
      <c r="F1502" s="548">
        <v>9.6550017723671555E-2</v>
      </c>
      <c r="G1502" s="549">
        <v>7.0053632243549699E-2</v>
      </c>
      <c r="H1502" s="550">
        <v>5.4795775665775603E-3</v>
      </c>
      <c r="I1502" s="551">
        <v>4.0391800599907303E-2</v>
      </c>
      <c r="J1502" s="551">
        <v>3.6203257219521903E-2</v>
      </c>
      <c r="K1502" s="551">
        <v>7.6981721121530096E-3</v>
      </c>
      <c r="L1502" s="551">
        <v>1.5651615313918999E-3</v>
      </c>
      <c r="M1502" s="552">
        <v>8.0462492949317406E-3</v>
      </c>
    </row>
    <row r="1503" spans="2:13" ht="15.75" x14ac:dyDescent="0.25">
      <c r="B1503" s="555">
        <v>2048</v>
      </c>
      <c r="C1503" s="556">
        <v>2047</v>
      </c>
      <c r="D1503" s="557" t="s">
        <v>4401</v>
      </c>
      <c r="E1503" s="547">
        <v>4.3808387194995718E-2</v>
      </c>
      <c r="F1503" s="548">
        <v>9.6466271632431294E-2</v>
      </c>
      <c r="G1503" s="549">
        <v>6.8031690170904893E-2</v>
      </c>
      <c r="H1503" s="550">
        <v>5.4818025527803502E-3</v>
      </c>
      <c r="I1503" s="551">
        <v>3.7672167879957301E-2</v>
      </c>
      <c r="J1503" s="551">
        <v>3.5407370002159697E-2</v>
      </c>
      <c r="K1503" s="551">
        <v>6.3594651505604E-3</v>
      </c>
      <c r="L1503" s="551">
        <v>1.56580647215461E-3</v>
      </c>
      <c r="M1503" s="552">
        <v>6.6470119449600802E-3</v>
      </c>
    </row>
    <row r="1504" spans="2:13" ht="15.75" x14ac:dyDescent="0.25">
      <c r="B1504" s="555">
        <v>2048</v>
      </c>
      <c r="C1504" s="556">
        <v>2048</v>
      </c>
      <c r="D1504" s="557" t="s">
        <v>4402</v>
      </c>
      <c r="E1504" s="547">
        <v>4.3765160082883954E-2</v>
      </c>
      <c r="F1504" s="548">
        <v>9.6351870672908971E-2</v>
      </c>
      <c r="G1504" s="549">
        <v>6.5915634941985699E-2</v>
      </c>
      <c r="H1504" s="550">
        <v>5.4840486966594802E-3</v>
      </c>
      <c r="I1504" s="551">
        <v>3.4830540447964201E-2</v>
      </c>
      <c r="J1504" s="551">
        <v>3.5400336990981399E-2</v>
      </c>
      <c r="K1504" s="551">
        <v>4.9614719156390397E-3</v>
      </c>
      <c r="L1504" s="551">
        <v>1.5664517511041901E-3</v>
      </c>
      <c r="M1504" s="552">
        <v>5.1858076594586801E-3</v>
      </c>
    </row>
    <row r="1505" spans="2:13" ht="15.75" x14ac:dyDescent="0.25">
      <c r="B1505" s="555">
        <v>2049</v>
      </c>
      <c r="C1505" s="556">
        <v>2005</v>
      </c>
      <c r="D1505" s="557" t="s">
        <v>4403</v>
      </c>
      <c r="E1505" s="547">
        <v>6.4254226200968781E-2</v>
      </c>
      <c r="F1505" s="548">
        <v>0.13131266208951639</v>
      </c>
      <c r="G1505" s="549">
        <v>0.232775019727265</v>
      </c>
      <c r="H1505" s="550">
        <v>1.49788425518129E-2</v>
      </c>
      <c r="I1505" s="551">
        <v>5.9522833347991497</v>
      </c>
      <c r="J1505" s="551">
        <v>0.27217958975737599</v>
      </c>
      <c r="K1505" s="551">
        <v>5.2275916165745701E-2</v>
      </c>
      <c r="L1505" s="551">
        <v>1.4513159060686E-4</v>
      </c>
      <c r="M1505" s="552">
        <v>5.4639601123818403E-2</v>
      </c>
    </row>
    <row r="1506" spans="2:13" ht="15.75" x14ac:dyDescent="0.25">
      <c r="B1506" s="555">
        <v>2049</v>
      </c>
      <c r="C1506" s="556">
        <v>2006</v>
      </c>
      <c r="D1506" s="557" t="s">
        <v>4404</v>
      </c>
      <c r="E1506" s="547">
        <v>6.4076427789689611E-2</v>
      </c>
      <c r="F1506" s="548">
        <v>0.13159683679316234</v>
      </c>
      <c r="G1506" s="549">
        <v>0.23170831923382301</v>
      </c>
      <c r="H1506" s="550">
        <v>1.51371834409251E-2</v>
      </c>
      <c r="I1506" s="551">
        <v>5.9605540337995198</v>
      </c>
      <c r="J1506" s="551">
        <v>0.27385664594784997</v>
      </c>
      <c r="K1506" s="551">
        <v>5.2036359766461697E-2</v>
      </c>
      <c r="L1506" s="551">
        <v>1.46316793975472E-4</v>
      </c>
      <c r="M1506" s="552">
        <v>5.4389213047174499E-2</v>
      </c>
    </row>
    <row r="1507" spans="2:13" ht="15.75" x14ac:dyDescent="0.25">
      <c r="B1507" s="555">
        <v>2049</v>
      </c>
      <c r="C1507" s="556">
        <v>2007</v>
      </c>
      <c r="D1507" s="557" t="s">
        <v>4405</v>
      </c>
      <c r="E1507" s="547">
        <v>6.4217832059313695E-2</v>
      </c>
      <c r="F1507" s="548">
        <v>0.13192654796382405</v>
      </c>
      <c r="G1507" s="549">
        <v>0.170178279187331</v>
      </c>
      <c r="H1507" s="550">
        <v>1.53045705012142E-2</v>
      </c>
      <c r="I1507" s="551">
        <v>3.11473511861477</v>
      </c>
      <c r="J1507" s="551">
        <v>0.27397468039709699</v>
      </c>
      <c r="K1507" s="551">
        <v>3.7809325863752997E-2</v>
      </c>
      <c r="L1507" s="551">
        <v>1.4767288132948401E-4</v>
      </c>
      <c r="M1507" s="552">
        <v>3.95188958029132E-2</v>
      </c>
    </row>
    <row r="1508" spans="2:13" ht="15.75" x14ac:dyDescent="0.25">
      <c r="B1508" s="555">
        <v>2049</v>
      </c>
      <c r="C1508" s="556">
        <v>2008</v>
      </c>
      <c r="D1508" s="557" t="s">
        <v>4406</v>
      </c>
      <c r="E1508" s="547">
        <v>6.4444619549064483E-2</v>
      </c>
      <c r="F1508" s="548">
        <v>0.13239265519980567</v>
      </c>
      <c r="G1508" s="549">
        <v>0.17230451067939601</v>
      </c>
      <c r="H1508" s="550">
        <v>1.20901157948615E-2</v>
      </c>
      <c r="I1508" s="551">
        <v>3.1007828385437199</v>
      </c>
      <c r="J1508" s="551">
        <v>0.19316089334181599</v>
      </c>
      <c r="K1508" s="551">
        <v>3.8093149889712102E-2</v>
      </c>
      <c r="L1508" s="551">
        <v>1.7046716666277101E-4</v>
      </c>
      <c r="M1508" s="552">
        <v>3.9815553091875802E-2</v>
      </c>
    </row>
    <row r="1509" spans="2:13" ht="15.75" x14ac:dyDescent="0.25">
      <c r="B1509" s="555">
        <v>2049</v>
      </c>
      <c r="C1509" s="556">
        <v>2009</v>
      </c>
      <c r="D1509" s="557" t="s">
        <v>4407</v>
      </c>
      <c r="E1509" s="547">
        <v>6.4426279829216435E-2</v>
      </c>
      <c r="F1509" s="548">
        <v>0.13113097923516603</v>
      </c>
      <c r="G1509" s="549">
        <v>0.17243847595426001</v>
      </c>
      <c r="H1509" s="550">
        <v>8.4808891377101299E-3</v>
      </c>
      <c r="I1509" s="551">
        <v>3.0987748329714599</v>
      </c>
      <c r="J1509" s="551">
        <v>0.108975144843341</v>
      </c>
      <c r="K1509" s="551">
        <v>3.8111074219172397E-2</v>
      </c>
      <c r="L1509" s="551">
        <v>1.8695636958460701E-4</v>
      </c>
      <c r="M1509" s="552">
        <v>3.9834287879976199E-2</v>
      </c>
    </row>
    <row r="1510" spans="2:13" ht="15.75" x14ac:dyDescent="0.25">
      <c r="B1510" s="555">
        <v>2049</v>
      </c>
      <c r="C1510" s="556">
        <v>2010</v>
      </c>
      <c r="D1510" s="557" t="s">
        <v>4408</v>
      </c>
      <c r="E1510" s="547">
        <v>6.4428495742277853E-2</v>
      </c>
      <c r="F1510" s="548">
        <v>0.13000933901189568</v>
      </c>
      <c r="G1510" s="549">
        <v>0.110564794423681</v>
      </c>
      <c r="H1510" s="550">
        <v>8.2894194791306493E-3</v>
      </c>
      <c r="I1510" s="551">
        <v>0.28473583339960101</v>
      </c>
      <c r="J1510" s="551">
        <v>0.10883939782676599</v>
      </c>
      <c r="K1510" s="551">
        <v>2.3520316721123199E-2</v>
      </c>
      <c r="L1510" s="551">
        <v>2.2278206131694499E-4</v>
      </c>
      <c r="M1510" s="552">
        <v>2.4583801073392701E-2</v>
      </c>
    </row>
    <row r="1511" spans="2:13" ht="15.75" x14ac:dyDescent="0.25">
      <c r="B1511" s="555">
        <v>2049</v>
      </c>
      <c r="C1511" s="556">
        <v>2011</v>
      </c>
      <c r="D1511" s="557" t="s">
        <v>4409</v>
      </c>
      <c r="E1511" s="547">
        <v>6.4365999757348705E-2</v>
      </c>
      <c r="F1511" s="548">
        <v>0.13165597792365408</v>
      </c>
      <c r="G1511" s="549">
        <v>0.110270767936106</v>
      </c>
      <c r="H1511" s="550">
        <v>8.6204569090436098E-3</v>
      </c>
      <c r="I1511" s="551">
        <v>0.28426744840604101</v>
      </c>
      <c r="J1511" s="551">
        <v>0.11070257626404</v>
      </c>
      <c r="K1511" s="551">
        <v>2.3496902859055101E-2</v>
      </c>
      <c r="L1511" s="551">
        <v>3.1447765401955798E-4</v>
      </c>
      <c r="M1511" s="552">
        <v>2.4559328540379399E-2</v>
      </c>
    </row>
    <row r="1512" spans="2:13" ht="15.75" x14ac:dyDescent="0.25">
      <c r="B1512" s="555">
        <v>2049</v>
      </c>
      <c r="C1512" s="556">
        <v>2012</v>
      </c>
      <c r="D1512" s="557" t="s">
        <v>4410</v>
      </c>
      <c r="E1512" s="547">
        <v>6.4468729393108423E-2</v>
      </c>
      <c r="F1512" s="548">
        <v>0.13205572697029686</v>
      </c>
      <c r="G1512" s="549">
        <v>0.111664823361857</v>
      </c>
      <c r="H1512" s="550">
        <v>8.7066737702113303E-3</v>
      </c>
      <c r="I1512" s="551">
        <v>0.28633731948632801</v>
      </c>
      <c r="J1512" s="551">
        <v>0.111475172197121</v>
      </c>
      <c r="K1512" s="551">
        <v>2.3593633444601698E-2</v>
      </c>
      <c r="L1512" s="551">
        <v>4.64498034061463E-4</v>
      </c>
      <c r="M1512" s="552">
        <v>2.4660432853768802E-2</v>
      </c>
    </row>
    <row r="1513" spans="2:13" ht="15.75" x14ac:dyDescent="0.25">
      <c r="B1513" s="555">
        <v>2049</v>
      </c>
      <c r="C1513" s="556">
        <v>2013</v>
      </c>
      <c r="D1513" s="557" t="s">
        <v>4411</v>
      </c>
      <c r="E1513" s="547">
        <v>6.4321126037209755E-2</v>
      </c>
      <c r="F1513" s="548">
        <v>0.13204100075625222</v>
      </c>
      <c r="G1513" s="549">
        <v>0.11050267460516899</v>
      </c>
      <c r="H1513" s="550">
        <v>8.7365661640017907E-3</v>
      </c>
      <c r="I1513" s="551">
        <v>0.28468195614063901</v>
      </c>
      <c r="J1513" s="551">
        <v>0.111076648233806</v>
      </c>
      <c r="K1513" s="551">
        <v>2.3526121355328899E-2</v>
      </c>
      <c r="L1513" s="551">
        <v>6.9593255661593197E-4</v>
      </c>
      <c r="M1513" s="552">
        <v>2.4589868167399501E-2</v>
      </c>
    </row>
    <row r="1514" spans="2:13" ht="15.75" x14ac:dyDescent="0.25">
      <c r="B1514" s="555">
        <v>2049</v>
      </c>
      <c r="C1514" s="556">
        <v>2014</v>
      </c>
      <c r="D1514" s="557" t="s">
        <v>4412</v>
      </c>
      <c r="E1514" s="547">
        <v>6.2756723952098081E-2</v>
      </c>
      <c r="F1514" s="548">
        <v>0.12984810538972594</v>
      </c>
      <c r="G1514" s="549">
        <v>0.109904542352164</v>
      </c>
      <c r="H1514" s="550">
        <v>8.7071507433129792E-3</v>
      </c>
      <c r="I1514" s="551">
        <v>0.28372518603624902</v>
      </c>
      <c r="J1514" s="551">
        <v>0.111159835394948</v>
      </c>
      <c r="K1514" s="551">
        <v>2.3478844219637401E-2</v>
      </c>
      <c r="L1514" s="551">
        <v>9.6528825005794095E-4</v>
      </c>
      <c r="M1514" s="552">
        <v>2.4540453369421299E-2</v>
      </c>
    </row>
    <row r="1515" spans="2:13" ht="15.75" x14ac:dyDescent="0.25">
      <c r="B1515" s="555">
        <v>2049</v>
      </c>
      <c r="C1515" s="556">
        <v>2015</v>
      </c>
      <c r="D1515" s="557" t="s">
        <v>4413</v>
      </c>
      <c r="E1515" s="547">
        <v>6.221508034001428E-2</v>
      </c>
      <c r="F1515" s="548">
        <v>0.12979037988312209</v>
      </c>
      <c r="G1515" s="549">
        <v>0.109257878496221</v>
      </c>
      <c r="H1515" s="550">
        <v>8.83740246442947E-3</v>
      </c>
      <c r="I1515" s="551">
        <v>0.28276616989398601</v>
      </c>
      <c r="J1515" s="551">
        <v>0.111746183048618</v>
      </c>
      <c r="K1515" s="551">
        <v>2.3430174973836999E-2</v>
      </c>
      <c r="L1515" s="551">
        <v>1.2342976439724701E-3</v>
      </c>
      <c r="M1515" s="552">
        <v>2.4489583516292299E-2</v>
      </c>
    </row>
    <row r="1516" spans="2:13" ht="15.75" x14ac:dyDescent="0.25">
      <c r="B1516" s="555">
        <v>2049</v>
      </c>
      <c r="C1516" s="556">
        <v>2016</v>
      </c>
      <c r="D1516" s="557" t="s">
        <v>4414</v>
      </c>
      <c r="E1516" s="547">
        <v>6.018701567533747E-2</v>
      </c>
      <c r="F1516" s="548">
        <v>0.12583753267530495</v>
      </c>
      <c r="G1516" s="549">
        <v>0.108496496115703</v>
      </c>
      <c r="H1516" s="550">
        <v>8.0726023488696206E-3</v>
      </c>
      <c r="I1516" s="551">
        <v>0.24687836453479101</v>
      </c>
      <c r="J1516" s="551">
        <v>9.8101684657527194E-2</v>
      </c>
      <c r="K1516" s="551">
        <v>2.33733812426982E-2</v>
      </c>
      <c r="L1516" s="551">
        <v>1.3892723170886301E-3</v>
      </c>
      <c r="M1516" s="552">
        <v>2.4430221824649899E-2</v>
      </c>
    </row>
    <row r="1517" spans="2:13" ht="15.75" x14ac:dyDescent="0.25">
      <c r="B1517" s="555">
        <v>2049</v>
      </c>
      <c r="C1517" s="556">
        <v>2017</v>
      </c>
      <c r="D1517" s="557" t="s">
        <v>4415</v>
      </c>
      <c r="E1517" s="547">
        <v>5.6678367360959131E-2</v>
      </c>
      <c r="F1517" s="548">
        <v>0.12190980119021184</v>
      </c>
      <c r="G1517" s="549">
        <v>9.0804642650414602E-2</v>
      </c>
      <c r="H1517" s="550">
        <v>7.2665300102068096E-3</v>
      </c>
      <c r="I1517" s="551">
        <v>0.19265595881355899</v>
      </c>
      <c r="J1517" s="551">
        <v>8.4758550300401095E-2</v>
      </c>
      <c r="K1517" s="551">
        <v>2.2203433566885301E-2</v>
      </c>
      <c r="L1517" s="551">
        <v>1.4478526758433499E-3</v>
      </c>
      <c r="M1517" s="552">
        <v>2.32073743065026E-2</v>
      </c>
    </row>
    <row r="1518" spans="2:13" ht="15.75" x14ac:dyDescent="0.25">
      <c r="B1518" s="555">
        <v>2049</v>
      </c>
      <c r="C1518" s="556">
        <v>2018</v>
      </c>
      <c r="D1518" s="557" t="s">
        <v>4416</v>
      </c>
      <c r="E1518" s="547">
        <v>5.2919057816424135E-2</v>
      </c>
      <c r="F1518" s="548">
        <v>0.11667708255938566</v>
      </c>
      <c r="G1518" s="549">
        <v>9.0859671937630199E-2</v>
      </c>
      <c r="H1518" s="550">
        <v>6.5429081351458902E-3</v>
      </c>
      <c r="I1518" s="551">
        <v>0.15744021664520899</v>
      </c>
      <c r="J1518" s="551">
        <v>7.1021791055126696E-2</v>
      </c>
      <c r="K1518" s="551">
        <v>2.2206845744786301E-2</v>
      </c>
      <c r="L1518" s="551">
        <v>1.5085388048890101E-3</v>
      </c>
      <c r="M1518" s="552">
        <v>2.32109407679469E-2</v>
      </c>
    </row>
    <row r="1519" spans="2:13" ht="15.75" x14ac:dyDescent="0.25">
      <c r="B1519" s="555">
        <v>2049</v>
      </c>
      <c r="C1519" s="556">
        <v>2019</v>
      </c>
      <c r="D1519" s="557" t="s">
        <v>4417</v>
      </c>
      <c r="E1519" s="547">
        <v>5.2897258065745391E-2</v>
      </c>
      <c r="F1519" s="548">
        <v>0.11661905772783461</v>
      </c>
      <c r="G1519" s="549">
        <v>9.0916319026092804E-2</v>
      </c>
      <c r="H1519" s="550">
        <v>5.9184363831504896E-3</v>
      </c>
      <c r="I1519" s="551">
        <v>0.135701639662094</v>
      </c>
      <c r="J1519" s="551">
        <v>6.1739973459129398E-2</v>
      </c>
      <c r="K1519" s="551">
        <v>2.22103464995786E-2</v>
      </c>
      <c r="L1519" s="551">
        <v>1.54919473607246E-3</v>
      </c>
      <c r="M1519" s="552">
        <v>2.3214599811336702E-2</v>
      </c>
    </row>
    <row r="1520" spans="2:13" ht="15.75" x14ac:dyDescent="0.25">
      <c r="B1520" s="555">
        <v>2049</v>
      </c>
      <c r="C1520" s="556">
        <v>2020</v>
      </c>
      <c r="D1520" s="557" t="s">
        <v>4418</v>
      </c>
      <c r="E1520" s="547">
        <v>5.2875882227622593E-2</v>
      </c>
      <c r="F1520" s="548">
        <v>0.11656210244101736</v>
      </c>
      <c r="G1520" s="549">
        <v>9.0974086373804997E-2</v>
      </c>
      <c r="H1520" s="550">
        <v>5.2784704316448704E-3</v>
      </c>
      <c r="I1520" s="551">
        <v>0.113608923915064</v>
      </c>
      <c r="J1520" s="551">
        <v>5.29047929127439E-2</v>
      </c>
      <c r="K1520" s="551">
        <v>2.2213913123410201E-2</v>
      </c>
      <c r="L1520" s="551">
        <v>1.54970977560103E-3</v>
      </c>
      <c r="M1520" s="552">
        <v>2.32183277020712E-2</v>
      </c>
    </row>
    <row r="1521" spans="2:13" ht="15.75" x14ac:dyDescent="0.25">
      <c r="B1521" s="555">
        <v>2049</v>
      </c>
      <c r="C1521" s="556">
        <v>2021</v>
      </c>
      <c r="D1521" s="557" t="s">
        <v>4419</v>
      </c>
      <c r="E1521" s="547">
        <v>5.1533628677510601E-2</v>
      </c>
      <c r="F1521" s="548">
        <v>0.11360180306902851</v>
      </c>
      <c r="G1521" s="549">
        <v>9.1034144351408303E-2</v>
      </c>
      <c r="H1521" s="550">
        <v>4.6480822390440601E-3</v>
      </c>
      <c r="I1521" s="551">
        <v>9.1855777657978505E-2</v>
      </c>
      <c r="J1521" s="551">
        <v>4.3738942392124898E-2</v>
      </c>
      <c r="K1521" s="551">
        <v>2.2217628884430799E-2</v>
      </c>
      <c r="L1521" s="551">
        <v>1.5502461184263899E-3</v>
      </c>
      <c r="M1521" s="552">
        <v>2.3222211473316701E-2</v>
      </c>
    </row>
    <row r="1522" spans="2:13" ht="15.75" x14ac:dyDescent="0.25">
      <c r="B1522" s="555">
        <v>2049</v>
      </c>
      <c r="C1522" s="556">
        <v>2022</v>
      </c>
      <c r="D1522" s="557" t="s">
        <v>4420</v>
      </c>
      <c r="E1522" s="547">
        <v>5.0245515893119458E-2</v>
      </c>
      <c r="F1522" s="548">
        <v>0.11076073142715812</v>
      </c>
      <c r="G1522" s="549">
        <v>9.1094049865831195E-2</v>
      </c>
      <c r="H1522" s="550">
        <v>4.0154949349901501E-3</v>
      </c>
      <c r="I1522" s="551">
        <v>6.9616958438164206E-2</v>
      </c>
      <c r="J1522" s="551">
        <v>3.4712103754023102E-2</v>
      </c>
      <c r="K1522" s="551">
        <v>2.22213295329854E-2</v>
      </c>
      <c r="L1522" s="551">
        <v>1.5507814688140199E-3</v>
      </c>
      <c r="M1522" s="552">
        <v>2.3226079448777699E-2</v>
      </c>
    </row>
    <row r="1523" spans="2:13" ht="15.75" x14ac:dyDescent="0.25">
      <c r="B1523" s="555">
        <v>2049</v>
      </c>
      <c r="C1523" s="556">
        <v>2023</v>
      </c>
      <c r="D1523" s="557" t="s">
        <v>4421</v>
      </c>
      <c r="E1523" s="547">
        <v>4.8958743068641765E-2</v>
      </c>
      <c r="F1523" s="548">
        <v>0.10792587304715028</v>
      </c>
      <c r="G1523" s="549">
        <v>9.1155336180757801E-2</v>
      </c>
      <c r="H1523" s="550">
        <v>4.0087439719078497E-3</v>
      </c>
      <c r="I1523" s="551">
        <v>6.9640081949108396E-2</v>
      </c>
      <c r="J1523" s="551">
        <v>3.4024833363671403E-2</v>
      </c>
      <c r="K1523" s="551">
        <v>2.22251233512013E-2</v>
      </c>
      <c r="L1523" s="551">
        <v>1.55132942864837E-3</v>
      </c>
      <c r="M1523" s="552">
        <v>2.3230044806618399E-2</v>
      </c>
    </row>
    <row r="1524" spans="2:13" ht="15.75" x14ac:dyDescent="0.25">
      <c r="B1524" s="555">
        <v>2049</v>
      </c>
      <c r="C1524" s="556">
        <v>2024</v>
      </c>
      <c r="D1524" s="557" t="s">
        <v>4422</v>
      </c>
      <c r="E1524" s="547">
        <v>4.7725949574288426E-2</v>
      </c>
      <c r="F1524" s="548">
        <v>0.10520978694384964</v>
      </c>
      <c r="G1524" s="549">
        <v>9.1216440800810997E-2</v>
      </c>
      <c r="H1524" s="550">
        <v>4.0091781364831403E-3</v>
      </c>
      <c r="I1524" s="551">
        <v>6.9663148005246006E-2</v>
      </c>
      <c r="J1524" s="551">
        <v>3.4827918309436802E-2</v>
      </c>
      <c r="K1524" s="551">
        <v>2.2228910095168398E-2</v>
      </c>
      <c r="L1524" s="551">
        <v>1.55187634589436E-3</v>
      </c>
      <c r="M1524" s="552">
        <v>2.3234002770344299E-2</v>
      </c>
    </row>
    <row r="1525" spans="2:13" ht="15.75" x14ac:dyDescent="0.25">
      <c r="B1525" s="555">
        <v>2049</v>
      </c>
      <c r="C1525" s="556">
        <v>2025</v>
      </c>
      <c r="D1525" s="557" t="s">
        <v>4423</v>
      </c>
      <c r="E1525" s="547">
        <v>4.6494377696591899E-2</v>
      </c>
      <c r="F1525" s="548">
        <v>0.10249645757443197</v>
      </c>
      <c r="G1525" s="549">
        <v>9.1278980663197007E-2</v>
      </c>
      <c r="H1525" s="550">
        <v>4.0030018325731796E-3</v>
      </c>
      <c r="I1525" s="551">
        <v>6.9686786917217802E-2</v>
      </c>
      <c r="J1525" s="551">
        <v>3.3886969953867502E-2</v>
      </c>
      <c r="K1525" s="551">
        <v>2.2232797266526001E-2</v>
      </c>
      <c r="L1525" s="551">
        <v>1.5524367904252701E-3</v>
      </c>
      <c r="M1525" s="552">
        <v>2.32380657023416E-2</v>
      </c>
    </row>
    <row r="1526" spans="2:13" ht="15.75" x14ac:dyDescent="0.25">
      <c r="B1526" s="555">
        <v>2049</v>
      </c>
      <c r="C1526" s="556">
        <v>2026</v>
      </c>
      <c r="D1526" s="557" t="s">
        <v>4424</v>
      </c>
      <c r="E1526" s="547">
        <v>4.5316630548875823E-2</v>
      </c>
      <c r="F1526" s="548">
        <v>9.9901686916760532E-2</v>
      </c>
      <c r="G1526" s="549">
        <v>9.1267968439605093E-2</v>
      </c>
      <c r="H1526" s="550">
        <v>4.0104995002192903E-3</v>
      </c>
      <c r="I1526" s="551">
        <v>6.9620382576696602E-2</v>
      </c>
      <c r="J1526" s="551">
        <v>3.4635039945016197E-2</v>
      </c>
      <c r="K1526" s="551">
        <v>2.2188709355611201E-2</v>
      </c>
      <c r="L1526" s="551">
        <v>1.55299636214117E-3</v>
      </c>
      <c r="M1526" s="552">
        <v>2.3191984331732401E-2</v>
      </c>
    </row>
    <row r="1527" spans="2:13" ht="15.75" x14ac:dyDescent="0.25">
      <c r="B1527" s="555">
        <v>2049</v>
      </c>
      <c r="C1527" s="556">
        <v>2027</v>
      </c>
      <c r="D1527" s="557" t="s">
        <v>4425</v>
      </c>
      <c r="E1527" s="547">
        <v>4.4192819542186665E-2</v>
      </c>
      <c r="F1527" s="548">
        <v>9.742580949346058E-2</v>
      </c>
      <c r="G1527" s="549">
        <v>9.1169920157947504E-2</v>
      </c>
      <c r="H1527" s="550">
        <v>4.00989450775017E-3</v>
      </c>
      <c r="I1527" s="551">
        <v>6.9428491414440199E-2</v>
      </c>
      <c r="J1527" s="551">
        <v>3.4151958874984997E-2</v>
      </c>
      <c r="K1527" s="551">
        <v>2.2086293129694599E-2</v>
      </c>
      <c r="L1527" s="551">
        <v>1.5535818867188399E-3</v>
      </c>
      <c r="M1527" s="552">
        <v>2.3084937298545102E-2</v>
      </c>
    </row>
    <row r="1528" spans="2:13" ht="15.75" x14ac:dyDescent="0.25">
      <c r="B1528" s="555">
        <v>2049</v>
      </c>
      <c r="C1528" s="556">
        <v>2028</v>
      </c>
      <c r="D1528" s="557" t="s">
        <v>4426</v>
      </c>
      <c r="E1528" s="547">
        <v>4.4176934325074677E-2</v>
      </c>
      <c r="F1528" s="548">
        <v>9.7385721083516869E-2</v>
      </c>
      <c r="G1528" s="549">
        <v>9.0981084198763204E-2</v>
      </c>
      <c r="H1528" s="550">
        <v>4.0245650465831201E-3</v>
      </c>
      <c r="I1528" s="551">
        <v>6.9117104598586096E-2</v>
      </c>
      <c r="J1528" s="551">
        <v>3.44131040991374E-2</v>
      </c>
      <c r="K1528" s="551">
        <v>2.1925270676375098E-2</v>
      </c>
      <c r="L1528" s="551">
        <v>1.5541598750767E-3</v>
      </c>
      <c r="M1528" s="552">
        <v>2.29166341244131E-2</v>
      </c>
    </row>
    <row r="1529" spans="2:13" ht="15.75" x14ac:dyDescent="0.25">
      <c r="B1529" s="555">
        <v>2049</v>
      </c>
      <c r="C1529" s="556">
        <v>2029</v>
      </c>
      <c r="D1529" s="557" t="s">
        <v>4427</v>
      </c>
      <c r="E1529" s="547">
        <v>4.416118219823343E-2</v>
      </c>
      <c r="F1529" s="548">
        <v>9.7346135914402901E-2</v>
      </c>
      <c r="G1529" s="549">
        <v>9.0702441093344605E-2</v>
      </c>
      <c r="H1529" s="550">
        <v>4.0363385200875802E-3</v>
      </c>
      <c r="I1529" s="551">
        <v>6.8686527725024399E-2</v>
      </c>
      <c r="J1529" s="551">
        <v>3.4665732576686099E-2</v>
      </c>
      <c r="K1529" s="551">
        <v>2.1705678035918601E-2</v>
      </c>
      <c r="L1529" s="551">
        <v>1.5547407537917801E-3</v>
      </c>
      <c r="M1529" s="552">
        <v>2.2687112479183001E-2</v>
      </c>
    </row>
    <row r="1530" spans="2:13" ht="15.75" x14ac:dyDescent="0.25">
      <c r="B1530" s="555">
        <v>2049</v>
      </c>
      <c r="C1530" s="556">
        <v>2030</v>
      </c>
      <c r="D1530" s="557" t="s">
        <v>4428</v>
      </c>
      <c r="E1530" s="547">
        <v>4.4145630310109006E-2</v>
      </c>
      <c r="F1530" s="548">
        <v>9.7306990834053142E-2</v>
      </c>
      <c r="G1530" s="549">
        <v>9.0335041547978404E-2</v>
      </c>
      <c r="H1530" s="550">
        <v>4.0440342933508004E-3</v>
      </c>
      <c r="I1530" s="551">
        <v>6.8137148781805504E-2</v>
      </c>
      <c r="J1530" s="551">
        <v>3.3727173719460601E-2</v>
      </c>
      <c r="K1530" s="551">
        <v>2.1427576825025701E-2</v>
      </c>
      <c r="L1530" s="551">
        <v>1.5553370499075501E-3</v>
      </c>
      <c r="M1530" s="552">
        <v>2.23964367655894E-2</v>
      </c>
    </row>
    <row r="1531" spans="2:13" ht="15.75" x14ac:dyDescent="0.25">
      <c r="B1531" s="555">
        <v>2049</v>
      </c>
      <c r="C1531" s="556">
        <v>2031</v>
      </c>
      <c r="D1531" s="557" t="s">
        <v>4429</v>
      </c>
      <c r="E1531" s="547">
        <v>4.4130075379543707E-2</v>
      </c>
      <c r="F1531" s="548">
        <v>9.7267737528253226E-2</v>
      </c>
      <c r="G1531" s="549">
        <v>8.9876180757104199E-2</v>
      </c>
      <c r="H1531" s="550">
        <v>4.0475278655424003E-3</v>
      </c>
      <c r="I1531" s="551">
        <v>6.7467821524060403E-2</v>
      </c>
      <c r="J1531" s="551">
        <v>3.44652767441865E-2</v>
      </c>
      <c r="K1531" s="551">
        <v>2.1090753330088599E-2</v>
      </c>
      <c r="L1531" s="551">
        <v>1.5559238106632001E-3</v>
      </c>
      <c r="M1531" s="552">
        <v>2.2044383606843399E-2</v>
      </c>
    </row>
    <row r="1532" spans="2:13" ht="15.75" x14ac:dyDescent="0.25">
      <c r="B1532" s="555">
        <v>2049</v>
      </c>
      <c r="C1532" s="556">
        <v>2032</v>
      </c>
      <c r="D1532" s="557" t="s">
        <v>4430</v>
      </c>
      <c r="E1532" s="547">
        <v>4.4114633857140949E-2</v>
      </c>
      <c r="F1532" s="548">
        <v>9.7228677429536087E-2</v>
      </c>
      <c r="G1532" s="549">
        <v>8.93276975327114E-2</v>
      </c>
      <c r="H1532" s="550">
        <v>4.0623913614258296E-3</v>
      </c>
      <c r="I1532" s="551">
        <v>6.6679252038685299E-2</v>
      </c>
      <c r="J1532" s="551">
        <v>3.4229249060654797E-2</v>
      </c>
      <c r="K1532" s="551">
        <v>2.0695324463411598E-2</v>
      </c>
      <c r="L1532" s="551">
        <v>1.55652143540987E-3</v>
      </c>
      <c r="M1532" s="552">
        <v>2.1631075201504899E-2</v>
      </c>
    </row>
    <row r="1533" spans="2:13" ht="15.75" x14ac:dyDescent="0.25">
      <c r="B1533" s="555">
        <v>2049</v>
      </c>
      <c r="C1533" s="556">
        <v>2033</v>
      </c>
      <c r="D1533" s="557" t="s">
        <v>4431</v>
      </c>
      <c r="E1533" s="547">
        <v>4.4099176440229496E-2</v>
      </c>
      <c r="F1533" s="548">
        <v>9.7189389556657374E-2</v>
      </c>
      <c r="G1533" s="549">
        <v>8.8687940243305299E-2</v>
      </c>
      <c r="H1533" s="550">
        <v>4.0656271889915E-3</v>
      </c>
      <c r="I1533" s="551">
        <v>6.5770712136383996E-2</v>
      </c>
      <c r="J1533" s="551">
        <v>3.36808032393731E-2</v>
      </c>
      <c r="K1533" s="551">
        <v>2.0241149197758702E-2</v>
      </c>
      <c r="L1533" s="551">
        <v>1.5571158327497101E-3</v>
      </c>
      <c r="M1533" s="552">
        <v>2.1156364145711998E-2</v>
      </c>
    </row>
    <row r="1534" spans="2:13" ht="15.75" x14ac:dyDescent="0.25">
      <c r="B1534" s="555">
        <v>2049</v>
      </c>
      <c r="C1534" s="556">
        <v>2034</v>
      </c>
      <c r="D1534" s="557" t="s">
        <v>4432</v>
      </c>
      <c r="E1534" s="547">
        <v>4.4083751994934139E-2</v>
      </c>
      <c r="F1534" s="548">
        <v>9.7150119852582373E-2</v>
      </c>
      <c r="G1534" s="549">
        <v>8.7957887494951897E-2</v>
      </c>
      <c r="H1534" s="550">
        <v>4.0606376415017699E-3</v>
      </c>
      <c r="I1534" s="551">
        <v>6.4742532343453701E-2</v>
      </c>
      <c r="J1534" s="551">
        <v>3.3461306964366E-2</v>
      </c>
      <c r="K1534" s="551">
        <v>1.9728273018702201E-2</v>
      </c>
      <c r="L1534" s="551">
        <v>1.5577179174231901E-3</v>
      </c>
      <c r="M1534" s="552">
        <v>2.0620297981693E-2</v>
      </c>
    </row>
    <row r="1535" spans="2:13" ht="15.75" x14ac:dyDescent="0.25">
      <c r="B1535" s="555">
        <v>2049</v>
      </c>
      <c r="C1535" s="556">
        <v>2035</v>
      </c>
      <c r="D1535" s="557" t="s">
        <v>4433</v>
      </c>
      <c r="E1535" s="547">
        <v>4.4068383614416326E-2</v>
      </c>
      <c r="F1535" s="548">
        <v>9.711079687121911E-2</v>
      </c>
      <c r="G1535" s="549">
        <v>8.71380780262207E-2</v>
      </c>
      <c r="H1535" s="550">
        <v>4.0528009402237197E-3</v>
      </c>
      <c r="I1535" s="551">
        <v>6.3594869408713395E-2</v>
      </c>
      <c r="J1535" s="551">
        <v>3.2834114118833801E-2</v>
      </c>
      <c r="K1535" s="551">
        <v>1.9156710936212702E-2</v>
      </c>
      <c r="L1535" s="551">
        <v>1.5583356648386499E-3</v>
      </c>
      <c r="M1535" s="552">
        <v>2.0022892398102499E-2</v>
      </c>
    </row>
    <row r="1536" spans="2:13" ht="15.75" x14ac:dyDescent="0.25">
      <c r="B1536" s="555">
        <v>2049</v>
      </c>
      <c r="C1536" s="556">
        <v>2036</v>
      </c>
      <c r="D1536" s="557" t="s">
        <v>4434</v>
      </c>
      <c r="E1536" s="547">
        <v>4.4052781813229823E-2</v>
      </c>
      <c r="F1536" s="548">
        <v>9.7070733944976464E-2</v>
      </c>
      <c r="G1536" s="549">
        <v>8.6225026129685398E-2</v>
      </c>
      <c r="H1536" s="550">
        <v>4.0430789719009402E-3</v>
      </c>
      <c r="I1536" s="551">
        <v>6.2326304625786297E-2</v>
      </c>
      <c r="J1536" s="551">
        <v>3.3093918065132899E-2</v>
      </c>
      <c r="K1536" s="551">
        <v>1.8526210226145801E-2</v>
      </c>
      <c r="L1536" s="551">
        <v>1.5589366240234899E-3</v>
      </c>
      <c r="M1536" s="552">
        <v>1.9363883243731801E-2</v>
      </c>
    </row>
    <row r="1537" spans="2:13" ht="15.75" x14ac:dyDescent="0.25">
      <c r="B1537" s="555">
        <v>2049</v>
      </c>
      <c r="C1537" s="556">
        <v>2037</v>
      </c>
      <c r="D1537" s="557" t="s">
        <v>4435</v>
      </c>
      <c r="E1537" s="547">
        <v>4.4037102734653132E-2</v>
      </c>
      <c r="F1537" s="548">
        <v>9.7030259837816032E-2</v>
      </c>
      <c r="G1537" s="549">
        <v>8.5221263575114795E-2</v>
      </c>
      <c r="H1537" s="550">
        <v>4.0262751116964699E-3</v>
      </c>
      <c r="I1537" s="551">
        <v>6.0937795047688301E-2</v>
      </c>
      <c r="J1537" s="551">
        <v>3.2708197189748801E-2</v>
      </c>
      <c r="K1537" s="551">
        <v>1.7836925195403801E-2</v>
      </c>
      <c r="L1537" s="551">
        <v>1.5595477930022499E-3</v>
      </c>
      <c r="M1537" s="552">
        <v>1.86434318025566E-2</v>
      </c>
    </row>
    <row r="1538" spans="2:13" ht="15.75" x14ac:dyDescent="0.25">
      <c r="B1538" s="555">
        <v>2049</v>
      </c>
      <c r="C1538" s="556">
        <v>2038</v>
      </c>
      <c r="D1538" s="557" t="s">
        <v>4436</v>
      </c>
      <c r="E1538" s="547">
        <v>4.4021241817944284E-2</v>
      </c>
      <c r="F1538" s="548">
        <v>9.6989212317343129E-2</v>
      </c>
      <c r="G1538" s="549">
        <v>8.4125992036409497E-2</v>
      </c>
      <c r="H1538" s="550">
        <v>4.0050118460404401E-3</v>
      </c>
      <c r="I1538" s="551">
        <v>5.9428932828254198E-2</v>
      </c>
      <c r="J1538" s="551">
        <v>3.2315566488426498E-2</v>
      </c>
      <c r="K1538" s="551">
        <v>1.70887677076852E-2</v>
      </c>
      <c r="L1538" s="551">
        <v>1.56016329643924E-3</v>
      </c>
      <c r="M1538" s="552">
        <v>1.7861445953143099E-2</v>
      </c>
    </row>
    <row r="1539" spans="2:13" ht="15.75" x14ac:dyDescent="0.25">
      <c r="B1539" s="555">
        <v>2049</v>
      </c>
      <c r="C1539" s="556">
        <v>2039</v>
      </c>
      <c r="D1539" s="557" t="s">
        <v>4437</v>
      </c>
      <c r="E1539" s="547">
        <v>4.4005091774465009E-2</v>
      </c>
      <c r="F1539" s="548">
        <v>9.6947320007493315E-2</v>
      </c>
      <c r="G1539" s="549">
        <v>8.2938529490049706E-2</v>
      </c>
      <c r="H1539" s="550">
        <v>3.98225795325057E-3</v>
      </c>
      <c r="I1539" s="551">
        <v>5.7799414195866101E-2</v>
      </c>
      <c r="J1539" s="551">
        <v>3.1250676102459303E-2</v>
      </c>
      <c r="K1539" s="551">
        <v>1.62816779626433E-2</v>
      </c>
      <c r="L1539" s="551">
        <v>1.56077813075348E-3</v>
      </c>
      <c r="M1539" s="552">
        <v>1.7017863191238099E-2</v>
      </c>
    </row>
    <row r="1540" spans="2:13" ht="15.75" x14ac:dyDescent="0.25">
      <c r="B1540" s="555">
        <v>2049</v>
      </c>
      <c r="C1540" s="556">
        <v>2040</v>
      </c>
      <c r="D1540" s="557" t="s">
        <v>4438</v>
      </c>
      <c r="E1540" s="547">
        <v>4.3988663998844206E-2</v>
      </c>
      <c r="F1540" s="548">
        <v>9.690485683430046E-2</v>
      </c>
      <c r="G1540" s="549">
        <v>8.1659912042155197E-2</v>
      </c>
      <c r="H1540" s="550">
        <v>3.9603150140386598E-3</v>
      </c>
      <c r="I1540" s="551">
        <v>5.60495655286515E-2</v>
      </c>
      <c r="J1540" s="551">
        <v>3.0553457535163201E-2</v>
      </c>
      <c r="K1540" s="551">
        <v>1.5415693002151299E-2</v>
      </c>
      <c r="L1540" s="551">
        <v>1.5614063294096499E-3</v>
      </c>
      <c r="M1540" s="552">
        <v>1.6112722233584099E-2</v>
      </c>
    </row>
    <row r="1541" spans="2:13" ht="15.75" x14ac:dyDescent="0.25">
      <c r="B1541" s="555">
        <v>2049</v>
      </c>
      <c r="C1541" s="556">
        <v>2041</v>
      </c>
      <c r="D1541" s="557" t="s">
        <v>4439</v>
      </c>
      <c r="E1541" s="547">
        <v>4.3971760244709286E-2</v>
      </c>
      <c r="F1541" s="548">
        <v>9.6861446962440978E-2</v>
      </c>
      <c r="G1541" s="549">
        <v>8.0288819389676094E-2</v>
      </c>
      <c r="H1541" s="550">
        <v>3.9476995227103297E-3</v>
      </c>
      <c r="I1541" s="551">
        <v>5.4178804149605103E-2</v>
      </c>
      <c r="J1541" s="551">
        <v>0.24808654076300099</v>
      </c>
      <c r="K1541" s="551">
        <v>1.44907022682252E-2</v>
      </c>
      <c r="L1541" s="551">
        <v>1.5620350107554599E-3</v>
      </c>
      <c r="M1541" s="552">
        <v>1.5145907523255399E-2</v>
      </c>
    </row>
    <row r="1542" spans="2:13" ht="15.75" x14ac:dyDescent="0.25">
      <c r="B1542" s="555">
        <v>2049</v>
      </c>
      <c r="C1542" s="556">
        <v>2042</v>
      </c>
      <c r="D1542" s="557" t="s">
        <v>4440</v>
      </c>
      <c r="E1542" s="547">
        <v>4.3954120608306925E-2</v>
      </c>
      <c r="F1542" s="548">
        <v>9.6816656680955696E-2</v>
      </c>
      <c r="G1542" s="549">
        <v>7.8823607934067702E-2</v>
      </c>
      <c r="H1542" s="550">
        <v>3.9644654027686599E-3</v>
      </c>
      <c r="I1542" s="551">
        <v>5.2186533033550697E-2</v>
      </c>
      <c r="J1542" s="551">
        <v>0.65749783268540796</v>
      </c>
      <c r="K1542" s="551">
        <v>1.3506611164435901E-2</v>
      </c>
      <c r="L1542" s="551">
        <v>1.5626495678735201E-3</v>
      </c>
      <c r="M1542" s="552">
        <v>1.41173201865923E-2</v>
      </c>
    </row>
    <row r="1543" spans="2:13" ht="15.75" x14ac:dyDescent="0.25">
      <c r="B1543" s="555">
        <v>2049</v>
      </c>
      <c r="C1543" s="556">
        <v>2043</v>
      </c>
      <c r="D1543" s="557" t="s">
        <v>4441</v>
      </c>
      <c r="E1543" s="547">
        <v>4.3935741803054366E-2</v>
      </c>
      <c r="F1543" s="548">
        <v>9.6770568509680965E-2</v>
      </c>
      <c r="G1543" s="549">
        <v>7.72663908785131E-2</v>
      </c>
      <c r="H1543" s="550">
        <v>4.0142101572565999E-3</v>
      </c>
      <c r="I1543" s="551">
        <v>5.0073401374932797E-2</v>
      </c>
      <c r="J1543" s="551">
        <v>1.3709595308012199</v>
      </c>
      <c r="K1543" s="551">
        <v>1.24634941231171E-2</v>
      </c>
      <c r="L1543" s="551">
        <v>1.5632742678300001E-3</v>
      </c>
      <c r="M1543" s="552">
        <v>1.30270380214284E-2</v>
      </c>
    </row>
    <row r="1544" spans="2:13" ht="15.75" x14ac:dyDescent="0.25">
      <c r="B1544" s="555">
        <v>2049</v>
      </c>
      <c r="C1544" s="556">
        <v>2044</v>
      </c>
      <c r="D1544" s="557" t="s">
        <v>4442</v>
      </c>
      <c r="E1544" s="547">
        <v>4.3916314994347845E-2</v>
      </c>
      <c r="F1544" s="548">
        <v>9.6721899324005489E-2</v>
      </c>
      <c r="G1544" s="549">
        <v>7.5616453684029694E-2</v>
      </c>
      <c r="H1544" s="550">
        <v>4.0519542823486401E-3</v>
      </c>
      <c r="I1544" s="551">
        <v>4.7839082362421799E-2</v>
      </c>
      <c r="J1544" s="551">
        <v>0</v>
      </c>
      <c r="K1544" s="551">
        <v>1.1361285885722499E-2</v>
      </c>
      <c r="L1544" s="551">
        <v>1.5639034098923301E-3</v>
      </c>
      <c r="M1544" s="552">
        <v>1.18749928185154E-2</v>
      </c>
    </row>
    <row r="1545" spans="2:13" ht="15.75" x14ac:dyDescent="0.25">
      <c r="B1545" s="555">
        <v>2049</v>
      </c>
      <c r="C1545" s="556">
        <v>2045</v>
      </c>
      <c r="D1545" s="557" t="s">
        <v>4443</v>
      </c>
      <c r="E1545" s="547">
        <v>4.3895441028765594E-2</v>
      </c>
      <c r="F1545" s="548">
        <v>9.6668206110797877E-2</v>
      </c>
      <c r="G1545" s="549">
        <v>7.3873503301287294E-2</v>
      </c>
      <c r="H1545" s="550">
        <v>4.0602933931657998E-3</v>
      </c>
      <c r="I1545" s="551">
        <v>4.5483429014721903E-2</v>
      </c>
      <c r="J1545" s="551">
        <v>2.90644880501825E-2</v>
      </c>
      <c r="K1545" s="551">
        <v>1.0199951189559801E-2</v>
      </c>
      <c r="L1545" s="551">
        <v>1.56453731786267E-3</v>
      </c>
      <c r="M1545" s="552">
        <v>1.06611477207386E-2</v>
      </c>
    </row>
    <row r="1546" spans="2:13" ht="15.75" x14ac:dyDescent="0.25">
      <c r="B1546" s="555">
        <v>2049</v>
      </c>
      <c r="C1546" s="556">
        <v>2046</v>
      </c>
      <c r="D1546" s="557" t="s">
        <v>4444</v>
      </c>
      <c r="E1546" s="547">
        <v>4.3872460422444852E-2</v>
      </c>
      <c r="F1546" s="548">
        <v>9.6608963035134346E-2</v>
      </c>
      <c r="G1546" s="549">
        <v>7.2036958289794395E-2</v>
      </c>
      <c r="H1546" s="550">
        <v>4.0617523257513704E-3</v>
      </c>
      <c r="I1546" s="551">
        <v>4.3006127640088702E-2</v>
      </c>
      <c r="J1546" s="551">
        <v>2.8487373061061201E-2</v>
      </c>
      <c r="K1546" s="551">
        <v>8.9794245972140904E-3</v>
      </c>
      <c r="L1546" s="551">
        <v>1.5651704629376501E-3</v>
      </c>
      <c r="M1546" s="552">
        <v>9.3854343318935905E-3</v>
      </c>
    </row>
    <row r="1547" spans="2:13" ht="15.75" x14ac:dyDescent="0.25">
      <c r="B1547" s="555">
        <v>2049</v>
      </c>
      <c r="C1547" s="556">
        <v>2047</v>
      </c>
      <c r="D1547" s="557" t="s">
        <v>4445</v>
      </c>
      <c r="E1547" s="547">
        <v>4.3846358883133388E-2</v>
      </c>
      <c r="F1547" s="548">
        <v>9.6569427117856696E-2</v>
      </c>
      <c r="G1547" s="549">
        <v>7.0107449537804303E-2</v>
      </c>
      <c r="H1547" s="550">
        <v>5.4818392195285599E-3</v>
      </c>
      <c r="I1547" s="551">
        <v>4.0407355470457602E-2</v>
      </c>
      <c r="J1547" s="551">
        <v>3.6208055043326498E-2</v>
      </c>
      <c r="K1547" s="551">
        <v>7.6997122506189501E-3</v>
      </c>
      <c r="L1547" s="551">
        <v>1.56581532236658E-3</v>
      </c>
      <c r="M1547" s="552">
        <v>8.0478590716248598E-3</v>
      </c>
    </row>
    <row r="1548" spans="2:13" ht="15.75" x14ac:dyDescent="0.25">
      <c r="B1548" s="555">
        <v>2049</v>
      </c>
      <c r="C1548" s="556">
        <v>2048</v>
      </c>
      <c r="D1548" s="557" t="s">
        <v>4446</v>
      </c>
      <c r="E1548" s="547">
        <v>4.3814797195639035E-2</v>
      </c>
      <c r="F1548" s="548">
        <v>9.648529013580566E-2</v>
      </c>
      <c r="G1548" s="549">
        <v>6.80839751819758E-2</v>
      </c>
      <c r="H1548" s="550">
        <v>5.4840858110147602E-3</v>
      </c>
      <c r="I1548" s="551">
        <v>3.7686681853085199E-2</v>
      </c>
      <c r="J1548" s="551">
        <v>3.54003942449789E-2</v>
      </c>
      <c r="K1548" s="551">
        <v>6.3607378680810697E-3</v>
      </c>
      <c r="L1548" s="551">
        <v>1.56646052111529E-3</v>
      </c>
      <c r="M1548" s="552">
        <v>6.6483422091194403E-3</v>
      </c>
    </row>
    <row r="1549" spans="2:13" ht="15.75" x14ac:dyDescent="0.25">
      <c r="B1549" s="555">
        <v>2049</v>
      </c>
      <c r="C1549" s="556">
        <v>2049</v>
      </c>
      <c r="D1549" s="557" t="s">
        <v>4447</v>
      </c>
      <c r="E1549" s="547">
        <v>4.3771406337420056E-2</v>
      </c>
      <c r="F1549" s="548">
        <v>9.6369978585007982E-2</v>
      </c>
      <c r="G1549" s="549">
        <v>6.5966447585974905E-2</v>
      </c>
      <c r="H1549" s="550">
        <v>5.4863422704218203E-3</v>
      </c>
      <c r="I1549" s="551">
        <v>3.4844001576325001E-2</v>
      </c>
      <c r="J1549" s="551">
        <v>3.4998820058155702E-2</v>
      </c>
      <c r="K1549" s="551">
        <v>4.9624677413179904E-3</v>
      </c>
      <c r="L1549" s="551">
        <v>1.56710889303035E-3</v>
      </c>
      <c r="M1549" s="552">
        <v>5.1868485119559203E-3</v>
      </c>
    </row>
    <row r="1550" spans="2:13" ht="15.75" x14ac:dyDescent="0.25">
      <c r="B1550" s="555">
        <v>2050</v>
      </c>
      <c r="C1550" s="556">
        <v>2006</v>
      </c>
      <c r="D1550" s="557" t="s">
        <v>4448</v>
      </c>
      <c r="E1550" s="547">
        <v>6.4120643565636029E-2</v>
      </c>
      <c r="F1550" s="548">
        <v>0.13170832570635099</v>
      </c>
      <c r="G1550" s="549">
        <v>0.231709798259053</v>
      </c>
      <c r="H1550" s="550">
        <v>1.51375312730582E-2</v>
      </c>
      <c r="I1550" s="551">
        <v>5.9606196311267503</v>
      </c>
      <c r="J1550" s="551">
        <v>0.27385865660728498</v>
      </c>
      <c r="K1550" s="551">
        <v>5.2036691921514298E-2</v>
      </c>
      <c r="L1550" s="551">
        <v>1.4632002037311701E-4</v>
      </c>
      <c r="M1550" s="552">
        <v>5.43895602208046E-2</v>
      </c>
    </row>
    <row r="1551" spans="2:13" ht="15.75" x14ac:dyDescent="0.25">
      <c r="B1551" s="555">
        <v>2050</v>
      </c>
      <c r="C1551" s="556">
        <v>2007</v>
      </c>
      <c r="D1551" s="557" t="s">
        <v>4449</v>
      </c>
      <c r="E1551" s="547">
        <v>6.4260822684570007E-2</v>
      </c>
      <c r="F1551" s="548">
        <v>0.13203593635114563</v>
      </c>
      <c r="G1551" s="549">
        <v>0.17017631238481001</v>
      </c>
      <c r="H1551" s="550">
        <v>1.53048456577575E-2</v>
      </c>
      <c r="I1551" s="551">
        <v>3.11477963155426</v>
      </c>
      <c r="J1551" s="551">
        <v>0.27397640587470801</v>
      </c>
      <c r="K1551" s="551">
        <v>3.7809093299868902E-2</v>
      </c>
      <c r="L1551" s="551">
        <v>1.4767542676527901E-4</v>
      </c>
      <c r="M1551" s="552">
        <v>3.9518652723522299E-2</v>
      </c>
    </row>
    <row r="1552" spans="2:13" ht="15.75" x14ac:dyDescent="0.25">
      <c r="B1552" s="555">
        <v>2050</v>
      </c>
      <c r="C1552" s="556">
        <v>2008</v>
      </c>
      <c r="D1552" s="557" t="s">
        <v>4450</v>
      </c>
      <c r="E1552" s="547">
        <v>6.4487119264036219E-2</v>
      </c>
      <c r="F1552" s="548">
        <v>0.13249982600757731</v>
      </c>
      <c r="G1552" s="549">
        <v>0.17230395803322501</v>
      </c>
      <c r="H1552" s="550">
        <v>1.20903188303704E-2</v>
      </c>
      <c r="I1552" s="551">
        <v>3.10081466518439</v>
      </c>
      <c r="J1552" s="551">
        <v>0.19316144241067501</v>
      </c>
      <c r="K1552" s="551">
        <v>3.8093100952557198E-2</v>
      </c>
      <c r="L1552" s="551">
        <v>1.7046966991750301E-4</v>
      </c>
      <c r="M1552" s="552">
        <v>3.9815501941999898E-2</v>
      </c>
    </row>
    <row r="1553" spans="2:13" ht="15.75" x14ac:dyDescent="0.25">
      <c r="B1553" s="555">
        <v>2050</v>
      </c>
      <c r="C1553" s="556">
        <v>2009</v>
      </c>
      <c r="D1553" s="557" t="s">
        <v>4451</v>
      </c>
      <c r="E1553" s="547">
        <v>6.4467929841350469E-2</v>
      </c>
      <c r="F1553" s="548">
        <v>0.13123612945502022</v>
      </c>
      <c r="G1553" s="549">
        <v>0.17243782449503001</v>
      </c>
      <c r="H1553" s="550">
        <v>8.4811964585710699E-3</v>
      </c>
      <c r="I1553" s="551">
        <v>3.0988067748498098</v>
      </c>
      <c r="J1553" s="551">
        <v>0.10897632780859901</v>
      </c>
      <c r="K1553" s="551">
        <v>3.8111007030033797E-2</v>
      </c>
      <c r="L1553" s="551">
        <v>1.86962905914883E-4</v>
      </c>
      <c r="M1553" s="552">
        <v>3.9834217652842903E-2</v>
      </c>
    </row>
    <row r="1554" spans="2:13" ht="15.75" x14ac:dyDescent="0.25">
      <c r="B1554" s="555">
        <v>2050</v>
      </c>
      <c r="C1554" s="556">
        <v>2010</v>
      </c>
      <c r="D1554" s="557" t="s">
        <v>4452</v>
      </c>
      <c r="E1554" s="547">
        <v>6.4469267022965945E-2</v>
      </c>
      <c r="F1554" s="548">
        <v>0.13011183173611104</v>
      </c>
      <c r="G1554" s="549">
        <v>0.110563006379492</v>
      </c>
      <c r="H1554" s="550">
        <v>8.2895622544564302E-3</v>
      </c>
      <c r="I1554" s="551">
        <v>0.28473208686176299</v>
      </c>
      <c r="J1554" s="551">
        <v>0.10883993516047</v>
      </c>
      <c r="K1554" s="551">
        <v>2.3520058633273399E-2</v>
      </c>
      <c r="L1554" s="551">
        <v>2.22785631397354E-4</v>
      </c>
      <c r="M1554" s="552">
        <v>2.4583531315955601E-2</v>
      </c>
    </row>
    <row r="1555" spans="2:13" ht="15.75" x14ac:dyDescent="0.25">
      <c r="B1555" s="555">
        <v>2050</v>
      </c>
      <c r="C1555" s="556">
        <v>2011</v>
      </c>
      <c r="D1555" s="557" t="s">
        <v>4453</v>
      </c>
      <c r="E1555" s="547">
        <v>6.4406075891100811E-2</v>
      </c>
      <c r="F1555" s="548">
        <v>0.13175642301837076</v>
      </c>
      <c r="G1555" s="549">
        <v>0.110268947742268</v>
      </c>
      <c r="H1555" s="550">
        <v>8.6206994968227105E-3</v>
      </c>
      <c r="I1555" s="551">
        <v>0.28426368008404701</v>
      </c>
      <c r="J1555" s="551">
        <v>0.110703405743133</v>
      </c>
      <c r="K1555" s="551">
        <v>2.3496647875023001E-2</v>
      </c>
      <c r="L1555" s="551">
        <v>3.1448591925375399E-4</v>
      </c>
      <c r="M1555" s="552">
        <v>2.45590620271008E-2</v>
      </c>
    </row>
    <row r="1556" spans="2:13" ht="15.75" x14ac:dyDescent="0.25">
      <c r="B1556" s="555">
        <v>2050</v>
      </c>
      <c r="C1556" s="556">
        <v>2012</v>
      </c>
      <c r="D1556" s="557" t="s">
        <v>4454</v>
      </c>
      <c r="E1556" s="547">
        <v>6.4507985342843313E-2</v>
      </c>
      <c r="F1556" s="548">
        <v>0.13215533507701516</v>
      </c>
      <c r="G1556" s="549">
        <v>0.111662379458179</v>
      </c>
      <c r="H1556" s="550">
        <v>8.7069816179345099E-3</v>
      </c>
      <c r="I1556" s="551">
        <v>0.28633258243592402</v>
      </c>
      <c r="J1556" s="551">
        <v>0.111476364056758</v>
      </c>
      <c r="K1556" s="551">
        <v>2.3593329009359499E-2</v>
      </c>
      <c r="L1556" s="551">
        <v>4.64513824232024E-4</v>
      </c>
      <c r="M1556" s="552">
        <v>2.4660114653315801E-2</v>
      </c>
    </row>
    <row r="1557" spans="2:13" ht="15.75" x14ac:dyDescent="0.25">
      <c r="B1557" s="555">
        <v>2050</v>
      </c>
      <c r="C1557" s="556">
        <v>2013</v>
      </c>
      <c r="D1557" s="557" t="s">
        <v>4455</v>
      </c>
      <c r="E1557" s="547">
        <v>6.4360069911732889E-2</v>
      </c>
      <c r="F1557" s="548">
        <v>0.13213905753957811</v>
      </c>
      <c r="G1557" s="549">
        <v>0.110502026802397</v>
      </c>
      <c r="H1557" s="550">
        <v>8.7369015316162701E-3</v>
      </c>
      <c r="I1557" s="551">
        <v>0.28468005057227802</v>
      </c>
      <c r="J1557" s="551">
        <v>0.111077787133791</v>
      </c>
      <c r="K1557" s="551">
        <v>2.3525958269245001E-2</v>
      </c>
      <c r="L1557" s="551">
        <v>6.9595783222281397E-4</v>
      </c>
      <c r="M1557" s="552">
        <v>2.4589697707286601E-2</v>
      </c>
    </row>
    <row r="1558" spans="2:13" ht="15.75" x14ac:dyDescent="0.25">
      <c r="B1558" s="555">
        <v>2050</v>
      </c>
      <c r="C1558" s="556">
        <v>2014</v>
      </c>
      <c r="D1558" s="557" t="s">
        <v>4456</v>
      </c>
      <c r="E1558" s="547">
        <v>6.2794211277411652E-2</v>
      </c>
      <c r="F1558" s="548">
        <v>0.12994271313170813</v>
      </c>
      <c r="G1558" s="549">
        <v>0.109903544908503</v>
      </c>
      <c r="H1558" s="550">
        <v>8.7073128988912792E-3</v>
      </c>
      <c r="I1558" s="551">
        <v>0.28372274703837902</v>
      </c>
      <c r="J1558" s="551">
        <v>0.111160427141251</v>
      </c>
      <c r="K1558" s="551">
        <v>2.3478655021503699E-2</v>
      </c>
      <c r="L1558" s="551">
        <v>9.6530509120031798E-4</v>
      </c>
      <c r="M1558" s="552">
        <v>2.45402556165874E-2</v>
      </c>
    </row>
    <row r="1559" spans="2:13" ht="15.75" x14ac:dyDescent="0.25">
      <c r="B1559" s="555">
        <v>2050</v>
      </c>
      <c r="C1559" s="556">
        <v>2015</v>
      </c>
      <c r="D1559" s="557" t="s">
        <v>4457</v>
      </c>
      <c r="E1559" s="547">
        <v>6.2251555040080245E-2</v>
      </c>
      <c r="F1559" s="548">
        <v>0.12988290078542192</v>
      </c>
      <c r="G1559" s="549">
        <v>0.10925533604290499</v>
      </c>
      <c r="H1559" s="550">
        <v>8.8375132633146999E-3</v>
      </c>
      <c r="I1559" s="551">
        <v>0.282761293335835</v>
      </c>
      <c r="J1559" s="551">
        <v>0.11174641259684</v>
      </c>
      <c r="K1559" s="551">
        <v>2.3429864584888199E-2</v>
      </c>
      <c r="L1559" s="551">
        <v>1.2343109764708701E-3</v>
      </c>
      <c r="M1559" s="552">
        <v>2.4489259092932598E-2</v>
      </c>
    </row>
    <row r="1560" spans="2:13" ht="15.75" x14ac:dyDescent="0.25">
      <c r="B1560" s="555">
        <v>2050</v>
      </c>
      <c r="C1560" s="556">
        <v>2016</v>
      </c>
      <c r="D1560" s="557" t="s">
        <v>4458</v>
      </c>
      <c r="E1560" s="547">
        <v>6.0221877656086498E-2</v>
      </c>
      <c r="F1560" s="548">
        <v>0.12592711003547469</v>
      </c>
      <c r="G1560" s="549">
        <v>0.108494927356172</v>
      </c>
      <c r="H1560" s="550">
        <v>8.0727079224732993E-3</v>
      </c>
      <c r="I1560" s="551">
        <v>0.246875408765828</v>
      </c>
      <c r="J1560" s="551">
        <v>9.8101886723391804E-2</v>
      </c>
      <c r="K1560" s="551">
        <v>2.3373142071564199E-2</v>
      </c>
      <c r="L1560" s="551">
        <v>1.3892881597503E-3</v>
      </c>
      <c r="M1560" s="552">
        <v>2.4429971839258401E-2</v>
      </c>
    </row>
    <row r="1561" spans="2:13" ht="15.75" x14ac:dyDescent="0.25">
      <c r="B1561" s="555">
        <v>2050</v>
      </c>
      <c r="C1561" s="556">
        <v>2017</v>
      </c>
      <c r="D1561" s="557" t="s">
        <v>4459</v>
      </c>
      <c r="E1561" s="547">
        <v>5.671292975512237E-2</v>
      </c>
      <c r="F1561" s="548">
        <v>0.12199723140274986</v>
      </c>
      <c r="G1561" s="549">
        <v>9.0806052795564696E-2</v>
      </c>
      <c r="H1561" s="550">
        <v>7.2666028541097704E-3</v>
      </c>
      <c r="I1561" s="551">
        <v>0.19265679553734899</v>
      </c>
      <c r="J1561" s="551">
        <v>8.4758736077333793E-2</v>
      </c>
      <c r="K1561" s="551">
        <v>2.22034174188976E-2</v>
      </c>
      <c r="L1561" s="551">
        <v>1.44786532390682E-3</v>
      </c>
      <c r="M1561" s="552">
        <v>2.3207357428374601E-2</v>
      </c>
    </row>
    <row r="1562" spans="2:13" ht="15.75" x14ac:dyDescent="0.25">
      <c r="B1562" s="555">
        <v>2050</v>
      </c>
      <c r="C1562" s="556">
        <v>2018</v>
      </c>
      <c r="D1562" s="557" t="s">
        <v>4460</v>
      </c>
      <c r="E1562" s="547">
        <v>5.2950865373662219E-2</v>
      </c>
      <c r="F1562" s="548">
        <v>0.11675981637195354</v>
      </c>
      <c r="G1562" s="549">
        <v>9.0861072475493396E-2</v>
      </c>
      <c r="H1562" s="550">
        <v>6.5429733641714201E-3</v>
      </c>
      <c r="I1562" s="551">
        <v>0.157440875253016</v>
      </c>
      <c r="J1562" s="551">
        <v>7.1021945806092807E-2</v>
      </c>
      <c r="K1562" s="551">
        <v>2.2206828950989101E-2</v>
      </c>
      <c r="L1562" s="551">
        <v>1.5085518999434699E-3</v>
      </c>
      <c r="M1562" s="552">
        <v>2.32109232148087E-2</v>
      </c>
    </row>
    <row r="1563" spans="2:13" ht="15.75" x14ac:dyDescent="0.25">
      <c r="B1563" s="555">
        <v>2050</v>
      </c>
      <c r="C1563" s="556">
        <v>2019</v>
      </c>
      <c r="D1563" s="557" t="s">
        <v>4461</v>
      </c>
      <c r="E1563" s="547">
        <v>5.2928610784929907E-2</v>
      </c>
      <c r="F1563" s="548">
        <v>0.11670053252629017</v>
      </c>
      <c r="G1563" s="549">
        <v>9.09177120555133E-2</v>
      </c>
      <c r="H1563" s="550">
        <v>5.9184951402275199E-3</v>
      </c>
      <c r="I1563" s="551">
        <v>0.135702193869672</v>
      </c>
      <c r="J1563" s="551">
        <v>6.17401074924393E-2</v>
      </c>
      <c r="K1563" s="551">
        <v>2.2210329212675201E-2</v>
      </c>
      <c r="L1563" s="551">
        <v>1.54920811980756E-3</v>
      </c>
      <c r="M1563" s="552">
        <v>2.3214581742796201E-2</v>
      </c>
    </row>
    <row r="1564" spans="2:13" ht="15.75" x14ac:dyDescent="0.25">
      <c r="B1564" s="555">
        <v>2050</v>
      </c>
      <c r="C1564" s="556">
        <v>2020</v>
      </c>
      <c r="D1564" s="557" t="s">
        <v>4462</v>
      </c>
      <c r="E1564" s="547">
        <v>5.2906802784329951E-2</v>
      </c>
      <c r="F1564" s="548">
        <v>0.11664237687992626</v>
      </c>
      <c r="G1564" s="549">
        <v>9.0975473258161202E-2</v>
      </c>
      <c r="H1564" s="550">
        <v>5.2785226600002002E-3</v>
      </c>
      <c r="I1564" s="551">
        <v>0.113609374711499</v>
      </c>
      <c r="J1564" s="551">
        <v>5.2904907472938099E-2</v>
      </c>
      <c r="K1564" s="551">
        <v>2.2213895435138301E-2</v>
      </c>
      <c r="L1564" s="551">
        <v>1.54972311221505E-3</v>
      </c>
      <c r="M1564" s="552">
        <v>2.3218309214014202E-2</v>
      </c>
    </row>
    <row r="1565" spans="2:13" ht="15.75" x14ac:dyDescent="0.25">
      <c r="B1565" s="555">
        <v>2050</v>
      </c>
      <c r="C1565" s="556">
        <v>2021</v>
      </c>
      <c r="D1565" s="557" t="s">
        <v>4463</v>
      </c>
      <c r="E1565" s="547">
        <v>5.1563371688207627E-2</v>
      </c>
      <c r="F1565" s="548">
        <v>0.11367913276521883</v>
      </c>
      <c r="G1565" s="549">
        <v>9.1035525876296694E-2</v>
      </c>
      <c r="H1565" s="550">
        <v>4.6481280971522503E-3</v>
      </c>
      <c r="I1565" s="551">
        <v>9.1856128634244305E-2</v>
      </c>
      <c r="J1565" s="551">
        <v>4.37390369511595E-2</v>
      </c>
      <c r="K1565" s="551">
        <v>2.2217610839342001E-2</v>
      </c>
      <c r="L1565" s="551">
        <v>1.5502594153495E-3</v>
      </c>
      <c r="M1565" s="552">
        <v>2.3222192612309199E-2</v>
      </c>
    </row>
    <row r="1566" spans="2:13" ht="15.75" x14ac:dyDescent="0.25">
      <c r="B1566" s="555">
        <v>2050</v>
      </c>
      <c r="C1566" s="556">
        <v>2022</v>
      </c>
      <c r="D1566" s="557" t="s">
        <v>4464</v>
      </c>
      <c r="E1566" s="547">
        <v>5.027415473748921E-2</v>
      </c>
      <c r="F1566" s="548">
        <v>0.11083529566838742</v>
      </c>
      <c r="G1566" s="549">
        <v>9.1095426336596397E-2</v>
      </c>
      <c r="H1566" s="550">
        <v>4.0155344442717204E-3</v>
      </c>
      <c r="I1566" s="551">
        <v>6.9617208632493099E-2</v>
      </c>
      <c r="J1566" s="551">
        <v>3.4712178703924797E-2</v>
      </c>
      <c r="K1566" s="551">
        <v>2.2221311145540601E-2</v>
      </c>
      <c r="L1566" s="551">
        <v>1.5507947287735099E-3</v>
      </c>
      <c r="M1566" s="552">
        <v>2.3226060229934099E-2</v>
      </c>
    </row>
    <row r="1567" spans="2:13" ht="15.75" x14ac:dyDescent="0.25">
      <c r="B1567" s="555">
        <v>2050</v>
      </c>
      <c r="C1567" s="556">
        <v>2023</v>
      </c>
      <c r="D1567" s="557" t="s">
        <v>4465</v>
      </c>
      <c r="E1567" s="547">
        <v>4.8986317667919645E-2</v>
      </c>
      <c r="F1567" s="548">
        <v>0.1079978461479615</v>
      </c>
      <c r="G1567" s="549">
        <v>9.1156708091449004E-2</v>
      </c>
      <c r="H1567" s="550">
        <v>4.0087833192070099E-3</v>
      </c>
      <c r="I1567" s="551">
        <v>6.9640330349173593E-2</v>
      </c>
      <c r="J1567" s="551">
        <v>3.4024906774199198E-2</v>
      </c>
      <c r="K1567" s="551">
        <v>2.2225104647713299E-2</v>
      </c>
      <c r="L1567" s="551">
        <v>1.55134265614418E-3</v>
      </c>
      <c r="M1567" s="552">
        <v>2.3230025257441701E-2</v>
      </c>
    </row>
    <row r="1568" spans="2:13" ht="15.75" x14ac:dyDescent="0.25">
      <c r="B1568" s="555">
        <v>2050</v>
      </c>
      <c r="C1568" s="556">
        <v>2024</v>
      </c>
      <c r="D1568" s="557" t="s">
        <v>4466</v>
      </c>
      <c r="E1568" s="547">
        <v>4.7752523482701072E-2</v>
      </c>
      <c r="F1568" s="548">
        <v>0.10527932222942403</v>
      </c>
      <c r="G1568" s="549">
        <v>9.1217807931018802E-2</v>
      </c>
      <c r="H1568" s="550">
        <v>4.0092173854981402E-3</v>
      </c>
      <c r="I1568" s="551">
        <v>6.9663394499211898E-2</v>
      </c>
      <c r="J1568" s="551">
        <v>3.4827993387505501E-2</v>
      </c>
      <c r="K1568" s="551">
        <v>2.2228891051351202E-2</v>
      </c>
      <c r="L1568" s="551">
        <v>1.5518895383405801E-3</v>
      </c>
      <c r="M1568" s="552">
        <v>2.3233982865450201E-2</v>
      </c>
    </row>
    <row r="1569" spans="2:13" ht="15.75" x14ac:dyDescent="0.25">
      <c r="B1569" s="555">
        <v>2050</v>
      </c>
      <c r="C1569" s="556">
        <v>2025</v>
      </c>
      <c r="D1569" s="557" t="s">
        <v>4467</v>
      </c>
      <c r="E1569" s="547">
        <v>4.6519990186385196E-2</v>
      </c>
      <c r="F1569" s="548">
        <v>0.10256365216340507</v>
      </c>
      <c r="G1569" s="549">
        <v>9.1280342671057002E-2</v>
      </c>
      <c r="H1569" s="550">
        <v>4.0030409096761602E-3</v>
      </c>
      <c r="I1569" s="551">
        <v>6.9687031347163197E-2</v>
      </c>
      <c r="J1569" s="551">
        <v>3.3887042921645703E-2</v>
      </c>
      <c r="K1569" s="551">
        <v>2.2232777850360701E-2</v>
      </c>
      <c r="L1569" s="551">
        <v>1.55244994433064E-3</v>
      </c>
      <c r="M1569" s="552">
        <v>2.3238045408263401E-2</v>
      </c>
    </row>
    <row r="1570" spans="2:13" ht="15.75" x14ac:dyDescent="0.25">
      <c r="B1570" s="555">
        <v>2050</v>
      </c>
      <c r="C1570" s="556">
        <v>2026</v>
      </c>
      <c r="D1570" s="557" t="s">
        <v>4468</v>
      </c>
      <c r="E1570" s="547">
        <v>4.5341342411646494E-2</v>
      </c>
      <c r="F1570" s="548">
        <v>9.9966401631267049E-2</v>
      </c>
      <c r="G1570" s="549">
        <v>9.1342759263137493E-2</v>
      </c>
      <c r="H1570" s="550">
        <v>4.00161338098938E-3</v>
      </c>
      <c r="I1570" s="551">
        <v>6.97181604862461E-2</v>
      </c>
      <c r="J1570" s="551">
        <v>3.4605887956345699E-2</v>
      </c>
      <c r="K1570" s="551">
        <v>2.2236659225074701E-2</v>
      </c>
      <c r="L1570" s="551">
        <v>1.55300948251257E-3</v>
      </c>
      <c r="M1570" s="552">
        <v>2.3242102281518701E-2</v>
      </c>
    </row>
    <row r="1571" spans="2:13" ht="15.75" x14ac:dyDescent="0.25">
      <c r="B1571" s="555">
        <v>2050</v>
      </c>
      <c r="C1571" s="556">
        <v>2027</v>
      </c>
      <c r="D1571" s="557" t="s">
        <v>4469</v>
      </c>
      <c r="E1571" s="547">
        <v>4.4216692697785734E-2</v>
      </c>
      <c r="F1571" s="548">
        <v>9.7488137893764704E-2</v>
      </c>
      <c r="G1571" s="549">
        <v>9.1334367547784498E-2</v>
      </c>
      <c r="H1571" s="550">
        <v>3.9900852313409004E-3</v>
      </c>
      <c r="I1571" s="551">
        <v>6.9645281418865307E-2</v>
      </c>
      <c r="J1571" s="551">
        <v>3.4083481159950899E-2</v>
      </c>
      <c r="K1571" s="551">
        <v>2.21927580596641E-2</v>
      </c>
      <c r="L1571" s="551">
        <v>1.5535949608834301E-3</v>
      </c>
      <c r="M1571" s="552">
        <v>2.3196216100216799E-2</v>
      </c>
    </row>
    <row r="1572" spans="2:13" ht="15.75" x14ac:dyDescent="0.25">
      <c r="B1572" s="555">
        <v>2050</v>
      </c>
      <c r="C1572" s="556">
        <v>2028</v>
      </c>
      <c r="D1572" s="557" t="s">
        <v>4470</v>
      </c>
      <c r="E1572" s="547">
        <v>4.4200593597188344E-2</v>
      </c>
      <c r="F1572" s="548">
        <v>9.7447169287810984E-2</v>
      </c>
      <c r="G1572" s="549">
        <v>9.1235311836059999E-2</v>
      </c>
      <c r="H1572" s="550">
        <v>3.9950255411552197E-3</v>
      </c>
      <c r="I1572" s="551">
        <v>6.9452988897986095E-2</v>
      </c>
      <c r="J1572" s="551">
        <v>3.4307711817703299E-2</v>
      </c>
      <c r="K1572" s="551">
        <v>2.20902717793845E-2</v>
      </c>
      <c r="L1572" s="551">
        <v>1.55417290079094E-3</v>
      </c>
      <c r="M1572" s="552">
        <v>2.3089095845119E-2</v>
      </c>
    </row>
    <row r="1573" spans="2:13" ht="15.75" x14ac:dyDescent="0.25">
      <c r="B1573" s="555">
        <v>2050</v>
      </c>
      <c r="C1573" s="556">
        <v>2029</v>
      </c>
      <c r="D1573" s="557" t="s">
        <v>4471</v>
      </c>
      <c r="E1573" s="547">
        <v>4.4184650983532719E-2</v>
      </c>
      <c r="F1573" s="548">
        <v>9.7406851806507877E-2</v>
      </c>
      <c r="G1573" s="549">
        <v>9.1046574059090807E-2</v>
      </c>
      <c r="H1573" s="550">
        <v>3.9986615194046102E-3</v>
      </c>
      <c r="I1573" s="551">
        <v>6.9141589546308904E-2</v>
      </c>
      <c r="J1573" s="551">
        <v>3.4533373675016403E-2</v>
      </c>
      <c r="K1573" s="551">
        <v>2.1929236690693001E-2</v>
      </c>
      <c r="L1573" s="551">
        <v>1.5547537255234201E-3</v>
      </c>
      <c r="M1573" s="552">
        <v>2.29207794642995E-2</v>
      </c>
    </row>
    <row r="1574" spans="2:13" ht="15.75" x14ac:dyDescent="0.25">
      <c r="B1574" s="555">
        <v>2050</v>
      </c>
      <c r="C1574" s="556">
        <v>2030</v>
      </c>
      <c r="D1574" s="557" t="s">
        <v>4472</v>
      </c>
      <c r="E1574" s="547">
        <v>4.4168929885428192E-2</v>
      </c>
      <c r="F1574" s="548">
        <v>9.7367129636192762E-2</v>
      </c>
      <c r="G1574" s="549">
        <v>9.0769213098191998E-2</v>
      </c>
      <c r="H1574" s="550">
        <v>4.0007336368382204E-3</v>
      </c>
      <c r="I1574" s="551">
        <v>6.8711476853578798E-2</v>
      </c>
      <c r="J1574" s="551">
        <v>3.3568596428947599E-2</v>
      </c>
      <c r="K1574" s="551">
        <v>2.1709715904018202E-2</v>
      </c>
      <c r="L1574" s="551">
        <v>1.5553499750895301E-3</v>
      </c>
      <c r="M1574" s="552">
        <v>2.2691332921760399E-2</v>
      </c>
    </row>
    <row r="1575" spans="2:13" ht="15.75" x14ac:dyDescent="0.25">
      <c r="B1575" s="555">
        <v>2050</v>
      </c>
      <c r="C1575" s="556">
        <v>2031</v>
      </c>
      <c r="D1575" s="557" t="s">
        <v>4473</v>
      </c>
      <c r="E1575" s="547">
        <v>4.4153230773876201E-2</v>
      </c>
      <c r="F1575" s="548">
        <v>9.7327496340978661E-2</v>
      </c>
      <c r="G1575" s="549">
        <v>9.0400513440123301E-2</v>
      </c>
      <c r="H1575" s="550">
        <v>4.0012870876561897E-3</v>
      </c>
      <c r="I1575" s="551">
        <v>6.8161497204991803E-2</v>
      </c>
      <c r="J1575" s="551">
        <v>3.4333163751854703E-2</v>
      </c>
      <c r="K1575" s="551">
        <v>2.1431493700304699E-2</v>
      </c>
      <c r="L1575" s="551">
        <v>1.55593668927564E-3</v>
      </c>
      <c r="M1575" s="552">
        <v>2.2400530744587598E-2</v>
      </c>
    </row>
    <row r="1576" spans="2:13" ht="15.75" x14ac:dyDescent="0.25">
      <c r="B1576" s="555">
        <v>2050</v>
      </c>
      <c r="C1576" s="556">
        <v>2032</v>
      </c>
      <c r="D1576" s="557" t="s">
        <v>4474</v>
      </c>
      <c r="E1576" s="547">
        <v>4.4137674016101323E-2</v>
      </c>
      <c r="F1576" s="548">
        <v>9.7288293907347889E-2</v>
      </c>
      <c r="G1576" s="549">
        <v>8.9942324282254099E-2</v>
      </c>
      <c r="H1576" s="550">
        <v>4.0186899835140504E-3</v>
      </c>
      <c r="I1576" s="551">
        <v>6.7492364460116402E-2</v>
      </c>
      <c r="J1576" s="551">
        <v>3.4143335529026E-2</v>
      </c>
      <c r="K1576" s="551">
        <v>2.1094689219507801E-2</v>
      </c>
      <c r="L1576" s="551">
        <v>1.55653426217307E-3</v>
      </c>
      <c r="M1576" s="552">
        <v>2.20484974597169E-2</v>
      </c>
    </row>
    <row r="1577" spans="2:13" ht="15.75" x14ac:dyDescent="0.25">
      <c r="B1577" s="555">
        <v>2050</v>
      </c>
      <c r="C1577" s="556">
        <v>2033</v>
      </c>
      <c r="D1577" s="557" t="s">
        <v>4475</v>
      </c>
      <c r="E1577" s="547">
        <v>4.412212889194235E-2</v>
      </c>
      <c r="F1577" s="548">
        <v>9.7249079006580141E-2</v>
      </c>
      <c r="G1577" s="549">
        <v>8.9392987089963599E-2</v>
      </c>
      <c r="H1577" s="550">
        <v>4.0282788528867002E-3</v>
      </c>
      <c r="I1577" s="551">
        <v>6.6703345079101403E-2</v>
      </c>
      <c r="J1577" s="551">
        <v>3.3659735022325499E-2</v>
      </c>
      <c r="K1577" s="551">
        <v>2.0699159876668101E-2</v>
      </c>
      <c r="L1577" s="551">
        <v>1.5571286152371001E-3</v>
      </c>
      <c r="M1577" s="552">
        <v>2.1635084035129402E-2</v>
      </c>
    </row>
    <row r="1578" spans="2:13" ht="15.75" x14ac:dyDescent="0.25">
      <c r="B1578" s="555">
        <v>2050</v>
      </c>
      <c r="C1578" s="556">
        <v>2034</v>
      </c>
      <c r="D1578" s="557" t="s">
        <v>4476</v>
      </c>
      <c r="E1578" s="547">
        <v>4.4106651292180304E-2</v>
      </c>
      <c r="F1578" s="548">
        <v>9.7210125884566151E-2</v>
      </c>
      <c r="G1578" s="549">
        <v>8.8753487670086798E-2</v>
      </c>
      <c r="H1578" s="550">
        <v>4.0336690229322699E-3</v>
      </c>
      <c r="I1578" s="551">
        <v>6.5794775269059705E-2</v>
      </c>
      <c r="J1578" s="551">
        <v>3.3551999599031997E-2</v>
      </c>
      <c r="K1578" s="551">
        <v>2.02449527894847E-2</v>
      </c>
      <c r="L1578" s="551">
        <v>1.5577306419507801E-3</v>
      </c>
      <c r="M1578" s="552">
        <v>2.1160339718977701E-2</v>
      </c>
    </row>
    <row r="1579" spans="2:13" ht="15.75" x14ac:dyDescent="0.25">
      <c r="B1579" s="555">
        <v>2050</v>
      </c>
      <c r="C1579" s="556">
        <v>2035</v>
      </c>
      <c r="D1579" s="557" t="s">
        <v>4477</v>
      </c>
      <c r="E1579" s="547">
        <v>4.4091265475603769E-2</v>
      </c>
      <c r="F1579" s="548">
        <v>9.7171314673416789E-2</v>
      </c>
      <c r="G1579" s="549">
        <v>8.8024376385293396E-2</v>
      </c>
      <c r="H1579" s="550">
        <v>4.04132674772567E-3</v>
      </c>
      <c r="I1579" s="551">
        <v>6.4766819697776104E-2</v>
      </c>
      <c r="J1579" s="551">
        <v>3.3036676164569102E-2</v>
      </c>
      <c r="K1579" s="551">
        <v>1.9732085129493999E-2</v>
      </c>
      <c r="L1579" s="551">
        <v>1.5583483331990599E-3</v>
      </c>
      <c r="M1579" s="552">
        <v>2.0624282459218699E-2</v>
      </c>
    </row>
    <row r="1580" spans="2:13" ht="15.75" x14ac:dyDescent="0.25">
      <c r="B1580" s="555">
        <v>2050</v>
      </c>
      <c r="C1580" s="556">
        <v>2036</v>
      </c>
      <c r="D1580" s="557" t="s">
        <v>4478</v>
      </c>
      <c r="E1580" s="547">
        <v>4.4075689979654435E-2</v>
      </c>
      <c r="F1580" s="548">
        <v>9.7132004325335877E-2</v>
      </c>
      <c r="G1580" s="549">
        <v>8.7202136478810005E-2</v>
      </c>
      <c r="H1580" s="550">
        <v>4.0538965467079597E-3</v>
      </c>
      <c r="I1580" s="551">
        <v>6.3618037435843294E-2</v>
      </c>
      <c r="J1580" s="551">
        <v>3.3482219622789598E-2</v>
      </c>
      <c r="K1580" s="551">
        <v>1.91602980089093E-2</v>
      </c>
      <c r="L1580" s="551">
        <v>1.5589492466571301E-3</v>
      </c>
      <c r="M1580" s="552">
        <v>2.00266416623089E-2</v>
      </c>
    </row>
    <row r="1581" spans="2:13" ht="15.75" x14ac:dyDescent="0.25">
      <c r="B1581" s="555">
        <v>2050</v>
      </c>
      <c r="C1581" s="556">
        <v>2037</v>
      </c>
      <c r="D1581" s="557" t="s">
        <v>4479</v>
      </c>
      <c r="E1581" s="547">
        <v>4.4060085879256548E-2</v>
      </c>
      <c r="F1581" s="548">
        <v>9.7092513409076403E-2</v>
      </c>
      <c r="G1581" s="549">
        <v>8.6289326077573794E-2</v>
      </c>
      <c r="H1581" s="550">
        <v>4.0642348702122598E-3</v>
      </c>
      <c r="I1581" s="551">
        <v>6.2349405310495501E-2</v>
      </c>
      <c r="J1581" s="551">
        <v>3.3274323201889798E-2</v>
      </c>
      <c r="K1581" s="551">
        <v>1.8529751429454702E-2</v>
      </c>
      <c r="L1581" s="551">
        <v>1.5595603633315801E-3</v>
      </c>
      <c r="M1581" s="552">
        <v>1.9367584564540401E-2</v>
      </c>
    </row>
    <row r="1582" spans="2:13" ht="15.75" x14ac:dyDescent="0.25">
      <c r="B1582" s="555">
        <v>2050</v>
      </c>
      <c r="C1582" s="556">
        <v>2038</v>
      </c>
      <c r="D1582" s="557" t="s">
        <v>4480</v>
      </c>
      <c r="E1582" s="547">
        <v>4.4044358391897472E-2</v>
      </c>
      <c r="F1582" s="548">
        <v>9.7052691899797955E-2</v>
      </c>
      <c r="G1582" s="549">
        <v>8.5285142784568002E-2</v>
      </c>
      <c r="H1582" s="550">
        <v>4.0728845082195902E-3</v>
      </c>
      <c r="I1582" s="551">
        <v>6.0960511635063101E-2</v>
      </c>
      <c r="J1582" s="551">
        <v>3.3092849842092299E-2</v>
      </c>
      <c r="K1582" s="551">
        <v>1.78403559573455E-2</v>
      </c>
      <c r="L1582" s="551">
        <v>1.5601758132773201E-3</v>
      </c>
      <c r="M1582" s="552">
        <v>1.86470176883296E-2</v>
      </c>
    </row>
    <row r="1583" spans="2:13" ht="15.75" x14ac:dyDescent="0.25">
      <c r="B1583" s="555">
        <v>2050</v>
      </c>
      <c r="C1583" s="556">
        <v>2039</v>
      </c>
      <c r="D1583" s="557" t="s">
        <v>4481</v>
      </c>
      <c r="E1583" s="547">
        <v>4.4028411782628077E-2</v>
      </c>
      <c r="F1583" s="548">
        <v>9.7012141927417028E-2</v>
      </c>
      <c r="G1583" s="549">
        <v>8.4188898911212798E-2</v>
      </c>
      <c r="H1583" s="550">
        <v>4.0803218046448304E-3</v>
      </c>
      <c r="I1583" s="551">
        <v>5.94510489107875E-2</v>
      </c>
      <c r="J1583" s="551">
        <v>3.2200872240117202E-2</v>
      </c>
      <c r="K1583" s="551">
        <v>1.7092050873644599E-2</v>
      </c>
      <c r="L1583" s="551">
        <v>1.56079059269889E-3</v>
      </c>
      <c r="M1583" s="552">
        <v>1.7864877569298401E-2</v>
      </c>
    </row>
    <row r="1584" spans="2:13" ht="15.75" x14ac:dyDescent="0.25">
      <c r="B1584" s="555">
        <v>2050</v>
      </c>
      <c r="C1584" s="556">
        <v>2040</v>
      </c>
      <c r="D1584" s="557" t="s">
        <v>4482</v>
      </c>
      <c r="E1584" s="547">
        <v>4.4012274730034821E-2</v>
      </c>
      <c r="F1584" s="548">
        <v>9.6971022559861481E-2</v>
      </c>
      <c r="G1584" s="549">
        <v>8.3001650782836903E-2</v>
      </c>
      <c r="H1584" s="550">
        <v>4.0814012173560699E-3</v>
      </c>
      <c r="I1584" s="551">
        <v>5.7821357900327802E-2</v>
      </c>
      <c r="J1584" s="551">
        <v>3.1644775395345603E-2</v>
      </c>
      <c r="K1584" s="551">
        <v>1.6284877203952199E-2</v>
      </c>
      <c r="L1584" s="551">
        <v>1.5614187372363099E-3</v>
      </c>
      <c r="M1584" s="552">
        <v>1.7021207088042601E-2</v>
      </c>
    </row>
    <row r="1585" spans="2:13" ht="15.75" x14ac:dyDescent="0.25">
      <c r="B1585" s="555">
        <v>2050</v>
      </c>
      <c r="C1585" s="556">
        <v>2041</v>
      </c>
      <c r="D1585" s="557" t="s">
        <v>4483</v>
      </c>
      <c r="E1585" s="547">
        <v>4.3995769508562946E-2</v>
      </c>
      <c r="F1585" s="548">
        <v>9.6928763835403567E-2</v>
      </c>
      <c r="G1585" s="549">
        <v>8.1722063740255799E-2</v>
      </c>
      <c r="H1585" s="550">
        <v>4.0749791121614497E-3</v>
      </c>
      <c r="I1585" s="551">
        <v>5.6070844676706401E-2</v>
      </c>
      <c r="J1585" s="551">
        <v>0.26799232972297798</v>
      </c>
      <c r="K1585" s="551">
        <v>1.5418721081186E-2</v>
      </c>
      <c r="L1585" s="551">
        <v>1.56204737015823E-3</v>
      </c>
      <c r="M1585" s="552">
        <v>1.6115887228915701E-2</v>
      </c>
    </row>
    <row r="1586" spans="2:13" ht="15.75" x14ac:dyDescent="0.25">
      <c r="B1586" s="555">
        <v>2050</v>
      </c>
      <c r="C1586" s="556">
        <v>2042</v>
      </c>
      <c r="D1586" s="557" t="s">
        <v>4484</v>
      </c>
      <c r="E1586" s="547">
        <v>4.3978670202005223E-2</v>
      </c>
      <c r="F1586" s="548">
        <v>9.6884812910357332E-2</v>
      </c>
      <c r="G1586" s="549">
        <v>8.0348466284221098E-2</v>
      </c>
      <c r="H1586" s="550">
        <v>4.0744815377251097E-3</v>
      </c>
      <c r="I1586" s="551">
        <v>5.4198894259657897E-2</v>
      </c>
      <c r="J1586" s="551">
        <v>0.72166980929143798</v>
      </c>
      <c r="K1586" s="551">
        <v>1.4493483494026E-2</v>
      </c>
      <c r="L1586" s="551">
        <v>1.5626618769755999E-3</v>
      </c>
      <c r="M1586" s="552">
        <v>1.51488145037454E-2</v>
      </c>
    </row>
    <row r="1587" spans="2:13" ht="15.75" x14ac:dyDescent="0.25">
      <c r="B1587" s="555">
        <v>2050</v>
      </c>
      <c r="C1587" s="556">
        <v>2043</v>
      </c>
      <c r="D1587" s="557" t="s">
        <v>4485</v>
      </c>
      <c r="E1587" s="547">
        <v>4.3961020903940107E-2</v>
      </c>
      <c r="F1587" s="548">
        <v>9.6839311151947452E-2</v>
      </c>
      <c r="G1587" s="549">
        <v>7.8883013609409997E-2</v>
      </c>
      <c r="H1587" s="550">
        <v>4.0792598016594203E-3</v>
      </c>
      <c r="I1587" s="551">
        <v>5.2206183712488301E-2</v>
      </c>
      <c r="J1587" s="551">
        <v>1.5316585895346699</v>
      </c>
      <c r="K1587" s="551">
        <v>1.3509246089542201E-2</v>
      </c>
      <c r="L1587" s="551">
        <v>1.56328652181353E-3</v>
      </c>
      <c r="M1587" s="552">
        <v>1.41200742513196E-2</v>
      </c>
    </row>
    <row r="1588" spans="2:13" ht="15.75" x14ac:dyDescent="0.25">
      <c r="B1588" s="555">
        <v>2050</v>
      </c>
      <c r="C1588" s="556">
        <v>2044</v>
      </c>
      <c r="D1588" s="557" t="s">
        <v>4486</v>
      </c>
      <c r="E1588" s="547">
        <v>4.3942588787026823E-2</v>
      </c>
      <c r="F1588" s="548">
        <v>9.6791834130055085E-2</v>
      </c>
      <c r="G1588" s="549">
        <v>7.7324985428558299E-2</v>
      </c>
      <c r="H1588" s="550">
        <v>4.0457806933196002E-3</v>
      </c>
      <c r="I1588" s="551">
        <v>5.0092381364323299E-2</v>
      </c>
      <c r="J1588" s="551">
        <v>0</v>
      </c>
      <c r="K1588" s="551">
        <v>1.24659422188428E-2</v>
      </c>
      <c r="L1588" s="551">
        <v>1.5639156128619701E-3</v>
      </c>
      <c r="M1588" s="552">
        <v>1.30295968091795E-2</v>
      </c>
    </row>
    <row r="1589" spans="2:13" ht="15.75" x14ac:dyDescent="0.25">
      <c r="B1589" s="555">
        <v>2050</v>
      </c>
      <c r="C1589" s="556">
        <v>2045</v>
      </c>
      <c r="D1589" s="557" t="s">
        <v>4487</v>
      </c>
      <c r="E1589" s="547">
        <v>4.3923100836655182E-2</v>
      </c>
      <c r="F1589" s="548">
        <v>9.6741807554667034E-2</v>
      </c>
      <c r="G1589" s="549">
        <v>7.5674088367139403E-2</v>
      </c>
      <c r="H1589" s="550">
        <v>4.0605905213939699E-3</v>
      </c>
      <c r="I1589" s="551">
        <v>4.78573411277428E-2</v>
      </c>
      <c r="J1589" s="551">
        <v>2.96060188142502E-2</v>
      </c>
      <c r="K1589" s="551">
        <v>1.13635372909396E-2</v>
      </c>
      <c r="L1589" s="551">
        <v>1.5645494609514399E-3</v>
      </c>
      <c r="M1589" s="552">
        <v>1.1877346022286E-2</v>
      </c>
    </row>
    <row r="1590" spans="2:13" ht="15.75" x14ac:dyDescent="0.25">
      <c r="B1590" s="555">
        <v>2050</v>
      </c>
      <c r="C1590" s="556">
        <v>2046</v>
      </c>
      <c r="D1590" s="557" t="s">
        <v>4488</v>
      </c>
      <c r="E1590" s="547">
        <v>4.3902126268476213E-2</v>
      </c>
      <c r="F1590" s="548">
        <v>9.6687853155631415E-2</v>
      </c>
      <c r="G1590" s="549">
        <v>7.3929734728874305E-2</v>
      </c>
      <c r="H1590" s="550">
        <v>4.0618558293997404E-3</v>
      </c>
      <c r="I1590" s="551">
        <v>4.5500741429816402E-2</v>
      </c>
      <c r="J1590" s="551">
        <v>2.9050189232527401E-2</v>
      </c>
      <c r="K1590" s="551">
        <v>1.0201962964835999E-2</v>
      </c>
      <c r="L1590" s="551">
        <v>1.5651825473242799E-3</v>
      </c>
      <c r="M1590" s="552">
        <v>1.0663250459565701E-2</v>
      </c>
    </row>
    <row r="1591" spans="2:13" ht="15.75" x14ac:dyDescent="0.25">
      <c r="B1591" s="555">
        <v>2050</v>
      </c>
      <c r="C1591" s="556">
        <v>2047</v>
      </c>
      <c r="D1591" s="557" t="s">
        <v>4489</v>
      </c>
      <c r="E1591" s="547">
        <v>4.3879119914180691E-2</v>
      </c>
      <c r="F1591" s="548">
        <v>9.6628588475749247E-2</v>
      </c>
      <c r="G1591" s="549">
        <v>7.2092580063564699E-2</v>
      </c>
      <c r="H1591" s="550">
        <v>4.0633929305727299E-3</v>
      </c>
      <c r="I1591" s="551">
        <v>4.30227790016929E-2</v>
      </c>
      <c r="J1591" s="551">
        <v>2.84911757637876E-2</v>
      </c>
      <c r="K1591" s="551">
        <v>8.9812315585010901E-3</v>
      </c>
      <c r="L1591" s="551">
        <v>1.56582734865412E-3</v>
      </c>
      <c r="M1591" s="552">
        <v>9.3873229959517204E-3</v>
      </c>
    </row>
    <row r="1592" spans="2:13" ht="15.75" x14ac:dyDescent="0.25">
      <c r="B1592" s="555">
        <v>2050</v>
      </c>
      <c r="C1592" s="556">
        <v>2048</v>
      </c>
      <c r="D1592" s="557" t="s">
        <v>4490</v>
      </c>
      <c r="E1592" s="547">
        <v>4.3852904959309033E-2</v>
      </c>
      <c r="F1592" s="548">
        <v>9.6587772892754206E-2</v>
      </c>
      <c r="G1592" s="549">
        <v>7.0161605215264905E-2</v>
      </c>
      <c r="H1592" s="550">
        <v>5.4841341097859797E-3</v>
      </c>
      <c r="I1592" s="551">
        <v>4.0423008151056899E-2</v>
      </c>
      <c r="J1592" s="551">
        <v>3.5400466875688999E-2</v>
      </c>
      <c r="K1592" s="551">
        <v>7.7012622498286096E-3</v>
      </c>
      <c r="L1592" s="551">
        <v>1.5664724914343901E-3</v>
      </c>
      <c r="M1592" s="552">
        <v>8.0494791549207603E-3</v>
      </c>
    </row>
    <row r="1593" spans="2:13" ht="15.75" x14ac:dyDescent="0.25">
      <c r="B1593" s="555">
        <v>2050</v>
      </c>
      <c r="C1593" s="556">
        <v>2049</v>
      </c>
      <c r="D1593" s="557" t="s">
        <v>4491</v>
      </c>
      <c r="E1593" s="547">
        <v>4.3821227933741207E-2</v>
      </c>
      <c r="F1593" s="548">
        <v>9.6503885387130769E-2</v>
      </c>
      <c r="G1593" s="549">
        <v>6.8136727935638505E-2</v>
      </c>
      <c r="H1593" s="550">
        <v>5.4863910695030996E-3</v>
      </c>
      <c r="I1593" s="551">
        <v>3.7701326337023E-2</v>
      </c>
      <c r="J1593" s="551">
        <v>3.4998891625880699E-2</v>
      </c>
      <c r="K1593" s="551">
        <v>6.3620220533865202E-3</v>
      </c>
      <c r="L1593" s="551">
        <v>1.56712079782135E-3</v>
      </c>
      <c r="M1593" s="552">
        <v>6.6496844595859096E-3</v>
      </c>
    </row>
    <row r="1594" spans="2:13" ht="16.5" thickBot="1" x14ac:dyDescent="0.3">
      <c r="B1594" s="558">
        <v>2050</v>
      </c>
      <c r="C1594" s="559">
        <v>2050</v>
      </c>
      <c r="D1594" s="560" t="s">
        <v>4492</v>
      </c>
      <c r="E1594" s="561">
        <v>4.377767643952956E-2</v>
      </c>
      <c r="F1594" s="562">
        <v>9.6388676618519603E-2</v>
      </c>
      <c r="G1594" s="563">
        <v>6.6017731365854704E-2</v>
      </c>
      <c r="H1594" s="564">
        <v>5.48865897003031E-3</v>
      </c>
      <c r="I1594" s="565">
        <v>3.4857598043205103E-2</v>
      </c>
      <c r="J1594" s="565">
        <v>3.5003549655092801E-2</v>
      </c>
      <c r="K1594" s="565">
        <v>4.9634745033889397E-3</v>
      </c>
      <c r="L1594" s="565">
        <v>1.5677722225916799E-3</v>
      </c>
      <c r="M1594" s="566">
        <v>5.1879007953402802E-3</v>
      </c>
    </row>
  </sheetData>
  <sheetProtection algorithmName="SHA-512" hashValue="IubBgT6EC/8ts92JUWEy/22IzbCfBqwnaeRIKyyyyMmPIhAgjlZzwPpr4+o22HW3RiyeViWB7EUi+Bvnlq5Jng==" saltValue="k3WpEpkydsTRgpeOkV6Qpg==" spinCount="100000" sheet="1" objects="1" scenarios="1"/>
  <hyperlinks>
    <hyperlink ref="B23" r:id="rId1" tooltip="Link to EMFAC 2017"/>
  </hyperlinks>
  <pageMargins left="0.7" right="0.7" top="0.98479166666666662" bottom="0.75" header="0.3" footer="0.3"/>
  <pageSetup scale="65" fitToHeight="0" orientation="portrait" r:id="rId2"/>
  <headerFooter>
    <oddFooter>&amp;L&amp;"Avenir LT Std 55 Roman,Regular"&amp;12&amp;K000000FINAL November 1, 2019&amp;C&amp;"Avenir LT Std 55 Roman,Regular"&amp;12Page &amp;P of &amp;N&amp;R&amp;"Avenir LT Std 55 Roman,Regular"&amp;12&amp;K000000&amp;A</oddFooter>
  </headerFooter>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2:Q101"/>
  <sheetViews>
    <sheetView showGridLines="0" zoomScaleNormal="100" workbookViewId="0"/>
  </sheetViews>
  <sheetFormatPr defaultRowHeight="15" x14ac:dyDescent="0.25"/>
  <cols>
    <col min="1" max="1" width="2.28515625" style="71" customWidth="1"/>
    <col min="2" max="2" width="17.7109375" style="71" customWidth="1"/>
    <col min="3" max="3" width="13.42578125" style="71" bestFit="1" customWidth="1"/>
    <col min="4" max="4" width="14.28515625" style="71" customWidth="1"/>
    <col min="5" max="5" width="10.7109375" style="71" customWidth="1"/>
    <col min="6" max="6" width="10.140625" style="71" customWidth="1"/>
    <col min="7" max="7" width="12.140625" style="71" customWidth="1"/>
    <col min="8" max="8" width="9.85546875" style="71" customWidth="1"/>
    <col min="9" max="9" width="10.7109375" style="71" customWidth="1"/>
    <col min="10" max="10" width="10.42578125" style="71" customWidth="1"/>
    <col min="11" max="11" width="10.85546875" style="71" customWidth="1"/>
    <col min="12" max="12" width="9.140625" style="71"/>
    <col min="13" max="13" width="32.85546875" style="71" bestFit="1" customWidth="1"/>
    <col min="14" max="14" width="20.85546875" style="71" bestFit="1" customWidth="1"/>
    <col min="15" max="15" width="13.85546875" style="71" bestFit="1" customWidth="1"/>
    <col min="16" max="16384" width="9.140625" style="71"/>
  </cols>
  <sheetData>
    <row r="2" spans="2:17" ht="18.75" x14ac:dyDescent="0.3">
      <c r="H2" s="72"/>
    </row>
    <row r="3" spans="2:17" ht="18.75" x14ac:dyDescent="0.3">
      <c r="H3" s="73"/>
    </row>
    <row r="4" spans="2:17" ht="18.75" x14ac:dyDescent="0.3">
      <c r="H4" s="74"/>
    </row>
    <row r="7" spans="2:17" ht="15.75" thickBot="1" x14ac:dyDescent="0.3"/>
    <row r="8" spans="2:17" ht="15.95" customHeight="1" thickBot="1" x14ac:dyDescent="0.3">
      <c r="B8" s="968" t="s">
        <v>398</v>
      </c>
      <c r="C8" s="969"/>
      <c r="D8" s="969"/>
      <c r="E8" s="969"/>
      <c r="F8" s="969"/>
      <c r="G8" s="969"/>
      <c r="H8" s="969"/>
      <c r="I8" s="969"/>
      <c r="J8" s="969"/>
      <c r="K8" s="969"/>
      <c r="L8" s="969"/>
      <c r="M8" s="969"/>
      <c r="N8" s="969"/>
      <c r="O8" s="969"/>
      <c r="P8" s="969"/>
      <c r="Q8" s="970"/>
    </row>
    <row r="9" spans="2:17" ht="16.5" thickBot="1" x14ac:dyDescent="0.3">
      <c r="B9" s="82"/>
      <c r="C9" s="82"/>
      <c r="D9" s="82"/>
      <c r="E9" s="82"/>
      <c r="F9" s="82"/>
      <c r="G9" s="82"/>
      <c r="H9" s="82"/>
      <c r="I9" s="82"/>
      <c r="J9" s="82"/>
      <c r="K9" s="82"/>
      <c r="L9" s="82"/>
      <c r="M9" s="82"/>
      <c r="N9" s="82"/>
      <c r="O9" s="82"/>
      <c r="P9" s="82"/>
      <c r="Q9" s="82"/>
    </row>
    <row r="10" spans="2:17" ht="16.5" thickBot="1" x14ac:dyDescent="0.3">
      <c r="B10" s="971" t="s">
        <v>399</v>
      </c>
      <c r="C10" s="972"/>
      <c r="D10" s="972"/>
      <c r="E10" s="972"/>
      <c r="F10" s="973"/>
      <c r="G10" s="82"/>
      <c r="N10" s="82"/>
      <c r="O10" s="82"/>
      <c r="P10" s="82"/>
      <c r="Q10" s="82"/>
    </row>
    <row r="11" spans="2:17" ht="19.5" thickBot="1" x14ac:dyDescent="0.4">
      <c r="B11" s="230" t="s">
        <v>400</v>
      </c>
      <c r="C11" s="231" t="s">
        <v>349</v>
      </c>
      <c r="D11" s="231" t="s">
        <v>4556</v>
      </c>
      <c r="E11" s="231" t="s">
        <v>4557</v>
      </c>
      <c r="F11" s="232" t="s">
        <v>4558</v>
      </c>
      <c r="G11" s="82"/>
      <c r="N11" s="82"/>
      <c r="O11" s="82"/>
      <c r="P11" s="82"/>
      <c r="Q11" s="82"/>
    </row>
    <row r="12" spans="2:17" ht="15.75" x14ac:dyDescent="0.25">
      <c r="B12" s="77" t="s">
        <v>401</v>
      </c>
      <c r="C12" s="233">
        <v>31.86</v>
      </c>
      <c r="D12" s="233">
        <v>254.02</v>
      </c>
      <c r="E12" s="233">
        <v>10.166</v>
      </c>
      <c r="F12" s="234">
        <v>11.05</v>
      </c>
      <c r="G12" s="82"/>
      <c r="N12" s="82"/>
      <c r="O12" s="82"/>
      <c r="P12" s="82"/>
      <c r="Q12" s="82"/>
    </row>
    <row r="13" spans="2:17" ht="16.5" thickBot="1" x14ac:dyDescent="0.3">
      <c r="B13" s="215" t="s">
        <v>402</v>
      </c>
      <c r="C13" s="235">
        <v>23.61</v>
      </c>
      <c r="D13" s="235">
        <v>81.59</v>
      </c>
      <c r="E13" s="235">
        <v>2.0148000000000001</v>
      </c>
      <c r="F13" s="236">
        <v>2.19</v>
      </c>
      <c r="G13" s="82"/>
      <c r="N13" s="82"/>
      <c r="O13" s="82"/>
      <c r="P13" s="82"/>
      <c r="Q13" s="82"/>
    </row>
    <row r="14" spans="2:17" ht="16.5" thickBot="1" x14ac:dyDescent="0.3">
      <c r="B14" s="17"/>
      <c r="C14" s="17"/>
      <c r="D14" s="17"/>
      <c r="E14" s="17"/>
      <c r="F14" s="17"/>
      <c r="G14" s="17"/>
      <c r="H14" s="17"/>
      <c r="I14" s="17"/>
      <c r="J14" s="17"/>
      <c r="K14" s="17"/>
      <c r="L14" s="17"/>
      <c r="M14" s="17"/>
      <c r="N14" s="17"/>
    </row>
    <row r="15" spans="2:17" ht="16.5" thickBot="1" x14ac:dyDescent="0.3">
      <c r="B15" s="974" t="s">
        <v>403</v>
      </c>
      <c r="C15" s="975"/>
      <c r="D15" s="975"/>
      <c r="E15" s="975"/>
      <c r="F15" s="975"/>
      <c r="G15" s="975"/>
      <c r="H15" s="975"/>
      <c r="I15" s="975"/>
      <c r="J15" s="975"/>
      <c r="K15" s="976"/>
      <c r="L15" s="17"/>
      <c r="M15" s="1012" t="s">
        <v>404</v>
      </c>
      <c r="N15" s="1013"/>
    </row>
    <row r="16" spans="2:17" ht="19.5" thickBot="1" x14ac:dyDescent="0.4">
      <c r="B16" s="237" t="s">
        <v>405</v>
      </c>
      <c r="C16" s="238" t="s">
        <v>400</v>
      </c>
      <c r="D16" s="239" t="s">
        <v>4559</v>
      </c>
      <c r="E16" s="240" t="s">
        <v>406</v>
      </c>
      <c r="F16" s="241" t="s">
        <v>4560</v>
      </c>
      <c r="G16" s="242" t="s">
        <v>4561</v>
      </c>
      <c r="H16" s="239" t="s">
        <v>4562</v>
      </c>
      <c r="I16" s="243" t="s">
        <v>407</v>
      </c>
      <c r="J16" s="241" t="s">
        <v>4563</v>
      </c>
      <c r="K16" s="244" t="s">
        <v>4564</v>
      </c>
      <c r="L16" s="17"/>
      <c r="M16" s="200" t="s">
        <v>408</v>
      </c>
      <c r="N16" s="245">
        <v>5.8000000000000003E-2</v>
      </c>
    </row>
    <row r="17" spans="2:17" ht="16.5" thickBot="1" x14ac:dyDescent="0.3">
      <c r="B17" s="980"/>
      <c r="C17" s="476" t="s">
        <v>410</v>
      </c>
      <c r="D17" s="246">
        <v>8.14</v>
      </c>
      <c r="E17" s="247">
        <v>1.84</v>
      </c>
      <c r="F17" s="246">
        <v>0.72</v>
      </c>
      <c r="G17" s="248">
        <v>0.66239999999999999</v>
      </c>
      <c r="H17" s="246">
        <v>6.9</v>
      </c>
      <c r="I17" s="249">
        <v>2.19</v>
      </c>
      <c r="J17" s="246">
        <v>0.64</v>
      </c>
      <c r="K17" s="247">
        <v>0.58879999999999999</v>
      </c>
      <c r="L17" s="17"/>
      <c r="M17" s="17"/>
      <c r="N17" s="17"/>
    </row>
    <row r="18" spans="2:17" ht="16.5" thickBot="1" x14ac:dyDescent="0.3">
      <c r="B18" s="981"/>
      <c r="C18" s="250" t="s">
        <v>411</v>
      </c>
      <c r="D18" s="212">
        <v>8.14</v>
      </c>
      <c r="E18" s="251">
        <v>1.8</v>
      </c>
      <c r="F18" s="212">
        <v>0.72</v>
      </c>
      <c r="G18" s="252">
        <v>0.66239999999999999</v>
      </c>
      <c r="H18" s="31">
        <v>6.9</v>
      </c>
      <c r="I18" s="253">
        <v>2.14</v>
      </c>
      <c r="J18" s="31">
        <v>0.64</v>
      </c>
      <c r="K18" s="254">
        <v>0.58879999999999999</v>
      </c>
      <c r="L18" s="17"/>
      <c r="M18" s="962" t="s">
        <v>412</v>
      </c>
      <c r="N18" s="964"/>
    </row>
    <row r="19" spans="2:17" ht="15.75" x14ac:dyDescent="0.25">
      <c r="B19" s="981" t="s">
        <v>409</v>
      </c>
      <c r="C19" s="255" t="s">
        <v>413</v>
      </c>
      <c r="D19" s="256">
        <v>7.31</v>
      </c>
      <c r="E19" s="257">
        <v>1.8</v>
      </c>
      <c r="F19" s="256">
        <v>0.72</v>
      </c>
      <c r="G19" s="258">
        <v>0.66239999999999999</v>
      </c>
      <c r="H19" s="256">
        <v>6.9</v>
      </c>
      <c r="I19" s="259">
        <v>2.14</v>
      </c>
      <c r="J19" s="256">
        <v>0.64</v>
      </c>
      <c r="K19" s="260">
        <v>0.58879999999999999</v>
      </c>
      <c r="L19" s="17"/>
      <c r="M19" s="77" t="s">
        <v>414</v>
      </c>
      <c r="N19" s="211">
        <v>0.42</v>
      </c>
    </row>
    <row r="20" spans="2:17" ht="16.5" thickBot="1" x14ac:dyDescent="0.3">
      <c r="B20" s="981"/>
      <c r="C20" s="250" t="s">
        <v>415</v>
      </c>
      <c r="D20" s="212">
        <v>5.32</v>
      </c>
      <c r="E20" s="251">
        <v>1.8</v>
      </c>
      <c r="F20" s="212">
        <v>0.3</v>
      </c>
      <c r="G20" s="252">
        <v>0.27600000000000002</v>
      </c>
      <c r="H20" s="31">
        <v>5.32</v>
      </c>
      <c r="I20" s="253">
        <v>2.14</v>
      </c>
      <c r="J20" s="31">
        <v>0.3</v>
      </c>
      <c r="K20" s="254">
        <v>0.27600000000000002</v>
      </c>
      <c r="L20" s="17"/>
      <c r="M20" s="215" t="s">
        <v>416</v>
      </c>
      <c r="N20" s="216">
        <v>0.43</v>
      </c>
    </row>
    <row r="21" spans="2:17" ht="16.5" thickBot="1" x14ac:dyDescent="0.3">
      <c r="B21" s="982"/>
      <c r="C21" s="261" t="s">
        <v>417</v>
      </c>
      <c r="D21" s="262">
        <v>5.32</v>
      </c>
      <c r="E21" s="263">
        <v>1.8</v>
      </c>
      <c r="F21" s="262">
        <v>0.22</v>
      </c>
      <c r="G21" s="264">
        <v>0.2024</v>
      </c>
      <c r="H21" s="262">
        <v>5.32</v>
      </c>
      <c r="I21" s="265">
        <v>2.14</v>
      </c>
      <c r="J21" s="262">
        <v>0.22</v>
      </c>
      <c r="K21" s="266">
        <v>0.2024</v>
      </c>
      <c r="L21" s="17"/>
      <c r="M21" s="17"/>
      <c r="N21" s="17"/>
    </row>
    <row r="22" spans="2:17" ht="15.75" x14ac:dyDescent="0.25">
      <c r="B22" s="983"/>
      <c r="C22" s="267" t="s">
        <v>419</v>
      </c>
      <c r="D22" s="77">
        <v>15.34</v>
      </c>
      <c r="E22" s="234">
        <v>1.44</v>
      </c>
      <c r="F22" s="77">
        <v>0.8</v>
      </c>
      <c r="G22" s="268">
        <v>0.7360000000000001</v>
      </c>
      <c r="H22" s="33">
        <v>13</v>
      </c>
      <c r="I22" s="269">
        <v>1.71</v>
      </c>
      <c r="J22" s="33">
        <v>0.71</v>
      </c>
      <c r="K22" s="254">
        <v>0.6532</v>
      </c>
      <c r="L22" s="17"/>
      <c r="M22" s="876" t="s">
        <v>420</v>
      </c>
      <c r="N22" s="1014"/>
      <c r="O22" s="1014"/>
      <c r="P22" s="1014"/>
      <c r="Q22" s="1015"/>
    </row>
    <row r="23" spans="2:17" ht="19.5" thickBot="1" x14ac:dyDescent="0.4">
      <c r="B23" s="984"/>
      <c r="C23" s="255" t="s">
        <v>421</v>
      </c>
      <c r="D23" s="256">
        <v>10.33</v>
      </c>
      <c r="E23" s="257">
        <v>0.99</v>
      </c>
      <c r="F23" s="256">
        <v>0.66</v>
      </c>
      <c r="G23" s="258">
        <v>0.60720000000000007</v>
      </c>
      <c r="H23" s="256">
        <v>8.75</v>
      </c>
      <c r="I23" s="259">
        <v>1.18</v>
      </c>
      <c r="J23" s="256">
        <v>0.57999999999999996</v>
      </c>
      <c r="K23" s="260">
        <v>0.53359999999999996</v>
      </c>
      <c r="L23" s="17"/>
      <c r="M23" s="270" t="s">
        <v>422</v>
      </c>
      <c r="N23" s="221" t="s">
        <v>4556</v>
      </c>
      <c r="O23" s="221" t="s">
        <v>350</v>
      </c>
      <c r="P23" s="221" t="s">
        <v>423</v>
      </c>
      <c r="Q23" s="271" t="s">
        <v>424</v>
      </c>
    </row>
    <row r="24" spans="2:17" ht="15.75" x14ac:dyDescent="0.25">
      <c r="B24" s="978" t="s">
        <v>418</v>
      </c>
      <c r="C24" s="250" t="s">
        <v>413</v>
      </c>
      <c r="D24" s="212">
        <v>7.31</v>
      </c>
      <c r="E24" s="251">
        <v>0.99</v>
      </c>
      <c r="F24" s="212">
        <v>0.66</v>
      </c>
      <c r="G24" s="252">
        <v>0.60720000000000007</v>
      </c>
      <c r="H24" s="31">
        <v>7.31</v>
      </c>
      <c r="I24" s="253">
        <v>1.18</v>
      </c>
      <c r="J24" s="31">
        <v>0.57999999999999996</v>
      </c>
      <c r="K24" s="254">
        <v>0.53359999999999996</v>
      </c>
      <c r="L24" s="17"/>
      <c r="M24" s="272" t="s">
        <v>425</v>
      </c>
      <c r="N24" s="273">
        <v>0.06</v>
      </c>
      <c r="O24" s="273">
        <v>0.31</v>
      </c>
      <c r="P24" s="273">
        <v>0.51</v>
      </c>
      <c r="Q24" s="211">
        <v>0.41</v>
      </c>
    </row>
    <row r="25" spans="2:17" ht="15.75" x14ac:dyDescent="0.25">
      <c r="B25" s="984"/>
      <c r="C25" s="255" t="s">
        <v>415</v>
      </c>
      <c r="D25" s="256">
        <v>5.32</v>
      </c>
      <c r="E25" s="257">
        <v>0.99</v>
      </c>
      <c r="F25" s="256">
        <v>0.3</v>
      </c>
      <c r="G25" s="258">
        <v>0.27600000000000002</v>
      </c>
      <c r="H25" s="256">
        <v>5.32</v>
      </c>
      <c r="I25" s="259">
        <v>1.18</v>
      </c>
      <c r="J25" s="256">
        <v>0.3</v>
      </c>
      <c r="K25" s="260">
        <v>0.27600000000000002</v>
      </c>
      <c r="L25" s="17"/>
      <c r="M25" s="274" t="s">
        <v>426</v>
      </c>
      <c r="N25" s="275">
        <v>0.14000000000000001</v>
      </c>
      <c r="O25" s="275">
        <v>0.44</v>
      </c>
      <c r="P25" s="275">
        <v>0.28000000000000003</v>
      </c>
      <c r="Q25" s="213">
        <v>0.16</v>
      </c>
    </row>
    <row r="26" spans="2:17" ht="16.5" thickBot="1" x14ac:dyDescent="0.3">
      <c r="B26" s="985"/>
      <c r="C26" s="276" t="s">
        <v>417</v>
      </c>
      <c r="D26" s="277">
        <v>5.32</v>
      </c>
      <c r="E26" s="278">
        <v>0.99</v>
      </c>
      <c r="F26" s="277">
        <v>0.22</v>
      </c>
      <c r="G26" s="279">
        <v>0.2024</v>
      </c>
      <c r="H26" s="280">
        <v>5.32</v>
      </c>
      <c r="I26" s="281">
        <v>1.18</v>
      </c>
      <c r="J26" s="280">
        <v>0.22</v>
      </c>
      <c r="K26" s="282">
        <v>0.2024</v>
      </c>
      <c r="L26" s="17"/>
      <c r="M26" s="283" t="s">
        <v>427</v>
      </c>
      <c r="N26" s="284">
        <v>0.21</v>
      </c>
      <c r="O26" s="284">
        <v>0.67</v>
      </c>
      <c r="P26" s="284">
        <v>0.44</v>
      </c>
      <c r="Q26" s="216">
        <v>0.25</v>
      </c>
    </row>
    <row r="27" spans="2:17" ht="16.5" thickBot="1" x14ac:dyDescent="0.3">
      <c r="B27" s="983"/>
      <c r="C27" s="285" t="s">
        <v>429</v>
      </c>
      <c r="D27" s="246">
        <v>16.52</v>
      </c>
      <c r="E27" s="247">
        <v>1.32</v>
      </c>
      <c r="F27" s="246">
        <v>0.73</v>
      </c>
      <c r="G27" s="248">
        <v>0.67159999999999997</v>
      </c>
      <c r="H27" s="246">
        <v>14</v>
      </c>
      <c r="I27" s="249">
        <v>1.57</v>
      </c>
      <c r="J27" s="246">
        <v>0.65</v>
      </c>
      <c r="K27" s="247">
        <v>0.59800000000000009</v>
      </c>
      <c r="L27" s="17"/>
      <c r="M27" s="17"/>
      <c r="N27" s="17"/>
    </row>
    <row r="28" spans="2:17" ht="15.75" x14ac:dyDescent="0.25">
      <c r="B28" s="984"/>
      <c r="C28" s="250" t="s">
        <v>430</v>
      </c>
      <c r="D28" s="212">
        <v>15.34</v>
      </c>
      <c r="E28" s="251">
        <v>1.1000000000000001</v>
      </c>
      <c r="F28" s="212">
        <v>0.63</v>
      </c>
      <c r="G28" s="252">
        <v>0.5796</v>
      </c>
      <c r="H28" s="31">
        <v>13</v>
      </c>
      <c r="I28" s="253">
        <v>1.31</v>
      </c>
      <c r="J28" s="31">
        <v>0.55000000000000004</v>
      </c>
      <c r="K28" s="254">
        <v>0.50600000000000012</v>
      </c>
      <c r="L28" s="17"/>
      <c r="M28" s="999" t="s">
        <v>431</v>
      </c>
      <c r="N28" s="1000"/>
      <c r="O28" s="1000"/>
      <c r="P28" s="1000"/>
      <c r="Q28" s="1001"/>
    </row>
    <row r="29" spans="2:17" ht="19.5" thickBot="1" x14ac:dyDescent="0.4">
      <c r="B29" s="984"/>
      <c r="C29" s="255" t="s">
        <v>432</v>
      </c>
      <c r="D29" s="256">
        <v>14.16</v>
      </c>
      <c r="E29" s="257">
        <v>1</v>
      </c>
      <c r="F29" s="256">
        <v>0.52</v>
      </c>
      <c r="G29" s="258">
        <v>0.47840000000000005</v>
      </c>
      <c r="H29" s="256">
        <v>12</v>
      </c>
      <c r="I29" s="259">
        <v>1.19</v>
      </c>
      <c r="J29" s="256">
        <v>0.46</v>
      </c>
      <c r="K29" s="260">
        <v>0.42320000000000002</v>
      </c>
      <c r="L29" s="17"/>
      <c r="M29" s="270" t="s">
        <v>433</v>
      </c>
      <c r="N29" s="221" t="s">
        <v>422</v>
      </c>
      <c r="O29" s="221" t="s">
        <v>434</v>
      </c>
      <c r="P29" s="221" t="s">
        <v>4556</v>
      </c>
      <c r="Q29" s="271" t="s">
        <v>350</v>
      </c>
    </row>
    <row r="30" spans="2:17" ht="15.75" x14ac:dyDescent="0.25">
      <c r="B30" s="984"/>
      <c r="C30" s="250" t="s">
        <v>435</v>
      </c>
      <c r="D30" s="212">
        <v>12.98</v>
      </c>
      <c r="E30" s="251">
        <v>0.94</v>
      </c>
      <c r="F30" s="212">
        <v>0.52</v>
      </c>
      <c r="G30" s="252">
        <v>0.47840000000000005</v>
      </c>
      <c r="H30" s="31">
        <v>11</v>
      </c>
      <c r="I30" s="253">
        <v>1.1200000000000001</v>
      </c>
      <c r="J30" s="31">
        <v>0.46</v>
      </c>
      <c r="K30" s="254">
        <v>0.42320000000000002</v>
      </c>
      <c r="L30" s="17"/>
      <c r="M30" s="983"/>
      <c r="N30" s="1002" t="s">
        <v>437</v>
      </c>
      <c r="O30" s="286" t="s">
        <v>438</v>
      </c>
      <c r="P30" s="993"/>
      <c r="Q30" s="995"/>
    </row>
    <row r="31" spans="2:17" ht="15.75" x14ac:dyDescent="0.25">
      <c r="B31" s="978" t="s">
        <v>428</v>
      </c>
      <c r="C31" s="255" t="s">
        <v>439</v>
      </c>
      <c r="D31" s="256">
        <v>12.98</v>
      </c>
      <c r="E31" s="257">
        <v>0.88</v>
      </c>
      <c r="F31" s="256">
        <v>0.52</v>
      </c>
      <c r="G31" s="258">
        <v>0.47840000000000005</v>
      </c>
      <c r="H31" s="256">
        <v>11</v>
      </c>
      <c r="I31" s="259">
        <v>1.05</v>
      </c>
      <c r="J31" s="256">
        <v>0.46</v>
      </c>
      <c r="K31" s="260">
        <v>0.42320000000000002</v>
      </c>
      <c r="L31" s="17"/>
      <c r="M31" s="984"/>
      <c r="N31" s="1003" t="s">
        <v>425</v>
      </c>
      <c r="O31" s="110" t="s">
        <v>440</v>
      </c>
      <c r="P31" s="994"/>
      <c r="Q31" s="996"/>
    </row>
    <row r="32" spans="2:17" ht="15.75" x14ac:dyDescent="0.25">
      <c r="B32" s="984"/>
      <c r="C32" s="250" t="s">
        <v>441</v>
      </c>
      <c r="D32" s="212">
        <v>9.64</v>
      </c>
      <c r="E32" s="251">
        <v>0.68</v>
      </c>
      <c r="F32" s="212">
        <v>0.36</v>
      </c>
      <c r="G32" s="252">
        <v>0.33119999999999999</v>
      </c>
      <c r="H32" s="31">
        <v>8.17</v>
      </c>
      <c r="I32" s="253">
        <v>0.81</v>
      </c>
      <c r="J32" s="31">
        <v>0.32</v>
      </c>
      <c r="K32" s="254">
        <v>0.2944</v>
      </c>
      <c r="L32" s="17"/>
      <c r="M32" s="984"/>
      <c r="N32" s="1003" t="s">
        <v>442</v>
      </c>
      <c r="O32" s="110" t="s">
        <v>443</v>
      </c>
      <c r="P32" s="994">
        <v>0.93</v>
      </c>
      <c r="Q32" s="996">
        <v>0.75</v>
      </c>
    </row>
    <row r="33" spans="2:17" ht="15.75" x14ac:dyDescent="0.25">
      <c r="B33" s="984"/>
      <c r="C33" s="255" t="s">
        <v>444</v>
      </c>
      <c r="D33" s="256">
        <v>7.31</v>
      </c>
      <c r="E33" s="257">
        <v>0.68</v>
      </c>
      <c r="F33" s="256">
        <v>0.36</v>
      </c>
      <c r="G33" s="258">
        <v>0.33119999999999999</v>
      </c>
      <c r="H33" s="256">
        <v>7.31</v>
      </c>
      <c r="I33" s="259">
        <v>0.81</v>
      </c>
      <c r="J33" s="256">
        <v>0.32</v>
      </c>
      <c r="K33" s="260">
        <v>0.2944</v>
      </c>
      <c r="L33" s="17"/>
      <c r="M33" s="984"/>
      <c r="N33" s="1003" t="s">
        <v>445</v>
      </c>
      <c r="O33" s="110" t="s">
        <v>446</v>
      </c>
      <c r="P33" s="994"/>
      <c r="Q33" s="996"/>
    </row>
    <row r="34" spans="2:17" ht="15.75" x14ac:dyDescent="0.25">
      <c r="B34" s="984"/>
      <c r="C34" s="250" t="s">
        <v>447</v>
      </c>
      <c r="D34" s="212">
        <v>5.0999999999999996</v>
      </c>
      <c r="E34" s="251">
        <v>0.68</v>
      </c>
      <c r="F34" s="212">
        <v>0.22</v>
      </c>
      <c r="G34" s="252">
        <v>0.2024</v>
      </c>
      <c r="H34" s="31">
        <v>5.0999999999999996</v>
      </c>
      <c r="I34" s="253">
        <v>0.81</v>
      </c>
      <c r="J34" s="31">
        <v>0.22</v>
      </c>
      <c r="K34" s="254">
        <v>0.2024</v>
      </c>
      <c r="L34" s="17"/>
      <c r="M34" s="1005" t="s">
        <v>436</v>
      </c>
      <c r="N34" s="1003" t="s">
        <v>448</v>
      </c>
      <c r="O34" s="110" t="s">
        <v>449</v>
      </c>
      <c r="P34" s="842"/>
      <c r="Q34" s="843"/>
    </row>
    <row r="35" spans="2:17" ht="16.5" thickBot="1" x14ac:dyDescent="0.3">
      <c r="B35" s="985"/>
      <c r="C35" s="261" t="s">
        <v>450</v>
      </c>
      <c r="D35" s="262">
        <v>3.8</v>
      </c>
      <c r="E35" s="263">
        <v>0.68</v>
      </c>
      <c r="F35" s="262">
        <v>0.09</v>
      </c>
      <c r="G35" s="264">
        <v>8.2799999999999999E-2</v>
      </c>
      <c r="H35" s="262">
        <v>3.8</v>
      </c>
      <c r="I35" s="265">
        <v>0.81</v>
      </c>
      <c r="J35" s="262">
        <v>0.09</v>
      </c>
      <c r="K35" s="266">
        <v>8.2799999999999999E-2</v>
      </c>
      <c r="L35" s="17"/>
      <c r="M35" s="984"/>
      <c r="N35" s="1003" t="s">
        <v>437</v>
      </c>
      <c r="O35" s="110" t="s">
        <v>451</v>
      </c>
      <c r="P35" s="997"/>
      <c r="Q35" s="998"/>
    </row>
    <row r="36" spans="2:17" ht="15.75" x14ac:dyDescent="0.25">
      <c r="B36" s="987"/>
      <c r="C36" s="267" t="s">
        <v>429</v>
      </c>
      <c r="D36" s="77">
        <v>16.52</v>
      </c>
      <c r="E36" s="234">
        <v>1.32</v>
      </c>
      <c r="F36" s="77">
        <v>0.73</v>
      </c>
      <c r="G36" s="268">
        <v>0.67159999999999997</v>
      </c>
      <c r="H36" s="33">
        <v>14</v>
      </c>
      <c r="I36" s="269">
        <v>1.57</v>
      </c>
      <c r="J36" s="33">
        <v>0.65</v>
      </c>
      <c r="K36" s="254">
        <v>0.59800000000000009</v>
      </c>
      <c r="L36" s="17"/>
      <c r="M36" s="984"/>
      <c r="N36" s="1003" t="s">
        <v>425</v>
      </c>
      <c r="O36" s="110" t="s">
        <v>453</v>
      </c>
      <c r="P36" s="994"/>
      <c r="Q36" s="996"/>
    </row>
    <row r="37" spans="2:17" ht="15.75" x14ac:dyDescent="0.25">
      <c r="B37" s="978"/>
      <c r="C37" s="255" t="s">
        <v>430</v>
      </c>
      <c r="D37" s="256">
        <v>15.34</v>
      </c>
      <c r="E37" s="257">
        <v>1.1000000000000001</v>
      </c>
      <c r="F37" s="256">
        <v>0.63</v>
      </c>
      <c r="G37" s="258">
        <v>0.5796</v>
      </c>
      <c r="H37" s="256">
        <v>13</v>
      </c>
      <c r="I37" s="259">
        <v>1.31</v>
      </c>
      <c r="J37" s="256">
        <v>0.55000000000000004</v>
      </c>
      <c r="K37" s="260">
        <v>0.50600000000000012</v>
      </c>
      <c r="L37" s="17"/>
      <c r="M37" s="984"/>
      <c r="N37" s="1003" t="s">
        <v>442</v>
      </c>
      <c r="O37" s="110" t="s">
        <v>454</v>
      </c>
      <c r="P37" s="994">
        <v>0.94799999999999995</v>
      </c>
      <c r="Q37" s="996">
        <v>0.82199999999999995</v>
      </c>
    </row>
    <row r="38" spans="2:17" ht="15.75" x14ac:dyDescent="0.25">
      <c r="B38" s="978"/>
      <c r="C38" s="250" t="s">
        <v>432</v>
      </c>
      <c r="D38" s="212">
        <v>14.16</v>
      </c>
      <c r="E38" s="251">
        <v>1</v>
      </c>
      <c r="F38" s="212">
        <v>0.52</v>
      </c>
      <c r="G38" s="252">
        <v>0.47840000000000005</v>
      </c>
      <c r="H38" s="31">
        <v>12</v>
      </c>
      <c r="I38" s="253">
        <v>1.19</v>
      </c>
      <c r="J38" s="31">
        <v>0.46</v>
      </c>
      <c r="K38" s="254">
        <v>0.42320000000000002</v>
      </c>
      <c r="L38" s="17"/>
      <c r="M38" s="984"/>
      <c r="N38" s="1003" t="s">
        <v>445</v>
      </c>
      <c r="O38" s="110" t="s">
        <v>455</v>
      </c>
      <c r="P38" s="994"/>
      <c r="Q38" s="996"/>
    </row>
    <row r="39" spans="2:17" ht="16.5" thickBot="1" x14ac:dyDescent="0.3">
      <c r="B39" s="978"/>
      <c r="C39" s="255" t="s">
        <v>435</v>
      </c>
      <c r="D39" s="256">
        <v>12.98</v>
      </c>
      <c r="E39" s="257">
        <v>0.94</v>
      </c>
      <c r="F39" s="256">
        <v>0.52</v>
      </c>
      <c r="G39" s="258">
        <v>0.47840000000000005</v>
      </c>
      <c r="H39" s="256">
        <v>11</v>
      </c>
      <c r="I39" s="259">
        <v>1.1200000000000001</v>
      </c>
      <c r="J39" s="256">
        <v>0.46</v>
      </c>
      <c r="K39" s="260">
        <v>0.42320000000000002</v>
      </c>
      <c r="L39" s="17"/>
      <c r="M39" s="985"/>
      <c r="N39" s="1004" t="s">
        <v>448</v>
      </c>
      <c r="O39" s="287" t="s">
        <v>456</v>
      </c>
      <c r="P39" s="1006"/>
      <c r="Q39" s="1007"/>
    </row>
    <row r="40" spans="2:17" ht="15.75" x14ac:dyDescent="0.25">
      <c r="B40" s="978" t="s">
        <v>452</v>
      </c>
      <c r="C40" s="250" t="s">
        <v>401</v>
      </c>
      <c r="D40" s="212">
        <v>12.98</v>
      </c>
      <c r="E40" s="251">
        <v>0.88</v>
      </c>
      <c r="F40" s="212">
        <v>0.52</v>
      </c>
      <c r="G40" s="252">
        <v>0.47840000000000005</v>
      </c>
      <c r="H40" s="31">
        <v>11</v>
      </c>
      <c r="I40" s="253">
        <v>1.05</v>
      </c>
      <c r="J40" s="31">
        <v>0.46</v>
      </c>
      <c r="K40" s="254">
        <v>0.42320000000000002</v>
      </c>
      <c r="L40" s="17"/>
      <c r="M40" s="983"/>
      <c r="N40" s="288" t="s">
        <v>437</v>
      </c>
      <c r="O40" s="289" t="s">
        <v>438</v>
      </c>
      <c r="P40" s="1008"/>
      <c r="Q40" s="1009"/>
    </row>
    <row r="41" spans="2:17" ht="15.75" x14ac:dyDescent="0.25">
      <c r="B41" s="978"/>
      <c r="C41" s="255" t="s">
        <v>458</v>
      </c>
      <c r="D41" s="256">
        <v>9.64</v>
      </c>
      <c r="E41" s="257">
        <v>0.68</v>
      </c>
      <c r="F41" s="256">
        <v>0.36</v>
      </c>
      <c r="G41" s="258">
        <v>0.33119999999999999</v>
      </c>
      <c r="H41" s="256">
        <v>8.17</v>
      </c>
      <c r="I41" s="259">
        <v>0.81</v>
      </c>
      <c r="J41" s="256">
        <v>0.32</v>
      </c>
      <c r="K41" s="260">
        <v>0.2944</v>
      </c>
      <c r="L41" s="17"/>
      <c r="M41" s="984"/>
      <c r="N41" s="275" t="s">
        <v>425</v>
      </c>
      <c r="O41" s="110" t="s">
        <v>440</v>
      </c>
      <c r="P41" s="994"/>
      <c r="Q41" s="996"/>
    </row>
    <row r="42" spans="2:17" ht="15.75" x14ac:dyDescent="0.25">
      <c r="B42" s="978"/>
      <c r="C42" s="250" t="s">
        <v>444</v>
      </c>
      <c r="D42" s="212">
        <v>7.31</v>
      </c>
      <c r="E42" s="251">
        <v>0.68</v>
      </c>
      <c r="F42" s="212">
        <v>0.36</v>
      </c>
      <c r="G42" s="252">
        <v>0.33119999999999999</v>
      </c>
      <c r="H42" s="31">
        <v>7.31</v>
      </c>
      <c r="I42" s="253">
        <v>0.81</v>
      </c>
      <c r="J42" s="31">
        <v>0.32</v>
      </c>
      <c r="K42" s="254">
        <v>0.2944</v>
      </c>
      <c r="L42" s="17"/>
      <c r="M42" s="984"/>
      <c r="N42" s="275" t="s">
        <v>442</v>
      </c>
      <c r="O42" s="110" t="s">
        <v>443</v>
      </c>
      <c r="P42" s="994">
        <v>0.93</v>
      </c>
      <c r="Q42" s="996">
        <v>0.72</v>
      </c>
    </row>
    <row r="43" spans="2:17" ht="15.75" x14ac:dyDescent="0.25">
      <c r="B43" s="978"/>
      <c r="C43" s="255" t="s">
        <v>459</v>
      </c>
      <c r="D43" s="256">
        <v>5.0999999999999996</v>
      </c>
      <c r="E43" s="257">
        <v>0.68</v>
      </c>
      <c r="F43" s="256">
        <v>0.15</v>
      </c>
      <c r="G43" s="258">
        <v>0.13800000000000001</v>
      </c>
      <c r="H43" s="256">
        <v>5.0999999999999996</v>
      </c>
      <c r="I43" s="259">
        <v>0.81</v>
      </c>
      <c r="J43" s="256">
        <v>0.15</v>
      </c>
      <c r="K43" s="260">
        <v>0.13800000000000001</v>
      </c>
      <c r="L43" s="17"/>
      <c r="M43" s="984"/>
      <c r="N43" s="275" t="s">
        <v>445</v>
      </c>
      <c r="O43" s="110" t="s">
        <v>446</v>
      </c>
      <c r="P43" s="994"/>
      <c r="Q43" s="996"/>
    </row>
    <row r="44" spans="2:17" ht="16.5" thickBot="1" x14ac:dyDescent="0.3">
      <c r="B44" s="979"/>
      <c r="C44" s="276" t="s">
        <v>402</v>
      </c>
      <c r="D44" s="277">
        <v>3.99</v>
      </c>
      <c r="E44" s="278">
        <v>0.68</v>
      </c>
      <c r="F44" s="277">
        <v>0.08</v>
      </c>
      <c r="G44" s="279">
        <v>7.3599999999999999E-2</v>
      </c>
      <c r="H44" s="280">
        <v>3.99</v>
      </c>
      <c r="I44" s="281">
        <v>0.81</v>
      </c>
      <c r="J44" s="280">
        <v>0.08</v>
      </c>
      <c r="K44" s="282">
        <v>7.3599999999999999E-2</v>
      </c>
      <c r="L44" s="17"/>
      <c r="M44" s="1005" t="s">
        <v>457</v>
      </c>
      <c r="N44" s="275" t="s">
        <v>448</v>
      </c>
      <c r="O44" s="110" t="s">
        <v>449</v>
      </c>
      <c r="P44" s="994"/>
      <c r="Q44" s="996"/>
    </row>
    <row r="45" spans="2:17" ht="15.75" x14ac:dyDescent="0.25">
      <c r="B45" s="987"/>
      <c r="C45" s="285" t="s">
        <v>429</v>
      </c>
      <c r="D45" s="246">
        <v>16.52</v>
      </c>
      <c r="E45" s="247">
        <v>1.26</v>
      </c>
      <c r="F45" s="246">
        <v>0.7</v>
      </c>
      <c r="G45" s="248">
        <v>0.64400000000000002</v>
      </c>
      <c r="H45" s="246">
        <v>14</v>
      </c>
      <c r="I45" s="249">
        <v>1.5</v>
      </c>
      <c r="J45" s="246">
        <v>0.62</v>
      </c>
      <c r="K45" s="247">
        <v>0.57040000000000002</v>
      </c>
      <c r="L45" s="17"/>
      <c r="M45" s="984"/>
      <c r="N45" s="275" t="s">
        <v>437</v>
      </c>
      <c r="O45" s="110" t="s">
        <v>451</v>
      </c>
      <c r="P45" s="997"/>
      <c r="Q45" s="998"/>
    </row>
    <row r="46" spans="2:17" ht="15.75" x14ac:dyDescent="0.25">
      <c r="B46" s="978"/>
      <c r="C46" s="250" t="s">
        <v>430</v>
      </c>
      <c r="D46" s="212">
        <v>15.34</v>
      </c>
      <c r="E46" s="251">
        <v>1.05</v>
      </c>
      <c r="F46" s="212">
        <v>0.6</v>
      </c>
      <c r="G46" s="252">
        <v>0.55200000000000005</v>
      </c>
      <c r="H46" s="31">
        <v>13</v>
      </c>
      <c r="I46" s="253">
        <v>1.25</v>
      </c>
      <c r="J46" s="31">
        <v>0.53</v>
      </c>
      <c r="K46" s="254">
        <v>0.48760000000000003</v>
      </c>
      <c r="L46" s="17"/>
      <c r="M46" s="984"/>
      <c r="N46" s="275" t="s">
        <v>425</v>
      </c>
      <c r="O46" s="110" t="s">
        <v>453</v>
      </c>
      <c r="P46" s="994"/>
      <c r="Q46" s="996"/>
    </row>
    <row r="47" spans="2:17" ht="15.75" x14ac:dyDescent="0.25">
      <c r="B47" s="978"/>
      <c r="C47" s="255" t="s">
        <v>432</v>
      </c>
      <c r="D47" s="256">
        <v>14.16</v>
      </c>
      <c r="E47" s="257">
        <v>0.95</v>
      </c>
      <c r="F47" s="256">
        <v>0.5</v>
      </c>
      <c r="G47" s="258">
        <v>0.46</v>
      </c>
      <c r="H47" s="256">
        <v>12</v>
      </c>
      <c r="I47" s="259">
        <v>1.1299999999999999</v>
      </c>
      <c r="J47" s="256">
        <v>0.45</v>
      </c>
      <c r="K47" s="260">
        <v>0.41400000000000003</v>
      </c>
      <c r="L47" s="17"/>
      <c r="M47" s="984"/>
      <c r="N47" s="275" t="s">
        <v>442</v>
      </c>
      <c r="O47" s="110" t="s">
        <v>454</v>
      </c>
      <c r="P47" s="994">
        <v>0.94799999999999995</v>
      </c>
      <c r="Q47" s="996">
        <v>0.8</v>
      </c>
    </row>
    <row r="48" spans="2:17" ht="15.75" x14ac:dyDescent="0.25">
      <c r="B48" s="978"/>
      <c r="C48" s="250" t="s">
        <v>435</v>
      </c>
      <c r="D48" s="212">
        <v>12.98</v>
      </c>
      <c r="E48" s="251">
        <v>0.9</v>
      </c>
      <c r="F48" s="212">
        <v>0.5</v>
      </c>
      <c r="G48" s="252">
        <v>0.46</v>
      </c>
      <c r="H48" s="31">
        <v>11</v>
      </c>
      <c r="I48" s="253">
        <v>1.07</v>
      </c>
      <c r="J48" s="31">
        <v>0.45</v>
      </c>
      <c r="K48" s="254">
        <v>0.41400000000000003</v>
      </c>
      <c r="L48" s="17"/>
      <c r="M48" s="984"/>
      <c r="N48" s="275" t="s">
        <v>445</v>
      </c>
      <c r="O48" s="110" t="s">
        <v>455</v>
      </c>
      <c r="P48" s="994"/>
      <c r="Q48" s="996"/>
    </row>
    <row r="49" spans="2:17" ht="15.75" x14ac:dyDescent="0.25">
      <c r="B49" s="978" t="s">
        <v>460</v>
      </c>
      <c r="C49" s="255" t="s">
        <v>401</v>
      </c>
      <c r="D49" s="256">
        <v>12.98</v>
      </c>
      <c r="E49" s="257">
        <v>0.84</v>
      </c>
      <c r="F49" s="256">
        <v>0.5</v>
      </c>
      <c r="G49" s="258">
        <v>0.46</v>
      </c>
      <c r="H49" s="256">
        <v>11</v>
      </c>
      <c r="I49" s="259">
        <v>1</v>
      </c>
      <c r="J49" s="256">
        <v>0.45</v>
      </c>
      <c r="K49" s="260">
        <v>0.41400000000000003</v>
      </c>
      <c r="L49" s="17"/>
      <c r="M49" s="984"/>
      <c r="N49" s="275" t="s">
        <v>448</v>
      </c>
      <c r="O49" s="110" t="s">
        <v>456</v>
      </c>
      <c r="P49" s="994"/>
      <c r="Q49" s="996"/>
    </row>
    <row r="50" spans="2:17" ht="16.5" thickBot="1" x14ac:dyDescent="0.3">
      <c r="B50" s="978"/>
      <c r="C50" s="250" t="s">
        <v>458</v>
      </c>
      <c r="D50" s="212">
        <v>9.64</v>
      </c>
      <c r="E50" s="251">
        <v>0.68</v>
      </c>
      <c r="F50" s="212">
        <v>0.36</v>
      </c>
      <c r="G50" s="252">
        <v>0.33119999999999999</v>
      </c>
      <c r="H50" s="31">
        <v>8.17</v>
      </c>
      <c r="I50" s="253">
        <v>0.81</v>
      </c>
      <c r="J50" s="31">
        <v>0.32</v>
      </c>
      <c r="K50" s="254">
        <v>0.2944</v>
      </c>
      <c r="L50" s="17"/>
      <c r="M50" s="985"/>
      <c r="N50" s="287" t="s">
        <v>461</v>
      </c>
      <c r="O50" s="287" t="s">
        <v>462</v>
      </c>
      <c r="P50" s="287">
        <v>0.94799999999999995</v>
      </c>
      <c r="Q50" s="290">
        <v>0.85199999999999998</v>
      </c>
    </row>
    <row r="51" spans="2:17" ht="15.75" x14ac:dyDescent="0.25">
      <c r="B51" s="978"/>
      <c r="C51" s="255" t="s">
        <v>444</v>
      </c>
      <c r="D51" s="256">
        <v>7.31</v>
      </c>
      <c r="E51" s="257">
        <v>0.68</v>
      </c>
      <c r="F51" s="256">
        <v>0.36</v>
      </c>
      <c r="G51" s="258">
        <v>0.33119999999999999</v>
      </c>
      <c r="H51" s="256">
        <v>7.31</v>
      </c>
      <c r="I51" s="259">
        <v>0.81</v>
      </c>
      <c r="J51" s="256">
        <v>0.32</v>
      </c>
      <c r="K51" s="260">
        <v>0.2944</v>
      </c>
      <c r="L51" s="17"/>
      <c r="M51" s="17"/>
      <c r="N51" s="17"/>
      <c r="O51" s="17"/>
      <c r="P51" s="17"/>
      <c r="Q51" s="17"/>
    </row>
    <row r="52" spans="2:17" ht="15.75" x14ac:dyDescent="0.25">
      <c r="B52" s="978"/>
      <c r="C52" s="250" t="s">
        <v>459</v>
      </c>
      <c r="D52" s="212">
        <v>5.0999999999999996</v>
      </c>
      <c r="E52" s="251">
        <v>0.68</v>
      </c>
      <c r="F52" s="212">
        <v>0.15</v>
      </c>
      <c r="G52" s="252">
        <v>0.13800000000000001</v>
      </c>
      <c r="H52" s="31">
        <v>5.0999999999999996</v>
      </c>
      <c r="I52" s="253">
        <v>0.81</v>
      </c>
      <c r="J52" s="31">
        <v>0.15</v>
      </c>
      <c r="K52" s="254">
        <v>0.13800000000000001</v>
      </c>
      <c r="L52" s="17"/>
      <c r="M52" s="17"/>
      <c r="N52" s="17"/>
      <c r="O52" s="17"/>
      <c r="P52" s="17"/>
      <c r="Q52" s="17"/>
    </row>
    <row r="53" spans="2:17" ht="16.5" thickBot="1" x14ac:dyDescent="0.3">
      <c r="B53" s="979"/>
      <c r="C53" s="261" t="s">
        <v>402</v>
      </c>
      <c r="D53" s="262">
        <v>3.99</v>
      </c>
      <c r="E53" s="263">
        <v>0.68</v>
      </c>
      <c r="F53" s="262">
        <v>0.08</v>
      </c>
      <c r="G53" s="264">
        <v>7.3599999999999999E-2</v>
      </c>
      <c r="H53" s="262">
        <v>3.99</v>
      </c>
      <c r="I53" s="265">
        <v>0.81</v>
      </c>
      <c r="J53" s="262">
        <v>0.08</v>
      </c>
      <c r="K53" s="266">
        <v>7.3599999999999999E-2</v>
      </c>
      <c r="L53" s="17"/>
      <c r="M53" s="17"/>
      <c r="N53" s="17"/>
      <c r="O53" s="17"/>
      <c r="P53" s="17"/>
      <c r="Q53" s="17"/>
    </row>
    <row r="54" spans="2:17" ht="15.75" x14ac:dyDescent="0.25">
      <c r="B54" s="987"/>
      <c r="C54" s="267" t="s">
        <v>429</v>
      </c>
      <c r="D54" s="77">
        <v>16.52</v>
      </c>
      <c r="E54" s="234">
        <v>1.26</v>
      </c>
      <c r="F54" s="77">
        <v>0.7</v>
      </c>
      <c r="G54" s="268">
        <v>0.64400000000000002</v>
      </c>
      <c r="H54" s="33">
        <v>14</v>
      </c>
      <c r="I54" s="269">
        <v>1.5</v>
      </c>
      <c r="J54" s="33">
        <v>0.62</v>
      </c>
      <c r="K54" s="254">
        <v>0.57040000000000002</v>
      </c>
      <c r="L54" s="17"/>
      <c r="M54" s="17"/>
      <c r="N54" s="17"/>
      <c r="O54" s="17"/>
      <c r="P54" s="17"/>
      <c r="Q54" s="17"/>
    </row>
    <row r="55" spans="2:17" ht="15.75" x14ac:dyDescent="0.25">
      <c r="B55" s="978"/>
      <c r="C55" s="255" t="s">
        <v>430</v>
      </c>
      <c r="D55" s="256">
        <v>15.34</v>
      </c>
      <c r="E55" s="257">
        <v>1.05</v>
      </c>
      <c r="F55" s="256">
        <v>0.6</v>
      </c>
      <c r="G55" s="258">
        <v>0.55200000000000005</v>
      </c>
      <c r="H55" s="256">
        <v>13</v>
      </c>
      <c r="I55" s="259">
        <v>1.25</v>
      </c>
      <c r="J55" s="256">
        <v>0.53</v>
      </c>
      <c r="K55" s="260">
        <v>0.48760000000000003</v>
      </c>
      <c r="L55" s="17"/>
      <c r="M55" s="17"/>
      <c r="N55" s="17"/>
    </row>
    <row r="56" spans="2:17" ht="15.75" x14ac:dyDescent="0.25">
      <c r="B56" s="978"/>
      <c r="C56" s="250" t="s">
        <v>432</v>
      </c>
      <c r="D56" s="212">
        <v>14.16</v>
      </c>
      <c r="E56" s="251">
        <v>0.95</v>
      </c>
      <c r="F56" s="212">
        <v>0.5</v>
      </c>
      <c r="G56" s="252">
        <v>0.46</v>
      </c>
      <c r="H56" s="31">
        <v>12</v>
      </c>
      <c r="I56" s="253">
        <v>1.1299999999999999</v>
      </c>
      <c r="J56" s="31">
        <v>0.45</v>
      </c>
      <c r="K56" s="254">
        <v>0.41400000000000003</v>
      </c>
      <c r="L56" s="17"/>
      <c r="M56" s="17"/>
      <c r="N56" s="17"/>
    </row>
    <row r="57" spans="2:17" ht="15.75" x14ac:dyDescent="0.25">
      <c r="B57" s="978"/>
      <c r="C57" s="255" t="s">
        <v>435</v>
      </c>
      <c r="D57" s="256">
        <v>12.98</v>
      </c>
      <c r="E57" s="257">
        <v>0.9</v>
      </c>
      <c r="F57" s="256">
        <v>0.5</v>
      </c>
      <c r="G57" s="258">
        <v>0.46</v>
      </c>
      <c r="H57" s="256">
        <v>11</v>
      </c>
      <c r="I57" s="259">
        <v>1.07</v>
      </c>
      <c r="J57" s="256">
        <v>0.45</v>
      </c>
      <c r="K57" s="260">
        <v>0.41400000000000003</v>
      </c>
      <c r="L57" s="17"/>
      <c r="M57" s="17"/>
      <c r="N57" s="17"/>
    </row>
    <row r="58" spans="2:17" ht="15.75" x14ac:dyDescent="0.25">
      <c r="B58" s="978" t="s">
        <v>463</v>
      </c>
      <c r="C58" s="250" t="s">
        <v>401</v>
      </c>
      <c r="D58" s="212">
        <v>12.98</v>
      </c>
      <c r="E58" s="251">
        <v>0.84</v>
      </c>
      <c r="F58" s="212">
        <v>0.5</v>
      </c>
      <c r="G58" s="252">
        <v>0.46</v>
      </c>
      <c r="H58" s="31">
        <v>11</v>
      </c>
      <c r="I58" s="253">
        <v>1</v>
      </c>
      <c r="J58" s="31">
        <v>0.45</v>
      </c>
      <c r="K58" s="254">
        <v>0.41400000000000003</v>
      </c>
      <c r="L58" s="17"/>
      <c r="M58" s="17"/>
      <c r="N58" s="17"/>
    </row>
    <row r="59" spans="2:17" ht="15.75" x14ac:dyDescent="0.25">
      <c r="B59" s="978"/>
      <c r="C59" s="255" t="s">
        <v>458</v>
      </c>
      <c r="D59" s="256">
        <v>9.64</v>
      </c>
      <c r="E59" s="257">
        <v>0.68</v>
      </c>
      <c r="F59" s="256">
        <v>0.36</v>
      </c>
      <c r="G59" s="258">
        <v>0.33119999999999999</v>
      </c>
      <c r="H59" s="256">
        <v>8.17</v>
      </c>
      <c r="I59" s="259">
        <v>0.81</v>
      </c>
      <c r="J59" s="256">
        <v>0.32</v>
      </c>
      <c r="K59" s="260">
        <v>0.2944</v>
      </c>
      <c r="L59" s="17"/>
      <c r="M59" s="17"/>
      <c r="N59" s="17"/>
    </row>
    <row r="60" spans="2:17" ht="15.75" x14ac:dyDescent="0.25">
      <c r="B60" s="978"/>
      <c r="C60" s="250" t="s">
        <v>464</v>
      </c>
      <c r="D60" s="212">
        <v>7.31</v>
      </c>
      <c r="E60" s="251">
        <v>0.68</v>
      </c>
      <c r="F60" s="212">
        <v>0.36</v>
      </c>
      <c r="G60" s="252">
        <v>0.33119999999999999</v>
      </c>
      <c r="H60" s="31">
        <v>7.31</v>
      </c>
      <c r="I60" s="253">
        <v>0.81</v>
      </c>
      <c r="J60" s="31">
        <v>0.32</v>
      </c>
      <c r="K60" s="254">
        <v>0.2944</v>
      </c>
      <c r="L60" s="17"/>
      <c r="M60" s="17"/>
      <c r="N60" s="17"/>
    </row>
    <row r="61" spans="2:17" ht="15.75" x14ac:dyDescent="0.25">
      <c r="B61" s="978"/>
      <c r="C61" s="255" t="s">
        <v>465</v>
      </c>
      <c r="D61" s="256">
        <v>5.0999999999999996</v>
      </c>
      <c r="E61" s="257">
        <v>0.68</v>
      </c>
      <c r="F61" s="256">
        <v>0.15</v>
      </c>
      <c r="G61" s="258">
        <v>0.13800000000000001</v>
      </c>
      <c r="H61" s="256">
        <v>5.0999999999999996</v>
      </c>
      <c r="I61" s="259">
        <v>0.81</v>
      </c>
      <c r="J61" s="256">
        <v>0.15</v>
      </c>
      <c r="K61" s="260">
        <v>0.13800000000000001</v>
      </c>
      <c r="L61" s="17"/>
      <c r="M61" s="17"/>
      <c r="N61" s="17"/>
    </row>
    <row r="62" spans="2:17" ht="16.5" thickBot="1" x14ac:dyDescent="0.3">
      <c r="B62" s="979"/>
      <c r="C62" s="276" t="s">
        <v>450</v>
      </c>
      <c r="D62" s="277">
        <v>3.99</v>
      </c>
      <c r="E62" s="278">
        <v>0.68</v>
      </c>
      <c r="F62" s="277">
        <v>0.08</v>
      </c>
      <c r="G62" s="279">
        <v>7.3599999999999999E-2</v>
      </c>
      <c r="H62" s="280">
        <v>3.99</v>
      </c>
      <c r="I62" s="281">
        <v>0.81</v>
      </c>
      <c r="J62" s="280">
        <v>0.08</v>
      </c>
      <c r="K62" s="282">
        <v>7.3599999999999999E-2</v>
      </c>
      <c r="L62" s="17"/>
      <c r="M62" s="17"/>
      <c r="N62" s="17"/>
    </row>
    <row r="63" spans="2:17" ht="15.75" x14ac:dyDescent="0.25">
      <c r="B63" s="977"/>
      <c r="C63" s="285" t="s">
        <v>429</v>
      </c>
      <c r="D63" s="246">
        <v>16.52</v>
      </c>
      <c r="E63" s="247">
        <v>1.26</v>
      </c>
      <c r="F63" s="246">
        <v>0.7</v>
      </c>
      <c r="G63" s="248">
        <v>0.64400000000000002</v>
      </c>
      <c r="H63" s="246">
        <v>14</v>
      </c>
      <c r="I63" s="249">
        <v>1.5</v>
      </c>
      <c r="J63" s="246">
        <v>0.62</v>
      </c>
      <c r="K63" s="247">
        <v>0.57040000000000002</v>
      </c>
      <c r="L63" s="17"/>
      <c r="M63" s="17"/>
      <c r="N63" s="17"/>
    </row>
    <row r="64" spans="2:17" ht="15.75" x14ac:dyDescent="0.25">
      <c r="B64" s="978"/>
      <c r="C64" s="250" t="s">
        <v>430</v>
      </c>
      <c r="D64" s="212">
        <v>15.34</v>
      </c>
      <c r="E64" s="251">
        <v>1.05</v>
      </c>
      <c r="F64" s="212">
        <v>0.6</v>
      </c>
      <c r="G64" s="252">
        <v>0.55200000000000005</v>
      </c>
      <c r="H64" s="31">
        <v>13</v>
      </c>
      <c r="I64" s="253">
        <v>1.25</v>
      </c>
      <c r="J64" s="31">
        <v>0.53</v>
      </c>
      <c r="K64" s="254">
        <v>0.48760000000000003</v>
      </c>
      <c r="L64" s="17"/>
      <c r="M64" s="17"/>
      <c r="N64" s="17"/>
    </row>
    <row r="65" spans="2:14" ht="15.75" x14ac:dyDescent="0.25">
      <c r="B65" s="978"/>
      <c r="C65" s="255" t="s">
        <v>432</v>
      </c>
      <c r="D65" s="256">
        <v>14.16</v>
      </c>
      <c r="E65" s="257">
        <v>0.95</v>
      </c>
      <c r="F65" s="256">
        <v>0.5</v>
      </c>
      <c r="G65" s="258">
        <v>0.46</v>
      </c>
      <c r="H65" s="256">
        <v>12</v>
      </c>
      <c r="I65" s="259">
        <v>1.1299999999999999</v>
      </c>
      <c r="J65" s="256">
        <v>0.45</v>
      </c>
      <c r="K65" s="260">
        <v>0.41400000000000003</v>
      </c>
      <c r="L65" s="17"/>
      <c r="M65" s="17"/>
      <c r="N65" s="17"/>
    </row>
    <row r="66" spans="2:14" ht="15.75" x14ac:dyDescent="0.25">
      <c r="B66" s="978"/>
      <c r="C66" s="250" t="s">
        <v>435</v>
      </c>
      <c r="D66" s="212">
        <v>12.98</v>
      </c>
      <c r="E66" s="251">
        <v>0.9</v>
      </c>
      <c r="F66" s="212">
        <v>0.5</v>
      </c>
      <c r="G66" s="252">
        <v>0.46</v>
      </c>
      <c r="H66" s="31">
        <v>11</v>
      </c>
      <c r="I66" s="253">
        <v>1.07</v>
      </c>
      <c r="J66" s="31">
        <v>0.45</v>
      </c>
      <c r="K66" s="254">
        <v>0.41400000000000003</v>
      </c>
      <c r="L66" s="17"/>
      <c r="M66" s="17"/>
      <c r="N66" s="17"/>
    </row>
    <row r="67" spans="2:14" ht="15.75" x14ac:dyDescent="0.25">
      <c r="B67" s="978"/>
      <c r="C67" s="255" t="s">
        <v>467</v>
      </c>
      <c r="D67" s="256">
        <v>12.98</v>
      </c>
      <c r="E67" s="257">
        <v>0.84</v>
      </c>
      <c r="F67" s="256">
        <v>0.5</v>
      </c>
      <c r="G67" s="258">
        <v>0.46</v>
      </c>
      <c r="H67" s="256">
        <v>11</v>
      </c>
      <c r="I67" s="259">
        <v>1</v>
      </c>
      <c r="J67" s="256">
        <v>0.45</v>
      </c>
      <c r="K67" s="260">
        <v>0.41400000000000003</v>
      </c>
      <c r="L67" s="17"/>
      <c r="M67" s="17"/>
      <c r="N67" s="17"/>
    </row>
    <row r="68" spans="2:14" ht="15.75" x14ac:dyDescent="0.25">
      <c r="B68" s="978" t="s">
        <v>466</v>
      </c>
      <c r="C68" s="250">
        <v>1999</v>
      </c>
      <c r="D68" s="212">
        <v>9.64</v>
      </c>
      <c r="E68" s="251">
        <v>0.68</v>
      </c>
      <c r="F68" s="212">
        <v>0.36</v>
      </c>
      <c r="G68" s="252">
        <v>0.33119999999999999</v>
      </c>
      <c r="H68" s="31">
        <v>8.17</v>
      </c>
      <c r="I68" s="253">
        <v>0.81</v>
      </c>
      <c r="J68" s="31">
        <v>0.32</v>
      </c>
      <c r="K68" s="254">
        <v>0.2944</v>
      </c>
      <c r="L68" s="17"/>
      <c r="M68" s="17"/>
      <c r="N68" s="17"/>
    </row>
    <row r="69" spans="2:14" ht="15.75" x14ac:dyDescent="0.25">
      <c r="B69" s="978"/>
      <c r="C69" s="255" t="s">
        <v>464</v>
      </c>
      <c r="D69" s="256">
        <v>7.31</v>
      </c>
      <c r="E69" s="257">
        <v>0.68</v>
      </c>
      <c r="F69" s="256">
        <v>0.36</v>
      </c>
      <c r="G69" s="258">
        <v>0.33119999999999999</v>
      </c>
      <c r="H69" s="256">
        <v>7.31</v>
      </c>
      <c r="I69" s="259">
        <v>0.81</v>
      </c>
      <c r="J69" s="256">
        <v>0.32</v>
      </c>
      <c r="K69" s="260">
        <v>0.2944</v>
      </c>
      <c r="L69" s="17"/>
      <c r="M69" s="17"/>
      <c r="N69" s="17"/>
    </row>
    <row r="70" spans="2:14" ht="15.75" x14ac:dyDescent="0.25">
      <c r="B70" s="978"/>
      <c r="C70" s="250" t="s">
        <v>468</v>
      </c>
      <c r="D70" s="212">
        <v>5.53</v>
      </c>
      <c r="E70" s="251">
        <v>0.68</v>
      </c>
      <c r="F70" s="212">
        <v>0.2</v>
      </c>
      <c r="G70" s="252">
        <v>0.18400000000000002</v>
      </c>
      <c r="H70" s="31">
        <v>5.53</v>
      </c>
      <c r="I70" s="253">
        <v>0.81</v>
      </c>
      <c r="J70" s="31">
        <v>0.2</v>
      </c>
      <c r="K70" s="254">
        <v>0.18400000000000002</v>
      </c>
      <c r="L70" s="17"/>
      <c r="M70" s="17"/>
      <c r="N70" s="17"/>
    </row>
    <row r="71" spans="2:14" ht="15.75" x14ac:dyDescent="0.25">
      <c r="B71" s="978"/>
      <c r="C71" s="255" t="s">
        <v>469</v>
      </c>
      <c r="D71" s="256">
        <v>4.09</v>
      </c>
      <c r="E71" s="257">
        <v>0.68</v>
      </c>
      <c r="F71" s="256">
        <v>0.08</v>
      </c>
      <c r="G71" s="258">
        <v>7.3599999999999999E-2</v>
      </c>
      <c r="H71" s="256">
        <v>4.09</v>
      </c>
      <c r="I71" s="259">
        <v>0.81</v>
      </c>
      <c r="J71" s="256">
        <v>0.08</v>
      </c>
      <c r="K71" s="260">
        <v>7.3599999999999999E-2</v>
      </c>
      <c r="L71" s="17"/>
      <c r="M71" s="17"/>
      <c r="N71" s="17"/>
    </row>
    <row r="72" spans="2:14" ht="16.5" thickBot="1" x14ac:dyDescent="0.3">
      <c r="B72" s="979"/>
      <c r="C72" s="291" t="s">
        <v>470</v>
      </c>
      <c r="D72" s="215">
        <v>1.3</v>
      </c>
      <c r="E72" s="236">
        <v>0.18</v>
      </c>
      <c r="F72" s="215">
        <v>0.03</v>
      </c>
      <c r="G72" s="292">
        <v>2.76E-2</v>
      </c>
      <c r="H72" s="36">
        <v>1.3</v>
      </c>
      <c r="I72" s="293">
        <v>0.18</v>
      </c>
      <c r="J72" s="36">
        <v>0.03</v>
      </c>
      <c r="K72" s="294">
        <v>2.76E-2</v>
      </c>
      <c r="L72" s="17"/>
      <c r="M72" s="17"/>
      <c r="N72" s="17"/>
    </row>
    <row r="73" spans="2:14" ht="15.75" x14ac:dyDescent="0.25">
      <c r="B73" s="983"/>
      <c r="C73" s="295" t="s">
        <v>429</v>
      </c>
      <c r="D73" s="296">
        <v>16.52</v>
      </c>
      <c r="E73" s="260">
        <v>1.26</v>
      </c>
      <c r="F73" s="296">
        <v>0.7</v>
      </c>
      <c r="G73" s="297">
        <v>0.64400000000000002</v>
      </c>
      <c r="H73" s="296">
        <v>14</v>
      </c>
      <c r="I73" s="298">
        <v>1.5</v>
      </c>
      <c r="J73" s="296">
        <v>0.62</v>
      </c>
      <c r="K73" s="260">
        <v>0.57040000000000002</v>
      </c>
      <c r="L73" s="17"/>
      <c r="M73" s="17"/>
      <c r="N73" s="17"/>
    </row>
    <row r="74" spans="2:14" ht="15.75" x14ac:dyDescent="0.25">
      <c r="B74" s="984"/>
      <c r="C74" s="250" t="s">
        <v>430</v>
      </c>
      <c r="D74" s="212">
        <v>15.34</v>
      </c>
      <c r="E74" s="251">
        <v>1.05</v>
      </c>
      <c r="F74" s="212">
        <v>0.6</v>
      </c>
      <c r="G74" s="252">
        <v>0.55200000000000005</v>
      </c>
      <c r="H74" s="31">
        <v>13</v>
      </c>
      <c r="I74" s="253">
        <v>1.25</v>
      </c>
      <c r="J74" s="31">
        <v>0.53</v>
      </c>
      <c r="K74" s="254">
        <v>0.48760000000000003</v>
      </c>
      <c r="L74" s="17"/>
      <c r="M74" s="17"/>
      <c r="N74" s="17"/>
    </row>
    <row r="75" spans="2:14" ht="15.75" x14ac:dyDescent="0.25">
      <c r="B75" s="984"/>
      <c r="C75" s="255" t="s">
        <v>432</v>
      </c>
      <c r="D75" s="256">
        <v>14.16</v>
      </c>
      <c r="E75" s="257">
        <v>0.95</v>
      </c>
      <c r="F75" s="256">
        <v>0.5</v>
      </c>
      <c r="G75" s="258">
        <v>0.46</v>
      </c>
      <c r="H75" s="256">
        <v>12</v>
      </c>
      <c r="I75" s="259">
        <v>1.1299999999999999</v>
      </c>
      <c r="J75" s="256">
        <v>0.45</v>
      </c>
      <c r="K75" s="260">
        <v>0.41400000000000003</v>
      </c>
      <c r="L75" s="17"/>
      <c r="M75" s="17"/>
      <c r="N75" s="17"/>
    </row>
    <row r="76" spans="2:14" ht="15.75" x14ac:dyDescent="0.25">
      <c r="B76" s="984"/>
      <c r="C76" s="250" t="s">
        <v>435</v>
      </c>
      <c r="D76" s="212">
        <v>12.98</v>
      </c>
      <c r="E76" s="251">
        <v>0.9</v>
      </c>
      <c r="F76" s="212">
        <v>0.5</v>
      </c>
      <c r="G76" s="252">
        <v>0.46</v>
      </c>
      <c r="H76" s="31">
        <v>11</v>
      </c>
      <c r="I76" s="253">
        <v>1.07</v>
      </c>
      <c r="J76" s="31">
        <v>0.45</v>
      </c>
      <c r="K76" s="254">
        <v>0.41400000000000003</v>
      </c>
      <c r="L76" s="17"/>
      <c r="M76" s="17"/>
      <c r="N76" s="17"/>
    </row>
    <row r="77" spans="2:14" ht="15.75" x14ac:dyDescent="0.25">
      <c r="B77" s="984" t="s">
        <v>471</v>
      </c>
      <c r="C77" s="255" t="s">
        <v>467</v>
      </c>
      <c r="D77" s="256">
        <v>12.98</v>
      </c>
      <c r="E77" s="257">
        <v>0.84</v>
      </c>
      <c r="F77" s="256">
        <v>0.5</v>
      </c>
      <c r="G77" s="258">
        <v>0.46</v>
      </c>
      <c r="H77" s="256">
        <v>11</v>
      </c>
      <c r="I77" s="259">
        <v>1</v>
      </c>
      <c r="J77" s="256">
        <v>0.45</v>
      </c>
      <c r="K77" s="260">
        <v>0.41400000000000003</v>
      </c>
      <c r="L77" s="17"/>
      <c r="M77" s="17"/>
      <c r="N77" s="17"/>
    </row>
    <row r="78" spans="2:14" ht="15.75" x14ac:dyDescent="0.25">
      <c r="B78" s="984"/>
      <c r="C78" s="250">
        <v>1999</v>
      </c>
      <c r="D78" s="212">
        <v>9.64</v>
      </c>
      <c r="E78" s="251">
        <v>0.68</v>
      </c>
      <c r="F78" s="212">
        <v>0.36</v>
      </c>
      <c r="G78" s="252">
        <v>0.33119999999999999</v>
      </c>
      <c r="H78" s="31">
        <v>8.17</v>
      </c>
      <c r="I78" s="253">
        <v>0.81</v>
      </c>
      <c r="J78" s="31">
        <v>0.32</v>
      </c>
      <c r="K78" s="254">
        <v>0.2944</v>
      </c>
      <c r="L78" s="17"/>
      <c r="M78" s="17"/>
      <c r="N78" s="17"/>
    </row>
    <row r="79" spans="2:14" ht="15.75" x14ac:dyDescent="0.25">
      <c r="B79" s="984"/>
      <c r="C79" s="255" t="s">
        <v>464</v>
      </c>
      <c r="D79" s="256">
        <v>7.31</v>
      </c>
      <c r="E79" s="257">
        <v>0.68</v>
      </c>
      <c r="F79" s="256">
        <v>0.36</v>
      </c>
      <c r="G79" s="258">
        <v>0.33119999999999999</v>
      </c>
      <c r="H79" s="256">
        <v>7.31</v>
      </c>
      <c r="I79" s="259">
        <v>0.81</v>
      </c>
      <c r="J79" s="256">
        <v>0.32</v>
      </c>
      <c r="K79" s="260">
        <v>0.2944</v>
      </c>
      <c r="L79" s="17"/>
      <c r="M79" s="17"/>
      <c r="N79" s="17"/>
    </row>
    <row r="80" spans="2:14" ht="15.75" x14ac:dyDescent="0.25">
      <c r="B80" s="984"/>
      <c r="C80" s="250" t="s">
        <v>465</v>
      </c>
      <c r="D80" s="212">
        <v>5.53</v>
      </c>
      <c r="E80" s="251">
        <v>0.68</v>
      </c>
      <c r="F80" s="212">
        <v>0.2</v>
      </c>
      <c r="G80" s="252">
        <v>0.18400000000000002</v>
      </c>
      <c r="H80" s="31">
        <v>5.53</v>
      </c>
      <c r="I80" s="253">
        <v>0.81</v>
      </c>
      <c r="J80" s="31">
        <v>0.2</v>
      </c>
      <c r="K80" s="254">
        <v>0.18400000000000002</v>
      </c>
      <c r="L80" s="17"/>
      <c r="M80" s="17"/>
      <c r="N80" s="17"/>
    </row>
    <row r="81" spans="2:14" ht="15.75" x14ac:dyDescent="0.25">
      <c r="B81" s="984"/>
      <c r="C81" s="255" t="s">
        <v>472</v>
      </c>
      <c r="D81" s="256">
        <v>4.37</v>
      </c>
      <c r="E81" s="257">
        <v>0.68</v>
      </c>
      <c r="F81" s="256">
        <v>0.1</v>
      </c>
      <c r="G81" s="258">
        <v>9.2000000000000012E-2</v>
      </c>
      <c r="H81" s="256">
        <v>4.37</v>
      </c>
      <c r="I81" s="259">
        <v>0.81</v>
      </c>
      <c r="J81" s="256">
        <v>0.1</v>
      </c>
      <c r="K81" s="260">
        <v>9.2000000000000012E-2</v>
      </c>
      <c r="L81" s="17"/>
      <c r="M81" s="17"/>
      <c r="N81" s="17"/>
    </row>
    <row r="82" spans="2:14" ht="16.5" thickBot="1" x14ac:dyDescent="0.3">
      <c r="B82" s="985"/>
      <c r="C82" s="276" t="s">
        <v>473</v>
      </c>
      <c r="D82" s="277">
        <v>1.3</v>
      </c>
      <c r="E82" s="278">
        <v>0.18</v>
      </c>
      <c r="F82" s="277">
        <v>0.03</v>
      </c>
      <c r="G82" s="279">
        <v>2.76E-2</v>
      </c>
      <c r="H82" s="280">
        <v>1.3</v>
      </c>
      <c r="I82" s="281">
        <v>0.18</v>
      </c>
      <c r="J82" s="280">
        <v>0.03</v>
      </c>
      <c r="K82" s="282">
        <v>2.76E-2</v>
      </c>
      <c r="L82" s="17"/>
      <c r="M82" s="17"/>
      <c r="N82" s="17"/>
    </row>
    <row r="83" spans="2:14" ht="15.75" x14ac:dyDescent="0.25">
      <c r="B83" s="986"/>
      <c r="C83" s="285" t="s">
        <v>429</v>
      </c>
      <c r="D83" s="246">
        <v>16.52</v>
      </c>
      <c r="E83" s="247">
        <v>1.26</v>
      </c>
      <c r="F83" s="246">
        <v>0.7</v>
      </c>
      <c r="G83" s="248">
        <v>0.64400000000000002</v>
      </c>
      <c r="H83" s="246">
        <v>14</v>
      </c>
      <c r="I83" s="249">
        <v>1.5</v>
      </c>
      <c r="J83" s="246">
        <v>0.62</v>
      </c>
      <c r="K83" s="247">
        <v>0.57040000000000002</v>
      </c>
      <c r="L83" s="17"/>
      <c r="M83" s="17"/>
      <c r="N83" s="17"/>
    </row>
    <row r="84" spans="2:14" ht="15.75" x14ac:dyDescent="0.25">
      <c r="B84" s="984"/>
      <c r="C84" s="250" t="s">
        <v>430</v>
      </c>
      <c r="D84" s="212">
        <v>15.34</v>
      </c>
      <c r="E84" s="251">
        <v>1.05</v>
      </c>
      <c r="F84" s="212">
        <v>0.6</v>
      </c>
      <c r="G84" s="252">
        <v>0.55200000000000005</v>
      </c>
      <c r="H84" s="31">
        <v>13</v>
      </c>
      <c r="I84" s="253">
        <v>1.25</v>
      </c>
      <c r="J84" s="31">
        <v>0.53</v>
      </c>
      <c r="K84" s="254">
        <v>0.48760000000000003</v>
      </c>
      <c r="L84" s="17"/>
      <c r="M84" s="17"/>
      <c r="N84" s="17"/>
    </row>
    <row r="85" spans="2:14" ht="15.75" x14ac:dyDescent="0.25">
      <c r="B85" s="984"/>
      <c r="C85" s="255" t="s">
        <v>432</v>
      </c>
      <c r="D85" s="256">
        <v>14.16</v>
      </c>
      <c r="E85" s="257">
        <v>0.95</v>
      </c>
      <c r="F85" s="256">
        <v>0.5</v>
      </c>
      <c r="G85" s="258">
        <v>0.46</v>
      </c>
      <c r="H85" s="256">
        <v>12</v>
      </c>
      <c r="I85" s="259">
        <v>1.1299999999999999</v>
      </c>
      <c r="J85" s="256">
        <v>0.45</v>
      </c>
      <c r="K85" s="260">
        <v>0.41400000000000003</v>
      </c>
      <c r="L85" s="17"/>
      <c r="M85" s="17"/>
      <c r="N85" s="17"/>
    </row>
    <row r="86" spans="2:14" ht="15.75" x14ac:dyDescent="0.25">
      <c r="B86" s="984"/>
      <c r="C86" s="250" t="s">
        <v>435</v>
      </c>
      <c r="D86" s="212">
        <v>12.98</v>
      </c>
      <c r="E86" s="251">
        <v>0.9</v>
      </c>
      <c r="F86" s="212">
        <v>0.5</v>
      </c>
      <c r="G86" s="252">
        <v>0.46</v>
      </c>
      <c r="H86" s="31">
        <v>11</v>
      </c>
      <c r="I86" s="253">
        <v>1.07</v>
      </c>
      <c r="J86" s="31">
        <v>0.45</v>
      </c>
      <c r="K86" s="254">
        <v>0.41400000000000003</v>
      </c>
      <c r="L86" s="17"/>
      <c r="M86" s="17"/>
      <c r="N86" s="17"/>
    </row>
    <row r="87" spans="2:14" ht="15.75" x14ac:dyDescent="0.25">
      <c r="B87" s="984" t="s">
        <v>474</v>
      </c>
      <c r="C87" s="255" t="s">
        <v>467</v>
      </c>
      <c r="D87" s="256">
        <v>12.98</v>
      </c>
      <c r="E87" s="257">
        <v>0.84</v>
      </c>
      <c r="F87" s="256">
        <v>0.5</v>
      </c>
      <c r="G87" s="258">
        <v>0.46</v>
      </c>
      <c r="H87" s="256">
        <v>11</v>
      </c>
      <c r="I87" s="259">
        <v>1</v>
      </c>
      <c r="J87" s="256">
        <v>0.45</v>
      </c>
      <c r="K87" s="260">
        <v>0.41400000000000003</v>
      </c>
      <c r="L87" s="17"/>
      <c r="M87" s="17"/>
      <c r="N87" s="17"/>
    </row>
    <row r="88" spans="2:14" ht="15.75" x14ac:dyDescent="0.25">
      <c r="B88" s="984"/>
      <c r="C88" s="250">
        <v>1999</v>
      </c>
      <c r="D88" s="212">
        <v>9.64</v>
      </c>
      <c r="E88" s="251">
        <v>0.68</v>
      </c>
      <c r="F88" s="212">
        <v>0.36</v>
      </c>
      <c r="G88" s="252">
        <v>0.33119999999999999</v>
      </c>
      <c r="H88" s="31">
        <v>8.17</v>
      </c>
      <c r="I88" s="253">
        <v>0.81</v>
      </c>
      <c r="J88" s="31">
        <v>0.32</v>
      </c>
      <c r="K88" s="254">
        <v>0.2944</v>
      </c>
      <c r="L88" s="17"/>
      <c r="M88" s="17"/>
      <c r="N88" s="17"/>
    </row>
    <row r="89" spans="2:14" ht="15.75" x14ac:dyDescent="0.25">
      <c r="B89" s="984"/>
      <c r="C89" s="255" t="s">
        <v>464</v>
      </c>
      <c r="D89" s="256">
        <v>7.31</v>
      </c>
      <c r="E89" s="257">
        <v>0.68</v>
      </c>
      <c r="F89" s="256">
        <v>0.36</v>
      </c>
      <c r="G89" s="258">
        <v>0.33119999999999999</v>
      </c>
      <c r="H89" s="256">
        <v>7.31</v>
      </c>
      <c r="I89" s="259">
        <v>0.81</v>
      </c>
      <c r="J89" s="256">
        <v>0.32</v>
      </c>
      <c r="K89" s="260">
        <v>0.2944</v>
      </c>
      <c r="L89" s="17"/>
      <c r="M89" s="17"/>
      <c r="N89" s="17"/>
    </row>
    <row r="90" spans="2:14" ht="15.75" x14ac:dyDescent="0.25">
      <c r="B90" s="984"/>
      <c r="C90" s="250" t="s">
        <v>475</v>
      </c>
      <c r="D90" s="212">
        <v>5.53</v>
      </c>
      <c r="E90" s="251">
        <v>0.68</v>
      </c>
      <c r="F90" s="212">
        <v>0.2</v>
      </c>
      <c r="G90" s="252">
        <v>0.18400000000000002</v>
      </c>
      <c r="H90" s="31">
        <v>5.53</v>
      </c>
      <c r="I90" s="253">
        <v>0.81</v>
      </c>
      <c r="J90" s="31">
        <v>0.2</v>
      </c>
      <c r="K90" s="254">
        <v>0.18400000000000002</v>
      </c>
      <c r="L90" s="17"/>
      <c r="M90" s="17"/>
      <c r="N90" s="17"/>
    </row>
    <row r="91" spans="2:14" ht="15.75" x14ac:dyDescent="0.25">
      <c r="B91" s="984"/>
      <c r="C91" s="255" t="s">
        <v>476</v>
      </c>
      <c r="D91" s="256">
        <v>4.9400000000000004</v>
      </c>
      <c r="E91" s="257">
        <v>0.68</v>
      </c>
      <c r="F91" s="256">
        <v>0.25</v>
      </c>
      <c r="G91" s="258">
        <v>0.23</v>
      </c>
      <c r="H91" s="256">
        <v>4.9400000000000004</v>
      </c>
      <c r="I91" s="259">
        <v>0.81</v>
      </c>
      <c r="J91" s="256">
        <v>0.25</v>
      </c>
      <c r="K91" s="260">
        <v>0.23</v>
      </c>
      <c r="L91" s="17"/>
      <c r="M91" s="17"/>
      <c r="N91" s="17"/>
    </row>
    <row r="92" spans="2:14" ht="16.5" thickBot="1" x14ac:dyDescent="0.3">
      <c r="B92" s="985"/>
      <c r="C92" s="291" t="s">
        <v>473</v>
      </c>
      <c r="D92" s="215">
        <v>1.3</v>
      </c>
      <c r="E92" s="236">
        <v>0.18</v>
      </c>
      <c r="F92" s="215">
        <v>0.03</v>
      </c>
      <c r="G92" s="292">
        <v>2.76E-2</v>
      </c>
      <c r="H92" s="36">
        <v>1.3</v>
      </c>
      <c r="I92" s="293">
        <v>0.18</v>
      </c>
      <c r="J92" s="36">
        <v>0.03</v>
      </c>
      <c r="K92" s="294">
        <v>2.76E-2</v>
      </c>
      <c r="L92" s="17"/>
      <c r="M92" s="17"/>
      <c r="N92" s="17"/>
    </row>
    <row r="93" spans="2:14" ht="15.75" customHeight="1" x14ac:dyDescent="0.25">
      <c r="B93" s="989" t="s">
        <v>5093</v>
      </c>
      <c r="C93" s="988"/>
      <c r="D93" s="988"/>
      <c r="E93" s="988"/>
      <c r="F93" s="988"/>
      <c r="G93" s="988"/>
      <c r="H93" s="988"/>
      <c r="I93" s="988"/>
      <c r="J93" s="988"/>
      <c r="K93" s="988"/>
      <c r="L93" s="17"/>
      <c r="M93" s="17"/>
      <c r="N93" s="17"/>
    </row>
    <row r="94" spans="2:14" ht="15.75" x14ac:dyDescent="0.25">
      <c r="B94" s="989" t="s">
        <v>5094</v>
      </c>
      <c r="C94" s="988"/>
      <c r="D94" s="988"/>
      <c r="E94" s="988"/>
      <c r="F94" s="988"/>
      <c r="G94" s="988"/>
      <c r="H94" s="988"/>
      <c r="I94" s="988"/>
      <c r="J94" s="988"/>
      <c r="K94" s="988"/>
      <c r="L94" s="17"/>
      <c r="M94" s="17"/>
      <c r="N94" s="17"/>
    </row>
    <row r="95" spans="2:14" ht="15.75" x14ac:dyDescent="0.25">
      <c r="B95" s="989" t="s">
        <v>5095</v>
      </c>
      <c r="C95" s="988"/>
      <c r="D95" s="988"/>
      <c r="E95" s="988"/>
      <c r="F95" s="988"/>
      <c r="G95" s="988"/>
      <c r="H95" s="988"/>
      <c r="I95" s="988"/>
      <c r="J95" s="988"/>
      <c r="K95" s="988"/>
      <c r="L95" s="17"/>
      <c r="M95" s="17"/>
      <c r="N95" s="17"/>
    </row>
    <row r="96" spans="2:14" ht="15.75" x14ac:dyDescent="0.25">
      <c r="B96" s="989" t="s">
        <v>5096</v>
      </c>
      <c r="C96" s="988"/>
      <c r="D96" s="988"/>
      <c r="E96" s="988"/>
      <c r="F96" s="988"/>
      <c r="G96" s="988"/>
      <c r="H96" s="988"/>
      <c r="I96" s="988"/>
      <c r="J96" s="988"/>
      <c r="K96" s="988"/>
      <c r="L96" s="17"/>
      <c r="M96" s="17"/>
      <c r="N96" s="17"/>
    </row>
    <row r="97" spans="2:14" ht="16.5" thickBot="1" x14ac:dyDescent="0.3">
      <c r="B97" s="17"/>
      <c r="C97" s="17"/>
      <c r="D97" s="17"/>
      <c r="E97" s="17"/>
      <c r="F97" s="17"/>
      <c r="G97" s="17"/>
      <c r="H97" s="17"/>
      <c r="I97" s="17"/>
      <c r="J97" s="17"/>
      <c r="K97" s="17"/>
      <c r="L97" s="17"/>
      <c r="M97" s="17"/>
      <c r="N97" s="17"/>
    </row>
    <row r="98" spans="2:14" ht="15.75" x14ac:dyDescent="0.25">
      <c r="B98" s="299" t="s">
        <v>182</v>
      </c>
      <c r="C98" s="300"/>
      <c r="D98" s="300"/>
      <c r="E98" s="300"/>
      <c r="F98" s="300"/>
      <c r="G98" s="300"/>
      <c r="H98" s="300"/>
      <c r="I98" s="300"/>
      <c r="J98" s="300"/>
      <c r="K98" s="301"/>
      <c r="L98" s="17"/>
      <c r="M98" s="17"/>
      <c r="N98" s="17"/>
    </row>
    <row r="99" spans="2:14" ht="15.75" x14ac:dyDescent="0.25">
      <c r="B99" s="1010" t="s">
        <v>5097</v>
      </c>
      <c r="C99" s="385"/>
      <c r="D99" s="385"/>
      <c r="E99" s="385"/>
      <c r="F99" s="385"/>
      <c r="G99" s="385"/>
      <c r="H99" s="385"/>
      <c r="I99" s="385"/>
      <c r="J99" s="385"/>
      <c r="K99" s="1011"/>
      <c r="L99" s="17"/>
      <c r="M99" s="17"/>
      <c r="N99" s="17"/>
    </row>
    <row r="100" spans="2:14" ht="15.75" x14ac:dyDescent="0.25">
      <c r="B100" s="990" t="s">
        <v>5098</v>
      </c>
      <c r="C100" s="991"/>
      <c r="D100" s="991"/>
      <c r="E100" s="991"/>
      <c r="F100" s="991"/>
      <c r="G100" s="991"/>
      <c r="H100" s="991"/>
      <c r="I100" s="991"/>
      <c r="J100" s="991"/>
      <c r="K100" s="992"/>
      <c r="L100" s="17"/>
      <c r="M100" s="17"/>
      <c r="N100" s="17"/>
    </row>
    <row r="101" spans="2:14" ht="16.5" thickBot="1" x14ac:dyDescent="0.3">
      <c r="B101" s="229" t="s">
        <v>477</v>
      </c>
      <c r="C101" s="159"/>
      <c r="D101" s="159"/>
      <c r="E101" s="159"/>
      <c r="F101" s="159"/>
      <c r="G101" s="159"/>
      <c r="H101" s="159"/>
      <c r="I101" s="159"/>
      <c r="J101" s="159"/>
      <c r="K101" s="160"/>
      <c r="L101" s="17"/>
    </row>
  </sheetData>
  <sheetProtection algorithmName="SHA-512" hashValue="hl1+W8BCRvGfkl0AtoOSuA5XzohDhYmwb03mKlL5xAX12Tx0PD0cvin8edazZblTg/xFlF9zCPMgGzIGv5qFsg==" saltValue="pszo8OX0ePwZP2SWgnan+g==" spinCount="100000" sheet="1" objects="1" scenarios="1"/>
  <hyperlinks>
    <hyperlink ref="B101" r:id="rId1" tooltip="Link to Criteria Pollutant emission factors are derived from CARB's Emissions Estimation Methodology for Commercial Harbor Craft Operating in California"/>
  </hyperlinks>
  <pageMargins left="0.7" right="0.7" top="0.98479166666666662" bottom="0.75" header="0.3" footer="0.3"/>
  <pageSetup scale="65" fitToHeight="0" orientation="landscape" r:id="rId2"/>
  <headerFooter>
    <oddFooter>&amp;L&amp;"Avenir LT Std 55 Roman,Regular"&amp;12&amp;K000000FINAL November 1, 2019&amp;C&amp;"Avenir LT Std 55 Roman,Regular"&amp;12Page &amp;P of &amp;N&amp;R&amp;"Avenir LT Std 55 Roman,Regular"&amp;12&amp;K000000&amp;A</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Q43"/>
  <sheetViews>
    <sheetView showGridLines="0" zoomScaleNormal="100" workbookViewId="0"/>
  </sheetViews>
  <sheetFormatPr defaultRowHeight="15" x14ac:dyDescent="0.25"/>
  <cols>
    <col min="1" max="1" width="2.85546875" style="71" customWidth="1"/>
    <col min="2" max="2" width="33.5703125" style="71" bestFit="1" customWidth="1"/>
    <col min="3" max="3" width="9.28515625" style="71" bestFit="1" customWidth="1"/>
    <col min="4" max="4" width="9.5703125" style="71" bestFit="1" customWidth="1"/>
    <col min="5" max="6" width="9.28515625" style="71" bestFit="1" customWidth="1"/>
    <col min="7" max="7" width="9.85546875" style="71" customWidth="1"/>
    <col min="8" max="8" width="16" style="71" bestFit="1" customWidth="1"/>
    <col min="9" max="9" width="40" style="71" bestFit="1" customWidth="1"/>
    <col min="10" max="10" width="22.5703125" style="71" customWidth="1"/>
    <col min="11" max="15" width="9.140625" style="71"/>
    <col min="16" max="16" width="28.28515625" style="71" bestFit="1" customWidth="1"/>
    <col min="17" max="17" width="28.7109375" style="71" bestFit="1" customWidth="1"/>
    <col min="18" max="16384" width="9.140625" style="71"/>
  </cols>
  <sheetData>
    <row r="2" spans="2:17" ht="18.75" x14ac:dyDescent="0.3">
      <c r="H2" s="72"/>
    </row>
    <row r="3" spans="2:17" ht="18.75" x14ac:dyDescent="0.3">
      <c r="H3" s="73"/>
    </row>
    <row r="4" spans="2:17" ht="18.75" x14ac:dyDescent="0.3">
      <c r="H4" s="74"/>
    </row>
    <row r="8" spans="2:17" ht="15.95" customHeight="1" x14ac:dyDescent="0.25">
      <c r="B8" s="1081" t="s">
        <v>478</v>
      </c>
      <c r="C8" s="1082"/>
      <c r="D8" s="1082"/>
      <c r="E8" s="1082"/>
      <c r="F8" s="1082"/>
      <c r="G8" s="1082"/>
      <c r="H8" s="1082"/>
      <c r="I8" s="1082"/>
      <c r="J8" s="1083"/>
      <c r="K8" s="182"/>
      <c r="L8" s="182"/>
      <c r="M8" s="182"/>
      <c r="N8" s="182"/>
      <c r="O8" s="182"/>
      <c r="P8" s="182"/>
      <c r="Q8" s="182"/>
    </row>
    <row r="9" spans="2:17" ht="16.5" thickBot="1" x14ac:dyDescent="0.3">
      <c r="B9" s="82"/>
      <c r="C9" s="82"/>
      <c r="D9" s="82"/>
      <c r="E9" s="82"/>
      <c r="F9" s="82"/>
      <c r="G9" s="82"/>
      <c r="H9" s="82"/>
      <c r="I9" s="82"/>
      <c r="J9" s="82"/>
      <c r="K9" s="182"/>
      <c r="L9" s="182"/>
      <c r="M9" s="182"/>
      <c r="N9" s="182"/>
      <c r="O9" s="182"/>
      <c r="P9" s="182"/>
      <c r="Q9" s="182"/>
    </row>
    <row r="10" spans="2:17" ht="16.5" thickBot="1" x14ac:dyDescent="0.3">
      <c r="B10" s="962" t="s">
        <v>479</v>
      </c>
      <c r="C10" s="963"/>
      <c r="D10" s="963"/>
      <c r="E10" s="963"/>
      <c r="F10" s="964"/>
      <c r="G10" s="82"/>
      <c r="H10" s="82"/>
      <c r="I10" s="82"/>
      <c r="J10" s="82"/>
      <c r="K10" s="182"/>
      <c r="L10" s="182"/>
      <c r="M10" s="182"/>
      <c r="N10" s="182"/>
      <c r="O10" s="182"/>
      <c r="P10" s="182"/>
      <c r="Q10" s="182"/>
    </row>
    <row r="11" spans="2:17" ht="18.75" x14ac:dyDescent="0.35">
      <c r="B11" s="183"/>
      <c r="C11" s="184" t="s">
        <v>349</v>
      </c>
      <c r="D11" s="184" t="s">
        <v>4549</v>
      </c>
      <c r="E11" s="184" t="s">
        <v>4544</v>
      </c>
      <c r="F11" s="185" t="s">
        <v>4545</v>
      </c>
      <c r="G11" s="82"/>
      <c r="H11" s="82"/>
      <c r="I11" s="82"/>
      <c r="J11" s="82"/>
      <c r="K11" s="182"/>
      <c r="L11" s="182"/>
      <c r="M11" s="182"/>
      <c r="N11" s="182"/>
      <c r="O11" s="182"/>
      <c r="P11" s="182"/>
      <c r="Q11" s="182"/>
    </row>
    <row r="12" spans="2:17" ht="15.75" x14ac:dyDescent="0.25">
      <c r="B12" s="186" t="s">
        <v>480</v>
      </c>
      <c r="C12" s="187">
        <v>10.359090518399999</v>
      </c>
      <c r="D12" s="187">
        <v>187.29453600000002</v>
      </c>
      <c r="E12" s="187">
        <v>6.8107103999999996</v>
      </c>
      <c r="F12" s="188">
        <v>6.6063890879999994</v>
      </c>
      <c r="G12" s="82"/>
      <c r="H12" s="82"/>
      <c r="I12" s="82"/>
      <c r="J12" s="82"/>
      <c r="K12" s="182"/>
      <c r="L12" s="182"/>
      <c r="M12" s="182"/>
      <c r="N12" s="182"/>
      <c r="O12" s="182"/>
      <c r="P12" s="182"/>
      <c r="Q12" s="182"/>
    </row>
    <row r="13" spans="2:17" ht="16.5" thickBot="1" x14ac:dyDescent="0.3">
      <c r="B13" s="189" t="s">
        <v>481</v>
      </c>
      <c r="C13" s="190">
        <v>1.5937062335999999</v>
      </c>
      <c r="D13" s="190">
        <v>37.83728</v>
      </c>
      <c r="E13" s="190">
        <v>0.56755919999999993</v>
      </c>
      <c r="F13" s="191">
        <v>0.55053242399999991</v>
      </c>
      <c r="G13" s="82"/>
      <c r="H13" s="82"/>
      <c r="I13" s="82"/>
      <c r="J13" s="82"/>
      <c r="K13" s="182"/>
      <c r="L13" s="182"/>
      <c r="M13" s="182"/>
      <c r="N13" s="182"/>
      <c r="O13" s="182"/>
      <c r="P13" s="182"/>
      <c r="Q13" s="182"/>
    </row>
    <row r="14" spans="2:17" ht="16.5" thickBot="1" x14ac:dyDescent="0.3">
      <c r="B14" s="962" t="s">
        <v>482</v>
      </c>
      <c r="C14" s="963"/>
      <c r="D14" s="963"/>
      <c r="E14" s="963"/>
      <c r="F14" s="964"/>
      <c r="G14" s="82"/>
      <c r="H14" s="82"/>
      <c r="I14" s="82"/>
      <c r="J14" s="82"/>
      <c r="K14" s="182"/>
      <c r="L14" s="182"/>
      <c r="M14" s="182"/>
      <c r="N14" s="182"/>
      <c r="O14" s="182"/>
      <c r="P14" s="182"/>
      <c r="Q14" s="182"/>
    </row>
    <row r="15" spans="2:17" ht="18.75" x14ac:dyDescent="0.35">
      <c r="B15" s="183"/>
      <c r="C15" s="184" t="s">
        <v>349</v>
      </c>
      <c r="D15" s="184" t="s">
        <v>4549</v>
      </c>
      <c r="E15" s="184" t="s">
        <v>4544</v>
      </c>
      <c r="F15" s="185" t="s">
        <v>4545</v>
      </c>
      <c r="G15" s="82"/>
      <c r="H15" s="82"/>
      <c r="I15" s="82"/>
      <c r="J15" s="82"/>
      <c r="K15" s="182"/>
      <c r="L15" s="182"/>
      <c r="M15" s="182"/>
      <c r="N15" s="182"/>
      <c r="O15" s="182"/>
      <c r="P15" s="182"/>
      <c r="Q15" s="182"/>
    </row>
    <row r="16" spans="2:17" ht="15.75" x14ac:dyDescent="0.25">
      <c r="B16" s="186" t="s">
        <v>480</v>
      </c>
      <c r="C16" s="187">
        <v>5.6946239999999992</v>
      </c>
      <c r="D16" s="187">
        <v>102.96000000000001</v>
      </c>
      <c r="E16" s="187">
        <v>3.7439999999999998</v>
      </c>
      <c r="F16" s="188">
        <v>3.6316799999999998</v>
      </c>
      <c r="G16" s="82"/>
      <c r="H16" s="82"/>
      <c r="I16" s="82"/>
      <c r="J16" s="82"/>
      <c r="K16" s="182"/>
      <c r="L16" s="182"/>
      <c r="M16" s="182"/>
      <c r="N16" s="182"/>
      <c r="O16" s="182"/>
      <c r="P16" s="182"/>
      <c r="Q16" s="182"/>
    </row>
    <row r="17" spans="2:17" ht="16.5" thickBot="1" x14ac:dyDescent="0.3">
      <c r="B17" s="189" t="s">
        <v>481</v>
      </c>
      <c r="C17" s="449">
        <v>0.87609599999999999</v>
      </c>
      <c r="D17" s="190">
        <v>20.8</v>
      </c>
      <c r="E17" s="190">
        <v>0.312</v>
      </c>
      <c r="F17" s="191">
        <v>0.30263999999999996</v>
      </c>
      <c r="G17" s="82"/>
      <c r="H17" s="82"/>
      <c r="I17" s="82"/>
      <c r="J17" s="82"/>
      <c r="K17" s="182"/>
      <c r="L17" s="182"/>
      <c r="M17" s="182"/>
      <c r="N17" s="182"/>
      <c r="O17" s="182"/>
      <c r="P17" s="182"/>
      <c r="Q17" s="182"/>
    </row>
    <row r="18" spans="2:17" ht="16.5" thickBot="1" x14ac:dyDescent="0.3">
      <c r="B18" s="17"/>
      <c r="C18" s="17"/>
      <c r="D18" s="17"/>
      <c r="E18" s="17"/>
      <c r="F18" s="17"/>
      <c r="G18" s="17"/>
      <c r="H18" s="30"/>
      <c r="I18" s="87"/>
      <c r="J18" s="87"/>
      <c r="K18" s="87"/>
      <c r="L18" s="87"/>
      <c r="M18" s="192"/>
      <c r="N18" s="192"/>
      <c r="O18" s="193"/>
      <c r="P18" s="18"/>
      <c r="Q18" s="87"/>
    </row>
    <row r="19" spans="2:17" ht="16.5" thickBot="1" x14ac:dyDescent="0.3">
      <c r="B19" s="934" t="s">
        <v>483</v>
      </c>
      <c r="C19" s="935"/>
      <c r="D19" s="935"/>
      <c r="E19" s="935"/>
      <c r="F19" s="935"/>
      <c r="G19" s="936"/>
      <c r="H19" s="30"/>
      <c r="K19" s="87"/>
      <c r="L19" s="87"/>
      <c r="M19" s="192"/>
      <c r="N19" s="192"/>
      <c r="O19" s="17"/>
      <c r="P19" s="18"/>
      <c r="Q19" s="87"/>
    </row>
    <row r="20" spans="2:17" ht="16.5" thickBot="1" x14ac:dyDescent="0.3">
      <c r="B20" s="194"/>
      <c r="C20" s="937" t="s">
        <v>484</v>
      </c>
      <c r="D20" s="938"/>
      <c r="E20" s="938"/>
      <c r="F20" s="939"/>
      <c r="G20" s="195" t="s">
        <v>334</v>
      </c>
      <c r="H20" s="30"/>
      <c r="I20" s="942" t="s">
        <v>485</v>
      </c>
      <c r="J20" s="943"/>
      <c r="K20" s="87"/>
      <c r="L20" s="87"/>
      <c r="M20" s="192"/>
      <c r="N20" s="192"/>
      <c r="O20" s="17"/>
      <c r="P20" s="18"/>
      <c r="Q20" s="87"/>
    </row>
    <row r="21" spans="2:17" ht="19.5" thickBot="1" x14ac:dyDescent="0.3">
      <c r="B21" s="196" t="s">
        <v>486</v>
      </c>
      <c r="C21" s="197" t="s">
        <v>4550</v>
      </c>
      <c r="D21" s="197" t="s">
        <v>4551</v>
      </c>
      <c r="E21" s="197" t="s">
        <v>4552</v>
      </c>
      <c r="F21" s="198" t="s">
        <v>4553</v>
      </c>
      <c r="G21" s="199" t="s">
        <v>4554</v>
      </c>
      <c r="I21" s="200" t="s">
        <v>487</v>
      </c>
      <c r="J21" s="201">
        <v>1.8190999999999999</v>
      </c>
      <c r="K21" s="202" t="s">
        <v>155</v>
      </c>
      <c r="L21" s="87"/>
      <c r="M21" s="192"/>
      <c r="N21" s="192"/>
      <c r="O21" s="17"/>
      <c r="P21" s="18"/>
      <c r="Q21" s="87"/>
    </row>
    <row r="22" spans="2:17" ht="16.5" thickBot="1" x14ac:dyDescent="0.3">
      <c r="B22" s="203" t="s">
        <v>488</v>
      </c>
      <c r="C22" s="204">
        <v>0.48</v>
      </c>
      <c r="D22" s="205">
        <v>0.50544</v>
      </c>
      <c r="E22" s="204">
        <v>13</v>
      </c>
      <c r="F22" s="206">
        <v>0.31040000000000001</v>
      </c>
      <c r="G22" s="207">
        <v>0.32</v>
      </c>
      <c r="I22" s="208"/>
      <c r="J22" s="208"/>
      <c r="K22" s="208"/>
      <c r="L22" s="87"/>
      <c r="M22" s="192"/>
      <c r="N22" s="192"/>
      <c r="O22" s="17"/>
      <c r="P22" s="17"/>
      <c r="Q22" s="17"/>
    </row>
    <row r="23" spans="2:17" ht="15.75" x14ac:dyDescent="0.25">
      <c r="B23" s="203" t="s">
        <v>489</v>
      </c>
      <c r="C23" s="204">
        <v>0.48</v>
      </c>
      <c r="D23" s="205">
        <v>0.50544</v>
      </c>
      <c r="E23" s="204">
        <v>8.6</v>
      </c>
      <c r="F23" s="206">
        <v>0.31040000000000001</v>
      </c>
      <c r="G23" s="207">
        <v>0.32</v>
      </c>
      <c r="I23" s="940" t="s">
        <v>490</v>
      </c>
      <c r="J23" s="941"/>
      <c r="K23" s="208"/>
      <c r="L23" s="87"/>
      <c r="M23" s="192"/>
      <c r="N23" s="192"/>
      <c r="O23" s="17"/>
      <c r="P23" s="17"/>
      <c r="Q23" s="17"/>
    </row>
    <row r="24" spans="2:17" ht="32.25" thickBot="1" x14ac:dyDescent="0.3">
      <c r="B24" s="203" t="s">
        <v>491</v>
      </c>
      <c r="C24" s="204">
        <v>0.3</v>
      </c>
      <c r="D24" s="205">
        <v>0.31589999999999996</v>
      </c>
      <c r="E24" s="204">
        <v>7.2</v>
      </c>
      <c r="F24" s="206">
        <v>0.19400000000000001</v>
      </c>
      <c r="G24" s="207">
        <v>0.2</v>
      </c>
      <c r="I24" s="209" t="s">
        <v>492</v>
      </c>
      <c r="J24" s="210" t="s">
        <v>493</v>
      </c>
      <c r="K24" s="208"/>
      <c r="L24" s="87"/>
      <c r="M24" s="192"/>
      <c r="N24" s="192"/>
      <c r="O24" s="17"/>
      <c r="P24" s="17"/>
      <c r="Q24" s="17"/>
    </row>
    <row r="25" spans="2:17" ht="15.75" x14ac:dyDescent="0.25">
      <c r="B25" s="203" t="s">
        <v>494</v>
      </c>
      <c r="C25" s="204">
        <v>0.47</v>
      </c>
      <c r="D25" s="205">
        <v>0.49490999999999996</v>
      </c>
      <c r="E25" s="204">
        <v>6.7</v>
      </c>
      <c r="F25" s="206">
        <v>0.31040000000000001</v>
      </c>
      <c r="G25" s="207">
        <v>0.32</v>
      </c>
      <c r="I25" s="77" t="s">
        <v>495</v>
      </c>
      <c r="J25" s="211">
        <v>20.8</v>
      </c>
      <c r="K25" s="208"/>
      <c r="L25" s="87"/>
      <c r="M25" s="192"/>
      <c r="N25" s="192"/>
      <c r="O25" s="17"/>
      <c r="P25" s="17"/>
      <c r="Q25" s="17"/>
    </row>
    <row r="26" spans="2:17" ht="15.75" x14ac:dyDescent="0.25">
      <c r="B26" s="203" t="s">
        <v>496</v>
      </c>
      <c r="C26" s="204">
        <v>0.28999999999999998</v>
      </c>
      <c r="D26" s="205">
        <v>0.30536999999999997</v>
      </c>
      <c r="E26" s="204">
        <v>6.7</v>
      </c>
      <c r="F26" s="206">
        <v>0.19400000000000001</v>
      </c>
      <c r="G26" s="207">
        <v>0.2</v>
      </c>
      <c r="I26" s="212" t="s">
        <v>497</v>
      </c>
      <c r="J26" s="213">
        <v>18.2</v>
      </c>
      <c r="K26" s="208"/>
      <c r="L26" s="87"/>
      <c r="M26" s="214"/>
      <c r="N26" s="214"/>
      <c r="O26" s="17"/>
      <c r="P26" s="17"/>
      <c r="Q26" s="17"/>
    </row>
    <row r="27" spans="2:17" ht="16.5" thickBot="1" x14ac:dyDescent="0.3">
      <c r="B27" s="203" t="s">
        <v>480</v>
      </c>
      <c r="C27" s="204">
        <v>0.26</v>
      </c>
      <c r="D27" s="205">
        <v>0.27377999999999997</v>
      </c>
      <c r="E27" s="204">
        <v>4.95</v>
      </c>
      <c r="F27" s="206">
        <v>0.17459999999999998</v>
      </c>
      <c r="G27" s="207">
        <v>0.18</v>
      </c>
      <c r="I27" s="215" t="s">
        <v>498</v>
      </c>
      <c r="J27" s="216">
        <v>15.2</v>
      </c>
      <c r="K27" s="208"/>
      <c r="L27" s="91"/>
      <c r="M27" s="91"/>
      <c r="N27" s="91"/>
      <c r="O27" s="17"/>
      <c r="P27" s="17"/>
      <c r="Q27" s="17"/>
    </row>
    <row r="28" spans="2:17" ht="15.75" x14ac:dyDescent="0.25">
      <c r="B28" s="203" t="s">
        <v>499</v>
      </c>
      <c r="C28" s="204">
        <v>0.13</v>
      </c>
      <c r="D28" s="205">
        <v>0.13688999999999998</v>
      </c>
      <c r="E28" s="204">
        <v>4.95</v>
      </c>
      <c r="F28" s="206">
        <v>7.7600000000000002E-2</v>
      </c>
      <c r="G28" s="207">
        <v>0.08</v>
      </c>
      <c r="I28" s="208"/>
      <c r="J28" s="208"/>
      <c r="K28" s="208"/>
      <c r="L28" s="217"/>
      <c r="M28" s="217"/>
      <c r="N28" s="217"/>
      <c r="O28" s="17"/>
      <c r="P28" s="17"/>
      <c r="Q28" s="17"/>
    </row>
    <row r="29" spans="2:17" ht="15.75" customHeight="1" thickBot="1" x14ac:dyDescent="0.3">
      <c r="B29" s="218" t="s">
        <v>481</v>
      </c>
      <c r="C29" s="219">
        <v>0.04</v>
      </c>
      <c r="D29" s="220">
        <v>4.2119999999999998E-2</v>
      </c>
      <c r="E29" s="221">
        <v>1</v>
      </c>
      <c r="F29" s="222">
        <v>1.4549999999999999E-2</v>
      </c>
      <c r="G29" s="223">
        <v>1.4999999999999999E-2</v>
      </c>
      <c r="I29" s="208"/>
      <c r="J29" s="208"/>
      <c r="K29" s="208"/>
      <c r="L29" s="224"/>
      <c r="M29" s="224"/>
      <c r="N29" s="224"/>
      <c r="O29" s="17"/>
      <c r="P29" s="17"/>
      <c r="Q29" s="17"/>
    </row>
    <row r="30" spans="2:17" ht="15.75" customHeight="1" x14ac:dyDescent="0.25">
      <c r="B30" s="959" t="s">
        <v>500</v>
      </c>
      <c r="C30" s="960"/>
      <c r="D30" s="960"/>
      <c r="E30" s="960"/>
      <c r="F30" s="960"/>
      <c r="G30" s="961"/>
      <c r="H30" s="224"/>
      <c r="I30" s="224"/>
      <c r="J30" s="224"/>
      <c r="K30" s="224"/>
      <c r="L30" s="224"/>
      <c r="M30" s="224"/>
      <c r="N30" s="224"/>
      <c r="O30" s="17"/>
      <c r="P30" s="17"/>
      <c r="Q30" s="17"/>
    </row>
    <row r="31" spans="2:17" ht="15" customHeight="1" x14ac:dyDescent="0.25">
      <c r="B31" s="965" t="s">
        <v>4555</v>
      </c>
      <c r="C31" s="966"/>
      <c r="D31" s="966"/>
      <c r="E31" s="966"/>
      <c r="F31" s="966"/>
      <c r="G31" s="967"/>
      <c r="H31" s="224"/>
      <c r="I31" s="224"/>
      <c r="J31" s="224"/>
      <c r="K31" s="224"/>
      <c r="L31" s="224"/>
      <c r="M31" s="224"/>
      <c r="N31" s="224"/>
      <c r="O31" s="17"/>
      <c r="P31" s="17"/>
      <c r="Q31" s="17"/>
    </row>
    <row r="32" spans="2:17" ht="15.75" customHeight="1" x14ac:dyDescent="0.25">
      <c r="B32" s="944" t="s">
        <v>5090</v>
      </c>
      <c r="C32" s="945"/>
      <c r="D32" s="945"/>
      <c r="E32" s="945"/>
      <c r="F32" s="945"/>
      <c r="G32" s="946"/>
      <c r="H32" s="224"/>
      <c r="I32" s="224"/>
      <c r="J32" s="224"/>
      <c r="K32" s="224"/>
      <c r="L32" s="224"/>
      <c r="M32" s="224"/>
      <c r="N32" s="224"/>
      <c r="O32" s="17"/>
      <c r="P32" s="17"/>
      <c r="Q32" s="17"/>
    </row>
    <row r="33" spans="2:17" ht="13.5" customHeight="1" x14ac:dyDescent="0.25">
      <c r="B33" s="947" t="s">
        <v>5091</v>
      </c>
      <c r="C33" s="948"/>
      <c r="D33" s="948"/>
      <c r="E33" s="948"/>
      <c r="F33" s="948"/>
      <c r="G33" s="949"/>
      <c r="H33" s="224"/>
      <c r="I33" s="224"/>
      <c r="J33" s="224"/>
      <c r="K33" s="224"/>
      <c r="L33" s="224"/>
      <c r="M33" s="224"/>
      <c r="N33" s="224"/>
      <c r="O33" s="17"/>
      <c r="P33" s="17"/>
      <c r="Q33" s="17"/>
    </row>
    <row r="34" spans="2:17" ht="15" customHeight="1" x14ac:dyDescent="0.25">
      <c r="B34" s="950" t="s">
        <v>5092</v>
      </c>
      <c r="C34" s="951"/>
      <c r="D34" s="951"/>
      <c r="E34" s="951"/>
      <c r="F34" s="951"/>
      <c r="G34" s="952"/>
      <c r="H34" s="224"/>
      <c r="I34" s="224"/>
      <c r="J34" s="224"/>
      <c r="K34" s="224"/>
      <c r="L34" s="224"/>
      <c r="M34" s="224"/>
      <c r="N34" s="224"/>
      <c r="O34" s="17"/>
      <c r="P34" s="17"/>
      <c r="Q34" s="17"/>
    </row>
    <row r="35" spans="2:17" ht="15.75" customHeight="1" x14ac:dyDescent="0.25">
      <c r="B35" s="953" t="s">
        <v>5088</v>
      </c>
      <c r="C35" s="954"/>
      <c r="D35" s="954"/>
      <c r="E35" s="954"/>
      <c r="F35" s="954"/>
      <c r="G35" s="955"/>
      <c r="H35" s="224"/>
      <c r="I35" s="224"/>
      <c r="J35" s="224"/>
      <c r="K35" s="224"/>
      <c r="L35" s="224"/>
      <c r="M35" s="224"/>
      <c r="N35" s="224"/>
      <c r="O35" s="17"/>
      <c r="P35" s="17"/>
      <c r="Q35" s="17"/>
    </row>
    <row r="36" spans="2:17" ht="15.75" customHeight="1" thickBot="1" x14ac:dyDescent="0.3">
      <c r="B36" s="956" t="s">
        <v>5089</v>
      </c>
      <c r="C36" s="957"/>
      <c r="D36" s="957"/>
      <c r="E36" s="957"/>
      <c r="F36" s="957"/>
      <c r="G36" s="958"/>
      <c r="H36" s="225"/>
      <c r="I36" s="225"/>
      <c r="J36" s="225"/>
      <c r="K36" s="225"/>
      <c r="L36" s="225"/>
      <c r="M36" s="225"/>
      <c r="N36" s="225"/>
      <c r="O36" s="17"/>
      <c r="P36" s="17"/>
      <c r="Q36" s="17"/>
    </row>
    <row r="37" spans="2:17" ht="18.75" thickBot="1" x14ac:dyDescent="0.3">
      <c r="B37" s="17"/>
      <c r="C37" s="17"/>
      <c r="D37" s="17"/>
      <c r="E37" s="17"/>
      <c r="F37" s="17"/>
      <c r="G37" s="17"/>
      <c r="H37" s="225"/>
      <c r="I37" s="225"/>
      <c r="J37" s="225"/>
      <c r="K37" s="225"/>
      <c r="L37" s="225"/>
      <c r="M37" s="225"/>
      <c r="N37" s="225"/>
      <c r="O37" s="17"/>
      <c r="P37" s="17"/>
      <c r="Q37" s="17"/>
    </row>
    <row r="38" spans="2:17" ht="15.75" x14ac:dyDescent="0.25">
      <c r="B38" s="377" t="s">
        <v>182</v>
      </c>
      <c r="C38" s="378"/>
      <c r="D38" s="378"/>
      <c r="E38" s="378"/>
      <c r="F38" s="378"/>
      <c r="G38" s="378"/>
      <c r="H38" s="378"/>
      <c r="I38" s="378"/>
      <c r="J38" s="379"/>
      <c r="K38" s="18"/>
      <c r="L38" s="18"/>
      <c r="M38" s="18"/>
      <c r="N38" s="18"/>
      <c r="O38" s="18"/>
      <c r="P38" s="17"/>
      <c r="Q38" s="17"/>
    </row>
    <row r="39" spans="2:17" ht="15.75" x14ac:dyDescent="0.25">
      <c r="B39" s="226" t="s">
        <v>501</v>
      </c>
      <c r="C39" s="18"/>
      <c r="D39" s="18"/>
      <c r="E39" s="18"/>
      <c r="F39" s="18"/>
      <c r="G39" s="18"/>
      <c r="H39" s="18"/>
      <c r="I39" s="18"/>
      <c r="J39" s="227"/>
      <c r="K39" s="18"/>
      <c r="L39" s="18"/>
      <c r="M39" s="18"/>
      <c r="N39" s="18"/>
      <c r="O39" s="18"/>
      <c r="P39" s="17"/>
      <c r="Q39" s="17"/>
    </row>
    <row r="40" spans="2:17" ht="15.75" x14ac:dyDescent="0.25">
      <c r="B40" s="228" t="s">
        <v>502</v>
      </c>
      <c r="C40" s="18"/>
      <c r="D40" s="18"/>
      <c r="E40" s="18"/>
      <c r="F40" s="18"/>
      <c r="G40" s="18"/>
      <c r="H40" s="18"/>
      <c r="I40" s="18"/>
      <c r="J40" s="227"/>
      <c r="K40" s="18"/>
      <c r="L40" s="18"/>
      <c r="M40" s="18"/>
      <c r="N40" s="18"/>
      <c r="O40" s="18"/>
      <c r="P40" s="17"/>
      <c r="Q40" s="17"/>
    </row>
    <row r="41" spans="2:17" ht="15.75" x14ac:dyDescent="0.25">
      <c r="B41" s="149" t="s">
        <v>503</v>
      </c>
      <c r="C41" s="64"/>
      <c r="D41" s="64"/>
      <c r="E41" s="64"/>
      <c r="F41" s="64"/>
      <c r="G41" s="64"/>
      <c r="H41" s="64"/>
      <c r="I41" s="64"/>
      <c r="J41" s="148"/>
      <c r="K41" s="17"/>
      <c r="L41" s="17"/>
      <c r="M41" s="17"/>
      <c r="N41" s="17"/>
      <c r="O41" s="17"/>
      <c r="P41" s="17"/>
      <c r="Q41" s="17"/>
    </row>
    <row r="42" spans="2:17" ht="16.5" thickBot="1" x14ac:dyDescent="0.3">
      <c r="B42" s="229" t="s">
        <v>504</v>
      </c>
      <c r="C42" s="159"/>
      <c r="D42" s="159"/>
      <c r="E42" s="159"/>
      <c r="F42" s="159"/>
      <c r="G42" s="159"/>
      <c r="H42" s="159"/>
      <c r="I42" s="159"/>
      <c r="J42" s="160"/>
      <c r="K42" s="17"/>
      <c r="L42" s="17"/>
      <c r="M42" s="17"/>
      <c r="N42" s="17"/>
      <c r="O42" s="17"/>
      <c r="P42" s="17"/>
      <c r="Q42" s="17"/>
    </row>
    <row r="43" spans="2:17" ht="15.75" x14ac:dyDescent="0.25">
      <c r="B43" s="17"/>
      <c r="C43" s="17"/>
      <c r="D43" s="17"/>
      <c r="E43" s="17"/>
      <c r="F43" s="17"/>
      <c r="G43" s="17"/>
      <c r="H43" s="17"/>
      <c r="I43" s="17"/>
      <c r="J43" s="17"/>
      <c r="K43" s="17"/>
      <c r="L43" s="17"/>
      <c r="M43" s="17"/>
      <c r="N43" s="17"/>
      <c r="O43" s="17"/>
      <c r="P43" s="17"/>
      <c r="Q43" s="17"/>
    </row>
  </sheetData>
  <sheetProtection algorithmName="SHA-512" hashValue="JWJ/RiNmxDhMnZP3+dCgKRcwlP6TtfJQRG+gIKv81iHv3ShDh+Qo5haCxRCCY5jwyHVQLP/TT+XiVrAj93RkWw==" saltValue="aJ+hBKr5z0uiYGVuLV638Q==" spinCount="100000" sheet="1" objects="1" scenarios="1"/>
  <hyperlinks>
    <hyperlink ref="B40" r:id="rId1" tooltip="Link to Locomotive emission factors codified at 40 CFR part 1033"/>
    <hyperlink ref="B42" r:id="rId2" tooltip="Link to Criteria pollutant emission factors are derived from US EPA Emission Factors for Locomotives, EPA-420-F-09-025"/>
  </hyperlinks>
  <pageMargins left="0.7" right="0.7" top="0.98479166666666662" bottom="0.75" header="0.3" footer="0.3"/>
  <pageSetup scale="65" orientation="landscape" r:id="rId3"/>
  <headerFooter>
    <oddFooter>&amp;L&amp;"Avenir LT Std 55 Roman,Regular"&amp;12&amp;K000000FINAL November 1, 2019&amp;C&amp;"Avenir LT Std 55 Roman,Regular"&amp;12Page &amp;P of &amp;N&amp;R&amp;"Avenir LT Std 55 Roman,Regular"&amp;12&amp;K000000&amp;A</oddFooter>
  </headerFooter>
  <drawing r:id="rId4"/>
  <legacyDrawingHF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R573"/>
  <sheetViews>
    <sheetView showGridLines="0" zoomScaleNormal="100" workbookViewId="0"/>
  </sheetViews>
  <sheetFormatPr defaultRowHeight="15" x14ac:dyDescent="0.25"/>
  <cols>
    <col min="1" max="1" width="3.42578125" style="71" customWidth="1"/>
    <col min="2" max="2" width="12.140625" style="71" customWidth="1"/>
    <col min="3" max="3" width="9.140625" style="71" customWidth="1"/>
    <col min="4" max="4" width="15.5703125" style="71" bestFit="1" customWidth="1"/>
    <col min="5" max="5" width="9.140625" style="302"/>
    <col min="6" max="7" width="12" style="302" bestFit="1" customWidth="1"/>
    <col min="8" max="8" width="12.85546875" style="302" bestFit="1" customWidth="1"/>
    <col min="9" max="9" width="15.140625" style="302" customWidth="1"/>
    <col min="10" max="10" width="11.28515625" style="302" customWidth="1"/>
    <col min="11" max="11" width="15.85546875" style="302" customWidth="1"/>
    <col min="12" max="12" width="12.140625" style="71" customWidth="1"/>
    <col min="13" max="13" width="11.85546875" style="71" customWidth="1"/>
    <col min="14" max="14" width="11" style="71" customWidth="1"/>
    <col min="15" max="15" width="10.42578125" style="71" customWidth="1"/>
    <col min="16" max="16" width="11.28515625" style="71" customWidth="1"/>
    <col min="17" max="17" width="14.140625" style="71" customWidth="1"/>
    <col min="18" max="18" width="3.85546875" style="71" customWidth="1"/>
    <col min="19" max="19" width="6.140625" style="71" customWidth="1"/>
    <col min="20" max="16384" width="9.140625" style="71"/>
  </cols>
  <sheetData>
    <row r="2" spans="2:18" ht="18.75" x14ac:dyDescent="0.3">
      <c r="H2" s="72"/>
    </row>
    <row r="3" spans="2:18" ht="18.75" x14ac:dyDescent="0.3">
      <c r="H3" s="73"/>
    </row>
    <row r="4" spans="2:18" ht="18.75" x14ac:dyDescent="0.3">
      <c r="H4" s="74"/>
    </row>
    <row r="7" spans="2:18" ht="15.75" thickBot="1" x14ac:dyDescent="0.3"/>
    <row r="8" spans="2:18" ht="15.95" customHeight="1" x14ac:dyDescent="0.25">
      <c r="B8" s="971" t="s">
        <v>505</v>
      </c>
      <c r="C8" s="972"/>
      <c r="D8" s="972"/>
      <c r="E8" s="972"/>
      <c r="F8" s="972"/>
      <c r="G8" s="972"/>
      <c r="H8" s="972"/>
      <c r="I8" s="972"/>
      <c r="J8" s="972"/>
      <c r="K8" s="972"/>
      <c r="L8" s="972"/>
      <c r="M8" s="972"/>
      <c r="N8" s="972"/>
      <c r="O8" s="972"/>
      <c r="P8" s="972"/>
      <c r="Q8" s="972"/>
      <c r="R8" s="973"/>
    </row>
    <row r="9" spans="2:18" ht="15.75" x14ac:dyDescent="0.25">
      <c r="B9" s="931" t="s">
        <v>182</v>
      </c>
      <c r="C9" s="932"/>
      <c r="D9" s="932"/>
      <c r="E9" s="932"/>
      <c r="F9" s="932"/>
      <c r="G9" s="932"/>
      <c r="H9" s="932"/>
      <c r="I9" s="932"/>
      <c r="J9" s="932"/>
      <c r="K9" s="932"/>
      <c r="L9" s="932"/>
      <c r="M9" s="932"/>
      <c r="N9" s="932"/>
      <c r="O9" s="932"/>
      <c r="P9" s="932"/>
      <c r="Q9" s="932"/>
      <c r="R9" s="933"/>
    </row>
    <row r="10" spans="2:18" ht="15.75" x14ac:dyDescent="0.25">
      <c r="B10" s="149" t="s">
        <v>4591</v>
      </c>
      <c r="C10" s="64"/>
      <c r="D10" s="64"/>
      <c r="E10" s="64"/>
      <c r="F10" s="64"/>
      <c r="G10" s="305"/>
      <c r="H10" s="497"/>
      <c r="I10" s="497"/>
      <c r="J10" s="497"/>
      <c r="K10" s="305"/>
      <c r="L10" s="305"/>
      <c r="M10" s="305"/>
      <c r="N10" s="305"/>
      <c r="O10" s="305"/>
      <c r="P10" s="305"/>
      <c r="Q10" s="305"/>
      <c r="R10" s="306"/>
    </row>
    <row r="11" spans="2:18" ht="15.75" x14ac:dyDescent="0.25">
      <c r="B11" s="149" t="s">
        <v>506</v>
      </c>
      <c r="C11" s="64"/>
      <c r="D11" s="64"/>
      <c r="E11" s="64"/>
      <c r="F11" s="64"/>
      <c r="G11" s="305"/>
      <c r="H11" s="305"/>
      <c r="I11" s="305"/>
      <c r="J11" s="305"/>
      <c r="K11" s="305"/>
      <c r="L11" s="305"/>
      <c r="M11" s="305"/>
      <c r="N11" s="305"/>
      <c r="O11" s="305"/>
      <c r="P11" s="305"/>
      <c r="Q11" s="305"/>
      <c r="R11" s="306"/>
    </row>
    <row r="12" spans="2:18" ht="15.75" x14ac:dyDescent="0.25">
      <c r="B12" s="149" t="s">
        <v>184</v>
      </c>
      <c r="C12" s="64"/>
      <c r="D12" s="64"/>
      <c r="E12" s="64"/>
      <c r="F12" s="64"/>
      <c r="G12" s="305"/>
      <c r="H12" s="305"/>
      <c r="I12" s="305"/>
      <c r="J12" s="305"/>
      <c r="K12" s="305"/>
      <c r="L12" s="305"/>
      <c r="M12" s="305"/>
      <c r="N12" s="305"/>
      <c r="O12" s="305"/>
      <c r="P12" s="305"/>
      <c r="Q12" s="305"/>
      <c r="R12" s="306"/>
    </row>
    <row r="13" spans="2:18" ht="15.75" x14ac:dyDescent="0.25">
      <c r="B13" s="911" t="s">
        <v>5086</v>
      </c>
      <c r="C13" s="909"/>
      <c r="D13" s="909"/>
      <c r="E13" s="909"/>
      <c r="F13" s="909"/>
      <c r="G13" s="909"/>
      <c r="H13" s="909"/>
      <c r="I13" s="909"/>
      <c r="J13" s="909"/>
      <c r="K13" s="909"/>
      <c r="L13" s="909"/>
      <c r="M13" s="909"/>
      <c r="N13" s="909"/>
      <c r="O13" s="909"/>
      <c r="P13" s="909"/>
      <c r="Q13" s="909"/>
      <c r="R13" s="910"/>
    </row>
    <row r="14" spans="2:18" ht="15.75" x14ac:dyDescent="0.25">
      <c r="B14" s="911" t="s">
        <v>5087</v>
      </c>
      <c r="C14" s="909"/>
      <c r="D14" s="909"/>
      <c r="E14" s="909"/>
      <c r="F14" s="909"/>
      <c r="G14" s="909"/>
      <c r="H14" s="909"/>
      <c r="I14" s="909"/>
      <c r="J14" s="909"/>
      <c r="K14" s="909"/>
      <c r="L14" s="909"/>
      <c r="M14" s="909"/>
      <c r="N14" s="909"/>
      <c r="O14" s="909"/>
      <c r="P14" s="909"/>
      <c r="Q14" s="909"/>
      <c r="R14" s="910"/>
    </row>
    <row r="15" spans="2:18" ht="15.75" customHeight="1" x14ac:dyDescent="0.25">
      <c r="B15" s="149" t="s">
        <v>185</v>
      </c>
      <c r="C15" s="64"/>
      <c r="D15" s="64"/>
      <c r="E15" s="64"/>
      <c r="F15" s="64"/>
      <c r="G15" s="305"/>
      <c r="H15" s="305"/>
      <c r="I15" s="305"/>
      <c r="J15" s="305"/>
      <c r="K15" s="305"/>
      <c r="L15" s="305"/>
      <c r="M15" s="305"/>
      <c r="N15" s="305"/>
      <c r="O15" s="305"/>
      <c r="P15" s="305"/>
      <c r="Q15" s="305"/>
      <c r="R15" s="306"/>
    </row>
    <row r="16" spans="2:18" ht="15.75" x14ac:dyDescent="0.25">
      <c r="B16" s="149" t="s">
        <v>4698</v>
      </c>
      <c r="C16" s="64"/>
      <c r="D16" s="64"/>
      <c r="E16" s="64"/>
      <c r="F16" s="64"/>
      <c r="G16" s="305"/>
      <c r="H16" s="305"/>
      <c r="I16" s="305"/>
      <c r="J16" s="305"/>
      <c r="K16" s="305"/>
      <c r="L16" s="305"/>
      <c r="M16" s="305"/>
      <c r="N16" s="305"/>
      <c r="O16" s="305"/>
      <c r="P16" s="305"/>
      <c r="Q16" s="305"/>
      <c r="R16" s="306"/>
    </row>
    <row r="17" spans="2:18" ht="15.75" x14ac:dyDescent="0.25">
      <c r="B17" s="149" t="s">
        <v>186</v>
      </c>
      <c r="C17" s="64"/>
      <c r="D17" s="64"/>
      <c r="E17" s="64"/>
      <c r="F17" s="64"/>
      <c r="G17" s="305"/>
      <c r="H17" s="305"/>
      <c r="I17" s="305"/>
      <c r="J17" s="305"/>
      <c r="K17" s="305"/>
      <c r="L17" s="305"/>
      <c r="M17" s="305"/>
      <c r="N17" s="305"/>
      <c r="O17" s="305"/>
      <c r="P17" s="305"/>
      <c r="Q17" s="305"/>
      <c r="R17" s="306"/>
    </row>
    <row r="18" spans="2:18" ht="15.75" x14ac:dyDescent="0.25">
      <c r="B18" s="149" t="s">
        <v>187</v>
      </c>
      <c r="C18" s="64"/>
      <c r="D18" s="64"/>
      <c r="E18" s="64"/>
      <c r="F18" s="64"/>
      <c r="G18" s="305"/>
      <c r="H18" s="305"/>
      <c r="I18" s="305"/>
      <c r="J18" s="305"/>
      <c r="K18" s="305"/>
      <c r="L18" s="305"/>
      <c r="M18" s="305"/>
      <c r="N18" s="305"/>
      <c r="O18" s="305"/>
      <c r="P18" s="305"/>
      <c r="Q18" s="305"/>
      <c r="R18" s="306"/>
    </row>
    <row r="19" spans="2:18" ht="15.75" x14ac:dyDescent="0.25">
      <c r="B19" s="149" t="s">
        <v>188</v>
      </c>
      <c r="C19" s="64"/>
      <c r="D19" s="64"/>
      <c r="E19" s="64"/>
      <c r="F19" s="64"/>
      <c r="G19" s="305"/>
      <c r="H19" s="305"/>
      <c r="I19" s="305"/>
      <c r="J19" s="305"/>
      <c r="K19" s="305"/>
      <c r="L19" s="305"/>
      <c r="M19" s="305"/>
      <c r="N19" s="305"/>
      <c r="O19" s="305"/>
      <c r="P19" s="305"/>
      <c r="Q19" s="305"/>
      <c r="R19" s="306"/>
    </row>
    <row r="20" spans="2:18" ht="15.75" x14ac:dyDescent="0.25">
      <c r="B20" s="149" t="s">
        <v>507</v>
      </c>
      <c r="C20" s="64"/>
      <c r="D20" s="64"/>
      <c r="E20" s="64"/>
      <c r="F20" s="64"/>
      <c r="G20" s="305"/>
      <c r="H20" s="305"/>
      <c r="I20" s="305"/>
      <c r="J20" s="305"/>
      <c r="K20" s="305"/>
      <c r="L20" s="305"/>
      <c r="M20" s="305"/>
      <c r="N20" s="305"/>
      <c r="O20" s="305"/>
      <c r="P20" s="305"/>
      <c r="Q20" s="305"/>
      <c r="R20" s="306"/>
    </row>
    <row r="21" spans="2:18" ht="15.75" x14ac:dyDescent="0.25">
      <c r="B21" s="149" t="s">
        <v>332</v>
      </c>
      <c r="C21" s="64"/>
      <c r="D21" s="64"/>
      <c r="E21" s="64"/>
      <c r="F21" s="64"/>
      <c r="G21" s="305"/>
      <c r="H21" s="305"/>
      <c r="I21" s="305"/>
      <c r="J21" s="305"/>
      <c r="K21" s="305"/>
      <c r="L21" s="305"/>
      <c r="M21" s="305"/>
      <c r="N21" s="305"/>
      <c r="O21" s="305"/>
      <c r="P21" s="305"/>
      <c r="Q21" s="305"/>
      <c r="R21" s="306"/>
    </row>
    <row r="22" spans="2:18" ht="15.75" customHeight="1" x14ac:dyDescent="0.25">
      <c r="B22" s="905" t="s">
        <v>190</v>
      </c>
      <c r="C22" s="27"/>
      <c r="D22" s="27"/>
      <c r="E22" s="27"/>
      <c r="F22" s="27"/>
      <c r="G22" s="27"/>
      <c r="H22" s="27"/>
      <c r="I22" s="588"/>
      <c r="J22" s="588"/>
      <c r="K22" s="305"/>
      <c r="L22" s="305"/>
      <c r="M22" s="305"/>
      <c r="N22" s="305"/>
      <c r="O22" s="305"/>
      <c r="P22" s="305"/>
      <c r="Q22" s="305"/>
      <c r="R22" s="306"/>
    </row>
    <row r="23" spans="2:18" ht="15.75" customHeight="1" thickBot="1" x14ac:dyDescent="0.3">
      <c r="B23" s="1137" t="s">
        <v>4590</v>
      </c>
      <c r="C23" s="165"/>
      <c r="D23" s="159"/>
      <c r="E23" s="159"/>
      <c r="F23" s="159"/>
      <c r="G23" s="307"/>
      <c r="H23" s="307"/>
      <c r="I23" s="307"/>
      <c r="J23" s="307"/>
      <c r="K23" s="307"/>
      <c r="L23" s="307"/>
      <c r="M23" s="307"/>
      <c r="N23" s="307"/>
      <c r="O23" s="307"/>
      <c r="P23" s="307"/>
      <c r="Q23" s="307"/>
      <c r="R23" s="382"/>
    </row>
    <row r="24" spans="2:18" ht="15.75" x14ac:dyDescent="0.25">
      <c r="B24" s="498"/>
      <c r="C24" s="18"/>
      <c r="D24" s="17"/>
      <c r="E24" s="17"/>
      <c r="F24" s="17"/>
      <c r="G24" s="308"/>
      <c r="H24" s="308"/>
      <c r="I24" s="308"/>
      <c r="J24" s="308"/>
      <c r="K24" s="308"/>
      <c r="L24" s="308"/>
      <c r="M24" s="308"/>
      <c r="N24" s="308"/>
      <c r="O24" s="308"/>
      <c r="P24" s="308"/>
      <c r="Q24" s="308"/>
    </row>
    <row r="25" spans="2:18" ht="20.25" customHeight="1" x14ac:dyDescent="0.25">
      <c r="B25" s="930" t="s">
        <v>4756</v>
      </c>
      <c r="C25" s="930"/>
      <c r="D25" s="930"/>
      <c r="E25" s="930"/>
      <c r="F25" s="930"/>
      <c r="G25" s="930"/>
      <c r="H25" s="930"/>
      <c r="I25" s="930"/>
      <c r="J25" s="930"/>
      <c r="K25" s="930"/>
      <c r="L25" s="930"/>
      <c r="M25" s="930"/>
      <c r="N25" s="930"/>
      <c r="O25" s="930"/>
      <c r="P25" s="930"/>
      <c r="Q25" s="930"/>
      <c r="R25" s="655"/>
    </row>
    <row r="26" spans="2:18" ht="16.5" thickBot="1" x14ac:dyDescent="0.3">
      <c r="B26" s="3"/>
      <c r="C26" s="3"/>
      <c r="D26" s="3"/>
      <c r="E26" s="3"/>
      <c r="F26" s="3"/>
      <c r="G26" s="3"/>
      <c r="H26" s="3"/>
      <c r="I26" s="3"/>
      <c r="J26" s="3"/>
      <c r="K26" s="3"/>
      <c r="L26" s="3"/>
      <c r="M26" s="3"/>
      <c r="N26" s="3"/>
      <c r="O26" s="3"/>
      <c r="P26" s="3"/>
      <c r="Q26" s="3"/>
      <c r="R26"/>
    </row>
    <row r="27" spans="2:18" ht="16.5" thickBot="1" x14ac:dyDescent="0.3">
      <c r="B27" s="3"/>
      <c r="C27" s="3"/>
      <c r="D27" s="3"/>
      <c r="E27" s="3"/>
      <c r="F27" s="3"/>
      <c r="G27" s="927" t="s">
        <v>484</v>
      </c>
      <c r="H27" s="928"/>
      <c r="I27" s="928"/>
      <c r="J27" s="928"/>
      <c r="K27" s="928"/>
      <c r="L27" s="928"/>
      <c r="M27" s="928"/>
      <c r="N27" s="928"/>
      <c r="O27" s="928"/>
      <c r="P27" s="929"/>
      <c r="Q27" s="568" t="s">
        <v>334</v>
      </c>
    </row>
    <row r="28" spans="2:18" ht="35.25" customHeight="1" thickBot="1" x14ac:dyDescent="0.3">
      <c r="B28" s="477"/>
      <c r="C28" s="477"/>
      <c r="D28" s="477"/>
      <c r="E28" s="916" t="s">
        <v>4592</v>
      </c>
      <c r="F28" s="917"/>
      <c r="G28" s="918" t="s">
        <v>508</v>
      </c>
      <c r="H28" s="919"/>
      <c r="I28" s="920" t="s">
        <v>509</v>
      </c>
      <c r="J28" s="919"/>
      <c r="K28" s="920" t="s">
        <v>510</v>
      </c>
      <c r="L28" s="921"/>
      <c r="M28" s="922" t="s">
        <v>4700</v>
      </c>
      <c r="N28" s="923"/>
      <c r="O28" s="922" t="s">
        <v>4701</v>
      </c>
      <c r="P28" s="924"/>
      <c r="Q28" s="925" t="s">
        <v>511</v>
      </c>
    </row>
    <row r="29" spans="2:18" ht="16.5" thickBot="1" x14ac:dyDescent="0.3">
      <c r="B29" s="478" t="s">
        <v>192</v>
      </c>
      <c r="C29" s="4" t="s">
        <v>512</v>
      </c>
      <c r="D29" s="5" t="s">
        <v>513</v>
      </c>
      <c r="E29" s="479" t="s">
        <v>155</v>
      </c>
      <c r="F29" s="480" t="s">
        <v>514</v>
      </c>
      <c r="G29" s="481" t="s">
        <v>155</v>
      </c>
      <c r="H29" s="482" t="s">
        <v>514</v>
      </c>
      <c r="I29" s="483" t="s">
        <v>155</v>
      </c>
      <c r="J29" s="482" t="s">
        <v>514</v>
      </c>
      <c r="K29" s="483" t="s">
        <v>155</v>
      </c>
      <c r="L29" s="482" t="s">
        <v>514</v>
      </c>
      <c r="M29" s="483" t="s">
        <v>155</v>
      </c>
      <c r="N29" s="482" t="s">
        <v>514</v>
      </c>
      <c r="O29" s="483" t="s">
        <v>155</v>
      </c>
      <c r="P29" s="482" t="s">
        <v>514</v>
      </c>
      <c r="Q29" s="569" t="s">
        <v>155</v>
      </c>
    </row>
    <row r="30" spans="2:18" ht="15.75" x14ac:dyDescent="0.25">
      <c r="B30" s="6">
        <v>2015</v>
      </c>
      <c r="C30" s="7">
        <v>1997</v>
      </c>
      <c r="D30" s="484" t="s">
        <v>4619</v>
      </c>
      <c r="E30" s="485">
        <v>0.21056289719313595</v>
      </c>
      <c r="F30" s="486">
        <v>0.28705867278897435</v>
      </c>
      <c r="G30" s="487">
        <v>3.1175664604767301E-2</v>
      </c>
      <c r="H30" s="8">
        <v>3.0262360340387202</v>
      </c>
      <c r="I30" s="8">
        <v>21.5734728887975</v>
      </c>
      <c r="J30" s="8">
        <v>12.9448876290132</v>
      </c>
      <c r="K30" s="8">
        <v>2.6968901674792101E-2</v>
      </c>
      <c r="L30" s="8">
        <v>3.0713791665175801E-3</v>
      </c>
      <c r="M30" s="8">
        <v>8.1076138011612602E-3</v>
      </c>
      <c r="N30" s="8">
        <v>3.0000018168034001E-3</v>
      </c>
      <c r="O30" s="8">
        <v>3.08327351055258E-2</v>
      </c>
      <c r="P30" s="9">
        <v>5.5860033828879302E-2</v>
      </c>
      <c r="Q30" s="570">
        <v>2.8188315735797401E-2</v>
      </c>
    </row>
    <row r="31" spans="2:18" ht="15.75" x14ac:dyDescent="0.25">
      <c r="B31" s="6">
        <v>2015</v>
      </c>
      <c r="C31" s="7">
        <v>1998</v>
      </c>
      <c r="D31" s="484" t="s">
        <v>4620</v>
      </c>
      <c r="E31" s="488">
        <v>0.21000956572367246</v>
      </c>
      <c r="F31" s="489">
        <v>0.2754529817204277</v>
      </c>
      <c r="G31" s="487">
        <v>3.10191001658306E-2</v>
      </c>
      <c r="H31" s="8">
        <v>6.1770396258338099E-2</v>
      </c>
      <c r="I31" s="8">
        <v>21.521444377796701</v>
      </c>
      <c r="J31" s="8">
        <v>1.1106800170707301</v>
      </c>
      <c r="K31" s="8">
        <v>2.6843802374549201E-2</v>
      </c>
      <c r="L31" s="8">
        <v>3.0711774347898001E-3</v>
      </c>
      <c r="M31" s="8">
        <v>8.0788462920794307E-3</v>
      </c>
      <c r="N31" s="8">
        <v>3.0000018168034001E-3</v>
      </c>
      <c r="O31" s="8">
        <v>3.0973695900026799E-2</v>
      </c>
      <c r="P31" s="9">
        <v>5.5860033828879302E-2</v>
      </c>
      <c r="Q31" s="570">
        <v>2.8057560000317502E-2</v>
      </c>
    </row>
    <row r="32" spans="2:18" ht="15.75" x14ac:dyDescent="0.25">
      <c r="B32" s="6">
        <v>2015</v>
      </c>
      <c r="C32" s="7">
        <v>1999</v>
      </c>
      <c r="D32" s="484" t="s">
        <v>4621</v>
      </c>
      <c r="E32" s="488">
        <v>0.22085936875501197</v>
      </c>
      <c r="F32" s="489">
        <v>0.16415643873912289</v>
      </c>
      <c r="G32" s="487">
        <v>3.3206651289369199E-2</v>
      </c>
      <c r="H32" s="8">
        <v>3.4278521029112101E-2</v>
      </c>
      <c r="I32" s="8">
        <v>22.5333769098544</v>
      </c>
      <c r="J32" s="8">
        <v>0.52144092757793203</v>
      </c>
      <c r="K32" s="8">
        <v>2.8694017597985899E-2</v>
      </c>
      <c r="L32" s="8">
        <v>2.8452994945712901E-3</v>
      </c>
      <c r="M32" s="8">
        <v>8.8960190532307998E-3</v>
      </c>
      <c r="N32" s="8">
        <v>2.1706134743851302E-3</v>
      </c>
      <c r="O32" s="8">
        <v>2.6949152822551E-2</v>
      </c>
      <c r="P32" s="9">
        <v>4.1229623468621003E-2</v>
      </c>
      <c r="Q32" s="570">
        <v>2.9991433745949501E-2</v>
      </c>
    </row>
    <row r="33" spans="2:17" ht="15.75" x14ac:dyDescent="0.25">
      <c r="B33" s="6">
        <v>2015</v>
      </c>
      <c r="C33" s="7">
        <v>2000</v>
      </c>
      <c r="D33" s="484" t="s">
        <v>4622</v>
      </c>
      <c r="E33" s="488">
        <v>0.22122106918127496</v>
      </c>
      <c r="F33" s="489">
        <v>0.14211125493886659</v>
      </c>
      <c r="G33" s="487">
        <v>3.2615673993218498E-2</v>
      </c>
      <c r="H33" s="8">
        <v>2.2990609170867499E-2</v>
      </c>
      <c r="I33" s="8">
        <v>22.536223490649402</v>
      </c>
      <c r="J33" s="8">
        <v>0.44207524131931702</v>
      </c>
      <c r="K33" s="8">
        <v>2.86126796868598E-2</v>
      </c>
      <c r="L33" s="8">
        <v>1.8430527755649701E-3</v>
      </c>
      <c r="M33" s="8">
        <v>8.9347807976367898E-3</v>
      </c>
      <c r="N33" s="8">
        <v>2.1679389317029699E-3</v>
      </c>
      <c r="O33" s="8">
        <v>2.6779616822795699E-2</v>
      </c>
      <c r="P33" s="9">
        <v>4.1182444535707699E-2</v>
      </c>
      <c r="Q33" s="570">
        <v>2.99064180954139E-2</v>
      </c>
    </row>
    <row r="34" spans="2:17" ht="15.75" x14ac:dyDescent="0.25">
      <c r="B34" s="6">
        <v>2015</v>
      </c>
      <c r="C34" s="7">
        <v>2001</v>
      </c>
      <c r="D34" s="484" t="s">
        <v>4623</v>
      </c>
      <c r="E34" s="488">
        <v>0.21623224624161602</v>
      </c>
      <c r="F34" s="489">
        <v>0.27545735503904567</v>
      </c>
      <c r="G34" s="487">
        <v>3.1988517295656299E-2</v>
      </c>
      <c r="H34" s="8">
        <v>6.0158419768391702E-2</v>
      </c>
      <c r="I34" s="8">
        <v>22.102726921583098</v>
      </c>
      <c r="J34" s="8">
        <v>1.0209810902424501</v>
      </c>
      <c r="K34" s="8">
        <v>2.7864027305116602E-2</v>
      </c>
      <c r="L34" s="8">
        <v>3.0712927133319098E-3</v>
      </c>
      <c r="M34" s="8">
        <v>8.5490096412194991E-3</v>
      </c>
      <c r="N34" s="8">
        <v>3.0000018168034001E-3</v>
      </c>
      <c r="O34" s="8">
        <v>2.8669895489240399E-2</v>
      </c>
      <c r="P34" s="9">
        <v>5.5860033828879302E-2</v>
      </c>
      <c r="Q34" s="570">
        <v>2.9123914975063999E-2</v>
      </c>
    </row>
    <row r="35" spans="2:17" ht="15.75" x14ac:dyDescent="0.25">
      <c r="B35" s="6">
        <v>2015</v>
      </c>
      <c r="C35" s="7">
        <v>2002</v>
      </c>
      <c r="D35" s="484" t="s">
        <v>4624</v>
      </c>
      <c r="E35" s="488">
        <v>0.21327372683092347</v>
      </c>
      <c r="F35" s="489">
        <v>0.22238106104721525</v>
      </c>
      <c r="G35" s="487">
        <v>3.3607052869682602E-2</v>
      </c>
      <c r="H35" s="8">
        <v>4.4697060410796997E-2</v>
      </c>
      <c r="I35" s="8">
        <v>21.8064197127878</v>
      </c>
      <c r="J35" s="8">
        <v>0.68442420209912402</v>
      </c>
      <c r="K35" s="8">
        <v>2.7776349939517699E-2</v>
      </c>
      <c r="L35" s="8">
        <v>2.9564284651722502E-3</v>
      </c>
      <c r="M35" s="8">
        <v>8.35434935982712E-3</v>
      </c>
      <c r="N35" s="8">
        <v>2.6092166339976301E-3</v>
      </c>
      <c r="O35" s="8">
        <v>2.9502230205993001E-2</v>
      </c>
      <c r="P35" s="9">
        <v>4.89665832041856E-2</v>
      </c>
      <c r="Q35" s="570">
        <v>2.9032273228055301E-2</v>
      </c>
    </row>
    <row r="36" spans="2:17" ht="15.75" x14ac:dyDescent="0.25">
      <c r="B36" s="6">
        <v>2015</v>
      </c>
      <c r="C36" s="7">
        <v>2003</v>
      </c>
      <c r="D36" s="484" t="s">
        <v>4625</v>
      </c>
      <c r="E36" s="488">
        <v>0.18486055991141345</v>
      </c>
      <c r="F36" s="489">
        <v>0.26987979315197463</v>
      </c>
      <c r="G36" s="487">
        <v>1.2785574837120501E-2</v>
      </c>
      <c r="H36" s="8">
        <v>5.3019269139791797E-2</v>
      </c>
      <c r="I36" s="8">
        <v>9.5499522611150507</v>
      </c>
      <c r="J36" s="8">
        <v>0.85749073503361395</v>
      </c>
      <c r="K36" s="8">
        <v>1.07831002253402E-2</v>
      </c>
      <c r="L36" s="8">
        <v>3.0500033457607802E-3</v>
      </c>
      <c r="M36" s="8">
        <v>8.1719621312718194E-3</v>
      </c>
      <c r="N36" s="8">
        <v>2.95538949239067E-3</v>
      </c>
      <c r="O36" s="8">
        <v>3.0517428287984E-2</v>
      </c>
      <c r="P36" s="9">
        <v>5.5073072426238899E-2</v>
      </c>
      <c r="Q36" s="570">
        <v>1.12706641682315E-2</v>
      </c>
    </row>
    <row r="37" spans="2:17" ht="15.75" x14ac:dyDescent="0.25">
      <c r="B37" s="6">
        <v>2015</v>
      </c>
      <c r="C37" s="7">
        <v>2004</v>
      </c>
      <c r="D37" s="484" t="s">
        <v>4626</v>
      </c>
      <c r="E37" s="488">
        <v>0.1794095558051175</v>
      </c>
      <c r="F37" s="489">
        <v>0.24781660781156814</v>
      </c>
      <c r="G37" s="487">
        <v>1.47468218226059E-2</v>
      </c>
      <c r="H37" s="8">
        <v>2.17297620348871E-2</v>
      </c>
      <c r="I37" s="8">
        <v>9.3100643419189097</v>
      </c>
      <c r="J37" s="8">
        <v>0.37683627746431198</v>
      </c>
      <c r="K37" s="8">
        <v>1.09719981431375E-2</v>
      </c>
      <c r="L37" s="8">
        <v>2.0095344327542499E-4</v>
      </c>
      <c r="M37" s="8">
        <v>7.81469155268163E-3</v>
      </c>
      <c r="N37" s="8">
        <v>2.7971275950439199E-3</v>
      </c>
      <c r="O37" s="8">
        <v>3.2087895969774599E-2</v>
      </c>
      <c r="P37" s="9">
        <v>5.2281332557042197E-2</v>
      </c>
      <c r="Q37" s="570">
        <v>1.14681032116495E-2</v>
      </c>
    </row>
    <row r="38" spans="2:17" ht="15.75" x14ac:dyDescent="0.25">
      <c r="B38" s="6">
        <v>2015</v>
      </c>
      <c r="C38" s="7">
        <v>2005</v>
      </c>
      <c r="D38" s="484" t="s">
        <v>4627</v>
      </c>
      <c r="E38" s="488">
        <v>0.12548633622462688</v>
      </c>
      <c r="F38" s="489">
        <v>0.26685515937523985</v>
      </c>
      <c r="G38" s="487">
        <v>9.6939294568560291E-3</v>
      </c>
      <c r="H38" s="8">
        <v>2.24067257999352E-2</v>
      </c>
      <c r="I38" s="8">
        <v>6.7817287318413397</v>
      </c>
      <c r="J38" s="8">
        <v>0.38419427657975602</v>
      </c>
      <c r="K38" s="8">
        <v>6.71309541011424E-3</v>
      </c>
      <c r="L38" s="8">
        <v>2.0158617743612199E-4</v>
      </c>
      <c r="M38" s="8">
        <v>3.0000018168034001E-3</v>
      </c>
      <c r="N38" s="8">
        <v>2.9457607455530498E-3</v>
      </c>
      <c r="O38" s="8">
        <v>5.5782737929142297E-2</v>
      </c>
      <c r="P38" s="9">
        <v>5.4903221332023203E-2</v>
      </c>
      <c r="Q38" s="570">
        <v>7.01663179563992E-3</v>
      </c>
    </row>
    <row r="39" spans="2:17" ht="15.75" x14ac:dyDescent="0.25">
      <c r="B39" s="6">
        <v>2015</v>
      </c>
      <c r="C39" s="7">
        <v>2006</v>
      </c>
      <c r="D39" s="484" t="s">
        <v>4628</v>
      </c>
      <c r="E39" s="488">
        <v>0.14130904959630736</v>
      </c>
      <c r="F39" s="489">
        <v>0.1589877163257114</v>
      </c>
      <c r="G39" s="487">
        <v>1.25854996046022E-2</v>
      </c>
      <c r="H39" s="8">
        <v>1.35356987976658E-2</v>
      </c>
      <c r="I39" s="8">
        <v>7.5613073070662002</v>
      </c>
      <c r="J39" s="8">
        <v>0.227342053360026</v>
      </c>
      <c r="K39" s="8">
        <v>8.3389600768222008E-3</v>
      </c>
      <c r="L39" s="8">
        <v>1.3562512030687601E-4</v>
      </c>
      <c r="M39" s="8">
        <v>4.4848236422984399E-3</v>
      </c>
      <c r="N39" s="8">
        <v>2.2721024563675698E-3</v>
      </c>
      <c r="O39" s="8">
        <v>4.8365897224779103E-2</v>
      </c>
      <c r="P39" s="9">
        <v>4.3019889110791402E-2</v>
      </c>
      <c r="Q39" s="570">
        <v>8.7160108479088002E-3</v>
      </c>
    </row>
    <row r="40" spans="2:17" ht="15.75" x14ac:dyDescent="0.25">
      <c r="B40" s="6">
        <v>2015</v>
      </c>
      <c r="C40" s="7">
        <v>2007</v>
      </c>
      <c r="D40" s="484" t="s">
        <v>4629</v>
      </c>
      <c r="E40" s="488">
        <v>0.17692387753135286</v>
      </c>
      <c r="F40" s="489">
        <v>0.23607557057911716</v>
      </c>
      <c r="G40" s="487">
        <v>5.0050039566006104E-3</v>
      </c>
      <c r="H40" s="8">
        <v>2.0338931881722901E-2</v>
      </c>
      <c r="I40" s="8">
        <v>5.7001767115051702</v>
      </c>
      <c r="J40" s="8">
        <v>0.30864634878748498</v>
      </c>
      <c r="K40" s="8">
        <v>9.4719893452757196E-3</v>
      </c>
      <c r="L40" s="8">
        <v>1.91241465946968E-4</v>
      </c>
      <c r="M40" s="8">
        <v>6.4974316291630503E-3</v>
      </c>
      <c r="N40" s="8">
        <v>2.7305710392764898E-3</v>
      </c>
      <c r="O40" s="8">
        <v>3.8695626359007702E-2</v>
      </c>
      <c r="P40" s="9">
        <v>5.1107274913304697E-2</v>
      </c>
      <c r="Q40" s="570">
        <v>9.9002706721388698E-3</v>
      </c>
    </row>
    <row r="41" spans="2:17" ht="15.75" x14ac:dyDescent="0.25">
      <c r="B41" s="6">
        <v>2015</v>
      </c>
      <c r="C41" s="7">
        <v>2008</v>
      </c>
      <c r="D41" s="484" t="s">
        <v>4630</v>
      </c>
      <c r="E41" s="488">
        <v>0.18265521227230885</v>
      </c>
      <c r="F41" s="489">
        <v>0.23753915150061838</v>
      </c>
      <c r="G41" s="487">
        <v>1.9127694632503599E-2</v>
      </c>
      <c r="H41" s="8">
        <v>1.9543766866183199E-2</v>
      </c>
      <c r="I41" s="8">
        <v>5.9083832054016998</v>
      </c>
      <c r="J41" s="8">
        <v>0.27784097032833599</v>
      </c>
      <c r="K41" s="8">
        <v>1.19060321857609E-2</v>
      </c>
      <c r="L41" s="8">
        <v>2.1258024935628101E-4</v>
      </c>
      <c r="M41" s="8">
        <v>7.1416230537716301E-3</v>
      </c>
      <c r="N41" s="8">
        <v>2.7558212139500802E-3</v>
      </c>
      <c r="O41" s="8">
        <v>3.4102687111140999E-2</v>
      </c>
      <c r="P41" s="9">
        <v>5.1552687994546799E-2</v>
      </c>
      <c r="Q41" s="570">
        <v>1.2444370128965701E-2</v>
      </c>
    </row>
    <row r="42" spans="2:17" ht="15.75" x14ac:dyDescent="0.25">
      <c r="B42" s="6">
        <v>2015</v>
      </c>
      <c r="C42" s="7">
        <v>2009</v>
      </c>
      <c r="D42" s="484" t="s">
        <v>4631</v>
      </c>
      <c r="E42" s="488">
        <v>0.18186245305448201</v>
      </c>
      <c r="F42" s="489">
        <v>0.21521848256296386</v>
      </c>
      <c r="G42" s="487">
        <v>6.8346522559403497E-3</v>
      </c>
      <c r="H42" s="8">
        <v>1.6596392201308801E-2</v>
      </c>
      <c r="I42" s="8">
        <v>5.8702926664580097</v>
      </c>
      <c r="J42" s="8">
        <v>0.22425805965853801</v>
      </c>
      <c r="K42" s="8">
        <v>9.8949554139677199E-3</v>
      </c>
      <c r="L42" s="8">
        <v>2.1262311251564399E-4</v>
      </c>
      <c r="M42" s="8">
        <v>6.8798891070614102E-3</v>
      </c>
      <c r="N42" s="8">
        <v>2.6306177272516001E-3</v>
      </c>
      <c r="O42" s="8">
        <v>3.6651082149928599E-2</v>
      </c>
      <c r="P42" s="9">
        <v>4.9344098489185702E-2</v>
      </c>
      <c r="Q42" s="570">
        <v>1.03423613895729E-2</v>
      </c>
    </row>
    <row r="43" spans="2:17" ht="15.75" x14ac:dyDescent="0.25">
      <c r="B43" s="6">
        <v>2015</v>
      </c>
      <c r="C43" s="7">
        <v>2010</v>
      </c>
      <c r="D43" s="484" t="s">
        <v>4632</v>
      </c>
      <c r="E43" s="488">
        <v>0.14196291985137377</v>
      </c>
      <c r="F43" s="489">
        <v>0.24889051187085648</v>
      </c>
      <c r="G43" s="487">
        <v>1.01059710487877E-2</v>
      </c>
      <c r="H43" s="8">
        <v>2.0417513606075698E-2</v>
      </c>
      <c r="I43" s="8">
        <v>0.79516459362453096</v>
      </c>
      <c r="J43" s="8">
        <v>0.24546571539562601</v>
      </c>
      <c r="K43" s="8">
        <v>6.3722478557946801E-3</v>
      </c>
      <c r="L43" s="8">
        <v>3.06403759271787E-4</v>
      </c>
      <c r="M43" s="8">
        <v>8.5443364586191405E-3</v>
      </c>
      <c r="N43" s="8">
        <v>2.81894754075769E-3</v>
      </c>
      <c r="O43" s="8">
        <v>2.7551955813034101E-2</v>
      </c>
      <c r="P43" s="9">
        <v>5.2666236399432999E-2</v>
      </c>
      <c r="Q43" s="570">
        <v>6.6603726274026397E-3</v>
      </c>
    </row>
    <row r="44" spans="2:17" ht="15.75" x14ac:dyDescent="0.25">
      <c r="B44" s="6">
        <v>2015</v>
      </c>
      <c r="C44" s="7">
        <v>2011</v>
      </c>
      <c r="D44" s="484" t="s">
        <v>4633</v>
      </c>
      <c r="E44" s="488">
        <v>0.14157683583521949</v>
      </c>
      <c r="F44" s="489">
        <v>0.22131789010483469</v>
      </c>
      <c r="G44" s="487">
        <v>2.8099366955234299E-3</v>
      </c>
      <c r="H44" s="8">
        <v>1.8046086006228899E-2</v>
      </c>
      <c r="I44" s="8">
        <v>0.72490776097100895</v>
      </c>
      <c r="J44" s="8">
        <v>0.20251658371254899</v>
      </c>
      <c r="K44" s="8">
        <v>5.3262335682839603E-3</v>
      </c>
      <c r="L44" s="8">
        <v>4.05130175380427E-4</v>
      </c>
      <c r="M44" s="8">
        <v>7.1138002456069601E-3</v>
      </c>
      <c r="N44" s="8">
        <v>2.6174631606420101E-3</v>
      </c>
      <c r="O44" s="8">
        <v>3.5471912229210298E-2</v>
      </c>
      <c r="P44" s="9">
        <v>4.9112051934192401E-2</v>
      </c>
      <c r="Q44" s="570">
        <v>5.5670622154303396E-3</v>
      </c>
    </row>
    <row r="45" spans="2:17" ht="15.75" x14ac:dyDescent="0.25">
      <c r="B45" s="6">
        <v>2015</v>
      </c>
      <c r="C45" s="7">
        <v>2012</v>
      </c>
      <c r="D45" s="484" t="s">
        <v>4634</v>
      </c>
      <c r="E45" s="488">
        <v>0.1649511577137712</v>
      </c>
      <c r="F45" s="489">
        <v>0.2106882602496658</v>
      </c>
      <c r="G45" s="487">
        <v>1.1053209655312801E-3</v>
      </c>
      <c r="H45" s="8">
        <v>1.76924010033793E-2</v>
      </c>
      <c r="I45" s="8">
        <v>0.80185692931539299</v>
      </c>
      <c r="J45" s="8">
        <v>0.17203231536199201</v>
      </c>
      <c r="K45" s="8">
        <v>5.7652725329203399E-3</v>
      </c>
      <c r="L45" s="8">
        <v>5.9864307256548503E-4</v>
      </c>
      <c r="M45" s="8">
        <v>8.4640680806995008E-3</v>
      </c>
      <c r="N45" s="8">
        <v>2.5299069349821301E-3</v>
      </c>
      <c r="O45" s="8">
        <v>2.90861091357884E-2</v>
      </c>
      <c r="P45" s="9">
        <v>4.7567560113552197E-2</v>
      </c>
      <c r="Q45" s="570">
        <v>6.0259525738410296E-3</v>
      </c>
    </row>
    <row r="46" spans="2:17" ht="15.75" x14ac:dyDescent="0.25">
      <c r="B46" s="6">
        <v>2015</v>
      </c>
      <c r="C46" s="7">
        <v>2013</v>
      </c>
      <c r="D46" s="484" t="s">
        <v>4635</v>
      </c>
      <c r="E46" s="488">
        <v>0.16661631809701002</v>
      </c>
      <c r="F46" s="489">
        <v>0.17938802763700945</v>
      </c>
      <c r="G46" s="487">
        <v>1.11818130633658E-3</v>
      </c>
      <c r="H46" s="8">
        <v>1.43501894634379E-2</v>
      </c>
      <c r="I46" s="8">
        <v>0.81062347819707803</v>
      </c>
      <c r="J46" s="8">
        <v>0.14692931731989201</v>
      </c>
      <c r="K46" s="8">
        <v>5.7086132092526503E-3</v>
      </c>
      <c r="L46" s="8">
        <v>7.2359126387071097E-4</v>
      </c>
      <c r="M46" s="8">
        <v>8.5445259777359294E-3</v>
      </c>
      <c r="N46" s="8">
        <v>2.3763437447837498E-3</v>
      </c>
      <c r="O46" s="8">
        <v>2.86918654403099E-2</v>
      </c>
      <c r="P46" s="9">
        <v>4.4858705438452703E-2</v>
      </c>
      <c r="Q46" s="570">
        <v>5.9667313669791097E-3</v>
      </c>
    </row>
    <row r="47" spans="2:17" ht="15.75" x14ac:dyDescent="0.25">
      <c r="B47" s="6">
        <v>2015</v>
      </c>
      <c r="C47" s="7">
        <v>2014</v>
      </c>
      <c r="D47" s="484" t="s">
        <v>4636</v>
      </c>
      <c r="E47" s="488">
        <v>0.15878062881192029</v>
      </c>
      <c r="F47" s="489">
        <v>0.16745414117167062</v>
      </c>
      <c r="G47" s="487">
        <v>1.0345507443220499E-3</v>
      </c>
      <c r="H47" s="8">
        <v>1.67637357234568E-2</v>
      </c>
      <c r="I47" s="8">
        <v>0.76334106260791701</v>
      </c>
      <c r="J47" s="8">
        <v>0.14735088058990001</v>
      </c>
      <c r="K47" s="8">
        <v>5.43723899291271E-3</v>
      </c>
      <c r="L47" s="8">
        <v>1.2216302548238201E-3</v>
      </c>
      <c r="M47" s="8">
        <v>7.7421131701981101E-3</v>
      </c>
      <c r="N47" s="8">
        <v>2.24429559817017E-3</v>
      </c>
      <c r="O47" s="8">
        <v>3.2623688197245197E-2</v>
      </c>
      <c r="P47" s="9">
        <v>4.2529376132189198E-2</v>
      </c>
      <c r="Q47" s="570">
        <v>5.68308681278153E-3</v>
      </c>
    </row>
    <row r="48" spans="2:17" ht="15.75" x14ac:dyDescent="0.25">
      <c r="B48" s="6">
        <v>2015</v>
      </c>
      <c r="C48" s="7">
        <v>2015</v>
      </c>
      <c r="D48" s="484" t="s">
        <v>4637</v>
      </c>
      <c r="E48" s="488">
        <v>0.15733184025254049</v>
      </c>
      <c r="F48" s="489">
        <v>0.2455845521408524</v>
      </c>
      <c r="G48" s="487">
        <v>9.7043888207479505E-4</v>
      </c>
      <c r="H48" s="8">
        <v>2.1557473734405801E-2</v>
      </c>
      <c r="I48" s="8">
        <v>0.72776238113491398</v>
      </c>
      <c r="J48" s="8">
        <v>0.142712021895223</v>
      </c>
      <c r="K48" s="8">
        <v>5.2488009064911197E-3</v>
      </c>
      <c r="L48" s="8">
        <v>1.62287268902706E-3</v>
      </c>
      <c r="M48" s="8">
        <v>7.1195194073400796E-3</v>
      </c>
      <c r="N48" s="8">
        <v>2.8862324033371899E-3</v>
      </c>
      <c r="O48" s="8">
        <v>3.5674397635249502E-2</v>
      </c>
      <c r="P48" s="9">
        <v>5.3853141375335298E-2</v>
      </c>
      <c r="Q48" s="570">
        <v>5.4861283922735798E-3</v>
      </c>
    </row>
    <row r="49" spans="2:17" ht="15.75" x14ac:dyDescent="0.25">
      <c r="B49" s="6">
        <v>2016</v>
      </c>
      <c r="C49" s="7">
        <v>2002</v>
      </c>
      <c r="D49" s="484" t="s">
        <v>4666</v>
      </c>
      <c r="E49" s="488">
        <v>0.21454530777667263</v>
      </c>
      <c r="F49" s="489">
        <v>0.2756928543258117</v>
      </c>
      <c r="G49" s="487">
        <v>3.1751683999768097E-2</v>
      </c>
      <c r="H49" s="8">
        <v>5.9546999333720103E-2</v>
      </c>
      <c r="I49" s="8">
        <v>21.938389013479298</v>
      </c>
      <c r="J49" s="8">
        <v>1.03899234405684</v>
      </c>
      <c r="K49" s="8">
        <v>2.7597386093236E-2</v>
      </c>
      <c r="L49" s="8">
        <v>3.0716391165436299E-3</v>
      </c>
      <c r="M49" s="8">
        <v>8.4123073639130498E-3</v>
      </c>
      <c r="N49" s="8">
        <v>3.0000018168034001E-3</v>
      </c>
      <c r="O49" s="8">
        <v>2.9339736648042E-2</v>
      </c>
      <c r="P49" s="9">
        <v>5.5860033828879302E-2</v>
      </c>
      <c r="Q49" s="570">
        <v>2.8845217430785101E-2</v>
      </c>
    </row>
    <row r="50" spans="2:17" ht="15.75" x14ac:dyDescent="0.25">
      <c r="B50" s="6">
        <v>2016</v>
      </c>
      <c r="C50" s="7">
        <v>2003</v>
      </c>
      <c r="D50" s="484" t="s">
        <v>4667</v>
      </c>
      <c r="E50" s="488">
        <v>0.18502786837300755</v>
      </c>
      <c r="F50" s="489">
        <v>0.27681969410592372</v>
      </c>
      <c r="G50" s="487">
        <v>1.27973873785542E-2</v>
      </c>
      <c r="H50" s="8">
        <v>5.6362378534772099E-2</v>
      </c>
      <c r="I50" s="8">
        <v>9.5578265193965901</v>
      </c>
      <c r="J50" s="8">
        <v>0.92299539913457895</v>
      </c>
      <c r="K50" s="8">
        <v>1.0794902144152499E-2</v>
      </c>
      <c r="L50" s="8">
        <v>3.0515256657119099E-3</v>
      </c>
      <c r="M50" s="8">
        <v>8.1864284238565704E-3</v>
      </c>
      <c r="N50" s="8">
        <v>3.0000018168034001E-3</v>
      </c>
      <c r="O50" s="8">
        <v>3.0446543454318801E-2</v>
      </c>
      <c r="P50" s="9">
        <v>5.5860033828879302E-2</v>
      </c>
      <c r="Q50" s="570">
        <v>1.12829997174423E-2</v>
      </c>
    </row>
    <row r="51" spans="2:17" ht="15.75" x14ac:dyDescent="0.25">
      <c r="B51" s="6">
        <v>2016</v>
      </c>
      <c r="C51" s="7">
        <v>2004</v>
      </c>
      <c r="D51" s="484" t="s">
        <v>4668</v>
      </c>
      <c r="E51" s="488">
        <v>0.18065461410242015</v>
      </c>
      <c r="F51" s="489">
        <v>0.27546587348851204</v>
      </c>
      <c r="G51" s="487">
        <v>1.2413329537075799E-2</v>
      </c>
      <c r="H51" s="8">
        <v>2.2722194672634699E-2</v>
      </c>
      <c r="I51" s="8">
        <v>9.35633872058931</v>
      </c>
      <c r="J51" s="8">
        <v>0.44998293256532401</v>
      </c>
      <c r="K51" s="8">
        <v>1.04963166361501E-2</v>
      </c>
      <c r="L51" s="8">
        <v>2.0469952638605101E-4</v>
      </c>
      <c r="M51" s="8">
        <v>7.8742371187292392E-3</v>
      </c>
      <c r="N51" s="8">
        <v>3.0000018168034001E-3</v>
      </c>
      <c r="O51" s="8">
        <v>3.1976280849442699E-2</v>
      </c>
      <c r="P51" s="9">
        <v>5.5860033828879302E-2</v>
      </c>
      <c r="Q51" s="570">
        <v>1.09709134977215E-2</v>
      </c>
    </row>
    <row r="52" spans="2:17" ht="15.75" x14ac:dyDescent="0.25">
      <c r="B52" s="6">
        <v>2016</v>
      </c>
      <c r="C52" s="7">
        <v>2005</v>
      </c>
      <c r="D52" s="484" t="s">
        <v>4669</v>
      </c>
      <c r="E52" s="488">
        <v>0.12574440705518833</v>
      </c>
      <c r="F52" s="489">
        <v>0.27435483869267041</v>
      </c>
      <c r="G52" s="487">
        <v>8.7022172909242794E-3</v>
      </c>
      <c r="H52" s="8">
        <v>2.2784106461544801E-2</v>
      </c>
      <c r="I52" s="8">
        <v>6.7890649479140404</v>
      </c>
      <c r="J52" s="8">
        <v>0.40371404048716097</v>
      </c>
      <c r="K52" s="8">
        <v>6.4890539933198099E-3</v>
      </c>
      <c r="L52" s="8">
        <v>2.03498042355097E-4</v>
      </c>
      <c r="M52" s="8">
        <v>3.0000018168034001E-3</v>
      </c>
      <c r="N52" s="8">
        <v>3.0000018168034001E-3</v>
      </c>
      <c r="O52" s="8">
        <v>5.5860033828879302E-2</v>
      </c>
      <c r="P52" s="9">
        <v>5.5860033828879302E-2</v>
      </c>
      <c r="Q52" s="570">
        <v>6.7824602201470999E-3</v>
      </c>
    </row>
    <row r="53" spans="2:17" ht="15.75" x14ac:dyDescent="0.25">
      <c r="B53" s="6">
        <v>2016</v>
      </c>
      <c r="C53" s="7">
        <v>2006</v>
      </c>
      <c r="D53" s="484" t="s">
        <v>4670</v>
      </c>
      <c r="E53" s="488">
        <v>0.14130904959630736</v>
      </c>
      <c r="F53" s="489">
        <v>0.15898923512361457</v>
      </c>
      <c r="G53" s="487">
        <v>1.26737919166577E-2</v>
      </c>
      <c r="H53" s="8">
        <v>1.3715707659784899E-2</v>
      </c>
      <c r="I53" s="8">
        <v>7.5614587742540103</v>
      </c>
      <c r="J53" s="8">
        <v>0.241136247047473</v>
      </c>
      <c r="K53" s="8">
        <v>8.3513464286005396E-3</v>
      </c>
      <c r="L53" s="8">
        <v>1.3562512030687601E-4</v>
      </c>
      <c r="M53" s="8">
        <v>4.4848236422984399E-3</v>
      </c>
      <c r="N53" s="8">
        <v>2.2721024563675698E-3</v>
      </c>
      <c r="O53" s="8">
        <v>4.8365897224779103E-2</v>
      </c>
      <c r="P53" s="9">
        <v>4.3019889110791402E-2</v>
      </c>
      <c r="Q53" s="570">
        <v>8.7289572555509301E-3</v>
      </c>
    </row>
    <row r="54" spans="2:17" ht="15.75" x14ac:dyDescent="0.25">
      <c r="B54" s="6">
        <v>2016</v>
      </c>
      <c r="C54" s="7">
        <v>2007</v>
      </c>
      <c r="D54" s="484" t="s">
        <v>4671</v>
      </c>
      <c r="E54" s="488">
        <v>0.17692387753135286</v>
      </c>
      <c r="F54" s="489">
        <v>0.23607724099927127</v>
      </c>
      <c r="G54" s="487">
        <v>5.0128638023839399E-3</v>
      </c>
      <c r="H54" s="8">
        <v>2.0461302657145401E-2</v>
      </c>
      <c r="I54" s="8">
        <v>5.7001945157737799</v>
      </c>
      <c r="J54" s="8">
        <v>0.320644200481981</v>
      </c>
      <c r="K54" s="8">
        <v>9.4736860979112592E-3</v>
      </c>
      <c r="L54" s="8">
        <v>1.91241465946968E-4</v>
      </c>
      <c r="M54" s="8">
        <v>6.4974316291630399E-3</v>
      </c>
      <c r="N54" s="8">
        <v>2.7305710392764998E-3</v>
      </c>
      <c r="O54" s="8">
        <v>3.8695626359007702E-2</v>
      </c>
      <c r="P54" s="9">
        <v>5.1107274913304697E-2</v>
      </c>
      <c r="Q54" s="570">
        <v>9.9020441443993593E-3</v>
      </c>
    </row>
    <row r="55" spans="2:17" ht="15.75" x14ac:dyDescent="0.25">
      <c r="B55" s="6">
        <v>2016</v>
      </c>
      <c r="C55" s="7">
        <v>2008</v>
      </c>
      <c r="D55" s="484" t="s">
        <v>4672</v>
      </c>
      <c r="E55" s="488">
        <v>0.18265521227230885</v>
      </c>
      <c r="F55" s="489">
        <v>0.23754265143500672</v>
      </c>
      <c r="G55" s="487">
        <v>1.9563762588508098E-2</v>
      </c>
      <c r="H55" s="8">
        <v>1.96018019618595E-2</v>
      </c>
      <c r="I55" s="8">
        <v>5.9094013555183098</v>
      </c>
      <c r="J55" s="8">
        <v>0.29966561547526099</v>
      </c>
      <c r="K55" s="8">
        <v>1.2001015319317399E-2</v>
      </c>
      <c r="L55" s="8">
        <v>2.1258024935628101E-4</v>
      </c>
      <c r="M55" s="8">
        <v>7.1416230537716197E-3</v>
      </c>
      <c r="N55" s="8">
        <v>2.7558212139500802E-3</v>
      </c>
      <c r="O55" s="8">
        <v>3.4102687111140999E-2</v>
      </c>
      <c r="P55" s="9">
        <v>5.1552687994546799E-2</v>
      </c>
      <c r="Q55" s="570">
        <v>1.25436479783402E-2</v>
      </c>
    </row>
    <row r="56" spans="2:17" ht="15.75" x14ac:dyDescent="0.25">
      <c r="B56" s="6">
        <v>2016</v>
      </c>
      <c r="C56" s="7">
        <v>2009</v>
      </c>
      <c r="D56" s="484" t="s">
        <v>4673</v>
      </c>
      <c r="E56" s="488">
        <v>0.18186245305448201</v>
      </c>
      <c r="F56" s="489">
        <v>0.21522106902834248</v>
      </c>
      <c r="G56" s="487">
        <v>6.8989198460191001E-3</v>
      </c>
      <c r="H56" s="8">
        <v>1.6591189788806499E-2</v>
      </c>
      <c r="I56" s="8">
        <v>5.8704388940170098</v>
      </c>
      <c r="J56" s="8">
        <v>0.239363822615866</v>
      </c>
      <c r="K56" s="8">
        <v>9.9088626086564005E-3</v>
      </c>
      <c r="L56" s="8">
        <v>2.1262311251564399E-4</v>
      </c>
      <c r="M56" s="8">
        <v>6.8798891070614102E-3</v>
      </c>
      <c r="N56" s="8">
        <v>2.6306177272516101E-3</v>
      </c>
      <c r="O56" s="8">
        <v>3.6651082149928599E-2</v>
      </c>
      <c r="P56" s="9">
        <v>4.9344098489185702E-2</v>
      </c>
      <c r="Q56" s="570">
        <v>1.03568974058932E-2</v>
      </c>
    </row>
    <row r="57" spans="2:17" ht="15.75" x14ac:dyDescent="0.25">
      <c r="B57" s="6">
        <v>2016</v>
      </c>
      <c r="C57" s="7">
        <v>2010</v>
      </c>
      <c r="D57" s="484" t="s">
        <v>4674</v>
      </c>
      <c r="E57" s="488">
        <v>0.14196291985137377</v>
      </c>
      <c r="F57" s="489">
        <v>0.24889407278190712</v>
      </c>
      <c r="G57" s="487">
        <v>1.03097264985768E-2</v>
      </c>
      <c r="H57" s="8">
        <v>2.04070644433977E-2</v>
      </c>
      <c r="I57" s="8">
        <v>0.795936668013975</v>
      </c>
      <c r="J57" s="8">
        <v>0.26636648953184799</v>
      </c>
      <c r="K57" s="8">
        <v>6.4602453099929296E-3</v>
      </c>
      <c r="L57" s="8">
        <v>3.06403759271787E-4</v>
      </c>
      <c r="M57" s="8">
        <v>8.5443364586191405E-3</v>
      </c>
      <c r="N57" s="8">
        <v>2.81894754075769E-3</v>
      </c>
      <c r="O57" s="8">
        <v>2.7551955813034101E-2</v>
      </c>
      <c r="P57" s="9">
        <v>5.2666236399432999E-2</v>
      </c>
      <c r="Q57" s="570">
        <v>6.75234893599682E-3</v>
      </c>
    </row>
    <row r="58" spans="2:17" ht="15.75" x14ac:dyDescent="0.25">
      <c r="B58" s="6">
        <v>2016</v>
      </c>
      <c r="C58" s="7">
        <v>2011</v>
      </c>
      <c r="D58" s="484" t="s">
        <v>4675</v>
      </c>
      <c r="E58" s="488">
        <v>0.14157683583521949</v>
      </c>
      <c r="F58" s="489">
        <v>0.22131934083587843</v>
      </c>
      <c r="G58" s="487">
        <v>2.8549096764944998E-3</v>
      </c>
      <c r="H58" s="8">
        <v>1.7920195777700602E-2</v>
      </c>
      <c r="I58" s="8">
        <v>0.72507564250686696</v>
      </c>
      <c r="J58" s="8">
        <v>0.21180523828935599</v>
      </c>
      <c r="K58" s="8">
        <v>5.3452811991343699E-3</v>
      </c>
      <c r="L58" s="8">
        <v>4.05130175380427E-4</v>
      </c>
      <c r="M58" s="8">
        <v>7.1138002456069601E-3</v>
      </c>
      <c r="N58" s="8">
        <v>2.6174631606420101E-3</v>
      </c>
      <c r="O58" s="8">
        <v>3.5471912229210298E-2</v>
      </c>
      <c r="P58" s="9">
        <v>4.9112051934192401E-2</v>
      </c>
      <c r="Q58" s="570">
        <v>5.5869710956252001E-3</v>
      </c>
    </row>
    <row r="59" spans="2:17" ht="15.75" x14ac:dyDescent="0.25">
      <c r="B59" s="6">
        <v>2016</v>
      </c>
      <c r="C59" s="7">
        <v>2012</v>
      </c>
      <c r="D59" s="484" t="s">
        <v>4676</v>
      </c>
      <c r="E59" s="488">
        <v>0.1649511577137712</v>
      </c>
      <c r="F59" s="489">
        <v>0.21069092104441112</v>
      </c>
      <c r="G59" s="487">
        <v>1.1053209655312801E-3</v>
      </c>
      <c r="H59" s="8">
        <v>1.7303322446282798E-2</v>
      </c>
      <c r="I59" s="8">
        <v>0.80185692931539299</v>
      </c>
      <c r="J59" s="8">
        <v>0.18850307339087199</v>
      </c>
      <c r="K59" s="8">
        <v>5.7652725329203399E-3</v>
      </c>
      <c r="L59" s="8">
        <v>5.9864307256548503E-4</v>
      </c>
      <c r="M59" s="8">
        <v>8.4640680806995008E-3</v>
      </c>
      <c r="N59" s="8">
        <v>2.5299069349821301E-3</v>
      </c>
      <c r="O59" s="8">
        <v>2.90861091357884E-2</v>
      </c>
      <c r="P59" s="9">
        <v>4.7567560113552197E-2</v>
      </c>
      <c r="Q59" s="570">
        <v>6.0259525738410296E-3</v>
      </c>
    </row>
    <row r="60" spans="2:17" ht="15.75" x14ac:dyDescent="0.25">
      <c r="B60" s="6">
        <v>2016</v>
      </c>
      <c r="C60" s="7">
        <v>2013</v>
      </c>
      <c r="D60" s="484" t="s">
        <v>4677</v>
      </c>
      <c r="E60" s="488">
        <v>0.16661631809701002</v>
      </c>
      <c r="F60" s="489">
        <v>0.17938793770786501</v>
      </c>
      <c r="G60" s="487">
        <v>1.11818130633658E-3</v>
      </c>
      <c r="H60" s="8">
        <v>1.37701952863952E-2</v>
      </c>
      <c r="I60" s="8">
        <v>0.81062347819707803</v>
      </c>
      <c r="J60" s="8">
        <v>0.14706903908659999</v>
      </c>
      <c r="K60" s="8">
        <v>5.7086132092526503E-3</v>
      </c>
      <c r="L60" s="8">
        <v>7.2359126387071097E-4</v>
      </c>
      <c r="M60" s="8">
        <v>8.5445259777359294E-3</v>
      </c>
      <c r="N60" s="8">
        <v>2.3763437447837498E-3</v>
      </c>
      <c r="O60" s="8">
        <v>2.86918654403099E-2</v>
      </c>
      <c r="P60" s="9">
        <v>4.4858705438452703E-2</v>
      </c>
      <c r="Q60" s="570">
        <v>5.9667313669791097E-3</v>
      </c>
    </row>
    <row r="61" spans="2:17" ht="15.75" x14ac:dyDescent="0.25">
      <c r="B61" s="6">
        <v>2016</v>
      </c>
      <c r="C61" s="7">
        <v>2014</v>
      </c>
      <c r="D61" s="484" t="s">
        <v>4678</v>
      </c>
      <c r="E61" s="488">
        <v>0.15878062881192029</v>
      </c>
      <c r="F61" s="489">
        <v>0.16745328776643287</v>
      </c>
      <c r="G61" s="487">
        <v>1.0345507443220499E-3</v>
      </c>
      <c r="H61" s="8">
        <v>1.5759361957176501E-2</v>
      </c>
      <c r="I61" s="8">
        <v>0.76334106260791701</v>
      </c>
      <c r="J61" s="8">
        <v>0.14501225671439799</v>
      </c>
      <c r="K61" s="8">
        <v>5.43723899291271E-3</v>
      </c>
      <c r="L61" s="8">
        <v>1.2216302548238201E-3</v>
      </c>
      <c r="M61" s="8">
        <v>7.7421131701981196E-3</v>
      </c>
      <c r="N61" s="8">
        <v>2.24429559817017E-3</v>
      </c>
      <c r="O61" s="8">
        <v>3.2623688197245197E-2</v>
      </c>
      <c r="P61" s="9">
        <v>4.2529376132189198E-2</v>
      </c>
      <c r="Q61" s="570">
        <v>5.68308681278153E-3</v>
      </c>
    </row>
    <row r="62" spans="2:17" ht="15.75" x14ac:dyDescent="0.25">
      <c r="B62" s="6">
        <v>2016</v>
      </c>
      <c r="C62" s="7">
        <v>2015</v>
      </c>
      <c r="D62" s="484" t="s">
        <v>4679</v>
      </c>
      <c r="E62" s="488">
        <v>0.15733184025254049</v>
      </c>
      <c r="F62" s="489">
        <v>0.24558910653040686</v>
      </c>
      <c r="G62" s="487">
        <v>9.7043888207479505E-4</v>
      </c>
      <c r="H62" s="8">
        <v>2.15964448001198E-2</v>
      </c>
      <c r="I62" s="8">
        <v>0.72776238113491398</v>
      </c>
      <c r="J62" s="8">
        <v>0.16926356181634</v>
      </c>
      <c r="K62" s="8">
        <v>5.2488009064911197E-3</v>
      </c>
      <c r="L62" s="8">
        <v>1.62287268902706E-3</v>
      </c>
      <c r="M62" s="8">
        <v>7.1195194073400796E-3</v>
      </c>
      <c r="N62" s="8">
        <v>2.8862324033371899E-3</v>
      </c>
      <c r="O62" s="8">
        <v>3.5674397635249502E-2</v>
      </c>
      <c r="P62" s="9">
        <v>5.3853141375335298E-2</v>
      </c>
      <c r="Q62" s="570">
        <v>5.4861283922735798E-3</v>
      </c>
    </row>
    <row r="63" spans="2:17" ht="15.75" x14ac:dyDescent="0.25">
      <c r="B63" s="6">
        <v>2016</v>
      </c>
      <c r="C63" s="7">
        <v>2016</v>
      </c>
      <c r="D63" s="484" t="s">
        <v>4680</v>
      </c>
      <c r="E63" s="488">
        <v>0.14816952894345228</v>
      </c>
      <c r="F63" s="489">
        <v>0.21474625292266133</v>
      </c>
      <c r="G63" s="487">
        <v>2.8919708462770998E-3</v>
      </c>
      <c r="H63" s="8">
        <v>1.9282627836914399E-2</v>
      </c>
      <c r="I63" s="8">
        <v>0.79386062143943603</v>
      </c>
      <c r="J63" s="8">
        <v>0.13331451675329301</v>
      </c>
      <c r="K63" s="8">
        <v>5.6749826075624702E-3</v>
      </c>
      <c r="L63" s="8">
        <v>1.82911241258068E-3</v>
      </c>
      <c r="M63" s="8">
        <v>8.33416889033246E-3</v>
      </c>
      <c r="N63" s="8">
        <v>2.64438986192095E-3</v>
      </c>
      <c r="O63" s="8">
        <v>2.94750580870205E-2</v>
      </c>
      <c r="P63" s="9">
        <v>4.9587038944752901E-2</v>
      </c>
      <c r="Q63" s="570">
        <v>5.9315801387140902E-3</v>
      </c>
    </row>
    <row r="64" spans="2:17" ht="15.75" x14ac:dyDescent="0.25">
      <c r="B64" s="6">
        <v>2017</v>
      </c>
      <c r="C64" s="7">
        <v>2003</v>
      </c>
      <c r="D64" s="484" t="s">
        <v>2993</v>
      </c>
      <c r="E64" s="488">
        <v>0.18502786837300755</v>
      </c>
      <c r="F64" s="489">
        <v>0.27684528394316349</v>
      </c>
      <c r="G64" s="487">
        <v>1.27973873785542E-2</v>
      </c>
      <c r="H64" s="8">
        <v>5.9838872889058099E-2</v>
      </c>
      <c r="I64" s="8">
        <v>9.5578265193965901</v>
      </c>
      <c r="J64" s="8">
        <v>1.0065119675959899</v>
      </c>
      <c r="K64" s="8">
        <v>1.0794902144152499E-2</v>
      </c>
      <c r="L64" s="8">
        <v>3.0515256657119099E-3</v>
      </c>
      <c r="M64" s="8">
        <v>8.1864284238565704E-3</v>
      </c>
      <c r="N64" s="8">
        <v>3.0000018168034001E-3</v>
      </c>
      <c r="O64" s="8">
        <v>3.0446543454318801E-2</v>
      </c>
      <c r="P64" s="9">
        <v>5.5860033828879302E-2</v>
      </c>
      <c r="Q64" s="570">
        <v>1.12829997174423E-2</v>
      </c>
    </row>
    <row r="65" spans="2:17" ht="15.75" x14ac:dyDescent="0.25">
      <c r="B65" s="6">
        <v>2017</v>
      </c>
      <c r="C65" s="7">
        <v>2004</v>
      </c>
      <c r="D65" s="484" t="s">
        <v>2994</v>
      </c>
      <c r="E65" s="488">
        <v>0.18065461410242015</v>
      </c>
      <c r="F65" s="489">
        <v>0.27546950733639941</v>
      </c>
      <c r="G65" s="487">
        <v>1.2413329537075799E-2</v>
      </c>
      <c r="H65" s="8">
        <v>2.2722194672634699E-2</v>
      </c>
      <c r="I65" s="8">
        <v>9.35633872058931</v>
      </c>
      <c r="J65" s="8">
        <v>0.47123439644052101</v>
      </c>
      <c r="K65" s="8">
        <v>1.04963166361501E-2</v>
      </c>
      <c r="L65" s="8">
        <v>2.0469952638605101E-4</v>
      </c>
      <c r="M65" s="8">
        <v>7.8742371187292496E-3</v>
      </c>
      <c r="N65" s="8">
        <v>3.0000018168034001E-3</v>
      </c>
      <c r="O65" s="8">
        <v>3.1976280849442699E-2</v>
      </c>
      <c r="P65" s="9">
        <v>5.5860033828879302E-2</v>
      </c>
      <c r="Q65" s="570">
        <v>1.09709134977215E-2</v>
      </c>
    </row>
    <row r="66" spans="2:17" ht="15.75" x14ac:dyDescent="0.25">
      <c r="B66" s="6">
        <v>2017</v>
      </c>
      <c r="C66" s="7">
        <v>2005</v>
      </c>
      <c r="D66" s="484" t="s">
        <v>2995</v>
      </c>
      <c r="E66" s="488">
        <v>0.12574440705518833</v>
      </c>
      <c r="F66" s="489">
        <v>0.27436034818931115</v>
      </c>
      <c r="G66" s="487">
        <v>8.7022172909242794E-3</v>
      </c>
      <c r="H66" s="8">
        <v>2.2784106461544801E-2</v>
      </c>
      <c r="I66" s="8">
        <v>6.7890649479140404</v>
      </c>
      <c r="J66" s="8">
        <v>0.43618326462818202</v>
      </c>
      <c r="K66" s="8">
        <v>6.4890539933198099E-3</v>
      </c>
      <c r="L66" s="8">
        <v>2.03498042355097E-4</v>
      </c>
      <c r="M66" s="8">
        <v>3.0000018168034001E-3</v>
      </c>
      <c r="N66" s="8">
        <v>3.0000018168034001E-3</v>
      </c>
      <c r="O66" s="8">
        <v>5.5860033828879302E-2</v>
      </c>
      <c r="P66" s="9">
        <v>5.5860033828879302E-2</v>
      </c>
      <c r="Q66" s="570">
        <v>6.7824602201470999E-3</v>
      </c>
    </row>
    <row r="67" spans="2:17" ht="15.75" x14ac:dyDescent="0.25">
      <c r="B67" s="6">
        <v>2017</v>
      </c>
      <c r="C67" s="7">
        <v>2006</v>
      </c>
      <c r="D67" s="484" t="s">
        <v>2996</v>
      </c>
      <c r="E67" s="488">
        <v>0.14238172806242366</v>
      </c>
      <c r="F67" s="489">
        <v>0.27539663694920052</v>
      </c>
      <c r="G67" s="487">
        <v>9.8949854114714093E-3</v>
      </c>
      <c r="H67" s="8">
        <v>2.2655847449442799E-2</v>
      </c>
      <c r="I67" s="8">
        <v>7.5978663152671304</v>
      </c>
      <c r="J67" s="8">
        <v>0.41588426714515297</v>
      </c>
      <c r="K67" s="8">
        <v>7.7535442288866798E-3</v>
      </c>
      <c r="L67" s="8">
        <v>2.04135605903954E-4</v>
      </c>
      <c r="M67" s="8">
        <v>4.5188719804350099E-3</v>
      </c>
      <c r="N67" s="8">
        <v>3.0000018168034001E-3</v>
      </c>
      <c r="O67" s="8">
        <v>4.8417570027084397E-2</v>
      </c>
      <c r="P67" s="9">
        <v>5.5860033828879302E-2</v>
      </c>
      <c r="Q67" s="570">
        <v>8.1041250930739793E-3</v>
      </c>
    </row>
    <row r="68" spans="2:17" ht="15.75" x14ac:dyDescent="0.25">
      <c r="B68" s="6">
        <v>2017</v>
      </c>
      <c r="C68" s="7">
        <v>2007</v>
      </c>
      <c r="D68" s="484" t="s">
        <v>2997</v>
      </c>
      <c r="E68" s="488">
        <v>0.17692387753135286</v>
      </c>
      <c r="F68" s="489">
        <v>0.23608122451960964</v>
      </c>
      <c r="G68" s="487">
        <v>5.0202268199491997E-3</v>
      </c>
      <c r="H68" s="8">
        <v>2.0553289627714098E-2</v>
      </c>
      <c r="I68" s="8">
        <v>5.7002111946338099</v>
      </c>
      <c r="J68" s="8">
        <v>0.34625938317363297</v>
      </c>
      <c r="K68" s="8">
        <v>9.4752755972466497E-3</v>
      </c>
      <c r="L68" s="8">
        <v>1.91241465946968E-4</v>
      </c>
      <c r="M68" s="8">
        <v>6.4974316291630503E-3</v>
      </c>
      <c r="N68" s="8">
        <v>2.7305710392764998E-3</v>
      </c>
      <c r="O68" s="8">
        <v>3.8695626359007702E-2</v>
      </c>
      <c r="P68" s="9">
        <v>5.1107274913304697E-2</v>
      </c>
      <c r="Q68" s="570">
        <v>9.9037055138414005E-3</v>
      </c>
    </row>
    <row r="69" spans="2:17" ht="15.75" x14ac:dyDescent="0.25">
      <c r="B69" s="6">
        <v>2017</v>
      </c>
      <c r="C69" s="7">
        <v>2008</v>
      </c>
      <c r="D69" s="484" t="s">
        <v>2998</v>
      </c>
      <c r="E69" s="488">
        <v>0.18265521227230869</v>
      </c>
      <c r="F69" s="489">
        <v>0.23754431608053483</v>
      </c>
      <c r="G69" s="487">
        <v>1.9973905002394599E-2</v>
      </c>
      <c r="H69" s="8">
        <v>1.9652028678476902E-2</v>
      </c>
      <c r="I69" s="8">
        <v>5.9103589759990802</v>
      </c>
      <c r="J69" s="8">
        <v>0.310431488316118</v>
      </c>
      <c r="K69" s="8">
        <v>1.20903514345735E-2</v>
      </c>
      <c r="L69" s="8">
        <v>2.1258024935628101E-4</v>
      </c>
      <c r="M69" s="8">
        <v>7.1416230537716197E-3</v>
      </c>
      <c r="N69" s="8">
        <v>2.7558212139500802E-3</v>
      </c>
      <c r="O69" s="8">
        <v>3.4102687111140999E-2</v>
      </c>
      <c r="P69" s="9">
        <v>5.1552687994546799E-2</v>
      </c>
      <c r="Q69" s="570">
        <v>1.2637023476305E-2</v>
      </c>
    </row>
    <row r="70" spans="2:17" ht="15.75" x14ac:dyDescent="0.25">
      <c r="B70" s="6">
        <v>2017</v>
      </c>
      <c r="C70" s="7">
        <v>2009</v>
      </c>
      <c r="D70" s="484" t="s">
        <v>2999</v>
      </c>
      <c r="E70" s="488">
        <v>0.18186245305448201</v>
      </c>
      <c r="F70" s="489">
        <v>0.21522408941834331</v>
      </c>
      <c r="G70" s="487">
        <v>6.9595809358967801E-3</v>
      </c>
      <c r="H70" s="8">
        <v>1.66008690465386E-2</v>
      </c>
      <c r="I70" s="8">
        <v>5.8705769163130599</v>
      </c>
      <c r="J70" s="8">
        <v>0.25690288888477703</v>
      </c>
      <c r="K70" s="8">
        <v>9.9219893793720901E-3</v>
      </c>
      <c r="L70" s="8">
        <v>2.1262311251564399E-4</v>
      </c>
      <c r="M70" s="8">
        <v>6.8798891070614102E-3</v>
      </c>
      <c r="N70" s="8">
        <v>2.6306177272516101E-3</v>
      </c>
      <c r="O70" s="8">
        <v>3.6651082149928703E-2</v>
      </c>
      <c r="P70" s="9">
        <v>4.9344098489185702E-2</v>
      </c>
      <c r="Q70" s="570">
        <v>1.03706177109315E-2</v>
      </c>
    </row>
    <row r="71" spans="2:17" ht="15.75" x14ac:dyDescent="0.25">
      <c r="B71" s="6">
        <v>2017</v>
      </c>
      <c r="C71" s="7">
        <v>2010</v>
      </c>
      <c r="D71" s="484" t="s">
        <v>3000</v>
      </c>
      <c r="E71" s="488">
        <v>0.14196291985137377</v>
      </c>
      <c r="F71" s="489">
        <v>0.2488974128511475</v>
      </c>
      <c r="G71" s="487">
        <v>1.05026547989348E-2</v>
      </c>
      <c r="H71" s="8">
        <v>2.0415242379002E-2</v>
      </c>
      <c r="I71" s="8">
        <v>0.79666771805365599</v>
      </c>
      <c r="J71" s="8">
        <v>0.28579013616433302</v>
      </c>
      <c r="K71" s="8">
        <v>6.5435670353068904E-3</v>
      </c>
      <c r="L71" s="8">
        <v>3.06403759271787E-4</v>
      </c>
      <c r="M71" s="8">
        <v>8.5443364586191492E-3</v>
      </c>
      <c r="N71" s="8">
        <v>2.81894754075769E-3</v>
      </c>
      <c r="O71" s="8">
        <v>2.7551955813034198E-2</v>
      </c>
      <c r="P71" s="9">
        <v>5.2666236399432999E-2</v>
      </c>
      <c r="Q71" s="570">
        <v>6.8394380999948004E-3</v>
      </c>
    </row>
    <row r="72" spans="2:17" ht="15.75" x14ac:dyDescent="0.25">
      <c r="B72" s="6">
        <v>2017</v>
      </c>
      <c r="C72" s="7">
        <v>2011</v>
      </c>
      <c r="D72" s="484" t="s">
        <v>3001</v>
      </c>
      <c r="E72" s="488">
        <v>0.14157683583521949</v>
      </c>
      <c r="F72" s="489">
        <v>0.22132197493248765</v>
      </c>
      <c r="G72" s="487">
        <v>2.8976133977537599E-3</v>
      </c>
      <c r="H72" s="8">
        <v>1.7898538554131E-2</v>
      </c>
      <c r="I72" s="8">
        <v>0.72523505368435204</v>
      </c>
      <c r="J72" s="8">
        <v>0.22775032817722901</v>
      </c>
      <c r="K72" s="8">
        <v>5.3633678016184096E-3</v>
      </c>
      <c r="L72" s="8">
        <v>4.05130175380427E-4</v>
      </c>
      <c r="M72" s="8">
        <v>7.1138002456069601E-3</v>
      </c>
      <c r="N72" s="8">
        <v>2.6174631606420101E-3</v>
      </c>
      <c r="O72" s="8">
        <v>3.5471912229210298E-2</v>
      </c>
      <c r="P72" s="9">
        <v>4.9112051934192401E-2</v>
      </c>
      <c r="Q72" s="570">
        <v>5.6058754940154602E-3</v>
      </c>
    </row>
    <row r="73" spans="2:17" ht="15.75" x14ac:dyDescent="0.25">
      <c r="B73" s="6">
        <v>2017</v>
      </c>
      <c r="C73" s="7">
        <v>2012</v>
      </c>
      <c r="D73" s="484" t="s">
        <v>3002</v>
      </c>
      <c r="E73" s="488">
        <v>0.1649511577137712</v>
      </c>
      <c r="F73" s="489">
        <v>0.21069217455879424</v>
      </c>
      <c r="G73" s="487">
        <v>1.1053209655312801E-3</v>
      </c>
      <c r="H73" s="8">
        <v>1.7135691387935099E-2</v>
      </c>
      <c r="I73" s="8">
        <v>0.80185692931539299</v>
      </c>
      <c r="J73" s="8">
        <v>0.19607620147295499</v>
      </c>
      <c r="K73" s="8">
        <v>5.7652725329203399E-3</v>
      </c>
      <c r="L73" s="8">
        <v>5.9864307256548503E-4</v>
      </c>
      <c r="M73" s="8">
        <v>8.4640680806995008E-3</v>
      </c>
      <c r="N73" s="8">
        <v>2.5299069349821301E-3</v>
      </c>
      <c r="O73" s="8">
        <v>2.90861091357884E-2</v>
      </c>
      <c r="P73" s="9">
        <v>4.7567560113552197E-2</v>
      </c>
      <c r="Q73" s="570">
        <v>6.0259525738410296E-3</v>
      </c>
    </row>
    <row r="74" spans="2:17" ht="15.75" x14ac:dyDescent="0.25">
      <c r="B74" s="6">
        <v>2017</v>
      </c>
      <c r="C74" s="7">
        <v>2013</v>
      </c>
      <c r="D74" s="484" t="s">
        <v>3003</v>
      </c>
      <c r="E74" s="488">
        <v>0.16661631809701002</v>
      </c>
      <c r="F74" s="489">
        <v>0.17938943407249952</v>
      </c>
      <c r="G74" s="487">
        <v>1.11818130633658E-3</v>
      </c>
      <c r="H74" s="8">
        <v>1.33989851410519E-2</v>
      </c>
      <c r="I74" s="8">
        <v>0.81062347819707803</v>
      </c>
      <c r="J74" s="8">
        <v>0.15668749344053301</v>
      </c>
      <c r="K74" s="8">
        <v>5.7086132092526503E-3</v>
      </c>
      <c r="L74" s="8">
        <v>7.2359126387071097E-4</v>
      </c>
      <c r="M74" s="8">
        <v>8.5445259777359294E-3</v>
      </c>
      <c r="N74" s="8">
        <v>2.3763437447837498E-3</v>
      </c>
      <c r="O74" s="8">
        <v>2.86918654403099E-2</v>
      </c>
      <c r="P74" s="9">
        <v>4.4858705438452703E-2</v>
      </c>
      <c r="Q74" s="570">
        <v>5.9667313669791097E-3</v>
      </c>
    </row>
    <row r="75" spans="2:17" ht="15.75" x14ac:dyDescent="0.25">
      <c r="B75" s="6">
        <v>2017</v>
      </c>
      <c r="C75" s="7">
        <v>2014</v>
      </c>
      <c r="D75" s="484" t="s">
        <v>3004</v>
      </c>
      <c r="E75" s="488">
        <v>0.15878062881192029</v>
      </c>
      <c r="F75" s="489">
        <v>0.16745167782159837</v>
      </c>
      <c r="G75" s="487">
        <v>1.0345507443220499E-3</v>
      </c>
      <c r="H75" s="8">
        <v>1.47189200050014E-2</v>
      </c>
      <c r="I75" s="8">
        <v>0.76334106260791701</v>
      </c>
      <c r="J75" s="8">
        <v>0.13936000492169101</v>
      </c>
      <c r="K75" s="8">
        <v>5.43723899291271E-3</v>
      </c>
      <c r="L75" s="8">
        <v>1.2216302548238201E-3</v>
      </c>
      <c r="M75" s="8">
        <v>7.7421131701981196E-3</v>
      </c>
      <c r="N75" s="8">
        <v>2.24429559817017E-3</v>
      </c>
      <c r="O75" s="8">
        <v>3.2623688197245197E-2</v>
      </c>
      <c r="P75" s="9">
        <v>4.2529376132189198E-2</v>
      </c>
      <c r="Q75" s="570">
        <v>5.68308681278153E-3</v>
      </c>
    </row>
    <row r="76" spans="2:17" ht="15.75" x14ac:dyDescent="0.25">
      <c r="B76" s="6">
        <v>2017</v>
      </c>
      <c r="C76" s="7">
        <v>2015</v>
      </c>
      <c r="D76" s="484" t="s">
        <v>3005</v>
      </c>
      <c r="E76" s="488">
        <v>0.15733184025254049</v>
      </c>
      <c r="F76" s="489">
        <v>0.24559331280312627</v>
      </c>
      <c r="G76" s="487">
        <v>9.7043888207479505E-4</v>
      </c>
      <c r="H76" s="8">
        <v>2.1464147559631701E-2</v>
      </c>
      <c r="I76" s="8">
        <v>0.72776238113491398</v>
      </c>
      <c r="J76" s="8">
        <v>0.19636876594716099</v>
      </c>
      <c r="K76" s="8">
        <v>5.2488009064911197E-3</v>
      </c>
      <c r="L76" s="8">
        <v>1.62287268902706E-3</v>
      </c>
      <c r="M76" s="8">
        <v>7.11951940734009E-3</v>
      </c>
      <c r="N76" s="8">
        <v>2.8862324033371899E-3</v>
      </c>
      <c r="O76" s="8">
        <v>3.56743976352496E-2</v>
      </c>
      <c r="P76" s="9">
        <v>5.3853141375335298E-2</v>
      </c>
      <c r="Q76" s="570">
        <v>5.4861283922735798E-3</v>
      </c>
    </row>
    <row r="77" spans="2:17" ht="15.75" x14ac:dyDescent="0.25">
      <c r="B77" s="6">
        <v>2017</v>
      </c>
      <c r="C77" s="7">
        <v>2016</v>
      </c>
      <c r="D77" s="484" t="s">
        <v>3006</v>
      </c>
      <c r="E77" s="488">
        <v>0.14816952894345228</v>
      </c>
      <c r="F77" s="489">
        <v>0.21475001773297966</v>
      </c>
      <c r="G77" s="487">
        <v>2.9512727861193502E-3</v>
      </c>
      <c r="H77" s="8">
        <v>1.9422712901187099E-2</v>
      </c>
      <c r="I77" s="8">
        <v>0.79405429777418202</v>
      </c>
      <c r="J77" s="8">
        <v>0.15413031119669199</v>
      </c>
      <c r="K77" s="8">
        <v>5.6997825166188202E-3</v>
      </c>
      <c r="L77" s="8">
        <v>1.82911241258068E-3</v>
      </c>
      <c r="M77" s="8">
        <v>8.33416889033246E-3</v>
      </c>
      <c r="N77" s="8">
        <v>2.64438986192095E-3</v>
      </c>
      <c r="O77" s="8">
        <v>2.94750580870205E-2</v>
      </c>
      <c r="P77" s="9">
        <v>4.9587038944752901E-2</v>
      </c>
      <c r="Q77" s="570">
        <v>5.9575013896100001E-3</v>
      </c>
    </row>
    <row r="78" spans="2:17" ht="15.75" x14ac:dyDescent="0.25">
      <c r="B78" s="6">
        <v>2017</v>
      </c>
      <c r="C78" s="7">
        <v>2017</v>
      </c>
      <c r="D78" s="484" t="s">
        <v>3007</v>
      </c>
      <c r="E78" s="488">
        <v>0.14681937762266498</v>
      </c>
      <c r="F78" s="489">
        <v>0.16462260354006786</v>
      </c>
      <c r="G78" s="487">
        <v>1.7422822827914001E-3</v>
      </c>
      <c r="H78" s="8">
        <v>1.39215682825715E-2</v>
      </c>
      <c r="I78" s="8">
        <v>0.78583272990004405</v>
      </c>
      <c r="J78" s="8">
        <v>0.109533610346563</v>
      </c>
      <c r="K78" s="8">
        <v>5.5777978627684797E-3</v>
      </c>
      <c r="L78" s="8">
        <v>1.58077395013256E-3</v>
      </c>
      <c r="M78" s="8">
        <v>8.1444245765871504E-3</v>
      </c>
      <c r="N78" s="8">
        <v>2.3696603190135499E-3</v>
      </c>
      <c r="O78" s="8">
        <v>3.05589568479099E-2</v>
      </c>
      <c r="P78" s="9">
        <v>4.4740809807866398E-2</v>
      </c>
      <c r="Q78" s="570">
        <v>5.8300011310114296E-3</v>
      </c>
    </row>
    <row r="79" spans="2:17" ht="15.75" x14ac:dyDescent="0.25">
      <c r="B79" s="6">
        <v>2018</v>
      </c>
      <c r="C79" s="7">
        <v>2004</v>
      </c>
      <c r="D79" s="484" t="s">
        <v>3038</v>
      </c>
      <c r="E79" s="488">
        <v>0.18065461410242015</v>
      </c>
      <c r="F79" s="489">
        <v>0.2754757625332836</v>
      </c>
      <c r="G79" s="487">
        <v>1.2413329537075799E-2</v>
      </c>
      <c r="H79" s="8">
        <v>2.2722194672634699E-2</v>
      </c>
      <c r="I79" s="8">
        <v>9.35633872058931</v>
      </c>
      <c r="J79" s="8">
        <v>0.50781603695247401</v>
      </c>
      <c r="K79" s="8">
        <v>1.04963166361501E-2</v>
      </c>
      <c r="L79" s="8">
        <v>2.0469952638605101E-4</v>
      </c>
      <c r="M79" s="8">
        <v>7.8742371187292496E-3</v>
      </c>
      <c r="N79" s="8">
        <v>3.0000018168034001E-3</v>
      </c>
      <c r="O79" s="8">
        <v>3.1976280849442699E-2</v>
      </c>
      <c r="P79" s="9">
        <v>5.5860033828879302E-2</v>
      </c>
      <c r="Q79" s="570">
        <v>1.09709134977215E-2</v>
      </c>
    </row>
    <row r="80" spans="2:17" ht="15.75" x14ac:dyDescent="0.25">
      <c r="B80" s="6">
        <v>2018</v>
      </c>
      <c r="C80" s="7">
        <v>2005</v>
      </c>
      <c r="D80" s="484" t="s">
        <v>3039</v>
      </c>
      <c r="E80" s="488">
        <v>0.12574440705518833</v>
      </c>
      <c r="F80" s="489">
        <v>0.27436384362865152</v>
      </c>
      <c r="G80" s="487">
        <v>8.7022172909242794E-3</v>
      </c>
      <c r="H80" s="8">
        <v>2.2784106461544801E-2</v>
      </c>
      <c r="I80" s="8">
        <v>6.7890649479140404</v>
      </c>
      <c r="J80" s="8">
        <v>0.45678300790814602</v>
      </c>
      <c r="K80" s="8">
        <v>6.4890539933198099E-3</v>
      </c>
      <c r="L80" s="8">
        <v>2.03498042355097E-4</v>
      </c>
      <c r="M80" s="8">
        <v>3.0000018168034001E-3</v>
      </c>
      <c r="N80" s="8">
        <v>3.0000018168034001E-3</v>
      </c>
      <c r="O80" s="8">
        <v>5.5860033828879302E-2</v>
      </c>
      <c r="P80" s="9">
        <v>5.5860033828879302E-2</v>
      </c>
      <c r="Q80" s="570">
        <v>6.7824602201470999E-3</v>
      </c>
    </row>
    <row r="81" spans="2:17" ht="15.75" x14ac:dyDescent="0.25">
      <c r="B81" s="6">
        <v>2018</v>
      </c>
      <c r="C81" s="7">
        <v>2006</v>
      </c>
      <c r="D81" s="484" t="s">
        <v>3040</v>
      </c>
      <c r="E81" s="488">
        <v>0.14238172806242366</v>
      </c>
      <c r="F81" s="489">
        <v>0.27540272197412224</v>
      </c>
      <c r="G81" s="487">
        <v>9.8949854114714093E-3</v>
      </c>
      <c r="H81" s="8">
        <v>2.2655847449442799E-2</v>
      </c>
      <c r="I81" s="8">
        <v>7.5978663152671304</v>
      </c>
      <c r="J81" s="8">
        <v>0.44933229751428599</v>
      </c>
      <c r="K81" s="8">
        <v>7.7535442288866798E-3</v>
      </c>
      <c r="L81" s="8">
        <v>2.04135605903954E-4</v>
      </c>
      <c r="M81" s="8">
        <v>4.5188719804350099E-3</v>
      </c>
      <c r="N81" s="8">
        <v>3.0000018168034001E-3</v>
      </c>
      <c r="O81" s="8">
        <v>4.8417570027084397E-2</v>
      </c>
      <c r="P81" s="9">
        <v>5.5860033828879302E-2</v>
      </c>
      <c r="Q81" s="570">
        <v>8.1041250930739793E-3</v>
      </c>
    </row>
    <row r="82" spans="2:17" ht="15.75" x14ac:dyDescent="0.25">
      <c r="B82" s="6">
        <v>2018</v>
      </c>
      <c r="C82" s="7">
        <v>2007</v>
      </c>
      <c r="D82" s="484" t="s">
        <v>3041</v>
      </c>
      <c r="E82" s="488">
        <v>0.17740643829286507</v>
      </c>
      <c r="F82" s="489">
        <v>0.27467988183620112</v>
      </c>
      <c r="G82" s="487">
        <v>4.7430005610140996E-3</v>
      </c>
      <c r="H82" s="8">
        <v>2.2755128030012801E-2</v>
      </c>
      <c r="I82" s="8">
        <v>5.7176441213594504</v>
      </c>
      <c r="J82" s="8">
        <v>0.40729381459312203</v>
      </c>
      <c r="K82" s="8">
        <v>9.4436905209172896E-3</v>
      </c>
      <c r="L82" s="8">
        <v>2.0375827785650799E-4</v>
      </c>
      <c r="M82" s="8">
        <v>6.5297455302304099E-3</v>
      </c>
      <c r="N82" s="8">
        <v>3.0000018168034001E-3</v>
      </c>
      <c r="O82" s="8">
        <v>3.8564289633087001E-2</v>
      </c>
      <c r="P82" s="9">
        <v>5.5860033828879302E-2</v>
      </c>
      <c r="Q82" s="570">
        <v>9.8706923005171202E-3</v>
      </c>
    </row>
    <row r="83" spans="2:17" ht="15.75" x14ac:dyDescent="0.25">
      <c r="B83" s="6">
        <v>2018</v>
      </c>
      <c r="C83" s="7">
        <v>2008</v>
      </c>
      <c r="D83" s="484" t="s">
        <v>3042</v>
      </c>
      <c r="E83" s="488">
        <v>0.18265521227230869</v>
      </c>
      <c r="F83" s="489">
        <v>0.23754827778099766</v>
      </c>
      <c r="G83" s="487">
        <v>2.0358121951182199E-2</v>
      </c>
      <c r="H83" s="8">
        <v>1.9684753379268401E-2</v>
      </c>
      <c r="I83" s="8">
        <v>5.9112560655375104</v>
      </c>
      <c r="J83" s="8">
        <v>0.33516418368315698</v>
      </c>
      <c r="K83" s="8">
        <v>1.21740405315293E-2</v>
      </c>
      <c r="L83" s="8">
        <v>2.1258024935628101E-4</v>
      </c>
      <c r="M83" s="8">
        <v>7.1416230537716197E-3</v>
      </c>
      <c r="N83" s="8">
        <v>2.7558212139500802E-3</v>
      </c>
      <c r="O83" s="8">
        <v>3.4102687111140999E-2</v>
      </c>
      <c r="P83" s="9">
        <v>5.1552687994546799E-2</v>
      </c>
      <c r="Q83" s="570">
        <v>1.2724496622860199E-2</v>
      </c>
    </row>
    <row r="84" spans="2:17" ht="15.75" x14ac:dyDescent="0.25">
      <c r="B84" s="6">
        <v>2018</v>
      </c>
      <c r="C84" s="7">
        <v>2009</v>
      </c>
      <c r="D84" s="484" t="s">
        <v>3043</v>
      </c>
      <c r="E84" s="488">
        <v>0.18186245305448201</v>
      </c>
      <c r="F84" s="489">
        <v>0.21522556569580728</v>
      </c>
      <c r="G84" s="487">
        <v>7.0166355444961298E-3</v>
      </c>
      <c r="H84" s="8">
        <v>1.6608471534905099E-2</v>
      </c>
      <c r="I84" s="8">
        <v>5.8707067331032903</v>
      </c>
      <c r="J84" s="8">
        <v>0.26510282226584198</v>
      </c>
      <c r="K84" s="8">
        <v>9.9343357261148096E-3</v>
      </c>
      <c r="L84" s="8">
        <v>2.1262311251564399E-4</v>
      </c>
      <c r="M84" s="8">
        <v>6.8798891070614102E-3</v>
      </c>
      <c r="N84" s="8">
        <v>2.6306177272516101E-3</v>
      </c>
      <c r="O84" s="8">
        <v>3.6651082149928599E-2</v>
      </c>
      <c r="P84" s="9">
        <v>4.9344098489185702E-2</v>
      </c>
      <c r="Q84" s="570">
        <v>1.03835223046878E-2</v>
      </c>
    </row>
    <row r="85" spans="2:17" ht="15.75" x14ac:dyDescent="0.25">
      <c r="B85" s="6">
        <v>2018</v>
      </c>
      <c r="C85" s="7">
        <v>2010</v>
      </c>
      <c r="D85" s="484" t="s">
        <v>3044</v>
      </c>
      <c r="E85" s="488">
        <v>0.14196291985137377</v>
      </c>
      <c r="F85" s="489">
        <v>0.24890128600185807</v>
      </c>
      <c r="G85" s="487">
        <v>1.0684756202329299E-2</v>
      </c>
      <c r="H85" s="8">
        <v>2.0421062265065001E-2</v>
      </c>
      <c r="I85" s="8">
        <v>0.79735774379616398</v>
      </c>
      <c r="J85" s="8">
        <v>0.30825939074550202</v>
      </c>
      <c r="K85" s="8">
        <v>6.62221303173657E-3</v>
      </c>
      <c r="L85" s="8">
        <v>3.06403759271787E-4</v>
      </c>
      <c r="M85" s="8">
        <v>8.5443364586191492E-3</v>
      </c>
      <c r="N85" s="8">
        <v>2.81894754075769E-3</v>
      </c>
      <c r="O85" s="8">
        <v>2.7551955813034198E-2</v>
      </c>
      <c r="P85" s="9">
        <v>5.2666236399432999E-2</v>
      </c>
      <c r="Q85" s="570">
        <v>6.9216401193965896E-3</v>
      </c>
    </row>
    <row r="86" spans="2:17" ht="15.75" x14ac:dyDescent="0.25">
      <c r="B86" s="6">
        <v>2018</v>
      </c>
      <c r="C86" s="7">
        <v>2011</v>
      </c>
      <c r="D86" s="484" t="s">
        <v>3045</v>
      </c>
      <c r="E86" s="488">
        <v>0.14157683583521949</v>
      </c>
      <c r="F86" s="489">
        <v>0.22132455506118073</v>
      </c>
      <c r="G86" s="487">
        <v>2.9380479302780998E-3</v>
      </c>
      <c r="H86" s="8">
        <v>1.7913879522133101E-2</v>
      </c>
      <c r="I86" s="8">
        <v>0.72538599451235897</v>
      </c>
      <c r="J86" s="8">
        <v>0.242929559955188</v>
      </c>
      <c r="K86" s="8">
        <v>5.3804933757360699E-3</v>
      </c>
      <c r="L86" s="8">
        <v>4.05130175380427E-4</v>
      </c>
      <c r="M86" s="8">
        <v>7.1138002456069601E-3</v>
      </c>
      <c r="N86" s="8">
        <v>2.6174631606420101E-3</v>
      </c>
      <c r="O86" s="8">
        <v>3.5471912229210298E-2</v>
      </c>
      <c r="P86" s="9">
        <v>4.9112051934192401E-2</v>
      </c>
      <c r="Q86" s="570">
        <v>5.6237754106011097E-3</v>
      </c>
    </row>
    <row r="87" spans="2:17" ht="15.75" x14ac:dyDescent="0.25">
      <c r="B87" s="6">
        <v>2018</v>
      </c>
      <c r="C87" s="7">
        <v>2012</v>
      </c>
      <c r="D87" s="484" t="s">
        <v>3046</v>
      </c>
      <c r="E87" s="488">
        <v>0.1649511577137712</v>
      </c>
      <c r="F87" s="489">
        <v>0.21069454234201493</v>
      </c>
      <c r="G87" s="487">
        <v>1.1053209655312801E-3</v>
      </c>
      <c r="H87" s="8">
        <v>1.7102629773767902E-2</v>
      </c>
      <c r="I87" s="8">
        <v>0.80185692931539299</v>
      </c>
      <c r="J87" s="8">
        <v>0.20989049136896201</v>
      </c>
      <c r="K87" s="8">
        <v>5.7652725329203399E-3</v>
      </c>
      <c r="L87" s="8">
        <v>5.9864307256548503E-4</v>
      </c>
      <c r="M87" s="8">
        <v>8.4640680806995008E-3</v>
      </c>
      <c r="N87" s="8">
        <v>2.5299069349821301E-3</v>
      </c>
      <c r="O87" s="8">
        <v>2.90861091357884E-2</v>
      </c>
      <c r="P87" s="9">
        <v>4.7567560113552197E-2</v>
      </c>
      <c r="Q87" s="570">
        <v>6.0259525738410296E-3</v>
      </c>
    </row>
    <row r="88" spans="2:17" ht="15.75" x14ac:dyDescent="0.25">
      <c r="B88" s="6">
        <v>2018</v>
      </c>
      <c r="C88" s="7">
        <v>2013</v>
      </c>
      <c r="D88" s="484" t="s">
        <v>3047</v>
      </c>
      <c r="E88" s="488">
        <v>0.16661631809701002</v>
      </c>
      <c r="F88" s="489">
        <v>0.17939015555706758</v>
      </c>
      <c r="G88" s="487">
        <v>1.11818130633658E-3</v>
      </c>
      <c r="H88" s="8">
        <v>1.32330123079837E-2</v>
      </c>
      <c r="I88" s="8">
        <v>0.81062347819707803</v>
      </c>
      <c r="J88" s="8">
        <v>0.16133828100662501</v>
      </c>
      <c r="K88" s="8">
        <v>5.7086132092526503E-3</v>
      </c>
      <c r="L88" s="8">
        <v>7.2359126387071E-4</v>
      </c>
      <c r="M88" s="8">
        <v>8.5445259777359294E-3</v>
      </c>
      <c r="N88" s="8">
        <v>2.3763437447837498E-3</v>
      </c>
      <c r="O88" s="8">
        <v>2.86918654403099E-2</v>
      </c>
      <c r="P88" s="9">
        <v>4.4858705438452703E-2</v>
      </c>
      <c r="Q88" s="570">
        <v>5.9667313669791097E-3</v>
      </c>
    </row>
    <row r="89" spans="2:17" ht="15.75" x14ac:dyDescent="0.25">
      <c r="B89" s="6">
        <v>2018</v>
      </c>
      <c r="C89" s="7">
        <v>2014</v>
      </c>
      <c r="D89" s="484" t="s">
        <v>3048</v>
      </c>
      <c r="E89" s="488">
        <v>0.15878062881192029</v>
      </c>
      <c r="F89" s="489">
        <v>0.16745173025719451</v>
      </c>
      <c r="G89" s="487">
        <v>1.0345507443220499E-3</v>
      </c>
      <c r="H89" s="8">
        <v>1.40394867553433E-2</v>
      </c>
      <c r="I89" s="8">
        <v>0.76334106260791701</v>
      </c>
      <c r="J89" s="8">
        <v>0.142158467635428</v>
      </c>
      <c r="K89" s="8">
        <v>5.43723899291271E-3</v>
      </c>
      <c r="L89" s="8">
        <v>1.2216302548238201E-3</v>
      </c>
      <c r="M89" s="8">
        <v>7.7421131701981101E-3</v>
      </c>
      <c r="N89" s="8">
        <v>2.24429559817017E-3</v>
      </c>
      <c r="O89" s="8">
        <v>3.2623688197245197E-2</v>
      </c>
      <c r="P89" s="9">
        <v>4.2529376132189198E-2</v>
      </c>
      <c r="Q89" s="570">
        <v>5.68308681278153E-3</v>
      </c>
    </row>
    <row r="90" spans="2:17" ht="15.75" x14ac:dyDescent="0.25">
      <c r="B90" s="6">
        <v>2018</v>
      </c>
      <c r="C90" s="7">
        <v>2015</v>
      </c>
      <c r="D90" s="484" t="s">
        <v>3049</v>
      </c>
      <c r="E90" s="488">
        <v>0.15733184025254049</v>
      </c>
      <c r="F90" s="489">
        <v>0.24559578629083478</v>
      </c>
      <c r="G90" s="487">
        <v>9.7043888207479505E-4</v>
      </c>
      <c r="H90" s="8">
        <v>2.13252229395334E-2</v>
      </c>
      <c r="I90" s="8">
        <v>0.72776238113491398</v>
      </c>
      <c r="J90" s="8">
        <v>0.213305805794235</v>
      </c>
      <c r="K90" s="8">
        <v>5.2488009064911197E-3</v>
      </c>
      <c r="L90" s="8">
        <v>1.62287268902706E-3</v>
      </c>
      <c r="M90" s="8">
        <v>7.1195194073400796E-3</v>
      </c>
      <c r="N90" s="8">
        <v>2.8862324033371899E-3</v>
      </c>
      <c r="O90" s="8">
        <v>3.56743976352496E-2</v>
      </c>
      <c r="P90" s="9">
        <v>5.3853141375335298E-2</v>
      </c>
      <c r="Q90" s="570">
        <v>5.4861283922735798E-3</v>
      </c>
    </row>
    <row r="91" spans="2:17" ht="15.75" x14ac:dyDescent="0.25">
      <c r="B91" s="6">
        <v>2018</v>
      </c>
      <c r="C91" s="7">
        <v>2016</v>
      </c>
      <c r="D91" s="484" t="s">
        <v>3050</v>
      </c>
      <c r="E91" s="488">
        <v>0.14816952894345228</v>
      </c>
      <c r="F91" s="489">
        <v>0.21475247970101929</v>
      </c>
      <c r="G91" s="487">
        <v>3.0080844076842798E-3</v>
      </c>
      <c r="H91" s="8">
        <v>1.8978440451901901E-2</v>
      </c>
      <c r="I91" s="8">
        <v>0.79423984325835695</v>
      </c>
      <c r="J91" s="8">
        <v>0.17033879285963899</v>
      </c>
      <c r="K91" s="8">
        <v>5.7235412898072498E-3</v>
      </c>
      <c r="L91" s="8">
        <v>1.82911241258068E-3</v>
      </c>
      <c r="M91" s="8">
        <v>8.33416889033246E-3</v>
      </c>
      <c r="N91" s="8">
        <v>2.64438986192095E-3</v>
      </c>
      <c r="O91" s="8">
        <v>2.94750580870205E-2</v>
      </c>
      <c r="P91" s="9">
        <v>4.9587038944752901E-2</v>
      </c>
      <c r="Q91" s="570">
        <v>5.9823344290940196E-3</v>
      </c>
    </row>
    <row r="92" spans="2:17" ht="15.75" x14ac:dyDescent="0.25">
      <c r="B92" s="6">
        <v>2018</v>
      </c>
      <c r="C92" s="7">
        <v>2017</v>
      </c>
      <c r="D92" s="484" t="s">
        <v>3051</v>
      </c>
      <c r="E92" s="488">
        <v>0.14681937762266498</v>
      </c>
      <c r="F92" s="489">
        <v>0.16462525120608601</v>
      </c>
      <c r="G92" s="487">
        <v>1.76425038105748E-3</v>
      </c>
      <c r="H92" s="8">
        <v>1.41147933372374E-2</v>
      </c>
      <c r="I92" s="8">
        <v>0.785894669732632</v>
      </c>
      <c r="J92" s="8">
        <v>0.123505304551178</v>
      </c>
      <c r="K92" s="8">
        <v>5.5870824851506603E-3</v>
      </c>
      <c r="L92" s="8">
        <v>1.58077395013256E-3</v>
      </c>
      <c r="M92" s="8">
        <v>8.1444245765871608E-3</v>
      </c>
      <c r="N92" s="8">
        <v>2.3696603190135499E-3</v>
      </c>
      <c r="O92" s="8">
        <v>3.05589568479099E-2</v>
      </c>
      <c r="P92" s="9">
        <v>4.4740809807866398E-2</v>
      </c>
      <c r="Q92" s="570">
        <v>5.8397055628178303E-3</v>
      </c>
    </row>
    <row r="93" spans="2:17" ht="15.75" x14ac:dyDescent="0.25">
      <c r="B93" s="6">
        <v>2018</v>
      </c>
      <c r="C93" s="7">
        <v>2018</v>
      </c>
      <c r="D93" s="484" t="s">
        <v>3052</v>
      </c>
      <c r="E93" s="488">
        <v>0.14616461414625173</v>
      </c>
      <c r="F93" s="489">
        <v>0.1991547061363759</v>
      </c>
      <c r="G93" s="487">
        <v>1.23731593790949E-3</v>
      </c>
      <c r="H93" s="8">
        <v>1.77503256843069E-2</v>
      </c>
      <c r="I93" s="8">
        <v>0.78190680334560303</v>
      </c>
      <c r="J93" s="8">
        <v>0.118204606645076</v>
      </c>
      <c r="K93" s="8">
        <v>5.5395273007097503E-3</v>
      </c>
      <c r="L93" s="8">
        <v>1.98352134301856E-3</v>
      </c>
      <c r="M93" s="8">
        <v>8.0541775032218002E-3</v>
      </c>
      <c r="N93" s="8">
        <v>2.6064230389097401E-3</v>
      </c>
      <c r="O93" s="8">
        <v>3.1070721189923399E-2</v>
      </c>
      <c r="P93" s="9">
        <v>4.8917304186835098E-2</v>
      </c>
      <c r="Q93" s="570">
        <v>5.7900001439595101E-3</v>
      </c>
    </row>
    <row r="94" spans="2:17" ht="15.75" x14ac:dyDescent="0.25">
      <c r="B94" s="6">
        <v>2019</v>
      </c>
      <c r="C94" s="7">
        <v>2005</v>
      </c>
      <c r="D94" s="484" t="s">
        <v>3083</v>
      </c>
      <c r="E94" s="488">
        <v>0.12574440705518833</v>
      </c>
      <c r="F94" s="489">
        <v>0.2742693536963704</v>
      </c>
      <c r="G94" s="487">
        <v>8.7022172909242794E-3</v>
      </c>
      <c r="H94" s="8">
        <v>2.2759800438921601E-2</v>
      </c>
      <c r="I94" s="8">
        <v>6.7890649479140404</v>
      </c>
      <c r="J94" s="8">
        <v>0.49197655080855002</v>
      </c>
      <c r="K94" s="8">
        <v>6.4890539933198099E-3</v>
      </c>
      <c r="L94" s="8">
        <v>2.03281149008793E-4</v>
      </c>
      <c r="M94" s="8">
        <v>3.0000018168034001E-3</v>
      </c>
      <c r="N94" s="8">
        <v>3.0000018168034001E-3</v>
      </c>
      <c r="O94" s="8">
        <v>5.5860033828879302E-2</v>
      </c>
      <c r="P94" s="9">
        <v>5.5860033828879302E-2</v>
      </c>
      <c r="Q94" s="570">
        <v>6.7824602201470999E-3</v>
      </c>
    </row>
    <row r="95" spans="2:17" ht="15.75" x14ac:dyDescent="0.25">
      <c r="B95" s="6">
        <v>2019</v>
      </c>
      <c r="C95" s="7">
        <v>2006</v>
      </c>
      <c r="D95" s="484" t="s">
        <v>3084</v>
      </c>
      <c r="E95" s="488">
        <v>0.14237985210878701</v>
      </c>
      <c r="F95" s="489">
        <v>0.27539773718628968</v>
      </c>
      <c r="G95" s="487">
        <v>9.8947885974763599E-3</v>
      </c>
      <c r="H95" s="8">
        <v>2.2653974722487799E-2</v>
      </c>
      <c r="I95" s="8">
        <v>7.5977193449152303</v>
      </c>
      <c r="J95" s="8">
        <v>0.47052752795770503</v>
      </c>
      <c r="K95" s="8">
        <v>7.75379530696015E-3</v>
      </c>
      <c r="L95" s="8">
        <v>2.0411896763114401E-4</v>
      </c>
      <c r="M95" s="8">
        <v>4.5188719804350099E-3</v>
      </c>
      <c r="N95" s="8">
        <v>3.0000018168034001E-3</v>
      </c>
      <c r="O95" s="8">
        <v>4.8417570027084397E-2</v>
      </c>
      <c r="P95" s="9">
        <v>5.5860033828879302E-2</v>
      </c>
      <c r="Q95" s="570">
        <v>8.1043875237838004E-3</v>
      </c>
    </row>
    <row r="96" spans="2:17" ht="15.75" x14ac:dyDescent="0.25">
      <c r="B96" s="6">
        <v>2019</v>
      </c>
      <c r="C96" s="7">
        <v>2007</v>
      </c>
      <c r="D96" s="484" t="s">
        <v>3085</v>
      </c>
      <c r="E96" s="488">
        <v>0.17740642115282987</v>
      </c>
      <c r="F96" s="489">
        <v>0.27460986609316085</v>
      </c>
      <c r="G96" s="487">
        <v>4.7429997501781396E-3</v>
      </c>
      <c r="H96" s="8">
        <v>2.2736793046456101E-2</v>
      </c>
      <c r="I96" s="8">
        <v>5.7176437018928103</v>
      </c>
      <c r="J96" s="8">
        <v>0.439873129248679</v>
      </c>
      <c r="K96" s="8">
        <v>9.4436892130986601E-3</v>
      </c>
      <c r="L96" s="8">
        <v>2.03594668800694E-4</v>
      </c>
      <c r="M96" s="8">
        <v>6.5297455302304099E-3</v>
      </c>
      <c r="N96" s="8">
        <v>3.0000018168034001E-3</v>
      </c>
      <c r="O96" s="8">
        <v>3.8564289633087001E-2</v>
      </c>
      <c r="P96" s="9">
        <v>5.5860033828879302E-2</v>
      </c>
      <c r="Q96" s="570">
        <v>9.8706909335647304E-3</v>
      </c>
    </row>
    <row r="97" spans="2:17" ht="15.75" x14ac:dyDescent="0.25">
      <c r="B97" s="6">
        <v>2019</v>
      </c>
      <c r="C97" s="7">
        <v>2008</v>
      </c>
      <c r="D97" s="484" t="s">
        <v>3086</v>
      </c>
      <c r="E97" s="488">
        <v>0.19501487161833647</v>
      </c>
      <c r="F97" s="489">
        <v>0.27391826301407568</v>
      </c>
      <c r="G97" s="487">
        <v>5.3564825757019497E-3</v>
      </c>
      <c r="H97" s="8">
        <v>2.2686648240807399E-2</v>
      </c>
      <c r="I97" s="8">
        <v>6.2616659315854699</v>
      </c>
      <c r="J97" s="8">
        <v>0.40493914200022701</v>
      </c>
      <c r="K97" s="8">
        <v>9.9662185538655895E-3</v>
      </c>
      <c r="L97" s="8">
        <v>2.3133788400608101E-4</v>
      </c>
      <c r="M97" s="8">
        <v>7.6768000256358104E-3</v>
      </c>
      <c r="N97" s="8">
        <v>3.0000018168034001E-3</v>
      </c>
      <c r="O97" s="8">
        <v>3.2943722605600502E-2</v>
      </c>
      <c r="P97" s="9">
        <v>5.5860033828879302E-2</v>
      </c>
      <c r="Q97" s="570">
        <v>1.04168467324315E-2</v>
      </c>
    </row>
    <row r="98" spans="2:17" ht="15.75" x14ac:dyDescent="0.25">
      <c r="B98" s="6">
        <v>2019</v>
      </c>
      <c r="C98" s="7">
        <v>2009</v>
      </c>
      <c r="D98" s="484" t="s">
        <v>3087</v>
      </c>
      <c r="E98" s="488">
        <v>0.18186263207760134</v>
      </c>
      <c r="F98" s="489">
        <v>0.21518709325972477</v>
      </c>
      <c r="G98" s="487">
        <v>7.0703703996679102E-3</v>
      </c>
      <c r="H98" s="8">
        <v>1.65911286550285E-2</v>
      </c>
      <c r="I98" s="8">
        <v>5.8708433373204798</v>
      </c>
      <c r="J98" s="8">
        <v>0.28478882128566502</v>
      </c>
      <c r="K98" s="8">
        <v>9.9459102198266106E-3</v>
      </c>
      <c r="L98" s="8">
        <v>2.1240754678249701E-4</v>
      </c>
      <c r="M98" s="8">
        <v>6.8798891070614102E-3</v>
      </c>
      <c r="N98" s="8">
        <v>2.6306177272516101E-3</v>
      </c>
      <c r="O98" s="8">
        <v>3.6651082149928599E-2</v>
      </c>
      <c r="P98" s="9">
        <v>4.9344098489185702E-2</v>
      </c>
      <c r="Q98" s="570">
        <v>1.0395620145644199E-2</v>
      </c>
    </row>
    <row r="99" spans="2:17" ht="15.75" x14ac:dyDescent="0.25">
      <c r="B99" s="6">
        <v>2019</v>
      </c>
      <c r="C99" s="7">
        <v>2010</v>
      </c>
      <c r="D99" s="484" t="s">
        <v>3088</v>
      </c>
      <c r="E99" s="488">
        <v>0.14196032326710828</v>
      </c>
      <c r="F99" s="489">
        <v>0.24887676788743995</v>
      </c>
      <c r="G99" s="487">
        <v>1.08568726574211E-2</v>
      </c>
      <c r="H99" s="8">
        <v>2.0407205138897301E-2</v>
      </c>
      <c r="I99" s="8">
        <v>0.79797539615926505</v>
      </c>
      <c r="J99" s="8">
        <v>0.31864729343953702</v>
      </c>
      <c r="K99" s="8">
        <v>6.6968227534400897E-3</v>
      </c>
      <c r="L99" s="8">
        <v>3.0624878939349497E-4</v>
      </c>
      <c r="M99" s="8">
        <v>8.5443364586191492E-3</v>
      </c>
      <c r="N99" s="8">
        <v>2.81894754075769E-3</v>
      </c>
      <c r="O99" s="8">
        <v>2.7551955813034198E-2</v>
      </c>
      <c r="P99" s="9">
        <v>5.2666236399432999E-2</v>
      </c>
      <c r="Q99" s="570">
        <v>6.9996233616397997E-3</v>
      </c>
    </row>
    <row r="100" spans="2:17" ht="15.75" x14ac:dyDescent="0.25">
      <c r="B100" s="6">
        <v>2019</v>
      </c>
      <c r="C100" s="7">
        <v>2011</v>
      </c>
      <c r="D100" s="484" t="s">
        <v>3089</v>
      </c>
      <c r="E100" s="488">
        <v>0.14157689046845146</v>
      </c>
      <c r="F100" s="489">
        <v>0.22129667837148284</v>
      </c>
      <c r="G100" s="487">
        <v>2.9762141029561402E-3</v>
      </c>
      <c r="H100" s="8">
        <v>1.7912625787105198E-2</v>
      </c>
      <c r="I100" s="8">
        <v>0.72552910742531496</v>
      </c>
      <c r="J100" s="8">
        <v>0.260425598798875</v>
      </c>
      <c r="K100" s="8">
        <v>5.3966351647977504E-3</v>
      </c>
      <c r="L100" s="8">
        <v>4.0487279749677898E-4</v>
      </c>
      <c r="M100" s="8">
        <v>7.1138002456069601E-3</v>
      </c>
      <c r="N100" s="8">
        <v>2.6174631606420101E-3</v>
      </c>
      <c r="O100" s="8">
        <v>3.5471912229210298E-2</v>
      </c>
      <c r="P100" s="9">
        <v>4.9112051934192401E-2</v>
      </c>
      <c r="Q100" s="570">
        <v>5.6406470597360299E-3</v>
      </c>
    </row>
    <row r="101" spans="2:17" ht="15.75" x14ac:dyDescent="0.25">
      <c r="B101" s="6">
        <v>2019</v>
      </c>
      <c r="C101" s="7">
        <v>2012</v>
      </c>
      <c r="D101" s="484" t="s">
        <v>3090</v>
      </c>
      <c r="E101" s="488">
        <v>0.16495847299252384</v>
      </c>
      <c r="F101" s="489">
        <v>0.21068056249777675</v>
      </c>
      <c r="G101" s="487">
        <v>1.1054179641206399E-3</v>
      </c>
      <c r="H101" s="8">
        <v>1.7110534007534199E-2</v>
      </c>
      <c r="I101" s="8">
        <v>0.80196202210272305</v>
      </c>
      <c r="J101" s="8">
        <v>0.223218011075275</v>
      </c>
      <c r="K101" s="8">
        <v>5.7638597012833704E-3</v>
      </c>
      <c r="L101" s="8">
        <v>5.9842359585434899E-4</v>
      </c>
      <c r="M101" s="8">
        <v>8.4640680806995008E-3</v>
      </c>
      <c r="N101" s="8">
        <v>2.5299069349821301E-3</v>
      </c>
      <c r="O101" s="8">
        <v>2.90861091357884E-2</v>
      </c>
      <c r="P101" s="9">
        <v>4.7567560113552197E-2</v>
      </c>
      <c r="Q101" s="570">
        <v>6.0244758602267801E-3</v>
      </c>
    </row>
    <row r="102" spans="2:17" ht="15.75" x14ac:dyDescent="0.25">
      <c r="B102" s="6">
        <v>2019</v>
      </c>
      <c r="C102" s="7">
        <v>2013</v>
      </c>
      <c r="D102" s="484" t="s">
        <v>3091</v>
      </c>
      <c r="E102" s="488">
        <v>0.16661408897974753</v>
      </c>
      <c r="F102" s="489">
        <v>0.17937178845911728</v>
      </c>
      <c r="G102" s="487">
        <v>1.1181566921307901E-3</v>
      </c>
      <c r="H102" s="8">
        <v>1.31837634396494E-2</v>
      </c>
      <c r="I102" s="8">
        <v>0.81059655044011003</v>
      </c>
      <c r="J102" s="8">
        <v>0.171198797239761</v>
      </c>
      <c r="K102" s="8">
        <v>5.7091638967953998E-3</v>
      </c>
      <c r="L102" s="8">
        <v>7.2287535733141597E-4</v>
      </c>
      <c r="M102" s="8">
        <v>8.5445259777359294E-3</v>
      </c>
      <c r="N102" s="8">
        <v>2.3763437447837498E-3</v>
      </c>
      <c r="O102" s="8">
        <v>2.86918654403099E-2</v>
      </c>
      <c r="P102" s="9">
        <v>4.4858705438452703E-2</v>
      </c>
      <c r="Q102" s="570">
        <v>5.9673069541688996E-3</v>
      </c>
    </row>
    <row r="103" spans="2:17" ht="15.75" x14ac:dyDescent="0.25">
      <c r="B103" s="6">
        <v>2019</v>
      </c>
      <c r="C103" s="7">
        <v>2014</v>
      </c>
      <c r="D103" s="484" t="s">
        <v>3092</v>
      </c>
      <c r="E103" s="488">
        <v>0.15878260984141898</v>
      </c>
      <c r="F103" s="489">
        <v>0.16743939634573449</v>
      </c>
      <c r="G103" s="487">
        <v>1.03458611351217E-3</v>
      </c>
      <c r="H103" s="8">
        <v>1.3717831238901501E-2</v>
      </c>
      <c r="I103" s="8">
        <v>0.76336577919984605</v>
      </c>
      <c r="J103" s="8">
        <v>0.14398570146668699</v>
      </c>
      <c r="K103" s="8">
        <v>5.4364620898440701E-3</v>
      </c>
      <c r="L103" s="8">
        <v>1.22133295130848E-3</v>
      </c>
      <c r="M103" s="8">
        <v>7.7421131701981101E-3</v>
      </c>
      <c r="N103" s="8">
        <v>2.24429559817017E-3</v>
      </c>
      <c r="O103" s="8">
        <v>3.2623688197245197E-2</v>
      </c>
      <c r="P103" s="9">
        <v>4.2529376132189198E-2</v>
      </c>
      <c r="Q103" s="570">
        <v>5.6822747816035798E-3</v>
      </c>
    </row>
    <row r="104" spans="2:17" ht="15.75" x14ac:dyDescent="0.25">
      <c r="B104" s="6">
        <v>2019</v>
      </c>
      <c r="C104" s="7">
        <v>2015</v>
      </c>
      <c r="D104" s="484" t="s">
        <v>3093</v>
      </c>
      <c r="E104" s="488">
        <v>0.15733184025254049</v>
      </c>
      <c r="F104" s="489">
        <v>0.24560486375206991</v>
      </c>
      <c r="G104" s="487">
        <v>9.7043888207479505E-4</v>
      </c>
      <c r="H104" s="8">
        <v>2.1233912552133E-2</v>
      </c>
      <c r="I104" s="8">
        <v>0.72776238113491398</v>
      </c>
      <c r="J104" s="8">
        <v>0.24655666165815299</v>
      </c>
      <c r="K104" s="8">
        <v>5.2488009064911197E-3</v>
      </c>
      <c r="L104" s="8">
        <v>1.6230308288782899E-3</v>
      </c>
      <c r="M104" s="8">
        <v>7.1195194073400796E-3</v>
      </c>
      <c r="N104" s="8">
        <v>2.8862324033371899E-3</v>
      </c>
      <c r="O104" s="8">
        <v>3.56743976352496E-2</v>
      </c>
      <c r="P104" s="9">
        <v>5.3853141375335298E-2</v>
      </c>
      <c r="Q104" s="570">
        <v>5.4861283922735798E-3</v>
      </c>
    </row>
    <row r="105" spans="2:17" ht="15.75" x14ac:dyDescent="0.25">
      <c r="B105" s="6">
        <v>2019</v>
      </c>
      <c r="C105" s="7">
        <v>2016</v>
      </c>
      <c r="D105" s="484" t="s">
        <v>3094</v>
      </c>
      <c r="E105" s="488">
        <v>0.14816965805508314</v>
      </c>
      <c r="F105" s="489">
        <v>0.21474472989239782</v>
      </c>
      <c r="G105" s="487">
        <v>3.0624074091545098E-3</v>
      </c>
      <c r="H105" s="8">
        <v>1.85038101528637E-2</v>
      </c>
      <c r="I105" s="8">
        <v>0.79441905581098904</v>
      </c>
      <c r="J105" s="8">
        <v>0.179068683026992</v>
      </c>
      <c r="K105" s="8">
        <v>5.7462218497161101E-3</v>
      </c>
      <c r="L105" s="8">
        <v>1.82878013517167E-3</v>
      </c>
      <c r="M105" s="8">
        <v>8.3341688903324704E-3</v>
      </c>
      <c r="N105" s="8">
        <v>2.64438986192095E-3</v>
      </c>
      <c r="O105" s="8">
        <v>2.94750580870205E-2</v>
      </c>
      <c r="P105" s="9">
        <v>4.9587038944752901E-2</v>
      </c>
      <c r="Q105" s="570">
        <v>6.0060405032784604E-3</v>
      </c>
    </row>
    <row r="106" spans="2:17" ht="15.75" x14ac:dyDescent="0.25">
      <c r="B106" s="6">
        <v>2019</v>
      </c>
      <c r="C106" s="7">
        <v>2017</v>
      </c>
      <c r="D106" s="484" t="s">
        <v>3095</v>
      </c>
      <c r="E106" s="488">
        <v>0.14681938540520917</v>
      </c>
      <c r="F106" s="489">
        <v>0.16453032747369678</v>
      </c>
      <c r="G106" s="487">
        <v>1.7852960389614699E-3</v>
      </c>
      <c r="H106" s="8">
        <v>1.35017442567767E-2</v>
      </c>
      <c r="I106" s="8">
        <v>0.78595411585845099</v>
      </c>
      <c r="J106" s="8">
        <v>0.12900921217713299</v>
      </c>
      <c r="K106" s="8">
        <v>5.5959750946412102E-3</v>
      </c>
      <c r="L106" s="8">
        <v>1.5731688521623099E-3</v>
      </c>
      <c r="M106" s="8">
        <v>8.1444245765871608E-3</v>
      </c>
      <c r="N106" s="8">
        <v>2.3696603190135499E-3</v>
      </c>
      <c r="O106" s="8">
        <v>3.05589568479099E-2</v>
      </c>
      <c r="P106" s="9">
        <v>4.4740809807866398E-2</v>
      </c>
      <c r="Q106" s="570">
        <v>5.8490002566491698E-3</v>
      </c>
    </row>
    <row r="107" spans="2:17" ht="15.75" x14ac:dyDescent="0.25">
      <c r="B107" s="6">
        <v>2019</v>
      </c>
      <c r="C107" s="7">
        <v>2018</v>
      </c>
      <c r="D107" s="484" t="s">
        <v>3096</v>
      </c>
      <c r="E107" s="488">
        <v>0.14616462753143153</v>
      </c>
      <c r="F107" s="489">
        <v>0.1991345455962463</v>
      </c>
      <c r="G107" s="487">
        <v>1.2429148487652501E-3</v>
      </c>
      <c r="H107" s="8">
        <v>1.78950574668694E-2</v>
      </c>
      <c r="I107" s="8">
        <v>0.78191987093760296</v>
      </c>
      <c r="J107" s="8">
        <v>0.137562711447932</v>
      </c>
      <c r="K107" s="8">
        <v>5.5418929160359802E-3</v>
      </c>
      <c r="L107" s="8">
        <v>1.9823960161985E-3</v>
      </c>
      <c r="M107" s="8">
        <v>8.0541775032218002E-3</v>
      </c>
      <c r="N107" s="8">
        <v>2.6064230389097401E-3</v>
      </c>
      <c r="O107" s="8">
        <v>3.1070721189923399E-2</v>
      </c>
      <c r="P107" s="9">
        <v>4.8917304186835098E-2</v>
      </c>
      <c r="Q107" s="570">
        <v>5.7924727219135297E-3</v>
      </c>
    </row>
    <row r="108" spans="2:17" ht="15.75" x14ac:dyDescent="0.25">
      <c r="B108" s="6">
        <v>2019</v>
      </c>
      <c r="C108" s="7">
        <v>2019</v>
      </c>
      <c r="D108" s="484" t="s">
        <v>3097</v>
      </c>
      <c r="E108" s="488">
        <v>0.12594987461226584</v>
      </c>
      <c r="F108" s="489">
        <v>0.19032217534304235</v>
      </c>
      <c r="G108" s="487">
        <v>9.3524056100278401E-3</v>
      </c>
      <c r="H108" s="8">
        <v>1.6173236470648202E-2</v>
      </c>
      <c r="I108" s="8">
        <v>0.64819823748148298</v>
      </c>
      <c r="J108" s="8">
        <v>0.108866742576331</v>
      </c>
      <c r="K108" s="8">
        <v>5.0591504447090501E-3</v>
      </c>
      <c r="L108" s="8">
        <v>1.8966596325503801E-3</v>
      </c>
      <c r="M108" s="8">
        <v>6.1887673271251702E-3</v>
      </c>
      <c r="N108" s="8">
        <v>2.56330548318292E-3</v>
      </c>
      <c r="O108" s="8">
        <v>3.9044796153884599E-2</v>
      </c>
      <c r="P108" s="9">
        <v>4.8156710503814003E-2</v>
      </c>
      <c r="Q108" s="570">
        <v>5.28790277817118E-3</v>
      </c>
    </row>
    <row r="109" spans="2:17" ht="15.75" x14ac:dyDescent="0.25">
      <c r="B109" s="6">
        <v>2020</v>
      </c>
      <c r="C109" s="7">
        <v>2006</v>
      </c>
      <c r="D109" s="484" t="s">
        <v>3128</v>
      </c>
      <c r="E109" s="488">
        <v>0.14237985210878701</v>
      </c>
      <c r="F109" s="489">
        <v>0.27540438212936713</v>
      </c>
      <c r="G109" s="487">
        <v>9.8947885974763599E-3</v>
      </c>
      <c r="H109" s="8">
        <v>2.2653974722487799E-2</v>
      </c>
      <c r="I109" s="8">
        <v>7.5977193449152303</v>
      </c>
      <c r="J109" s="8">
        <v>0.507054294697873</v>
      </c>
      <c r="K109" s="8">
        <v>7.7537953069601604E-3</v>
      </c>
      <c r="L109" s="8">
        <v>2.0411896763114401E-4</v>
      </c>
      <c r="M109" s="8">
        <v>4.5188719804350099E-3</v>
      </c>
      <c r="N109" s="8">
        <v>3.0000018168034001E-3</v>
      </c>
      <c r="O109" s="8">
        <v>4.8417570027084397E-2</v>
      </c>
      <c r="P109" s="9">
        <v>5.5860033828879302E-2</v>
      </c>
      <c r="Q109" s="570">
        <v>8.1043875237838004E-3</v>
      </c>
    </row>
    <row r="110" spans="2:17" ht="15.75" x14ac:dyDescent="0.25">
      <c r="B110" s="6">
        <v>2020</v>
      </c>
      <c r="C110" s="7">
        <v>2007</v>
      </c>
      <c r="D110" s="484" t="s">
        <v>3129</v>
      </c>
      <c r="E110" s="488">
        <v>0.17740642115282987</v>
      </c>
      <c r="F110" s="489">
        <v>0.27461343780991759</v>
      </c>
      <c r="G110" s="487">
        <v>4.7429997501781396E-3</v>
      </c>
      <c r="H110" s="8">
        <v>2.2736793046456101E-2</v>
      </c>
      <c r="I110" s="8">
        <v>5.7176437018928103</v>
      </c>
      <c r="J110" s="8">
        <v>0.46064713474841201</v>
      </c>
      <c r="K110" s="8">
        <v>9.4436892130986601E-3</v>
      </c>
      <c r="L110" s="8">
        <v>2.03594668800694E-4</v>
      </c>
      <c r="M110" s="8">
        <v>6.5297455302304099E-3</v>
      </c>
      <c r="N110" s="8">
        <v>3.0000018168034001E-3</v>
      </c>
      <c r="O110" s="8">
        <v>3.8564289633087001E-2</v>
      </c>
      <c r="P110" s="9">
        <v>5.5860033828879302E-2</v>
      </c>
      <c r="Q110" s="570">
        <v>9.8706909335647408E-3</v>
      </c>
    </row>
    <row r="111" spans="2:17" ht="15.75" x14ac:dyDescent="0.25">
      <c r="B111" s="6">
        <v>2020</v>
      </c>
      <c r="C111" s="7">
        <v>2008</v>
      </c>
      <c r="D111" s="484" t="s">
        <v>3130</v>
      </c>
      <c r="E111" s="488">
        <v>0.19501487161833647</v>
      </c>
      <c r="F111" s="489">
        <v>0.27392374181899931</v>
      </c>
      <c r="G111" s="487">
        <v>5.3564825757019497E-3</v>
      </c>
      <c r="H111" s="8">
        <v>2.2686648240807399E-2</v>
      </c>
      <c r="I111" s="8">
        <v>6.2616659315854699</v>
      </c>
      <c r="J111" s="8">
        <v>0.43750689651580499</v>
      </c>
      <c r="K111" s="8">
        <v>9.9662185538655895E-3</v>
      </c>
      <c r="L111" s="8">
        <v>2.3133788400608101E-4</v>
      </c>
      <c r="M111" s="8">
        <v>7.6768000256358104E-3</v>
      </c>
      <c r="N111" s="8">
        <v>3.0000018168034001E-3</v>
      </c>
      <c r="O111" s="8">
        <v>3.2943722605600502E-2</v>
      </c>
      <c r="P111" s="9">
        <v>5.5860033828879302E-2</v>
      </c>
      <c r="Q111" s="570">
        <v>1.04168467324315E-2</v>
      </c>
    </row>
    <row r="112" spans="2:17" ht="15.75" x14ac:dyDescent="0.25">
      <c r="B112" s="6">
        <v>2020</v>
      </c>
      <c r="C112" s="7">
        <v>2009</v>
      </c>
      <c r="D112" s="484" t="s">
        <v>3131</v>
      </c>
      <c r="E112" s="488">
        <v>0.18333185783701117</v>
      </c>
      <c r="F112" s="489">
        <v>0.27445194054392452</v>
      </c>
      <c r="G112" s="487">
        <v>4.9639389810668096E-3</v>
      </c>
      <c r="H112" s="8">
        <v>2.27293357628209E-2</v>
      </c>
      <c r="I112" s="8">
        <v>5.91299009182785</v>
      </c>
      <c r="J112" s="8">
        <v>0.40618043686286498</v>
      </c>
      <c r="K112" s="8">
        <v>9.6330258888960608E-3</v>
      </c>
      <c r="L112" s="8">
        <v>2.6045793367280201E-4</v>
      </c>
      <c r="M112" s="8">
        <v>6.9400702318949299E-3</v>
      </c>
      <c r="N112" s="8">
        <v>3.0000018168034001E-3</v>
      </c>
      <c r="O112" s="8">
        <v>3.6553698594930802E-2</v>
      </c>
      <c r="P112" s="9">
        <v>5.5860033828879302E-2</v>
      </c>
      <c r="Q112" s="570">
        <v>1.0068588573672601E-2</v>
      </c>
    </row>
    <row r="113" spans="2:17" ht="15.75" x14ac:dyDescent="0.25">
      <c r="B113" s="6">
        <v>2020</v>
      </c>
      <c r="C113" s="7">
        <v>2010</v>
      </c>
      <c r="D113" s="484" t="s">
        <v>3132</v>
      </c>
      <c r="E113" s="488">
        <v>0.14196032326710828</v>
      </c>
      <c r="F113" s="489">
        <v>0.24888115389906876</v>
      </c>
      <c r="G113" s="487">
        <v>1.1017335052910001E-2</v>
      </c>
      <c r="H113" s="8">
        <v>2.03860069042698E-2</v>
      </c>
      <c r="I113" s="8">
        <v>0.798583392589163</v>
      </c>
      <c r="J113" s="8">
        <v>0.34420245236421998</v>
      </c>
      <c r="K113" s="8">
        <v>6.7661176200134402E-3</v>
      </c>
      <c r="L113" s="8">
        <v>3.0624878939349497E-4</v>
      </c>
      <c r="M113" s="8">
        <v>8.5443364586191405E-3</v>
      </c>
      <c r="N113" s="8">
        <v>2.81894754075769E-3</v>
      </c>
      <c r="O113" s="8">
        <v>2.7551955813034101E-2</v>
      </c>
      <c r="P113" s="9">
        <v>5.2666236399432999E-2</v>
      </c>
      <c r="Q113" s="570">
        <v>7.0720514345881799E-3</v>
      </c>
    </row>
    <row r="114" spans="2:17" ht="15.75" x14ac:dyDescent="0.25">
      <c r="B114" s="6">
        <v>2020</v>
      </c>
      <c r="C114" s="7">
        <v>2011</v>
      </c>
      <c r="D114" s="484" t="s">
        <v>3133</v>
      </c>
      <c r="E114" s="488">
        <v>0.14157689046845146</v>
      </c>
      <c r="F114" s="489">
        <v>0.22129816493994175</v>
      </c>
      <c r="G114" s="487">
        <v>3.0121104023531102E-3</v>
      </c>
      <c r="H114" s="8">
        <v>1.7889011636760401E-2</v>
      </c>
      <c r="I114" s="8">
        <v>0.72566310758778196</v>
      </c>
      <c r="J114" s="8">
        <v>0.26863825228652499</v>
      </c>
      <c r="K114" s="8">
        <v>5.4118386821826701E-3</v>
      </c>
      <c r="L114" s="8">
        <v>4.0487279749677898E-4</v>
      </c>
      <c r="M114" s="8">
        <v>7.1138002456069601E-3</v>
      </c>
      <c r="N114" s="8">
        <v>2.6174631606420101E-3</v>
      </c>
      <c r="O114" s="8">
        <v>3.5471912229210298E-2</v>
      </c>
      <c r="P114" s="9">
        <v>4.9112051934192401E-2</v>
      </c>
      <c r="Q114" s="570">
        <v>5.6565380127124899E-3</v>
      </c>
    </row>
    <row r="115" spans="2:17" ht="15.75" x14ac:dyDescent="0.25">
      <c r="B115" s="6">
        <v>2020</v>
      </c>
      <c r="C115" s="7">
        <v>2012</v>
      </c>
      <c r="D115" s="484" t="s">
        <v>3134</v>
      </c>
      <c r="E115" s="488">
        <v>0.16495847299252384</v>
      </c>
      <c r="F115" s="489">
        <v>0.21068324489890264</v>
      </c>
      <c r="G115" s="487">
        <v>1.1054179641206399E-3</v>
      </c>
      <c r="H115" s="8">
        <v>1.7109897332592001E-2</v>
      </c>
      <c r="I115" s="8">
        <v>0.80196202210272405</v>
      </c>
      <c r="J115" s="8">
        <v>0.23857110714647201</v>
      </c>
      <c r="K115" s="8">
        <v>5.7638597012833704E-3</v>
      </c>
      <c r="L115" s="8">
        <v>5.9842359585434899E-4</v>
      </c>
      <c r="M115" s="8">
        <v>8.4640680806995008E-3</v>
      </c>
      <c r="N115" s="8">
        <v>2.5299069349821301E-3</v>
      </c>
      <c r="O115" s="8">
        <v>2.90861091357884E-2</v>
      </c>
      <c r="P115" s="9">
        <v>4.7567560113552197E-2</v>
      </c>
      <c r="Q115" s="570">
        <v>6.0244758602267801E-3</v>
      </c>
    </row>
    <row r="116" spans="2:17" ht="15.75" x14ac:dyDescent="0.25">
      <c r="B116" s="6">
        <v>2020</v>
      </c>
      <c r="C116" s="7">
        <v>2013</v>
      </c>
      <c r="D116" s="484" t="s">
        <v>3135</v>
      </c>
      <c r="E116" s="488">
        <v>0.16661408897974728</v>
      </c>
      <c r="F116" s="489">
        <v>0.1793734913877183</v>
      </c>
      <c r="G116" s="487">
        <v>1.1181566921307901E-3</v>
      </c>
      <c r="H116" s="8">
        <v>1.3187122578529199E-2</v>
      </c>
      <c r="I116" s="8">
        <v>0.81059655044011003</v>
      </c>
      <c r="J116" s="8">
        <v>0.18109055445695599</v>
      </c>
      <c r="K116" s="8">
        <v>5.7091638967953998E-3</v>
      </c>
      <c r="L116" s="8">
        <v>7.2287535733141597E-4</v>
      </c>
      <c r="M116" s="8">
        <v>8.5445259777359294E-3</v>
      </c>
      <c r="N116" s="8">
        <v>2.3763437447837498E-3</v>
      </c>
      <c r="O116" s="8">
        <v>2.86918654403099E-2</v>
      </c>
      <c r="P116" s="9">
        <v>4.4858705438452703E-2</v>
      </c>
      <c r="Q116" s="570">
        <v>5.9673069541688996E-3</v>
      </c>
    </row>
    <row r="117" spans="2:17" ht="15.75" x14ac:dyDescent="0.25">
      <c r="B117" s="6">
        <v>2020</v>
      </c>
      <c r="C117" s="7">
        <v>2014</v>
      </c>
      <c r="D117" s="484" t="s">
        <v>3136</v>
      </c>
      <c r="E117" s="488">
        <v>0.15878260984141898</v>
      </c>
      <c r="F117" s="489">
        <v>0.16744053586837254</v>
      </c>
      <c r="G117" s="487">
        <v>1.03458611351217E-3</v>
      </c>
      <c r="H117" s="8">
        <v>1.36248506028817E-2</v>
      </c>
      <c r="I117" s="8">
        <v>0.76336577919984705</v>
      </c>
      <c r="J117" s="8">
        <v>0.15068226884997599</v>
      </c>
      <c r="K117" s="8">
        <v>5.4364620898440701E-3</v>
      </c>
      <c r="L117" s="8">
        <v>1.22133295130848E-3</v>
      </c>
      <c r="M117" s="8">
        <v>7.7421131701981101E-3</v>
      </c>
      <c r="N117" s="8">
        <v>2.24429559817017E-3</v>
      </c>
      <c r="O117" s="8">
        <v>3.2623688197245197E-2</v>
      </c>
      <c r="P117" s="9">
        <v>4.2529376132189198E-2</v>
      </c>
      <c r="Q117" s="570">
        <v>5.6822747816035798E-3</v>
      </c>
    </row>
    <row r="118" spans="2:17" ht="15.75" x14ac:dyDescent="0.25">
      <c r="B118" s="6">
        <v>2020</v>
      </c>
      <c r="C118" s="7">
        <v>2015</v>
      </c>
      <c r="D118" s="484" t="s">
        <v>3137</v>
      </c>
      <c r="E118" s="488">
        <v>0.15733184025254049</v>
      </c>
      <c r="F118" s="489">
        <v>0.24560723024544634</v>
      </c>
      <c r="G118" s="487">
        <v>9.7043888207479505E-4</v>
      </c>
      <c r="H118" s="8">
        <v>2.1188764074535401E-2</v>
      </c>
      <c r="I118" s="8">
        <v>0.72776238113491398</v>
      </c>
      <c r="J118" s="8">
        <v>0.26152080667729299</v>
      </c>
      <c r="K118" s="8">
        <v>5.2488009064911197E-3</v>
      </c>
      <c r="L118" s="8">
        <v>1.6230308288782899E-3</v>
      </c>
      <c r="M118" s="8">
        <v>7.11951940734009E-3</v>
      </c>
      <c r="N118" s="8">
        <v>2.8862324033371899E-3</v>
      </c>
      <c r="O118" s="8">
        <v>3.56743976352496E-2</v>
      </c>
      <c r="P118" s="9">
        <v>5.3853141375335298E-2</v>
      </c>
      <c r="Q118" s="570">
        <v>5.4861283922735902E-3</v>
      </c>
    </row>
    <row r="119" spans="2:17" ht="15.75" x14ac:dyDescent="0.25">
      <c r="B119" s="6">
        <v>2020</v>
      </c>
      <c r="C119" s="7">
        <v>2016</v>
      </c>
      <c r="D119" s="484" t="s">
        <v>3138</v>
      </c>
      <c r="E119" s="488">
        <v>0.14816965805508314</v>
      </c>
      <c r="F119" s="489">
        <v>0.21474811661828541</v>
      </c>
      <c r="G119" s="487">
        <v>3.1142389886910601E-3</v>
      </c>
      <c r="H119" s="8">
        <v>1.8186406097742198E-2</v>
      </c>
      <c r="I119" s="8">
        <v>0.79458833955502695</v>
      </c>
      <c r="J119" s="8">
        <v>0.20095778313754101</v>
      </c>
      <c r="K119" s="8">
        <v>5.7678983511686901E-3</v>
      </c>
      <c r="L119" s="8">
        <v>1.82878013517167E-3</v>
      </c>
      <c r="M119" s="8">
        <v>8.3341688903324704E-3</v>
      </c>
      <c r="N119" s="8">
        <v>2.64438986192094E-3</v>
      </c>
      <c r="O119" s="8">
        <v>2.94750580870205E-2</v>
      </c>
      <c r="P119" s="9">
        <v>4.9587038944752901E-2</v>
      </c>
      <c r="Q119" s="570">
        <v>6.0286971199386696E-3</v>
      </c>
    </row>
    <row r="120" spans="2:17" ht="15.75" x14ac:dyDescent="0.25">
      <c r="B120" s="6">
        <v>2020</v>
      </c>
      <c r="C120" s="7">
        <v>2017</v>
      </c>
      <c r="D120" s="484" t="s">
        <v>3139</v>
      </c>
      <c r="E120" s="488">
        <v>0.14681938540520917</v>
      </c>
      <c r="F120" s="489">
        <v>0.16452984037821694</v>
      </c>
      <c r="G120" s="487">
        <v>1.8054191648853E-3</v>
      </c>
      <c r="H120" s="8">
        <v>1.2906958096784899E-2</v>
      </c>
      <c r="I120" s="8">
        <v>0.78601085501410295</v>
      </c>
      <c r="J120" s="8">
        <v>0.130261485233167</v>
      </c>
      <c r="K120" s="8">
        <v>5.60448015340804E-3</v>
      </c>
      <c r="L120" s="8">
        <v>1.5731688521623099E-3</v>
      </c>
      <c r="M120" s="8">
        <v>8.1444245765871608E-3</v>
      </c>
      <c r="N120" s="8">
        <v>2.3696603190135499E-3</v>
      </c>
      <c r="O120" s="8">
        <v>3.05589568479099E-2</v>
      </c>
      <c r="P120" s="9">
        <v>4.4740809807866398E-2</v>
      </c>
      <c r="Q120" s="570">
        <v>5.8578898764327899E-3</v>
      </c>
    </row>
    <row r="121" spans="2:17" ht="15.75" x14ac:dyDescent="0.25">
      <c r="B121" s="6">
        <v>2020</v>
      </c>
      <c r="C121" s="7">
        <v>2018</v>
      </c>
      <c r="D121" s="484" t="s">
        <v>3140</v>
      </c>
      <c r="E121" s="488">
        <v>0.14616462753143175</v>
      </c>
      <c r="F121" s="489">
        <v>0.19913656873986074</v>
      </c>
      <c r="G121" s="487">
        <v>1.2482785173752299E-3</v>
      </c>
      <c r="H121" s="8">
        <v>1.7459207548586798E-2</v>
      </c>
      <c r="I121" s="8">
        <v>0.78193222157693398</v>
      </c>
      <c r="J121" s="8">
        <v>0.153439240499777</v>
      </c>
      <c r="K121" s="8">
        <v>5.5441628793699996E-3</v>
      </c>
      <c r="L121" s="8">
        <v>1.9823960161985E-3</v>
      </c>
      <c r="M121" s="8">
        <v>8.0541775032218002E-3</v>
      </c>
      <c r="N121" s="8">
        <v>2.6064230389097401E-3</v>
      </c>
      <c r="O121" s="8">
        <v>3.1070721189923399E-2</v>
      </c>
      <c r="P121" s="9">
        <v>4.8917304186835098E-2</v>
      </c>
      <c r="Q121" s="570">
        <v>5.7948453229167002E-3</v>
      </c>
    </row>
    <row r="122" spans="2:17" ht="15.75" x14ac:dyDescent="0.25">
      <c r="B122" s="6">
        <v>2020</v>
      </c>
      <c r="C122" s="7">
        <v>2019</v>
      </c>
      <c r="D122" s="484" t="s">
        <v>3141</v>
      </c>
      <c r="E122" s="488">
        <v>0.12594987461226584</v>
      </c>
      <c r="F122" s="489">
        <v>0.19032544242038574</v>
      </c>
      <c r="G122" s="487">
        <v>9.6323978422298197E-3</v>
      </c>
      <c r="H122" s="8">
        <v>1.63022879801305E-2</v>
      </c>
      <c r="I122" s="8">
        <v>0.648753687678158</v>
      </c>
      <c r="J122" s="8">
        <v>0.126823100023297</v>
      </c>
      <c r="K122" s="8">
        <v>5.1775070418252998E-3</v>
      </c>
      <c r="L122" s="8">
        <v>1.8966596325503699E-3</v>
      </c>
      <c r="M122" s="8">
        <v>6.1887673271251702E-3</v>
      </c>
      <c r="N122" s="8">
        <v>2.56330548318292E-3</v>
      </c>
      <c r="O122" s="8">
        <v>3.9044796153884599E-2</v>
      </c>
      <c r="P122" s="9">
        <v>4.8156710503814003E-2</v>
      </c>
      <c r="Q122" s="570">
        <v>5.4116109354094E-3</v>
      </c>
    </row>
    <row r="123" spans="2:17" ht="15.75" x14ac:dyDescent="0.25">
      <c r="B123" s="6">
        <v>2020</v>
      </c>
      <c r="C123" s="7">
        <v>2020</v>
      </c>
      <c r="D123" s="484" t="s">
        <v>3142</v>
      </c>
      <c r="E123" s="488">
        <v>0.13380138803311345</v>
      </c>
      <c r="F123" s="489">
        <v>0.19430349202911748</v>
      </c>
      <c r="G123" s="487">
        <v>9.1003739822235995E-3</v>
      </c>
      <c r="H123" s="8">
        <v>1.6083844031431298E-2</v>
      </c>
      <c r="I123" s="8">
        <v>0.69692714833309699</v>
      </c>
      <c r="J123" s="8">
        <v>0.107270798442136</v>
      </c>
      <c r="K123" s="8">
        <v>5.3606184869224903E-3</v>
      </c>
      <c r="L123" s="8">
        <v>1.81280457089303E-3</v>
      </c>
      <c r="M123" s="8">
        <v>7.0388728592668303E-3</v>
      </c>
      <c r="N123" s="8">
        <v>2.6156372631370999E-3</v>
      </c>
      <c r="O123" s="8">
        <v>3.4924586870405998E-2</v>
      </c>
      <c r="P123" s="9">
        <v>4.9079843102205797E-2</v>
      </c>
      <c r="Q123" s="570">
        <v>5.6030018675088901E-3</v>
      </c>
    </row>
    <row r="124" spans="2:17" ht="15.75" x14ac:dyDescent="0.25">
      <c r="B124" s="6">
        <v>2021</v>
      </c>
      <c r="C124" s="7">
        <v>2007</v>
      </c>
      <c r="D124" s="484" t="s">
        <v>3173</v>
      </c>
      <c r="E124" s="488">
        <v>0.1774064544795633</v>
      </c>
      <c r="F124" s="489">
        <v>0.27462940145666737</v>
      </c>
      <c r="G124" s="487">
        <v>4.7430010503895798E-3</v>
      </c>
      <c r="H124" s="8">
        <v>2.27399403515374E-2</v>
      </c>
      <c r="I124" s="8">
        <v>5.71764455055059</v>
      </c>
      <c r="J124" s="8">
        <v>0.49642987274203298</v>
      </c>
      <c r="K124" s="8">
        <v>9.4436918971791302E-3</v>
      </c>
      <c r="L124" s="8">
        <v>2.03622712194106E-4</v>
      </c>
      <c r="M124" s="8">
        <v>6.5297455302304099E-3</v>
      </c>
      <c r="N124" s="8">
        <v>3.0000018168034001E-3</v>
      </c>
      <c r="O124" s="8">
        <v>3.8564289633087001E-2</v>
      </c>
      <c r="P124" s="9">
        <v>5.5860033828879302E-2</v>
      </c>
      <c r="Q124" s="570">
        <v>9.8706937390074193E-3</v>
      </c>
    </row>
    <row r="125" spans="2:17" ht="15.75" x14ac:dyDescent="0.25">
      <c r="B125" s="6">
        <v>2021</v>
      </c>
      <c r="C125" s="7">
        <v>2008</v>
      </c>
      <c r="D125" s="484" t="s">
        <v>3174</v>
      </c>
      <c r="E125" s="488">
        <v>0.19501650301460258</v>
      </c>
      <c r="F125" s="489">
        <v>0.27393691830413125</v>
      </c>
      <c r="G125" s="487">
        <v>5.3566057657658799E-3</v>
      </c>
      <c r="H125" s="8">
        <v>2.2689998743373501E-2</v>
      </c>
      <c r="I125" s="8">
        <v>6.2617200315086601</v>
      </c>
      <c r="J125" s="8">
        <v>0.45820398170508297</v>
      </c>
      <c r="K125" s="8">
        <v>9.9663080275059004E-3</v>
      </c>
      <c r="L125" s="8">
        <v>2.3137199058074199E-4</v>
      </c>
      <c r="M125" s="8">
        <v>7.6768000256358104E-3</v>
      </c>
      <c r="N125" s="8">
        <v>3.0000018168034001E-3</v>
      </c>
      <c r="O125" s="8">
        <v>3.2943722605600502E-2</v>
      </c>
      <c r="P125" s="9">
        <v>5.5860033828879302E-2</v>
      </c>
      <c r="Q125" s="570">
        <v>1.04169402516728E-2</v>
      </c>
    </row>
    <row r="126" spans="2:17" ht="15.75" x14ac:dyDescent="0.25">
      <c r="B126" s="6">
        <v>2021</v>
      </c>
      <c r="C126" s="7">
        <v>2009</v>
      </c>
      <c r="D126" s="484" t="s">
        <v>3175</v>
      </c>
      <c r="E126" s="488">
        <v>0.18333610916165274</v>
      </c>
      <c r="F126" s="489">
        <v>0.27447324625950048</v>
      </c>
      <c r="G126" s="487">
        <v>4.9642277907995299E-3</v>
      </c>
      <c r="H126" s="8">
        <v>2.2733825670772999E-2</v>
      </c>
      <c r="I126" s="8">
        <v>5.9130982653036197</v>
      </c>
      <c r="J126" s="8">
        <v>0.43887872443770798</v>
      </c>
      <c r="K126" s="8">
        <v>9.6333011215984105E-3</v>
      </c>
      <c r="L126" s="8">
        <v>2.6050909025029901E-4</v>
      </c>
      <c r="M126" s="8">
        <v>6.9400702318949299E-3</v>
      </c>
      <c r="N126" s="8">
        <v>3.0000018168034001E-3</v>
      </c>
      <c r="O126" s="8">
        <v>3.6553698594930802E-2</v>
      </c>
      <c r="P126" s="9">
        <v>5.5860033828879302E-2</v>
      </c>
      <c r="Q126" s="570">
        <v>1.00688762511764E-2</v>
      </c>
    </row>
    <row r="127" spans="2:17" ht="15.75" x14ac:dyDescent="0.25">
      <c r="B127" s="6">
        <v>2021</v>
      </c>
      <c r="C127" s="7">
        <v>2010</v>
      </c>
      <c r="D127" s="484" t="s">
        <v>3176</v>
      </c>
      <c r="E127" s="488">
        <v>0.14701221049077437</v>
      </c>
      <c r="F127" s="489">
        <v>0.27422638394117005</v>
      </c>
      <c r="G127" s="487">
        <v>1.1574670259462199E-3</v>
      </c>
      <c r="H127" s="8">
        <v>2.2714548176983901E-2</v>
      </c>
      <c r="I127" s="8">
        <v>0.83259494137960199</v>
      </c>
      <c r="J127" s="8">
        <v>0.40495498579310202</v>
      </c>
      <c r="K127" s="8">
        <v>5.8457172955770102E-3</v>
      </c>
      <c r="L127" s="8">
        <v>3.1692242670753999E-4</v>
      </c>
      <c r="M127" s="8">
        <v>8.9277004837008504E-3</v>
      </c>
      <c r="N127" s="8">
        <v>3.0000018168034001E-3</v>
      </c>
      <c r="O127" s="8">
        <v>2.6814310361081801E-2</v>
      </c>
      <c r="P127" s="9">
        <v>5.5860033828879302E-2</v>
      </c>
      <c r="Q127" s="570">
        <v>6.1100346916966898E-3</v>
      </c>
    </row>
    <row r="128" spans="2:17" ht="15.75" x14ac:dyDescent="0.25">
      <c r="B128" s="6">
        <v>2021</v>
      </c>
      <c r="C128" s="7">
        <v>2011</v>
      </c>
      <c r="D128" s="484" t="s">
        <v>3177</v>
      </c>
      <c r="E128" s="488">
        <v>0.14157706279168661</v>
      </c>
      <c r="F128" s="489">
        <v>0.22131174080718638</v>
      </c>
      <c r="G128" s="487">
        <v>3.0457393518372299E-3</v>
      </c>
      <c r="H128" s="8">
        <v>1.7836791456379699E-2</v>
      </c>
      <c r="I128" s="8">
        <v>0.72579046973790096</v>
      </c>
      <c r="J128" s="8">
        <v>0.28820451722112</v>
      </c>
      <c r="K128" s="8">
        <v>5.4260487154458702E-3</v>
      </c>
      <c r="L128" s="8">
        <v>4.0491982644137497E-4</v>
      </c>
      <c r="M128" s="8">
        <v>7.1138002456069601E-3</v>
      </c>
      <c r="N128" s="8">
        <v>2.6174631606420101E-3</v>
      </c>
      <c r="O128" s="8">
        <v>3.5471912229210298E-2</v>
      </c>
      <c r="P128" s="9">
        <v>4.9112051934192401E-2</v>
      </c>
      <c r="Q128" s="570">
        <v>5.6713905606237498E-3</v>
      </c>
    </row>
    <row r="129" spans="2:17" ht="15.75" x14ac:dyDescent="0.25">
      <c r="B129" s="6">
        <v>2021</v>
      </c>
      <c r="C129" s="7">
        <v>2012</v>
      </c>
      <c r="D129" s="484" t="s">
        <v>3178</v>
      </c>
      <c r="E129" s="488">
        <v>0.16497000477155246</v>
      </c>
      <c r="F129" s="489">
        <v>0.21069720650640208</v>
      </c>
      <c r="G129" s="487">
        <v>1.1056407484753799E-3</v>
      </c>
      <c r="H129" s="8">
        <v>1.70743221290162E-2</v>
      </c>
      <c r="I129" s="8">
        <v>0.80214092820598903</v>
      </c>
      <c r="J129" s="8">
        <v>0.24580824827331599</v>
      </c>
      <c r="K129" s="8">
        <v>5.75581093134478E-3</v>
      </c>
      <c r="L129" s="8">
        <v>5.9854793744725399E-4</v>
      </c>
      <c r="M129" s="8">
        <v>8.4640680806995008E-3</v>
      </c>
      <c r="N129" s="8">
        <v>2.5299069349821301E-3</v>
      </c>
      <c r="O129" s="8">
        <v>2.90861091357884E-2</v>
      </c>
      <c r="P129" s="9">
        <v>4.7567560113552197E-2</v>
      </c>
      <c r="Q129" s="570">
        <v>6.01606316062745E-3</v>
      </c>
    </row>
    <row r="130" spans="2:17" ht="15.75" x14ac:dyDescent="0.25">
      <c r="B130" s="6">
        <v>2021</v>
      </c>
      <c r="C130" s="7">
        <v>2013</v>
      </c>
      <c r="D130" s="484" t="s">
        <v>3179</v>
      </c>
      <c r="E130" s="488">
        <v>0.16661441745737424</v>
      </c>
      <c r="F130" s="489">
        <v>0.17950329141617732</v>
      </c>
      <c r="G130" s="487">
        <v>1.1181624453129001E-3</v>
      </c>
      <c r="H130" s="8">
        <v>1.31940055036291E-2</v>
      </c>
      <c r="I130" s="8">
        <v>0.81060058077220198</v>
      </c>
      <c r="J130" s="8">
        <v>0.19241421329625299</v>
      </c>
      <c r="K130" s="8">
        <v>5.7090152733988899E-3</v>
      </c>
      <c r="L130" s="8">
        <v>7.2384077187560597E-4</v>
      </c>
      <c r="M130" s="8">
        <v>8.5445259777359294E-3</v>
      </c>
      <c r="N130" s="8">
        <v>2.3763437447837498E-3</v>
      </c>
      <c r="O130" s="8">
        <v>2.86918654403099E-2</v>
      </c>
      <c r="P130" s="9">
        <v>4.4858705438452703E-2</v>
      </c>
      <c r="Q130" s="570">
        <v>5.96715161068191E-3</v>
      </c>
    </row>
    <row r="131" spans="2:17" ht="15.75" x14ac:dyDescent="0.25">
      <c r="B131" s="6">
        <v>2021</v>
      </c>
      <c r="C131" s="7">
        <v>2014</v>
      </c>
      <c r="D131" s="484" t="s">
        <v>3180</v>
      </c>
      <c r="E131" s="488">
        <v>0.15878870632003111</v>
      </c>
      <c r="F131" s="489">
        <v>0.16744909270557121</v>
      </c>
      <c r="G131" s="487">
        <v>1.0346578885988601E-3</v>
      </c>
      <c r="H131" s="8">
        <v>1.3620212592127701E-2</v>
      </c>
      <c r="I131" s="8">
        <v>0.76343417299087202</v>
      </c>
      <c r="J131" s="8">
        <v>0.15793707018231901</v>
      </c>
      <c r="K131" s="8">
        <v>5.4356965573651604E-3</v>
      </c>
      <c r="L131" s="8">
        <v>1.22144285753584E-3</v>
      </c>
      <c r="M131" s="8">
        <v>7.7421131701981101E-3</v>
      </c>
      <c r="N131" s="8">
        <v>2.24429559817017E-3</v>
      </c>
      <c r="O131" s="8">
        <v>3.2623688197245197E-2</v>
      </c>
      <c r="P131" s="9">
        <v>4.2529376132189198E-2</v>
      </c>
      <c r="Q131" s="570">
        <v>5.6814746351429701E-3</v>
      </c>
    </row>
    <row r="132" spans="2:17" ht="15.75" x14ac:dyDescent="0.25">
      <c r="B132" s="6">
        <v>2021</v>
      </c>
      <c r="C132" s="7">
        <v>2015</v>
      </c>
      <c r="D132" s="484" t="s">
        <v>3181</v>
      </c>
      <c r="E132" s="488">
        <v>0.15733184025254049</v>
      </c>
      <c r="F132" s="489">
        <v>0.24563554532235959</v>
      </c>
      <c r="G132" s="487">
        <v>9.7043888207479505E-4</v>
      </c>
      <c r="H132" s="8">
        <v>2.1178553268544099E-2</v>
      </c>
      <c r="I132" s="8">
        <v>0.72776238113491398</v>
      </c>
      <c r="J132" s="8">
        <v>0.28474916694206898</v>
      </c>
      <c r="K132" s="8">
        <v>5.2488009064911197E-3</v>
      </c>
      <c r="L132" s="8">
        <v>1.6235045327758801E-3</v>
      </c>
      <c r="M132" s="8">
        <v>7.1195194073400796E-3</v>
      </c>
      <c r="N132" s="8">
        <v>2.8862324033371899E-3</v>
      </c>
      <c r="O132" s="8">
        <v>3.56743976352496E-2</v>
      </c>
      <c r="P132" s="9">
        <v>5.3853141375335298E-2</v>
      </c>
      <c r="Q132" s="570">
        <v>5.4861283922735798E-3</v>
      </c>
    </row>
    <row r="133" spans="2:17" ht="15.75" x14ac:dyDescent="0.25">
      <c r="B133" s="6">
        <v>2021</v>
      </c>
      <c r="C133" s="7">
        <v>2016</v>
      </c>
      <c r="D133" s="484" t="s">
        <v>3182</v>
      </c>
      <c r="E133" s="488">
        <v>0.14816965705051646</v>
      </c>
      <c r="F133" s="489">
        <v>0.21475735780302424</v>
      </c>
      <c r="G133" s="487">
        <v>3.1635858088619002E-3</v>
      </c>
      <c r="H133" s="8">
        <v>1.80325316867825E-2</v>
      </c>
      <c r="I133" s="8">
        <v>0.79475000091203696</v>
      </c>
      <c r="J133" s="8">
        <v>0.21106749373525599</v>
      </c>
      <c r="K133" s="8">
        <v>5.7882541064974901E-3</v>
      </c>
      <c r="L133" s="8">
        <v>1.82900583249812E-3</v>
      </c>
      <c r="M133" s="8">
        <v>8.3341688903324704E-3</v>
      </c>
      <c r="N133" s="8">
        <v>2.64438986192094E-3</v>
      </c>
      <c r="O133" s="8">
        <v>2.94750580870205E-2</v>
      </c>
      <c r="P133" s="9">
        <v>4.9587038944752797E-2</v>
      </c>
      <c r="Q133" s="570">
        <v>6.0499732721961104E-3</v>
      </c>
    </row>
    <row r="134" spans="2:17" ht="15.75" x14ac:dyDescent="0.25">
      <c r="B134" s="6">
        <v>2021</v>
      </c>
      <c r="C134" s="7">
        <v>2017</v>
      </c>
      <c r="D134" s="484" t="s">
        <v>3183</v>
      </c>
      <c r="E134" s="488">
        <v>0.14681938534465644</v>
      </c>
      <c r="F134" s="489">
        <v>0.16472452795004622</v>
      </c>
      <c r="G134" s="487">
        <v>1.82462019606614E-3</v>
      </c>
      <c r="H134" s="8">
        <v>1.2553256910083001E-2</v>
      </c>
      <c r="I134" s="8">
        <v>0.786065023983058</v>
      </c>
      <c r="J134" s="8">
        <v>0.14079070459103701</v>
      </c>
      <c r="K134" s="8">
        <v>5.6125786051916798E-3</v>
      </c>
      <c r="L134" s="8">
        <v>1.5813572144601599E-3</v>
      </c>
      <c r="M134" s="8">
        <v>8.1444245765871608E-3</v>
      </c>
      <c r="N134" s="8">
        <v>2.3696603190135499E-3</v>
      </c>
      <c r="O134" s="8">
        <v>3.05589568479099E-2</v>
      </c>
      <c r="P134" s="9">
        <v>4.4740809807866398E-2</v>
      </c>
      <c r="Q134" s="570">
        <v>5.8663545042697404E-3</v>
      </c>
    </row>
    <row r="135" spans="2:17" ht="15.75" x14ac:dyDescent="0.25">
      <c r="B135" s="6">
        <v>2021</v>
      </c>
      <c r="C135" s="7">
        <v>2018</v>
      </c>
      <c r="D135" s="484" t="s">
        <v>3184</v>
      </c>
      <c r="E135" s="488">
        <v>0.14616462742728681</v>
      </c>
      <c r="F135" s="489">
        <v>0.19914795631340734</v>
      </c>
      <c r="G135" s="487">
        <v>1.25340752495802E-3</v>
      </c>
      <c r="H135" s="8">
        <v>1.7004687624665799E-2</v>
      </c>
      <c r="I135" s="8">
        <v>0.78194408069341004</v>
      </c>
      <c r="J135" s="8">
        <v>0.16235346787341201</v>
      </c>
      <c r="K135" s="8">
        <v>5.5463045603295798E-3</v>
      </c>
      <c r="L135" s="8">
        <v>1.9827507924896899E-3</v>
      </c>
      <c r="M135" s="8">
        <v>8.0541775032218002E-3</v>
      </c>
      <c r="N135" s="8">
        <v>2.6064230389097401E-3</v>
      </c>
      <c r="O135" s="8">
        <v>3.1070721189923399E-2</v>
      </c>
      <c r="P135" s="9">
        <v>4.8917304186835098E-2</v>
      </c>
      <c r="Q135" s="570">
        <v>5.7970838411856998E-3</v>
      </c>
    </row>
    <row r="136" spans="2:17" ht="15.75" x14ac:dyDescent="0.25">
      <c r="B136" s="6">
        <v>2021</v>
      </c>
      <c r="C136" s="7">
        <v>2019</v>
      </c>
      <c r="D136" s="484" t="s">
        <v>3185</v>
      </c>
      <c r="E136" s="488">
        <v>0.12594987435186666</v>
      </c>
      <c r="F136" s="489">
        <v>0.19040559060357087</v>
      </c>
      <c r="G136" s="487">
        <v>9.9006333601279403E-3</v>
      </c>
      <c r="H136" s="8">
        <v>1.5926466259778799E-2</v>
      </c>
      <c r="I136" s="8">
        <v>0.64928594884715796</v>
      </c>
      <c r="J136" s="8">
        <v>0.141635553192654</v>
      </c>
      <c r="K136" s="8">
        <v>5.29082250441564E-3</v>
      </c>
      <c r="L136" s="8">
        <v>1.8996806894497401E-3</v>
      </c>
      <c r="M136" s="8">
        <v>6.1887673271251598E-3</v>
      </c>
      <c r="N136" s="8">
        <v>2.56330548318292E-3</v>
      </c>
      <c r="O136" s="8">
        <v>3.9044796153884599E-2</v>
      </c>
      <c r="P136" s="9">
        <v>4.8156710503814003E-2</v>
      </c>
      <c r="Q136" s="570">
        <v>5.5300500203881598E-3</v>
      </c>
    </row>
    <row r="137" spans="2:17" ht="15.75" x14ac:dyDescent="0.25">
      <c r="B137" s="6">
        <v>2021</v>
      </c>
      <c r="C137" s="7">
        <v>2020</v>
      </c>
      <c r="D137" s="484" t="s">
        <v>3186</v>
      </c>
      <c r="E137" s="488">
        <v>0.13380138765637994</v>
      </c>
      <c r="F137" s="489">
        <v>0.19440414029796663</v>
      </c>
      <c r="G137" s="487">
        <v>9.3691661087315602E-3</v>
      </c>
      <c r="H137" s="8">
        <v>1.6177610329875899E-2</v>
      </c>
      <c r="I137" s="8">
        <v>0.69737328520828201</v>
      </c>
      <c r="J137" s="8">
        <v>0.12614290832186101</v>
      </c>
      <c r="K137" s="8">
        <v>5.4742768691102501E-3</v>
      </c>
      <c r="L137" s="8">
        <v>1.8148213891735099E-3</v>
      </c>
      <c r="M137" s="8">
        <v>7.0388728592668303E-3</v>
      </c>
      <c r="N137" s="8">
        <v>2.6156372631370999E-3</v>
      </c>
      <c r="O137" s="8">
        <v>3.4924586870405998E-2</v>
      </c>
      <c r="P137" s="9">
        <v>4.9079843102205797E-2</v>
      </c>
      <c r="Q137" s="570">
        <v>5.72179937738758E-3</v>
      </c>
    </row>
    <row r="138" spans="2:17" ht="15.75" x14ac:dyDescent="0.25">
      <c r="B138" s="6">
        <v>2021</v>
      </c>
      <c r="C138" s="7">
        <v>2021</v>
      </c>
      <c r="D138" s="484" t="s">
        <v>3187</v>
      </c>
      <c r="E138" s="488">
        <v>0.11510016478009077</v>
      </c>
      <c r="F138" s="489">
        <v>0.18787683923828524</v>
      </c>
      <c r="G138" s="487">
        <v>1.09108215763664E-2</v>
      </c>
      <c r="H138" s="8">
        <v>1.72565899941345E-2</v>
      </c>
      <c r="I138" s="8">
        <v>0.57640260788128295</v>
      </c>
      <c r="J138" s="8">
        <v>0.10922151925071</v>
      </c>
      <c r="K138" s="8">
        <v>4.7028944994834E-3</v>
      </c>
      <c r="L138" s="8">
        <v>2.0615891636940799E-3</v>
      </c>
      <c r="M138" s="8">
        <v>5.0813465795136598E-3</v>
      </c>
      <c r="N138" s="8">
        <v>2.6451174676676899E-3</v>
      </c>
      <c r="O138" s="8">
        <v>4.4232528473295403E-2</v>
      </c>
      <c r="P138" s="9">
        <v>4.9599873910125498E-2</v>
      </c>
      <c r="Q138" s="570">
        <v>4.9155385199647801E-3</v>
      </c>
    </row>
    <row r="139" spans="2:17" ht="15.75" x14ac:dyDescent="0.25">
      <c r="B139" s="6">
        <v>2022</v>
      </c>
      <c r="C139" s="7">
        <v>2008</v>
      </c>
      <c r="D139" s="484" t="s">
        <v>3218</v>
      </c>
      <c r="E139" s="488">
        <v>0.19501650301460258</v>
      </c>
      <c r="F139" s="489">
        <v>0.27394290289454837</v>
      </c>
      <c r="G139" s="487">
        <v>5.3566057657658799E-3</v>
      </c>
      <c r="H139" s="8">
        <v>2.2689998743373501E-2</v>
      </c>
      <c r="I139" s="8">
        <v>6.2617200315086601</v>
      </c>
      <c r="J139" s="8">
        <v>0.49377407902075399</v>
      </c>
      <c r="K139" s="8">
        <v>9.9663080275059004E-3</v>
      </c>
      <c r="L139" s="8">
        <v>2.3137199058074199E-4</v>
      </c>
      <c r="M139" s="8">
        <v>7.6768000256358104E-3</v>
      </c>
      <c r="N139" s="8">
        <v>3.0000018168034001E-3</v>
      </c>
      <c r="O139" s="8">
        <v>3.2943722605600502E-2</v>
      </c>
      <c r="P139" s="9">
        <v>5.5860033828879302E-2</v>
      </c>
      <c r="Q139" s="570">
        <v>1.04169402516728E-2</v>
      </c>
    </row>
    <row r="140" spans="2:17" ht="15.75" x14ac:dyDescent="0.25">
      <c r="B140" s="6">
        <v>2022</v>
      </c>
      <c r="C140" s="7">
        <v>2009</v>
      </c>
      <c r="D140" s="484" t="s">
        <v>3219</v>
      </c>
      <c r="E140" s="488">
        <v>0.18333610916165274</v>
      </c>
      <c r="F140" s="489">
        <v>0.27447677609733956</v>
      </c>
      <c r="G140" s="487">
        <v>4.9642277907995299E-3</v>
      </c>
      <c r="H140" s="8">
        <v>2.2733825670772999E-2</v>
      </c>
      <c r="I140" s="8">
        <v>5.9130982653036197</v>
      </c>
      <c r="J140" s="8">
        <v>0.45960576691642901</v>
      </c>
      <c r="K140" s="8">
        <v>9.6333011215984105E-3</v>
      </c>
      <c r="L140" s="8">
        <v>2.6050909025029901E-4</v>
      </c>
      <c r="M140" s="8">
        <v>6.9400702318949299E-3</v>
      </c>
      <c r="N140" s="8">
        <v>3.0000018168034001E-3</v>
      </c>
      <c r="O140" s="8">
        <v>3.6553698594930802E-2</v>
      </c>
      <c r="P140" s="9">
        <v>5.5860033828879302E-2</v>
      </c>
      <c r="Q140" s="570">
        <v>1.00688762511764E-2</v>
      </c>
    </row>
    <row r="141" spans="2:17" ht="15.75" x14ac:dyDescent="0.25">
      <c r="B141" s="6">
        <v>2022</v>
      </c>
      <c r="C141" s="7">
        <v>2010</v>
      </c>
      <c r="D141" s="484" t="s">
        <v>3220</v>
      </c>
      <c r="E141" s="488">
        <v>0.14701221049077437</v>
      </c>
      <c r="F141" s="489">
        <v>0.27423201537011754</v>
      </c>
      <c r="G141" s="487">
        <v>1.1574670259462199E-3</v>
      </c>
      <c r="H141" s="8">
        <v>2.2714548176983901E-2</v>
      </c>
      <c r="I141" s="8">
        <v>0.83259494137960199</v>
      </c>
      <c r="J141" s="8">
        <v>0.43752401456622603</v>
      </c>
      <c r="K141" s="8">
        <v>5.8457172955770102E-3</v>
      </c>
      <c r="L141" s="8">
        <v>3.1692242670753999E-4</v>
      </c>
      <c r="M141" s="8">
        <v>8.9277004837008504E-3</v>
      </c>
      <c r="N141" s="8">
        <v>3.0000018168034001E-3</v>
      </c>
      <c r="O141" s="8">
        <v>2.6814310361081801E-2</v>
      </c>
      <c r="P141" s="9">
        <v>5.5860033828879302E-2</v>
      </c>
      <c r="Q141" s="570">
        <v>6.1100346916966898E-3</v>
      </c>
    </row>
    <row r="142" spans="2:17" ht="15.75" x14ac:dyDescent="0.25">
      <c r="B142" s="6">
        <v>2022</v>
      </c>
      <c r="C142" s="7">
        <v>2011</v>
      </c>
      <c r="D142" s="484" t="s">
        <v>3221</v>
      </c>
      <c r="E142" s="488">
        <v>0.14253086677122465</v>
      </c>
      <c r="F142" s="489">
        <v>0.27407018964287089</v>
      </c>
      <c r="G142" s="487">
        <v>9.7653177135483004E-4</v>
      </c>
      <c r="H142" s="8">
        <v>2.2546749849927699E-2</v>
      </c>
      <c r="I142" s="8">
        <v>0.73124903222597804</v>
      </c>
      <c r="J142" s="8">
        <v>0.40989352790806299</v>
      </c>
      <c r="K142" s="8">
        <v>5.2275198647586899E-3</v>
      </c>
      <c r="L142" s="8">
        <v>4.2935738193533303E-4</v>
      </c>
      <c r="M142" s="8">
        <v>7.1682687090737097E-3</v>
      </c>
      <c r="N142" s="8">
        <v>3.0000018168034001E-3</v>
      </c>
      <c r="O142" s="8">
        <v>3.54355260567547E-2</v>
      </c>
      <c r="P142" s="9">
        <v>5.5860033828879302E-2</v>
      </c>
      <c r="Q142" s="570">
        <v>5.4638851162672397E-3</v>
      </c>
    </row>
    <row r="143" spans="2:17" ht="15.75" x14ac:dyDescent="0.25">
      <c r="B143" s="6">
        <v>2022</v>
      </c>
      <c r="C143" s="7">
        <v>2012</v>
      </c>
      <c r="D143" s="484" t="s">
        <v>3222</v>
      </c>
      <c r="E143" s="488">
        <v>0.16497000477155246</v>
      </c>
      <c r="F143" s="489">
        <v>0.2107001185915022</v>
      </c>
      <c r="G143" s="487">
        <v>1.1056407484753799E-3</v>
      </c>
      <c r="H143" s="8">
        <v>1.70010320616494E-2</v>
      </c>
      <c r="I143" s="8">
        <v>0.80214092820598903</v>
      </c>
      <c r="J143" s="8">
        <v>0.262688563438081</v>
      </c>
      <c r="K143" s="8">
        <v>5.7558109313447696E-3</v>
      </c>
      <c r="L143" s="8">
        <v>5.9854793744725399E-4</v>
      </c>
      <c r="M143" s="8">
        <v>8.4640680806995008E-3</v>
      </c>
      <c r="N143" s="8">
        <v>2.5299069349821301E-3</v>
      </c>
      <c r="O143" s="8">
        <v>2.90861091357884E-2</v>
      </c>
      <c r="P143" s="9">
        <v>4.7567560113552197E-2</v>
      </c>
      <c r="Q143" s="570">
        <v>6.01606316062745E-3</v>
      </c>
    </row>
    <row r="144" spans="2:17" ht="15.75" x14ac:dyDescent="0.25">
      <c r="B144" s="6">
        <v>2022</v>
      </c>
      <c r="C144" s="7">
        <v>2013</v>
      </c>
      <c r="D144" s="484" t="s">
        <v>3223</v>
      </c>
      <c r="E144" s="488">
        <v>0.16661441745737424</v>
      </c>
      <c r="F144" s="489">
        <v>0.17950429015122676</v>
      </c>
      <c r="G144" s="487">
        <v>1.1181624453129001E-3</v>
      </c>
      <c r="H144" s="8">
        <v>1.31578768043702E-2</v>
      </c>
      <c r="I144" s="8">
        <v>0.81060058077220198</v>
      </c>
      <c r="J144" s="8">
        <v>0.19777999774734201</v>
      </c>
      <c r="K144" s="8">
        <v>5.7090152733988899E-3</v>
      </c>
      <c r="L144" s="8">
        <v>7.2384077187560597E-4</v>
      </c>
      <c r="M144" s="8">
        <v>8.5445259777359294E-3</v>
      </c>
      <c r="N144" s="8">
        <v>2.3763437447837498E-3</v>
      </c>
      <c r="O144" s="8">
        <v>2.86918654403099E-2</v>
      </c>
      <c r="P144" s="9">
        <v>4.4858705438452703E-2</v>
      </c>
      <c r="Q144" s="570">
        <v>5.96715161068191E-3</v>
      </c>
    </row>
    <row r="145" spans="2:17" ht="15.75" x14ac:dyDescent="0.25">
      <c r="B145" s="6">
        <v>2022</v>
      </c>
      <c r="C145" s="7">
        <v>2014</v>
      </c>
      <c r="D145" s="484" t="s">
        <v>3224</v>
      </c>
      <c r="E145" s="488">
        <v>0.15878870632003111</v>
      </c>
      <c r="F145" s="489">
        <v>0.16745071071437148</v>
      </c>
      <c r="G145" s="487">
        <v>1.0346578885988601E-3</v>
      </c>
      <c r="H145" s="8">
        <v>1.36090924133452E-2</v>
      </c>
      <c r="I145" s="8">
        <v>0.76343417299087202</v>
      </c>
      <c r="J145" s="8">
        <v>0.16606218642904499</v>
      </c>
      <c r="K145" s="8">
        <v>5.4356965573651604E-3</v>
      </c>
      <c r="L145" s="8">
        <v>1.22144285753584E-3</v>
      </c>
      <c r="M145" s="8">
        <v>7.7421131701981196E-3</v>
      </c>
      <c r="N145" s="8">
        <v>2.24429559817017E-3</v>
      </c>
      <c r="O145" s="8">
        <v>3.2623688197245197E-2</v>
      </c>
      <c r="P145" s="9">
        <v>4.2529376132189198E-2</v>
      </c>
      <c r="Q145" s="570">
        <v>5.6814746351429701E-3</v>
      </c>
    </row>
    <row r="146" spans="2:17" ht="15.75" x14ac:dyDescent="0.25">
      <c r="B146" s="6">
        <v>2022</v>
      </c>
      <c r="C146" s="7">
        <v>2015</v>
      </c>
      <c r="D146" s="484" t="s">
        <v>3225</v>
      </c>
      <c r="E146" s="488">
        <v>0.15733184025254049</v>
      </c>
      <c r="F146" s="489">
        <v>0.24563912612292443</v>
      </c>
      <c r="G146" s="487">
        <v>9.7043888207479505E-4</v>
      </c>
      <c r="H146" s="8">
        <v>2.1177324411431001E-2</v>
      </c>
      <c r="I146" s="8">
        <v>0.72776238113491398</v>
      </c>
      <c r="J146" s="8">
        <v>0.306191400474708</v>
      </c>
      <c r="K146" s="8">
        <v>5.2488009064911197E-3</v>
      </c>
      <c r="L146" s="8">
        <v>1.6235045327758801E-3</v>
      </c>
      <c r="M146" s="8">
        <v>7.1195194073400796E-3</v>
      </c>
      <c r="N146" s="8">
        <v>2.8862324033371899E-3</v>
      </c>
      <c r="O146" s="8">
        <v>3.5674397635249502E-2</v>
      </c>
      <c r="P146" s="9">
        <v>5.3853141375335298E-2</v>
      </c>
      <c r="Q146" s="570">
        <v>5.4861283922735798E-3</v>
      </c>
    </row>
    <row r="147" spans="2:17" ht="15.75" x14ac:dyDescent="0.25">
      <c r="B147" s="6">
        <v>2022</v>
      </c>
      <c r="C147" s="7">
        <v>2016</v>
      </c>
      <c r="D147" s="484" t="s">
        <v>3226</v>
      </c>
      <c r="E147" s="488">
        <v>0.14816965705051646</v>
      </c>
      <c r="F147" s="489">
        <v>0.21476017994524507</v>
      </c>
      <c r="G147" s="487">
        <v>3.2104378827495401E-3</v>
      </c>
      <c r="H147" s="8">
        <v>1.79847651860791E-2</v>
      </c>
      <c r="I147" s="8">
        <v>0.79490302291523296</v>
      </c>
      <c r="J147" s="8">
        <v>0.22799120190424199</v>
      </c>
      <c r="K147" s="8">
        <v>5.8078483362142197E-3</v>
      </c>
      <c r="L147" s="8">
        <v>1.82900583249812E-3</v>
      </c>
      <c r="M147" s="8">
        <v>8.3341688903324704E-3</v>
      </c>
      <c r="N147" s="8">
        <v>2.64438986192095E-3</v>
      </c>
      <c r="O147" s="8">
        <v>2.94750580870205E-2</v>
      </c>
      <c r="P147" s="9">
        <v>4.9587038944752797E-2</v>
      </c>
      <c r="Q147" s="570">
        <v>6.0704534660325198E-3</v>
      </c>
    </row>
    <row r="148" spans="2:17" ht="15.75" x14ac:dyDescent="0.25">
      <c r="B148" s="6">
        <v>2022</v>
      </c>
      <c r="C148" s="7">
        <v>2017</v>
      </c>
      <c r="D148" s="484" t="s">
        <v>3227</v>
      </c>
      <c r="E148" s="488">
        <v>0.14681938534465644</v>
      </c>
      <c r="F148" s="489">
        <v>0.16472504357831411</v>
      </c>
      <c r="G148" s="487">
        <v>1.8428986027371099E-3</v>
      </c>
      <c r="H148" s="8">
        <v>1.2364437119099399E-2</v>
      </c>
      <c r="I148" s="8">
        <v>0.78611656245244499</v>
      </c>
      <c r="J148" s="8">
        <v>0.14594985344849401</v>
      </c>
      <c r="K148" s="8">
        <v>5.62030410034315E-3</v>
      </c>
      <c r="L148" s="8">
        <v>1.5813572144601599E-3</v>
      </c>
      <c r="M148" s="8">
        <v>8.1444245765871608E-3</v>
      </c>
      <c r="N148" s="8">
        <v>2.3696603190135499E-3</v>
      </c>
      <c r="O148" s="8">
        <v>3.05589568479099E-2</v>
      </c>
      <c r="P148" s="9">
        <v>4.4740809807866398E-2</v>
      </c>
      <c r="Q148" s="570">
        <v>5.8744293120305902E-3</v>
      </c>
    </row>
    <row r="149" spans="2:17" ht="15.75" x14ac:dyDescent="0.25">
      <c r="B149" s="6">
        <v>2022</v>
      </c>
      <c r="C149" s="7">
        <v>2018</v>
      </c>
      <c r="D149" s="484" t="s">
        <v>3228</v>
      </c>
      <c r="E149" s="488">
        <v>0.14616462742728681</v>
      </c>
      <c r="F149" s="489">
        <v>0.19915094814584916</v>
      </c>
      <c r="G149" s="487">
        <v>1.25830102048777E-3</v>
      </c>
      <c r="H149" s="8">
        <v>1.6709354601954801E-2</v>
      </c>
      <c r="I149" s="8">
        <v>0.781955348887171</v>
      </c>
      <c r="J149" s="8">
        <v>0.18341251310943099</v>
      </c>
      <c r="K149" s="8">
        <v>5.5483755790272501E-3</v>
      </c>
      <c r="L149" s="8">
        <v>1.9827507924896899E-3</v>
      </c>
      <c r="M149" s="8">
        <v>8.0541775032218002E-3</v>
      </c>
      <c r="N149" s="8">
        <v>2.6064230389097401E-3</v>
      </c>
      <c r="O149" s="8">
        <v>3.1070721189923399E-2</v>
      </c>
      <c r="P149" s="9">
        <v>4.8917304186835098E-2</v>
      </c>
      <c r="Q149" s="570">
        <v>5.7992485021588699E-3</v>
      </c>
    </row>
    <row r="150" spans="2:17" ht="15.75" x14ac:dyDescent="0.25">
      <c r="B150" s="6">
        <v>2022</v>
      </c>
      <c r="C150" s="7">
        <v>2019</v>
      </c>
      <c r="D150" s="484" t="s">
        <v>3229</v>
      </c>
      <c r="E150" s="488">
        <v>0.12594987435186666</v>
      </c>
      <c r="F150" s="489">
        <v>0.1904060786927316</v>
      </c>
      <c r="G150" s="487">
        <v>1.0157110679104299E-2</v>
      </c>
      <c r="H150" s="8">
        <v>1.5523062899180399E-2</v>
      </c>
      <c r="I150" s="8">
        <v>0.64979476157474902</v>
      </c>
      <c r="J150" s="8">
        <v>0.149960241456114</v>
      </c>
      <c r="K150" s="8">
        <v>5.3992415410204202E-3</v>
      </c>
      <c r="L150" s="8">
        <v>1.8996806894497401E-3</v>
      </c>
      <c r="M150" s="8">
        <v>6.1887673271251598E-3</v>
      </c>
      <c r="N150" s="8">
        <v>2.56330548318292E-3</v>
      </c>
      <c r="O150" s="8">
        <v>3.9044796153884599E-2</v>
      </c>
      <c r="P150" s="9">
        <v>4.8156710503814003E-2</v>
      </c>
      <c r="Q150" s="570">
        <v>5.6433712847258604E-3</v>
      </c>
    </row>
    <row r="151" spans="2:17" ht="15.75" x14ac:dyDescent="0.25">
      <c r="B151" s="6">
        <v>2022</v>
      </c>
      <c r="C151" s="7">
        <v>2020</v>
      </c>
      <c r="D151" s="484" t="s">
        <v>3230</v>
      </c>
      <c r="E151" s="488">
        <v>0.13380138765637994</v>
      </c>
      <c r="F151" s="489">
        <v>0.19440610241258691</v>
      </c>
      <c r="G151" s="487">
        <v>9.6266688870934591E-3</v>
      </c>
      <c r="H151" s="8">
        <v>1.59233091377236E-2</v>
      </c>
      <c r="I151" s="8">
        <v>0.69780051278106903</v>
      </c>
      <c r="J151" s="8">
        <v>0.14344357630330301</v>
      </c>
      <c r="K151" s="8">
        <v>5.5832639931185802E-3</v>
      </c>
      <c r="L151" s="8">
        <v>1.8148213891735099E-3</v>
      </c>
      <c r="M151" s="8">
        <v>7.0388728592668398E-3</v>
      </c>
      <c r="N151" s="8">
        <v>2.6156372631370999E-3</v>
      </c>
      <c r="O151" s="8">
        <v>3.4924586870405998E-2</v>
      </c>
      <c r="P151" s="9">
        <v>4.9079843102205797E-2</v>
      </c>
      <c r="Q151" s="570">
        <v>5.8357144155203704E-3</v>
      </c>
    </row>
    <row r="152" spans="2:17" ht="15.75" x14ac:dyDescent="0.25">
      <c r="B152" s="6">
        <v>2022</v>
      </c>
      <c r="C152" s="7">
        <v>2021</v>
      </c>
      <c r="D152" s="484" t="s">
        <v>3231</v>
      </c>
      <c r="E152" s="488">
        <v>0.11510016478009077</v>
      </c>
      <c r="F152" s="489">
        <v>0.18788083033275826</v>
      </c>
      <c r="G152" s="487">
        <v>1.12460577388016E-2</v>
      </c>
      <c r="H152" s="8">
        <v>1.7357708297288402E-2</v>
      </c>
      <c r="I152" s="8">
        <v>0.57685193845017202</v>
      </c>
      <c r="J152" s="8">
        <v>0.12890623385698599</v>
      </c>
      <c r="K152" s="8">
        <v>4.8448282219971696E-3</v>
      </c>
      <c r="L152" s="8">
        <v>2.0615891636940799E-3</v>
      </c>
      <c r="M152" s="8">
        <v>5.0813465795136598E-3</v>
      </c>
      <c r="N152" s="8">
        <v>2.6451174676676999E-3</v>
      </c>
      <c r="O152" s="8">
        <v>4.4232528473295403E-2</v>
      </c>
      <c r="P152" s="9">
        <v>4.9599873910125498E-2</v>
      </c>
      <c r="Q152" s="570">
        <v>5.0638898555890504E-3</v>
      </c>
    </row>
    <row r="153" spans="2:17" ht="15.75" x14ac:dyDescent="0.25">
      <c r="B153" s="6">
        <v>2022</v>
      </c>
      <c r="C153" s="7">
        <v>2022</v>
      </c>
      <c r="D153" s="484" t="s">
        <v>3232</v>
      </c>
      <c r="E153" s="488">
        <v>0.12844481274715897</v>
      </c>
      <c r="F153" s="489">
        <v>0.18041247657608603</v>
      </c>
      <c r="G153" s="487">
        <v>2.9445782356323398E-3</v>
      </c>
      <c r="H153" s="8">
        <v>1.5931556705329301E-2</v>
      </c>
      <c r="I153" s="8">
        <v>0.66781135506270795</v>
      </c>
      <c r="J153" s="8">
        <v>9.8929112506371195E-2</v>
      </c>
      <c r="K153" s="8">
        <v>4.9285681561960096E-3</v>
      </c>
      <c r="L153" s="8">
        <v>2.0551424379285301E-3</v>
      </c>
      <c r="M153" s="8">
        <v>6.1951533128498E-3</v>
      </c>
      <c r="N153" s="8">
        <v>2.5835779221722501E-3</v>
      </c>
      <c r="O153" s="8">
        <v>3.99125734130239E-2</v>
      </c>
      <c r="P153" s="9">
        <v>4.8514316327585801E-2</v>
      </c>
      <c r="Q153" s="570">
        <v>5.1514161380219001E-3</v>
      </c>
    </row>
    <row r="154" spans="2:17" ht="15.75" x14ac:dyDescent="0.25">
      <c r="B154" s="6">
        <v>2023</v>
      </c>
      <c r="C154" s="7">
        <v>2009</v>
      </c>
      <c r="D154" s="484" t="s">
        <v>3263</v>
      </c>
      <c r="E154" s="488">
        <v>0.18333610916165274</v>
      </c>
      <c r="F154" s="489">
        <v>0.27448285225440799</v>
      </c>
      <c r="G154" s="487">
        <v>4.9642277907995299E-3</v>
      </c>
      <c r="H154" s="8">
        <v>2.2733825670772999E-2</v>
      </c>
      <c r="I154" s="8">
        <v>5.9130982653036197</v>
      </c>
      <c r="J154" s="8">
        <v>0.49528468396823</v>
      </c>
      <c r="K154" s="8">
        <v>9.6333011215984001E-3</v>
      </c>
      <c r="L154" s="8">
        <v>2.6050909025029901E-4</v>
      </c>
      <c r="M154" s="8">
        <v>6.9400702318949299E-3</v>
      </c>
      <c r="N154" s="8">
        <v>3.0000018168034001E-3</v>
      </c>
      <c r="O154" s="8">
        <v>3.6553698594930802E-2</v>
      </c>
      <c r="P154" s="9">
        <v>5.5860033828879302E-2</v>
      </c>
      <c r="Q154" s="570">
        <v>1.00688762511764E-2</v>
      </c>
    </row>
    <row r="155" spans="2:17" ht="15.75" x14ac:dyDescent="0.25">
      <c r="B155" s="6">
        <v>2023</v>
      </c>
      <c r="C155" s="7">
        <v>2010</v>
      </c>
      <c r="D155" s="484" t="s">
        <v>3264</v>
      </c>
      <c r="E155" s="488">
        <v>0.14701221049077437</v>
      </c>
      <c r="F155" s="489">
        <v>0.27423558816807592</v>
      </c>
      <c r="G155" s="487">
        <v>1.1574670259462199E-3</v>
      </c>
      <c r="H155" s="8">
        <v>2.2714548176983901E-2</v>
      </c>
      <c r="I155" s="8">
        <v>0.83259494137960199</v>
      </c>
      <c r="J155" s="8">
        <v>0.45818707780081902</v>
      </c>
      <c r="K155" s="8">
        <v>5.8457172955770102E-3</v>
      </c>
      <c r="L155" s="8">
        <v>3.1692242670754102E-4</v>
      </c>
      <c r="M155" s="8">
        <v>8.9277004837008504E-3</v>
      </c>
      <c r="N155" s="8">
        <v>3.0000018168034001E-3</v>
      </c>
      <c r="O155" s="8">
        <v>2.6814310361081801E-2</v>
      </c>
      <c r="P155" s="9">
        <v>5.5860033828879302E-2</v>
      </c>
      <c r="Q155" s="570">
        <v>6.1100346916966898E-3</v>
      </c>
    </row>
    <row r="156" spans="2:17" ht="15.75" x14ac:dyDescent="0.25">
      <c r="B156" s="6">
        <v>2023</v>
      </c>
      <c r="C156" s="7">
        <v>2011</v>
      </c>
      <c r="D156" s="484" t="s">
        <v>3265</v>
      </c>
      <c r="E156" s="488">
        <v>0.14253086677122465</v>
      </c>
      <c r="F156" s="489">
        <v>0.27407556166984681</v>
      </c>
      <c r="G156" s="487">
        <v>9.7653177135483004E-4</v>
      </c>
      <c r="H156" s="8">
        <v>2.2546749849927699E-2</v>
      </c>
      <c r="I156" s="8">
        <v>0.73124903222597804</v>
      </c>
      <c r="J156" s="8">
        <v>0.44285974532160899</v>
      </c>
      <c r="K156" s="8">
        <v>5.2275198647586899E-3</v>
      </c>
      <c r="L156" s="8">
        <v>4.2935738193533303E-4</v>
      </c>
      <c r="M156" s="8">
        <v>7.1682687090737201E-3</v>
      </c>
      <c r="N156" s="8">
        <v>3.0000018168034001E-3</v>
      </c>
      <c r="O156" s="8">
        <v>3.54355260567547E-2</v>
      </c>
      <c r="P156" s="9">
        <v>5.5860033828879302E-2</v>
      </c>
      <c r="Q156" s="570">
        <v>5.4638851162672397E-3</v>
      </c>
    </row>
    <row r="157" spans="2:17" ht="15.75" x14ac:dyDescent="0.25">
      <c r="B157" s="6">
        <v>2023</v>
      </c>
      <c r="C157" s="7">
        <v>2012</v>
      </c>
      <c r="D157" s="484" t="s">
        <v>3266</v>
      </c>
      <c r="E157" s="488">
        <v>0.16852243876583356</v>
      </c>
      <c r="F157" s="489">
        <v>0.27510399744822495</v>
      </c>
      <c r="G157" s="487">
        <v>1.1449757421260801E-3</v>
      </c>
      <c r="H157" s="8">
        <v>2.2720074473816399E-2</v>
      </c>
      <c r="I157" s="8">
        <v>0.82441807729574101</v>
      </c>
      <c r="J157" s="8">
        <v>0.41392374685083799</v>
      </c>
      <c r="K157" s="8">
        <v>5.8653108424112001E-3</v>
      </c>
      <c r="L157" s="8">
        <v>6.3408083776814704E-4</v>
      </c>
      <c r="M157" s="8">
        <v>8.8406607156279599E-3</v>
      </c>
      <c r="N157" s="8">
        <v>3.0000018168034001E-3</v>
      </c>
      <c r="O157" s="8">
        <v>2.7240805224638901E-2</v>
      </c>
      <c r="P157" s="9">
        <v>5.5860033828879302E-2</v>
      </c>
      <c r="Q157" s="570">
        <v>6.1305141717736397E-3</v>
      </c>
    </row>
    <row r="158" spans="2:17" ht="15.75" x14ac:dyDescent="0.25">
      <c r="B158" s="6">
        <v>2023</v>
      </c>
      <c r="C158" s="7">
        <v>2013</v>
      </c>
      <c r="D158" s="484" t="s">
        <v>3267</v>
      </c>
      <c r="E158" s="488">
        <v>0.16661441745737424</v>
      </c>
      <c r="F158" s="489">
        <v>0.17950639333409971</v>
      </c>
      <c r="G158" s="487">
        <v>1.1181624453129001E-3</v>
      </c>
      <c r="H158" s="8">
        <v>1.30941721107234E-2</v>
      </c>
      <c r="I158" s="8">
        <v>0.81060058077220298</v>
      </c>
      <c r="J158" s="8">
        <v>0.20980498459088801</v>
      </c>
      <c r="K158" s="8">
        <v>5.7090152733988899E-3</v>
      </c>
      <c r="L158" s="8">
        <v>7.2384077187560597E-4</v>
      </c>
      <c r="M158" s="8">
        <v>8.5445259777359294E-3</v>
      </c>
      <c r="N158" s="8">
        <v>2.3763437447837498E-3</v>
      </c>
      <c r="O158" s="8">
        <v>2.86918654403099E-2</v>
      </c>
      <c r="P158" s="9">
        <v>4.4858705438452703E-2</v>
      </c>
      <c r="Q158" s="570">
        <v>5.96715161068191E-3</v>
      </c>
    </row>
    <row r="159" spans="2:17" ht="15.75" x14ac:dyDescent="0.25">
      <c r="B159" s="6">
        <v>2023</v>
      </c>
      <c r="C159" s="7">
        <v>2014</v>
      </c>
      <c r="D159" s="484" t="s">
        <v>3268</v>
      </c>
      <c r="E159" s="488">
        <v>0.15878870632003111</v>
      </c>
      <c r="F159" s="489">
        <v>0.16745160311202739</v>
      </c>
      <c r="G159" s="487">
        <v>1.0346578885988601E-3</v>
      </c>
      <c r="H159" s="8">
        <v>1.35552033832809E-2</v>
      </c>
      <c r="I159" s="8">
        <v>0.76343417299087202</v>
      </c>
      <c r="J159" s="8">
        <v>0.17004532622298699</v>
      </c>
      <c r="K159" s="8">
        <v>5.4356965573651604E-3</v>
      </c>
      <c r="L159" s="8">
        <v>1.22144285753584E-3</v>
      </c>
      <c r="M159" s="8">
        <v>7.7421131701981196E-3</v>
      </c>
      <c r="N159" s="8">
        <v>2.24429559817017E-3</v>
      </c>
      <c r="O159" s="8">
        <v>3.2623688197245197E-2</v>
      </c>
      <c r="P159" s="9">
        <v>4.2529376132189198E-2</v>
      </c>
      <c r="Q159" s="570">
        <v>5.6814746351429701E-3</v>
      </c>
    </row>
    <row r="160" spans="2:17" ht="15.75" x14ac:dyDescent="0.25">
      <c r="B160" s="6">
        <v>2023</v>
      </c>
      <c r="C160" s="7">
        <v>2015</v>
      </c>
      <c r="D160" s="484" t="s">
        <v>3269</v>
      </c>
      <c r="E160" s="488">
        <v>0.15733184025254049</v>
      </c>
      <c r="F160" s="489">
        <v>0.24564327332043387</v>
      </c>
      <c r="G160" s="487">
        <v>9.7043888207479505E-4</v>
      </c>
      <c r="H160" s="8">
        <v>2.1177156125947501E-2</v>
      </c>
      <c r="I160" s="8">
        <v>0.72776238113491398</v>
      </c>
      <c r="J160" s="8">
        <v>0.33093217752526899</v>
      </c>
      <c r="K160" s="8">
        <v>5.2488009064911197E-3</v>
      </c>
      <c r="L160" s="8">
        <v>1.6235045327758801E-3</v>
      </c>
      <c r="M160" s="8">
        <v>7.11951940734009E-3</v>
      </c>
      <c r="N160" s="8">
        <v>2.8862324033371899E-3</v>
      </c>
      <c r="O160" s="8">
        <v>3.56743976352496E-2</v>
      </c>
      <c r="P160" s="9">
        <v>5.3853141375335298E-2</v>
      </c>
      <c r="Q160" s="570">
        <v>5.4861283922735798E-3</v>
      </c>
    </row>
    <row r="161" spans="2:17" ht="15.75" x14ac:dyDescent="0.25">
      <c r="B161" s="6">
        <v>2023</v>
      </c>
      <c r="C161" s="7">
        <v>2016</v>
      </c>
      <c r="D161" s="484" t="s">
        <v>3270</v>
      </c>
      <c r="E161" s="488">
        <v>0.14816965705051646</v>
      </c>
      <c r="F161" s="489">
        <v>0.21476295520930394</v>
      </c>
      <c r="G161" s="487">
        <v>3.2548003328962401E-3</v>
      </c>
      <c r="H161" s="8">
        <v>1.79856602129886E-2</v>
      </c>
      <c r="I161" s="8">
        <v>0.79504791405919395</v>
      </c>
      <c r="J161" s="8">
        <v>0.24397885564931601</v>
      </c>
      <c r="K161" s="8">
        <v>5.8264014300630201E-3</v>
      </c>
      <c r="L161" s="8">
        <v>1.82900583249812E-3</v>
      </c>
      <c r="M161" s="8">
        <v>8.3341688903324704E-3</v>
      </c>
      <c r="N161" s="8">
        <v>2.64438986192095E-3</v>
      </c>
      <c r="O161" s="8">
        <v>2.94750580870205E-2</v>
      </c>
      <c r="P161" s="9">
        <v>4.9587038944752901E-2</v>
      </c>
      <c r="Q161" s="570">
        <v>6.0898454484570397E-3</v>
      </c>
    </row>
    <row r="162" spans="2:17" ht="15.75" x14ac:dyDescent="0.25">
      <c r="B162" s="6">
        <v>2023</v>
      </c>
      <c r="C162" s="7">
        <v>2017</v>
      </c>
      <c r="D162" s="484" t="s">
        <v>3271</v>
      </c>
      <c r="E162" s="488">
        <v>0.14681938534465644</v>
      </c>
      <c r="F162" s="489">
        <v>0.16472661807095809</v>
      </c>
      <c r="G162" s="487">
        <v>1.86025471226524E-3</v>
      </c>
      <c r="H162" s="8">
        <v>1.2316134989137801E-2</v>
      </c>
      <c r="I162" s="8">
        <v>0.78616550058044499</v>
      </c>
      <c r="J162" s="8">
        <v>0.15601860903208201</v>
      </c>
      <c r="K162" s="8">
        <v>5.6276398136869497E-3</v>
      </c>
      <c r="L162" s="8">
        <v>1.5813572144601599E-3</v>
      </c>
      <c r="M162" s="8">
        <v>8.1444245765871608E-3</v>
      </c>
      <c r="N162" s="8">
        <v>2.3696603190135499E-3</v>
      </c>
      <c r="O162" s="8">
        <v>3.05589568479099E-2</v>
      </c>
      <c r="P162" s="9">
        <v>4.4740809807866398E-2</v>
      </c>
      <c r="Q162" s="570">
        <v>5.8820967137800497E-3</v>
      </c>
    </row>
    <row r="163" spans="2:17" ht="15.75" x14ac:dyDescent="0.25">
      <c r="B163" s="6">
        <v>2023</v>
      </c>
      <c r="C163" s="7">
        <v>2018</v>
      </c>
      <c r="D163" s="484" t="s">
        <v>3272</v>
      </c>
      <c r="E163" s="488">
        <v>0.14616462742728681</v>
      </c>
      <c r="F163" s="489">
        <v>0.1991523149296468</v>
      </c>
      <c r="G163" s="487">
        <v>1.26295944996262E-3</v>
      </c>
      <c r="H163" s="8">
        <v>1.6579831814494801E-2</v>
      </c>
      <c r="I163" s="8">
        <v>0.78196607585794797</v>
      </c>
      <c r="J163" s="8">
        <v>0.193167949790709</v>
      </c>
      <c r="K163" s="8">
        <v>5.5503471254067498E-3</v>
      </c>
      <c r="L163" s="8">
        <v>1.9827507924896899E-3</v>
      </c>
      <c r="M163" s="8">
        <v>8.0541775032218002E-3</v>
      </c>
      <c r="N163" s="8">
        <v>2.6064230389097401E-3</v>
      </c>
      <c r="O163" s="8">
        <v>3.1070721189923399E-2</v>
      </c>
      <c r="P163" s="9">
        <v>4.8917304186835098E-2</v>
      </c>
      <c r="Q163" s="570">
        <v>5.8013091931170503E-3</v>
      </c>
    </row>
    <row r="164" spans="2:17" ht="15.75" x14ac:dyDescent="0.25">
      <c r="B164" s="6">
        <v>2023</v>
      </c>
      <c r="C164" s="7">
        <v>2019</v>
      </c>
      <c r="D164" s="484" t="s">
        <v>3273</v>
      </c>
      <c r="E164" s="488">
        <v>0.12594987435186666</v>
      </c>
      <c r="F164" s="489">
        <v>0.19040865608128296</v>
      </c>
      <c r="G164" s="487">
        <v>1.04018318415418E-2</v>
      </c>
      <c r="H164" s="8">
        <v>1.5269499573778E-2</v>
      </c>
      <c r="I164" s="8">
        <v>0.65028025552548496</v>
      </c>
      <c r="J164" s="8">
        <v>0.16955614147745099</v>
      </c>
      <c r="K164" s="8">
        <v>5.5026917973694696E-3</v>
      </c>
      <c r="L164" s="8">
        <v>1.8996806894497301E-3</v>
      </c>
      <c r="M164" s="8">
        <v>6.1887673271251598E-3</v>
      </c>
      <c r="N164" s="8">
        <v>2.56330548318292E-3</v>
      </c>
      <c r="O164" s="8">
        <v>3.9044796153884599E-2</v>
      </c>
      <c r="P164" s="9">
        <v>4.8156710503814003E-2</v>
      </c>
      <c r="Q164" s="570">
        <v>5.7514991026133E-3</v>
      </c>
    </row>
    <row r="165" spans="2:17" ht="15.75" x14ac:dyDescent="0.25">
      <c r="B165" s="6">
        <v>2023</v>
      </c>
      <c r="C165" s="7">
        <v>2020</v>
      </c>
      <c r="D165" s="484" t="s">
        <v>3274</v>
      </c>
      <c r="E165" s="488">
        <v>0.13380138765637994</v>
      </c>
      <c r="F165" s="489">
        <v>0.19440684827867197</v>
      </c>
      <c r="G165" s="487">
        <v>9.8728850824311293E-3</v>
      </c>
      <c r="H165" s="8">
        <v>1.56629780111417E-2</v>
      </c>
      <c r="I165" s="8">
        <v>0.69820901863462803</v>
      </c>
      <c r="J165" s="8">
        <v>0.15378148564263799</v>
      </c>
      <c r="K165" s="8">
        <v>5.6874751801268397E-3</v>
      </c>
      <c r="L165" s="8">
        <v>1.8148213891735099E-3</v>
      </c>
      <c r="M165" s="8">
        <v>7.0388728592668303E-3</v>
      </c>
      <c r="N165" s="8">
        <v>2.6156372631370999E-3</v>
      </c>
      <c r="O165" s="8">
        <v>3.4924586870406102E-2</v>
      </c>
      <c r="P165" s="9">
        <v>4.9079843102205797E-2</v>
      </c>
      <c r="Q165" s="570">
        <v>5.9446375699748503E-3</v>
      </c>
    </row>
    <row r="166" spans="2:17" ht="15.75" x14ac:dyDescent="0.25">
      <c r="B166" s="6">
        <v>2023</v>
      </c>
      <c r="C166" s="7">
        <v>2021</v>
      </c>
      <c r="D166" s="484" t="s">
        <v>3275</v>
      </c>
      <c r="E166" s="488">
        <v>0.11510016478009077</v>
      </c>
      <c r="F166" s="489">
        <v>0.1878828911443074</v>
      </c>
      <c r="G166" s="487">
        <v>1.1567216035575799E-2</v>
      </c>
      <c r="H166" s="8">
        <v>1.7045644784129999E-2</v>
      </c>
      <c r="I166" s="8">
        <v>0.57728240538392905</v>
      </c>
      <c r="J166" s="8">
        <v>0.14769577399585199</v>
      </c>
      <c r="K166" s="8">
        <v>4.9808033626048001E-3</v>
      </c>
      <c r="L166" s="8">
        <v>2.0615891636940799E-3</v>
      </c>
      <c r="M166" s="8">
        <v>5.0813465795136598E-3</v>
      </c>
      <c r="N166" s="8">
        <v>2.6451174676676999E-3</v>
      </c>
      <c r="O166" s="8">
        <v>4.4232528473295403E-2</v>
      </c>
      <c r="P166" s="9">
        <v>4.9599873910125498E-2</v>
      </c>
      <c r="Q166" s="570">
        <v>5.2060131886742097E-3</v>
      </c>
    </row>
    <row r="167" spans="2:17" ht="15.75" x14ac:dyDescent="0.25">
      <c r="B167" s="6">
        <v>2023</v>
      </c>
      <c r="C167" s="7">
        <v>2022</v>
      </c>
      <c r="D167" s="484" t="s">
        <v>3276</v>
      </c>
      <c r="E167" s="488">
        <v>0.12844481274715897</v>
      </c>
      <c r="F167" s="489">
        <v>0.1804163903060888</v>
      </c>
      <c r="G167" s="487">
        <v>3.0128952956155601E-3</v>
      </c>
      <c r="H167" s="8">
        <v>1.6035984050326999E-2</v>
      </c>
      <c r="I167" s="8">
        <v>0.66788062590708197</v>
      </c>
      <c r="J167" s="8">
        <v>0.116795092567651</v>
      </c>
      <c r="K167" s="8">
        <v>4.9574932278598997E-3</v>
      </c>
      <c r="L167" s="8">
        <v>2.0551424379285301E-3</v>
      </c>
      <c r="M167" s="8">
        <v>6.1951533128498E-3</v>
      </c>
      <c r="N167" s="8">
        <v>2.5835779221722501E-3</v>
      </c>
      <c r="O167" s="8">
        <v>3.99125734130239E-2</v>
      </c>
      <c r="P167" s="9">
        <v>4.8514316327585801E-2</v>
      </c>
      <c r="Q167" s="570">
        <v>5.1816490730733303E-3</v>
      </c>
    </row>
    <row r="168" spans="2:17" ht="15.75" x14ac:dyDescent="0.25">
      <c r="B168" s="6">
        <v>2023</v>
      </c>
      <c r="C168" s="7">
        <v>2023</v>
      </c>
      <c r="D168" s="484" t="s">
        <v>3277</v>
      </c>
      <c r="E168" s="488">
        <v>0.13195903103864931</v>
      </c>
      <c r="F168" s="489">
        <v>0.19689196070333109</v>
      </c>
      <c r="G168" s="487">
        <v>2.1022499338585001E-3</v>
      </c>
      <c r="H168" s="8">
        <v>1.8522478291137099E-2</v>
      </c>
      <c r="I168" s="8">
        <v>0.69004825136101</v>
      </c>
      <c r="J168" s="8">
        <v>0.114345582836476</v>
      </c>
      <c r="K168" s="8">
        <v>5.1053486664717398E-3</v>
      </c>
      <c r="L168" s="8">
        <v>2.12931538460034E-3</v>
      </c>
      <c r="M168" s="8">
        <v>6.5577156549058097E-3</v>
      </c>
      <c r="N168" s="8">
        <v>2.7374603005563799E-3</v>
      </c>
      <c r="O168" s="8">
        <v>3.8260144561079901E-2</v>
      </c>
      <c r="P168" s="9">
        <v>5.1228801482281802E-2</v>
      </c>
      <c r="Q168" s="570">
        <v>5.3361898785204004E-3</v>
      </c>
    </row>
    <row r="169" spans="2:17" ht="15.75" x14ac:dyDescent="0.25">
      <c r="B169" s="6">
        <v>2024</v>
      </c>
      <c r="C169" s="7">
        <v>2010</v>
      </c>
      <c r="D169" s="484" t="s">
        <v>3308</v>
      </c>
      <c r="E169" s="488">
        <v>0.14701400214278298</v>
      </c>
      <c r="F169" s="489">
        <v>0.27433604773192588</v>
      </c>
      <c r="G169" s="487">
        <v>1.1574901105473199E-3</v>
      </c>
      <c r="H169" s="8">
        <v>2.2725899593390001E-2</v>
      </c>
      <c r="I169" s="8">
        <v>0.83261637088902796</v>
      </c>
      <c r="J169" s="8">
        <v>0.49382290602999002</v>
      </c>
      <c r="K169" s="8">
        <v>5.8453681246698804E-3</v>
      </c>
      <c r="L169" s="8">
        <v>3.17079698286857E-4</v>
      </c>
      <c r="M169" s="8">
        <v>8.9277004837008504E-3</v>
      </c>
      <c r="N169" s="8">
        <v>3.0000018168034001E-3</v>
      </c>
      <c r="O169" s="8">
        <v>2.6814310361081801E-2</v>
      </c>
      <c r="P169" s="9">
        <v>5.5860033828879302E-2</v>
      </c>
      <c r="Q169" s="570">
        <v>6.10966973283056E-3</v>
      </c>
    </row>
    <row r="170" spans="2:17" ht="15.75" x14ac:dyDescent="0.25">
      <c r="B170" s="6">
        <v>2024</v>
      </c>
      <c r="C170" s="7">
        <v>2011</v>
      </c>
      <c r="D170" s="484" t="s">
        <v>3309</v>
      </c>
      <c r="E170" s="488">
        <v>0.1425309537682517</v>
      </c>
      <c r="F170" s="489">
        <v>0.27406858252890892</v>
      </c>
      <c r="G170" s="487">
        <v>9.7653293996330197E-4</v>
      </c>
      <c r="H170" s="8">
        <v>2.2549955500436099E-2</v>
      </c>
      <c r="I170" s="8">
        <v>0.731250059087584</v>
      </c>
      <c r="J170" s="8">
        <v>0.46379503160983199</v>
      </c>
      <c r="K170" s="8">
        <v>5.2274863153223402E-3</v>
      </c>
      <c r="L170" s="8">
        <v>4.2941796505097302E-4</v>
      </c>
      <c r="M170" s="8">
        <v>7.1682687090737097E-3</v>
      </c>
      <c r="N170" s="8">
        <v>3.0000018168034001E-3</v>
      </c>
      <c r="O170" s="8">
        <v>3.54355260567547E-2</v>
      </c>
      <c r="P170" s="9">
        <v>5.5860033828879302E-2</v>
      </c>
      <c r="Q170" s="570">
        <v>5.4638500498742498E-3</v>
      </c>
    </row>
    <row r="171" spans="2:17" ht="15.75" x14ac:dyDescent="0.25">
      <c r="B171" s="6">
        <v>2024</v>
      </c>
      <c r="C171" s="7">
        <v>2012</v>
      </c>
      <c r="D171" s="484" t="s">
        <v>3310</v>
      </c>
      <c r="E171" s="488">
        <v>0.16851111734320429</v>
      </c>
      <c r="F171" s="489">
        <v>0.27512743402150386</v>
      </c>
      <c r="G171" s="487">
        <v>1.1446149193824499E-3</v>
      </c>
      <c r="H171" s="8">
        <v>2.27232010954177E-2</v>
      </c>
      <c r="I171" s="8">
        <v>0.82419816369566501</v>
      </c>
      <c r="J171" s="8">
        <v>0.44723562193125799</v>
      </c>
      <c r="K171" s="8">
        <v>5.8826118134071596E-3</v>
      </c>
      <c r="L171" s="8">
        <v>6.3416703034336502E-4</v>
      </c>
      <c r="M171" s="8">
        <v>8.8406607156279599E-3</v>
      </c>
      <c r="N171" s="8">
        <v>3.0000018168034001E-3</v>
      </c>
      <c r="O171" s="8">
        <v>2.7240805224638901E-2</v>
      </c>
      <c r="P171" s="9">
        <v>5.5860033828879302E-2</v>
      </c>
      <c r="Q171" s="570">
        <v>6.1485974159061103E-3</v>
      </c>
    </row>
    <row r="172" spans="2:17" ht="15.75" x14ac:dyDescent="0.25">
      <c r="B172" s="6">
        <v>2024</v>
      </c>
      <c r="C172" s="7">
        <v>2013</v>
      </c>
      <c r="D172" s="484" t="s">
        <v>3311</v>
      </c>
      <c r="E172" s="488">
        <v>0.16696820524482767</v>
      </c>
      <c r="F172" s="489">
        <v>0.27407097827879107</v>
      </c>
      <c r="G172" s="487">
        <v>1.12204132428036E-3</v>
      </c>
      <c r="H172" s="8">
        <v>2.2686664098903998E-2</v>
      </c>
      <c r="I172" s="8">
        <v>0.81278025137769006</v>
      </c>
      <c r="J172" s="8">
        <v>0.40498964183533298</v>
      </c>
      <c r="K172" s="8">
        <v>5.7216501845135702E-3</v>
      </c>
      <c r="L172" s="8">
        <v>9.4144435192763097E-4</v>
      </c>
      <c r="M172" s="8">
        <v>8.5819905819344306E-3</v>
      </c>
      <c r="N172" s="8">
        <v>3.0000018168034001E-3</v>
      </c>
      <c r="O172" s="8">
        <v>2.8508288879737199E-2</v>
      </c>
      <c r="P172" s="9">
        <v>5.5860033828879302E-2</v>
      </c>
      <c r="Q172" s="570">
        <v>5.9803578164106096E-3</v>
      </c>
    </row>
    <row r="173" spans="2:17" ht="15.75" x14ac:dyDescent="0.25">
      <c r="B173" s="6">
        <v>2024</v>
      </c>
      <c r="C173" s="7">
        <v>2014</v>
      </c>
      <c r="D173" s="484" t="s">
        <v>3312</v>
      </c>
      <c r="E173" s="488">
        <v>0.15879207256235009</v>
      </c>
      <c r="F173" s="489">
        <v>0.16746892358593629</v>
      </c>
      <c r="G173" s="487">
        <v>1.03469984682122E-3</v>
      </c>
      <c r="H173" s="8">
        <v>1.34643622041797E-2</v>
      </c>
      <c r="I173" s="8">
        <v>0.76347473677065003</v>
      </c>
      <c r="J173" s="8">
        <v>0.178098907133108</v>
      </c>
      <c r="K173" s="8">
        <v>5.43523049513787E-3</v>
      </c>
      <c r="L173" s="8">
        <v>1.22170142214292E-3</v>
      </c>
      <c r="M173" s="8">
        <v>7.7421131701981196E-3</v>
      </c>
      <c r="N173" s="8">
        <v>2.24429559817017E-3</v>
      </c>
      <c r="O173" s="8">
        <v>3.2623688197245197E-2</v>
      </c>
      <c r="P173" s="9">
        <v>4.2529376132189198E-2</v>
      </c>
      <c r="Q173" s="570">
        <v>5.6809874996498902E-3</v>
      </c>
    </row>
    <row r="174" spans="2:17" ht="15.75" x14ac:dyDescent="0.25">
      <c r="B174" s="6">
        <v>2024</v>
      </c>
      <c r="C174" s="7">
        <v>2015</v>
      </c>
      <c r="D174" s="484" t="s">
        <v>3313</v>
      </c>
      <c r="E174" s="488">
        <v>0.15733184025254049</v>
      </c>
      <c r="F174" s="489">
        <v>0.24565715553229256</v>
      </c>
      <c r="G174" s="487">
        <v>9.7043888207479505E-4</v>
      </c>
      <c r="H174" s="8">
        <v>2.1175417804000399E-2</v>
      </c>
      <c r="I174" s="8">
        <v>0.72776238113491398</v>
      </c>
      <c r="J174" s="8">
        <v>0.34242439752903397</v>
      </c>
      <c r="K174" s="8">
        <v>5.2488009064911197E-3</v>
      </c>
      <c r="L174" s="8">
        <v>1.62380608132744E-3</v>
      </c>
      <c r="M174" s="8">
        <v>7.1195194073400796E-3</v>
      </c>
      <c r="N174" s="8">
        <v>2.8862324033371899E-3</v>
      </c>
      <c r="O174" s="8">
        <v>3.56743976352496E-2</v>
      </c>
      <c r="P174" s="9">
        <v>5.3853141375335298E-2</v>
      </c>
      <c r="Q174" s="570">
        <v>5.4861283922735798E-3</v>
      </c>
    </row>
    <row r="175" spans="2:17" ht="15.75" x14ac:dyDescent="0.25">
      <c r="B175" s="6">
        <v>2024</v>
      </c>
      <c r="C175" s="7">
        <v>2016</v>
      </c>
      <c r="D175" s="484" t="s">
        <v>3314</v>
      </c>
      <c r="E175" s="488">
        <v>0.14817009333098533</v>
      </c>
      <c r="F175" s="489">
        <v>0.21478025194902431</v>
      </c>
      <c r="G175" s="487">
        <v>3.2966804042771098E-3</v>
      </c>
      <c r="H175" s="8">
        <v>1.79974822312805E-2</v>
      </c>
      <c r="I175" s="8">
        <v>0.79519097428746499</v>
      </c>
      <c r="J175" s="8">
        <v>0.26234232724568202</v>
      </c>
      <c r="K175" s="8">
        <v>5.8436903866833602E-3</v>
      </c>
      <c r="L175" s="8">
        <v>1.8294589760516199E-3</v>
      </c>
      <c r="M175" s="8">
        <v>8.33416889033246E-3</v>
      </c>
      <c r="N175" s="8">
        <v>2.64438986192095E-3</v>
      </c>
      <c r="O175" s="8">
        <v>2.94750580870205E-2</v>
      </c>
      <c r="P175" s="9">
        <v>4.9587038944752901E-2</v>
      </c>
      <c r="Q175" s="570">
        <v>6.1079161349771403E-3</v>
      </c>
    </row>
    <row r="176" spans="2:17" ht="15.75" x14ac:dyDescent="0.25">
      <c r="B176" s="6">
        <v>2024</v>
      </c>
      <c r="C176" s="7">
        <v>2017</v>
      </c>
      <c r="D176" s="484" t="s">
        <v>3315</v>
      </c>
      <c r="E176" s="488">
        <v>0.14681941164261297</v>
      </c>
      <c r="F176" s="489">
        <v>0.1651486414549686</v>
      </c>
      <c r="G176" s="487">
        <v>1.8766889658285899E-3</v>
      </c>
      <c r="H176" s="8">
        <v>1.24141473823128E-2</v>
      </c>
      <c r="I176" s="8">
        <v>0.78621221199632196</v>
      </c>
      <c r="J176" s="8">
        <v>0.16616540515502201</v>
      </c>
      <c r="K176" s="8">
        <v>5.6345723264125897E-3</v>
      </c>
      <c r="L176" s="8">
        <v>1.59836185356786E-3</v>
      </c>
      <c r="M176" s="8">
        <v>8.1444245765871608E-3</v>
      </c>
      <c r="N176" s="8">
        <v>2.3696603190135499E-3</v>
      </c>
      <c r="O176" s="8">
        <v>3.05589568479099E-2</v>
      </c>
      <c r="P176" s="9">
        <v>4.4740809807866398E-2</v>
      </c>
      <c r="Q176" s="570">
        <v>5.8893426839685698E-3</v>
      </c>
    </row>
    <row r="177" spans="2:17" ht="15.75" x14ac:dyDescent="0.25">
      <c r="B177" s="6">
        <v>2024</v>
      </c>
      <c r="C177" s="7">
        <v>2018</v>
      </c>
      <c r="D177" s="484" t="s">
        <v>3316</v>
      </c>
      <c r="E177" s="488">
        <v>0.14616467265708147</v>
      </c>
      <c r="F177" s="489">
        <v>0.19918598850498873</v>
      </c>
      <c r="G177" s="487">
        <v>1.2673834406252899E-3</v>
      </c>
      <c r="H177" s="8">
        <v>1.6563416982589299E-2</v>
      </c>
      <c r="I177" s="8">
        <v>0.78197687736505095</v>
      </c>
      <c r="J177" s="8">
        <v>0.20919674273876901</v>
      </c>
      <c r="K177" s="8">
        <v>5.5521962221930796E-3</v>
      </c>
      <c r="L177" s="8">
        <v>1.9837219551499001E-3</v>
      </c>
      <c r="M177" s="8">
        <v>8.0541775032218002E-3</v>
      </c>
      <c r="N177" s="8">
        <v>2.6064230389097401E-3</v>
      </c>
      <c r="O177" s="8">
        <v>3.1070721189923399E-2</v>
      </c>
      <c r="P177" s="9">
        <v>4.8917304186835098E-2</v>
      </c>
      <c r="Q177" s="570">
        <v>5.8032418978548102E-3</v>
      </c>
    </row>
    <row r="178" spans="2:17" ht="15.75" x14ac:dyDescent="0.25">
      <c r="B178" s="6">
        <v>2024</v>
      </c>
      <c r="C178" s="7">
        <v>2019</v>
      </c>
      <c r="D178" s="484" t="s">
        <v>3317</v>
      </c>
      <c r="E178" s="488">
        <v>0.12594998744248165</v>
      </c>
      <c r="F178" s="489">
        <v>0.19053468084775438</v>
      </c>
      <c r="G178" s="487">
        <v>1.06347992461887E-2</v>
      </c>
      <c r="H178" s="8">
        <v>1.51887999763788E-2</v>
      </c>
      <c r="I178" s="8">
        <v>0.65074403742801001</v>
      </c>
      <c r="J178" s="8">
        <v>0.178714300726451</v>
      </c>
      <c r="K178" s="8">
        <v>5.6011155677801296E-3</v>
      </c>
      <c r="L178" s="8">
        <v>1.90602259081545E-3</v>
      </c>
      <c r="M178" s="8">
        <v>6.1887673271251598E-3</v>
      </c>
      <c r="N178" s="8">
        <v>2.56330548318292E-3</v>
      </c>
      <c r="O178" s="8">
        <v>3.9044796153884599E-2</v>
      </c>
      <c r="P178" s="9">
        <v>4.8156710503814003E-2</v>
      </c>
      <c r="Q178" s="570">
        <v>5.8543731591729296E-3</v>
      </c>
    </row>
    <row r="179" spans="2:17" ht="15.75" x14ac:dyDescent="0.25">
      <c r="B179" s="6">
        <v>2024</v>
      </c>
      <c r="C179" s="7">
        <v>2020</v>
      </c>
      <c r="D179" s="484" t="s">
        <v>3318</v>
      </c>
      <c r="E179" s="488">
        <v>0.13380155127066526</v>
      </c>
      <c r="F179" s="489">
        <v>0.19447290215412588</v>
      </c>
      <c r="G179" s="487">
        <v>1.01078180259215E-2</v>
      </c>
      <c r="H179" s="8">
        <v>1.5517038725389599E-2</v>
      </c>
      <c r="I179" s="8">
        <v>0.698601127293073</v>
      </c>
      <c r="J179" s="8">
        <v>0.17585904975642599</v>
      </c>
      <c r="K179" s="8">
        <v>5.7868269442151203E-3</v>
      </c>
      <c r="L179" s="8">
        <v>1.8186955082101601E-3</v>
      </c>
      <c r="M179" s="8">
        <v>7.0388728592668303E-3</v>
      </c>
      <c r="N179" s="8">
        <v>2.6156372631370999E-3</v>
      </c>
      <c r="O179" s="8">
        <v>3.4924586870406102E-2</v>
      </c>
      <c r="P179" s="9">
        <v>4.9079843102205797E-2</v>
      </c>
      <c r="Q179" s="570">
        <v>6.0484815799682701E-3</v>
      </c>
    </row>
    <row r="180" spans="2:17" ht="15.75" x14ac:dyDescent="0.25">
      <c r="B180" s="6">
        <v>2024</v>
      </c>
      <c r="C180" s="7">
        <v>2021</v>
      </c>
      <c r="D180" s="484" t="s">
        <v>3319</v>
      </c>
      <c r="E180" s="488">
        <v>0.11510022244438702</v>
      </c>
      <c r="F180" s="489">
        <v>0.18795083346387634</v>
      </c>
      <c r="G180" s="487">
        <v>1.1874298573682201E-2</v>
      </c>
      <c r="H180" s="8">
        <v>1.67383148621707E-2</v>
      </c>
      <c r="I180" s="8">
        <v>0.57769482790685001</v>
      </c>
      <c r="J180" s="8">
        <v>0.15916069895188101</v>
      </c>
      <c r="K180" s="8">
        <v>5.1107904974892204E-3</v>
      </c>
      <c r="L180" s="8">
        <v>2.0646687564844202E-3</v>
      </c>
      <c r="M180" s="8">
        <v>5.0813465795136598E-3</v>
      </c>
      <c r="N180" s="8">
        <v>2.6451174676676999E-3</v>
      </c>
      <c r="O180" s="8">
        <v>4.4232528473295403E-2</v>
      </c>
      <c r="P180" s="9">
        <v>4.9599873910125498E-2</v>
      </c>
      <c r="Q180" s="570">
        <v>5.34187776498874E-3</v>
      </c>
    </row>
    <row r="181" spans="2:17" ht="15.75" x14ac:dyDescent="0.25">
      <c r="B181" s="6">
        <v>2024</v>
      </c>
      <c r="C181" s="7">
        <v>2022</v>
      </c>
      <c r="D181" s="484" t="s">
        <v>3320</v>
      </c>
      <c r="E181" s="488">
        <v>0.1284448785959742</v>
      </c>
      <c r="F181" s="489">
        <v>0.18044936445340987</v>
      </c>
      <c r="G181" s="487">
        <v>3.07834448994541E-3</v>
      </c>
      <c r="H181" s="8">
        <v>1.57119585390001E-2</v>
      </c>
      <c r="I181" s="8">
        <v>0.66794792419047999</v>
      </c>
      <c r="J181" s="8">
        <v>0.13385897950596801</v>
      </c>
      <c r="K181" s="8">
        <v>4.9851703833392498E-3</v>
      </c>
      <c r="L181" s="8">
        <v>2.05625599386765E-3</v>
      </c>
      <c r="M181" s="8">
        <v>6.1951533128498E-3</v>
      </c>
      <c r="N181" s="8">
        <v>2.5835779221722501E-3</v>
      </c>
      <c r="O181" s="8">
        <v>3.99125734130239E-2</v>
      </c>
      <c r="P181" s="9">
        <v>4.8514316327585801E-2</v>
      </c>
      <c r="Q181" s="570">
        <v>5.2105776667078999E-3</v>
      </c>
    </row>
    <row r="182" spans="2:17" ht="15.75" x14ac:dyDescent="0.25">
      <c r="B182" s="6">
        <v>2024</v>
      </c>
      <c r="C182" s="7">
        <v>2023</v>
      </c>
      <c r="D182" s="484" t="s">
        <v>3321</v>
      </c>
      <c r="E182" s="488">
        <v>0.13196230178363058</v>
      </c>
      <c r="F182" s="489">
        <v>0.19694860733284414</v>
      </c>
      <c r="G182" s="487">
        <v>2.1416174015986E-3</v>
      </c>
      <c r="H182" s="8">
        <v>1.8597897312395601E-2</v>
      </c>
      <c r="I182" s="8">
        <v>0.69013144062975296</v>
      </c>
      <c r="J182" s="8">
        <v>0.13604583812714099</v>
      </c>
      <c r="K182" s="8">
        <v>5.1203106638990801E-3</v>
      </c>
      <c r="L182" s="8">
        <v>2.1302558587451498E-3</v>
      </c>
      <c r="M182" s="8">
        <v>6.5577156549058001E-3</v>
      </c>
      <c r="N182" s="8">
        <v>2.7374603005563799E-3</v>
      </c>
      <c r="O182" s="8">
        <v>3.8260144561079901E-2</v>
      </c>
      <c r="P182" s="9">
        <v>5.1228801482281802E-2</v>
      </c>
      <c r="Q182" s="570">
        <v>5.3518283910785397E-3</v>
      </c>
    </row>
    <row r="183" spans="2:17" ht="15.75" x14ac:dyDescent="0.25">
      <c r="B183" s="6">
        <v>2024</v>
      </c>
      <c r="C183" s="7">
        <v>2024</v>
      </c>
      <c r="D183" s="484" t="s">
        <v>3322</v>
      </c>
      <c r="E183" s="488">
        <v>0.13288784579380136</v>
      </c>
      <c r="F183" s="489">
        <v>0.15841691961357773</v>
      </c>
      <c r="G183" s="487">
        <v>1.9946980044853102E-3</v>
      </c>
      <c r="H183" s="8">
        <v>1.4427491803601301E-2</v>
      </c>
      <c r="I183" s="8">
        <v>0.69704443146986605</v>
      </c>
      <c r="J183" s="8">
        <v>9.1724538777358602E-2</v>
      </c>
      <c r="K183" s="8">
        <v>5.0618964056214797E-3</v>
      </c>
      <c r="L183" s="8">
        <v>1.8417114757723701E-3</v>
      </c>
      <c r="M183" s="8">
        <v>6.6399560493253596E-3</v>
      </c>
      <c r="N183" s="8">
        <v>2.5321795393683901E-3</v>
      </c>
      <c r="O183" s="8">
        <v>3.7873566345168398E-2</v>
      </c>
      <c r="P183" s="9">
        <v>4.7607648854925799E-2</v>
      </c>
      <c r="Q183" s="570">
        <v>5.2907728992510504E-3</v>
      </c>
    </row>
    <row r="184" spans="2:17" ht="15.75" x14ac:dyDescent="0.25">
      <c r="B184" s="6">
        <v>2025</v>
      </c>
      <c r="C184" s="7">
        <v>2011</v>
      </c>
      <c r="D184" s="484" t="s">
        <v>3353</v>
      </c>
      <c r="E184" s="488">
        <v>0.1425309537682517</v>
      </c>
      <c r="F184" s="489">
        <v>0.27407445124296953</v>
      </c>
      <c r="G184" s="487">
        <v>9.7653293996330197E-4</v>
      </c>
      <c r="H184" s="8">
        <v>2.2549955500436099E-2</v>
      </c>
      <c r="I184" s="8">
        <v>0.731250059087584</v>
      </c>
      <c r="J184" s="8">
        <v>0.49979915874005998</v>
      </c>
      <c r="K184" s="8">
        <v>5.2274863153223402E-3</v>
      </c>
      <c r="L184" s="8">
        <v>4.2941796505097302E-4</v>
      </c>
      <c r="M184" s="8">
        <v>7.1682687090737097E-3</v>
      </c>
      <c r="N184" s="8">
        <v>3.0000018168034001E-3</v>
      </c>
      <c r="O184" s="8">
        <v>3.54355260567547E-2</v>
      </c>
      <c r="P184" s="9">
        <v>5.5860033828879302E-2</v>
      </c>
      <c r="Q184" s="570">
        <v>5.4638500498742498E-3</v>
      </c>
    </row>
    <row r="185" spans="2:17" ht="15.75" x14ac:dyDescent="0.25">
      <c r="B185" s="6">
        <v>2025</v>
      </c>
      <c r="C185" s="7">
        <v>2012</v>
      </c>
      <c r="D185" s="484" t="s">
        <v>3354</v>
      </c>
      <c r="E185" s="488">
        <v>0.16851111734320429</v>
      </c>
      <c r="F185" s="489">
        <v>0.27513093478306172</v>
      </c>
      <c r="G185" s="487">
        <v>1.1446149193824499E-3</v>
      </c>
      <c r="H185" s="8">
        <v>2.27232010954177E-2</v>
      </c>
      <c r="I185" s="8">
        <v>0.82419816369566601</v>
      </c>
      <c r="J185" s="8">
        <v>0.46835733783499101</v>
      </c>
      <c r="K185" s="8">
        <v>5.8826118134071501E-3</v>
      </c>
      <c r="L185" s="8">
        <v>6.3416703034336502E-4</v>
      </c>
      <c r="M185" s="8">
        <v>8.8406607156279599E-3</v>
      </c>
      <c r="N185" s="8">
        <v>3.0000018168034001E-3</v>
      </c>
      <c r="O185" s="8">
        <v>2.7240805224638901E-2</v>
      </c>
      <c r="P185" s="9">
        <v>5.5860033828879302E-2</v>
      </c>
      <c r="Q185" s="570">
        <v>6.1485974159061103E-3</v>
      </c>
    </row>
    <row r="186" spans="2:17" ht="15.75" x14ac:dyDescent="0.25">
      <c r="B186" s="6">
        <v>2025</v>
      </c>
      <c r="C186" s="7">
        <v>2013</v>
      </c>
      <c r="D186" s="484" t="s">
        <v>3355</v>
      </c>
      <c r="E186" s="488">
        <v>0.16696820524482767</v>
      </c>
      <c r="F186" s="489">
        <v>0.27407660237787707</v>
      </c>
      <c r="G186" s="487">
        <v>1.12204132428036E-3</v>
      </c>
      <c r="H186" s="8">
        <v>2.2686664098903998E-2</v>
      </c>
      <c r="I186" s="8">
        <v>0.81278025137769006</v>
      </c>
      <c r="J186" s="8">
        <v>0.43756145786549999</v>
      </c>
      <c r="K186" s="8">
        <v>5.7216501845135598E-3</v>
      </c>
      <c r="L186" s="8">
        <v>9.4144435192763097E-4</v>
      </c>
      <c r="M186" s="8">
        <v>8.5819905819344306E-3</v>
      </c>
      <c r="N186" s="8">
        <v>3.0000018168034001E-3</v>
      </c>
      <c r="O186" s="8">
        <v>2.8508288879737199E-2</v>
      </c>
      <c r="P186" s="9">
        <v>5.5860033828879302E-2</v>
      </c>
      <c r="Q186" s="570">
        <v>5.9803578164106001E-3</v>
      </c>
    </row>
    <row r="187" spans="2:17" ht="15.75" x14ac:dyDescent="0.25">
      <c r="B187" s="6">
        <v>2025</v>
      </c>
      <c r="C187" s="7">
        <v>2014</v>
      </c>
      <c r="D187" s="484" t="s">
        <v>3356</v>
      </c>
      <c r="E187" s="488">
        <v>0.16010663681764292</v>
      </c>
      <c r="F187" s="489">
        <v>0.26163973071391694</v>
      </c>
      <c r="G187" s="487">
        <v>1.04916104820841E-3</v>
      </c>
      <c r="H187" s="8">
        <v>2.2612425412779798E-2</v>
      </c>
      <c r="I187" s="8">
        <v>0.77158455199811504</v>
      </c>
      <c r="J187" s="8">
        <v>0.416982500559548</v>
      </c>
      <c r="K187" s="8">
        <v>5.4835891285499004E-3</v>
      </c>
      <c r="L187" s="8">
        <v>1.32178960947476E-3</v>
      </c>
      <c r="M187" s="8">
        <v>7.8824176708315995E-3</v>
      </c>
      <c r="N187" s="8">
        <v>3.0000018168034001E-3</v>
      </c>
      <c r="O187" s="8">
        <v>3.1936196144141102E-2</v>
      </c>
      <c r="P187" s="9">
        <v>5.5860033828879302E-2</v>
      </c>
      <c r="Q187" s="570">
        <v>5.7315326958765596E-3</v>
      </c>
    </row>
    <row r="188" spans="2:17" ht="15.75" x14ac:dyDescent="0.25">
      <c r="B188" s="6">
        <v>2025</v>
      </c>
      <c r="C188" s="7">
        <v>2015</v>
      </c>
      <c r="D188" s="484" t="s">
        <v>3357</v>
      </c>
      <c r="E188" s="488">
        <v>0.15733184025254049</v>
      </c>
      <c r="F188" s="489">
        <v>0.24566187494254518</v>
      </c>
      <c r="G188" s="487">
        <v>9.7043888207479505E-4</v>
      </c>
      <c r="H188" s="8">
        <v>2.1166616320041302E-2</v>
      </c>
      <c r="I188" s="8">
        <v>0.72776238113491398</v>
      </c>
      <c r="J188" s="8">
        <v>0.370639653431246</v>
      </c>
      <c r="K188" s="8">
        <v>5.2488009064911197E-3</v>
      </c>
      <c r="L188" s="8">
        <v>1.62380608132744E-3</v>
      </c>
      <c r="M188" s="8">
        <v>7.1195194073400796E-3</v>
      </c>
      <c r="N188" s="8">
        <v>2.8862324033371899E-3</v>
      </c>
      <c r="O188" s="8">
        <v>3.56743976352496E-2</v>
      </c>
      <c r="P188" s="9">
        <v>5.3853141375335298E-2</v>
      </c>
      <c r="Q188" s="570">
        <v>5.4861283922735798E-3</v>
      </c>
    </row>
    <row r="189" spans="2:17" ht="15.75" x14ac:dyDescent="0.25">
      <c r="B189" s="6">
        <v>2025</v>
      </c>
      <c r="C189" s="7">
        <v>2016</v>
      </c>
      <c r="D189" s="484" t="s">
        <v>3358</v>
      </c>
      <c r="E189" s="488">
        <v>0.14817009333098533</v>
      </c>
      <c r="F189" s="489">
        <v>0.21478187382788957</v>
      </c>
      <c r="G189" s="487">
        <v>3.3360637653062201E-3</v>
      </c>
      <c r="H189" s="8">
        <v>1.7994310128941E-2</v>
      </c>
      <c r="I189" s="8">
        <v>0.79531960374502897</v>
      </c>
      <c r="J189" s="8">
        <v>0.27097608949817498</v>
      </c>
      <c r="K189" s="8">
        <v>5.8601612087963197E-3</v>
      </c>
      <c r="L189" s="8">
        <v>1.8294589760516199E-3</v>
      </c>
      <c r="M189" s="8">
        <v>8.33416889033246E-3</v>
      </c>
      <c r="N189" s="8">
        <v>2.64438986192095E-3</v>
      </c>
      <c r="O189" s="8">
        <v>2.94750580870205E-2</v>
      </c>
      <c r="P189" s="9">
        <v>4.9587038944752901E-2</v>
      </c>
      <c r="Q189" s="570">
        <v>6.1251316945778499E-3</v>
      </c>
    </row>
    <row r="190" spans="2:17" ht="15.75" x14ac:dyDescent="0.25">
      <c r="B190" s="6">
        <v>2025</v>
      </c>
      <c r="C190" s="7">
        <v>2017</v>
      </c>
      <c r="D190" s="484" t="s">
        <v>3359</v>
      </c>
      <c r="E190" s="488">
        <v>0.14681941164261297</v>
      </c>
      <c r="F190" s="489">
        <v>0.16515073314380607</v>
      </c>
      <c r="G190" s="487">
        <v>1.8922005602709101E-3</v>
      </c>
      <c r="H190" s="8">
        <v>1.24395506448059E-2</v>
      </c>
      <c r="I190" s="8">
        <v>0.78625594945034405</v>
      </c>
      <c r="J190" s="8">
        <v>0.17742056047660301</v>
      </c>
      <c r="K190" s="8">
        <v>5.6411284761410298E-3</v>
      </c>
      <c r="L190" s="8">
        <v>1.59836185356786E-3</v>
      </c>
      <c r="M190" s="8">
        <v>8.1444245765871608E-3</v>
      </c>
      <c r="N190" s="8">
        <v>2.3696603190135499E-3</v>
      </c>
      <c r="O190" s="8">
        <v>3.05589568479099E-2</v>
      </c>
      <c r="P190" s="9">
        <v>4.4740809807866398E-2</v>
      </c>
      <c r="Q190" s="570">
        <v>5.8961952736952504E-3</v>
      </c>
    </row>
    <row r="191" spans="2:17" ht="15.75" x14ac:dyDescent="0.25">
      <c r="B191" s="6">
        <v>2025</v>
      </c>
      <c r="C191" s="7">
        <v>2018</v>
      </c>
      <c r="D191" s="484" t="s">
        <v>3360</v>
      </c>
      <c r="E191" s="488">
        <v>0.14616467265708127</v>
      </c>
      <c r="F191" s="489">
        <v>0.19918870961677024</v>
      </c>
      <c r="G191" s="487">
        <v>1.2715717646822301E-3</v>
      </c>
      <c r="H191" s="8">
        <v>1.6588600838032399E-2</v>
      </c>
      <c r="I191" s="8">
        <v>0.78198652189113105</v>
      </c>
      <c r="J191" s="8">
        <v>0.22426839531675399</v>
      </c>
      <c r="K191" s="8">
        <v>5.5539688239362502E-3</v>
      </c>
      <c r="L191" s="8">
        <v>1.9837219551499001E-3</v>
      </c>
      <c r="M191" s="8">
        <v>8.0541775032218002E-3</v>
      </c>
      <c r="N191" s="8">
        <v>2.6064230389097401E-3</v>
      </c>
      <c r="O191" s="8">
        <v>3.1070721189923399E-2</v>
      </c>
      <c r="P191" s="9">
        <v>4.8917304186835098E-2</v>
      </c>
      <c r="Q191" s="570">
        <v>5.8050946487829998E-3</v>
      </c>
    </row>
    <row r="192" spans="2:17" ht="15.75" x14ac:dyDescent="0.25">
      <c r="B192" s="6">
        <v>2025</v>
      </c>
      <c r="C192" s="7">
        <v>2019</v>
      </c>
      <c r="D192" s="484" t="s">
        <v>3361</v>
      </c>
      <c r="E192" s="488">
        <v>0.12594998744248179</v>
      </c>
      <c r="F192" s="489">
        <v>0.19053711415807986</v>
      </c>
      <c r="G192" s="487">
        <v>1.08560098302942E-2</v>
      </c>
      <c r="H192" s="8">
        <v>1.5181577575930499E-2</v>
      </c>
      <c r="I192" s="8">
        <v>0.651182893842156</v>
      </c>
      <c r="J192" s="8">
        <v>0.19362549211645699</v>
      </c>
      <c r="K192" s="8">
        <v>5.6946282636177103E-3</v>
      </c>
      <c r="L192" s="8">
        <v>1.90602259081545E-3</v>
      </c>
      <c r="M192" s="8">
        <v>6.1887673271251702E-3</v>
      </c>
      <c r="N192" s="8">
        <v>2.56330548318292E-3</v>
      </c>
      <c r="O192" s="8">
        <v>3.9044796153884599E-2</v>
      </c>
      <c r="P192" s="9">
        <v>4.8156710503814003E-2</v>
      </c>
      <c r="Q192" s="570">
        <v>5.9521140841598402E-3</v>
      </c>
    </row>
    <row r="193" spans="2:17" ht="15.75" x14ac:dyDescent="0.25">
      <c r="B193" s="6">
        <v>2025</v>
      </c>
      <c r="C193" s="7">
        <v>2020</v>
      </c>
      <c r="D193" s="484" t="s">
        <v>3362</v>
      </c>
      <c r="E193" s="488">
        <v>0.13380155127066526</v>
      </c>
      <c r="F193" s="489">
        <v>0.19447444136781636</v>
      </c>
      <c r="G193" s="487">
        <v>1.0331463187433601E-2</v>
      </c>
      <c r="H193" s="8">
        <v>1.5453183044219099E-2</v>
      </c>
      <c r="I193" s="8">
        <v>0.69897218967823105</v>
      </c>
      <c r="J193" s="8">
        <v>0.18597394966143299</v>
      </c>
      <c r="K193" s="8">
        <v>5.8814862572232297E-3</v>
      </c>
      <c r="L193" s="8">
        <v>1.8186955082101601E-3</v>
      </c>
      <c r="M193" s="8">
        <v>7.0388728592668303E-3</v>
      </c>
      <c r="N193" s="8">
        <v>2.6156372631370999E-3</v>
      </c>
      <c r="O193" s="8">
        <v>3.4924586870405998E-2</v>
      </c>
      <c r="P193" s="9">
        <v>4.9079843102205797E-2</v>
      </c>
      <c r="Q193" s="570">
        <v>6.1474209670661301E-3</v>
      </c>
    </row>
    <row r="194" spans="2:17" ht="15.75" x14ac:dyDescent="0.25">
      <c r="B194" s="6">
        <v>2025</v>
      </c>
      <c r="C194" s="7">
        <v>2021</v>
      </c>
      <c r="D194" s="484" t="s">
        <v>3363</v>
      </c>
      <c r="E194" s="488">
        <v>0.11510022244438702</v>
      </c>
      <c r="F194" s="489">
        <v>0.18795411617144167</v>
      </c>
      <c r="G194" s="487">
        <v>1.2167304500014599E-2</v>
      </c>
      <c r="H194" s="8">
        <v>1.6542066572920299E-2</v>
      </c>
      <c r="I194" s="8">
        <v>0.57808756747987</v>
      </c>
      <c r="J194" s="8">
        <v>0.18275757596637399</v>
      </c>
      <c r="K194" s="8">
        <v>5.2348484742845702E-3</v>
      </c>
      <c r="L194" s="8">
        <v>2.0646687564844202E-3</v>
      </c>
      <c r="M194" s="8">
        <v>5.0813465795136598E-3</v>
      </c>
      <c r="N194" s="8">
        <v>2.6451174676676999E-3</v>
      </c>
      <c r="O194" s="8">
        <v>4.4232528473295403E-2</v>
      </c>
      <c r="P194" s="9">
        <v>4.9599873910125498E-2</v>
      </c>
      <c r="Q194" s="570">
        <v>5.4715450929956498E-3</v>
      </c>
    </row>
    <row r="195" spans="2:17" ht="15.75" x14ac:dyDescent="0.25">
      <c r="B195" s="6">
        <v>2025</v>
      </c>
      <c r="C195" s="7">
        <v>2022</v>
      </c>
      <c r="D195" s="484" t="s">
        <v>3364</v>
      </c>
      <c r="E195" s="488">
        <v>0.1284448785959742</v>
      </c>
      <c r="F195" s="489">
        <v>0.18044964557044815</v>
      </c>
      <c r="G195" s="487">
        <v>3.14092399883767E-3</v>
      </c>
      <c r="H195" s="8">
        <v>1.53788452652753E-2</v>
      </c>
      <c r="I195" s="8">
        <v>0.66801137882147898</v>
      </c>
      <c r="J195" s="8">
        <v>0.144257653094716</v>
      </c>
      <c r="K195" s="8">
        <v>5.0116668227429897E-3</v>
      </c>
      <c r="L195" s="8">
        <v>2.05625599386765E-3</v>
      </c>
      <c r="M195" s="8">
        <v>6.1951533128498E-3</v>
      </c>
      <c r="N195" s="8">
        <v>2.5835779221722501E-3</v>
      </c>
      <c r="O195" s="8">
        <v>3.99125734130239E-2</v>
      </c>
      <c r="P195" s="9">
        <v>4.8514316327585801E-2</v>
      </c>
      <c r="Q195" s="570">
        <v>5.2382721575252702E-3</v>
      </c>
    </row>
    <row r="196" spans="2:17" ht="15.75" x14ac:dyDescent="0.25">
      <c r="B196" s="6">
        <v>2025</v>
      </c>
      <c r="C196" s="7">
        <v>2023</v>
      </c>
      <c r="D196" s="484" t="s">
        <v>3365</v>
      </c>
      <c r="E196" s="488">
        <v>0.13196230178363058</v>
      </c>
      <c r="F196" s="489">
        <v>0.19695157970465427</v>
      </c>
      <c r="G196" s="487">
        <v>2.1792927262814098E-3</v>
      </c>
      <c r="H196" s="8">
        <v>1.8378619793149899E-2</v>
      </c>
      <c r="I196" s="8">
        <v>0.69016960215444301</v>
      </c>
      <c r="J196" s="8">
        <v>0.158380082126164</v>
      </c>
      <c r="K196" s="8">
        <v>5.1362321007542297E-3</v>
      </c>
      <c r="L196" s="8">
        <v>2.1302558587451498E-3</v>
      </c>
      <c r="M196" s="8">
        <v>6.5577156549058001E-3</v>
      </c>
      <c r="N196" s="8">
        <v>2.7374603005563799E-3</v>
      </c>
      <c r="O196" s="8">
        <v>3.8260144561079901E-2</v>
      </c>
      <c r="P196" s="9">
        <v>5.1228801482281802E-2</v>
      </c>
      <c r="Q196" s="570">
        <v>5.3684697246579403E-3</v>
      </c>
    </row>
    <row r="197" spans="2:17" ht="15.75" x14ac:dyDescent="0.25">
      <c r="B197" s="6">
        <v>2025</v>
      </c>
      <c r="C197" s="7">
        <v>2024</v>
      </c>
      <c r="D197" s="484" t="s">
        <v>3366</v>
      </c>
      <c r="E197" s="488">
        <v>0.13288784579380136</v>
      </c>
      <c r="F197" s="489">
        <v>0.15842050891134668</v>
      </c>
      <c r="G197" s="487">
        <v>2.0301242883860198E-3</v>
      </c>
      <c r="H197" s="8">
        <v>1.45195160389046E-2</v>
      </c>
      <c r="I197" s="8">
        <v>0.697080328465843</v>
      </c>
      <c r="J197" s="8">
        <v>0.108047546761915</v>
      </c>
      <c r="K197" s="8">
        <v>5.0768777485942799E-3</v>
      </c>
      <c r="L197" s="8">
        <v>1.8417114757723701E-3</v>
      </c>
      <c r="M197" s="8">
        <v>6.6399560493253596E-3</v>
      </c>
      <c r="N197" s="8">
        <v>2.5321795393683901E-3</v>
      </c>
      <c r="O197" s="8">
        <v>3.7873566345168398E-2</v>
      </c>
      <c r="P197" s="9">
        <v>4.7607648854925799E-2</v>
      </c>
      <c r="Q197" s="570">
        <v>5.3064316320743498E-3</v>
      </c>
    </row>
    <row r="198" spans="2:17" ht="15.75" x14ac:dyDescent="0.25">
      <c r="B198" s="6">
        <v>2025</v>
      </c>
      <c r="C198" s="7">
        <v>2025</v>
      </c>
      <c r="D198" s="484" t="s">
        <v>3367</v>
      </c>
      <c r="E198" s="488">
        <v>0.1472276800399922</v>
      </c>
      <c r="F198" s="489">
        <v>0.16767369229643625</v>
      </c>
      <c r="G198" s="487">
        <v>2.6245974809129902E-3</v>
      </c>
      <c r="H198" s="8">
        <v>1.6093344885376299E-2</v>
      </c>
      <c r="I198" s="8">
        <v>0.78742068295075396</v>
      </c>
      <c r="J198" s="8">
        <v>9.7919670091200006E-2</v>
      </c>
      <c r="K198" s="8">
        <v>5.6436596329903803E-3</v>
      </c>
      <c r="L198" s="8">
        <v>2.1039920473797801E-3</v>
      </c>
      <c r="M198" s="8">
        <v>8.2393452001956E-3</v>
      </c>
      <c r="N198" s="8">
        <v>2.58146717483749E-3</v>
      </c>
      <c r="O198" s="8">
        <v>2.9970698370588501E-2</v>
      </c>
      <c r="P198" s="9">
        <v>4.8477082744600601E-2</v>
      </c>
      <c r="Q198" s="570">
        <v>5.8988408782254904E-3</v>
      </c>
    </row>
    <row r="199" spans="2:17" ht="15.75" x14ac:dyDescent="0.25">
      <c r="B199" s="6">
        <v>2026</v>
      </c>
      <c r="C199" s="7">
        <v>2012</v>
      </c>
      <c r="D199" s="484" t="s">
        <v>3398</v>
      </c>
      <c r="E199" s="488">
        <v>0.16851111734320429</v>
      </c>
      <c r="F199" s="489">
        <v>0.27513696088908757</v>
      </c>
      <c r="G199" s="487">
        <v>1.1446149193824499E-3</v>
      </c>
      <c r="H199" s="8">
        <v>2.27232010954177E-2</v>
      </c>
      <c r="I199" s="8">
        <v>0.82419816369566501</v>
      </c>
      <c r="J199" s="8">
        <v>0.50471563403160002</v>
      </c>
      <c r="K199" s="8">
        <v>5.8826118134071596E-3</v>
      </c>
      <c r="L199" s="8">
        <v>6.3416703034336502E-4</v>
      </c>
      <c r="M199" s="8">
        <v>8.8406607156279599E-3</v>
      </c>
      <c r="N199" s="8">
        <v>3.0000018168034001E-3</v>
      </c>
      <c r="O199" s="8">
        <v>2.7240805224638901E-2</v>
      </c>
      <c r="P199" s="9">
        <v>5.5860033828879302E-2</v>
      </c>
      <c r="Q199" s="570">
        <v>6.1485974159061103E-3</v>
      </c>
    </row>
    <row r="200" spans="2:17" ht="15.75" x14ac:dyDescent="0.25">
      <c r="B200" s="6">
        <v>2026</v>
      </c>
      <c r="C200" s="7">
        <v>2013</v>
      </c>
      <c r="D200" s="484" t="s">
        <v>3399</v>
      </c>
      <c r="E200" s="488">
        <v>0.16696820524482767</v>
      </c>
      <c r="F200" s="489">
        <v>0.27408017052548572</v>
      </c>
      <c r="G200" s="487">
        <v>1.12204132428036E-3</v>
      </c>
      <c r="H200" s="8">
        <v>2.2686664098903998E-2</v>
      </c>
      <c r="I200" s="8">
        <v>0.81278025137769006</v>
      </c>
      <c r="J200" s="8">
        <v>0.45822628944476701</v>
      </c>
      <c r="K200" s="8">
        <v>5.7216501845135702E-3</v>
      </c>
      <c r="L200" s="8">
        <v>9.4144435192763097E-4</v>
      </c>
      <c r="M200" s="8">
        <v>8.5819905819344306E-3</v>
      </c>
      <c r="N200" s="8">
        <v>3.0000018168034001E-3</v>
      </c>
      <c r="O200" s="8">
        <v>2.8508288879737199E-2</v>
      </c>
      <c r="P200" s="9">
        <v>5.5860033828879302E-2</v>
      </c>
      <c r="Q200" s="570">
        <v>5.9803578164106001E-3</v>
      </c>
    </row>
    <row r="201" spans="2:17" ht="15.75" x14ac:dyDescent="0.25">
      <c r="B201" s="6">
        <v>2026</v>
      </c>
      <c r="C201" s="7">
        <v>2014</v>
      </c>
      <c r="D201" s="484" t="s">
        <v>3400</v>
      </c>
      <c r="E201" s="488">
        <v>0.16010663681764292</v>
      </c>
      <c r="F201" s="489">
        <v>0.26164664951726485</v>
      </c>
      <c r="G201" s="487">
        <v>1.04916104820841E-3</v>
      </c>
      <c r="H201" s="8">
        <v>2.2612425412779798E-2</v>
      </c>
      <c r="I201" s="8">
        <v>0.77158455199811504</v>
      </c>
      <c r="J201" s="8">
        <v>0.450518857772227</v>
      </c>
      <c r="K201" s="8">
        <v>5.48358912854991E-3</v>
      </c>
      <c r="L201" s="8">
        <v>1.32178960947476E-3</v>
      </c>
      <c r="M201" s="8">
        <v>7.8824176708315995E-3</v>
      </c>
      <c r="N201" s="8">
        <v>3.0000018168034001E-3</v>
      </c>
      <c r="O201" s="8">
        <v>3.1936196144141102E-2</v>
      </c>
      <c r="P201" s="9">
        <v>5.5860033828879302E-2</v>
      </c>
      <c r="Q201" s="570">
        <v>5.7315326958765596E-3</v>
      </c>
    </row>
    <row r="202" spans="2:17" ht="15.75" x14ac:dyDescent="0.25">
      <c r="B202" s="6">
        <v>2026</v>
      </c>
      <c r="C202" s="7">
        <v>2015</v>
      </c>
      <c r="D202" s="484" t="s">
        <v>3401</v>
      </c>
      <c r="E202" s="488">
        <v>0.15733184025254049</v>
      </c>
      <c r="F202" s="489">
        <v>0.26068266136385926</v>
      </c>
      <c r="G202" s="487">
        <v>9.7043888207479505E-4</v>
      </c>
      <c r="H202" s="8">
        <v>2.2694078803823299E-2</v>
      </c>
      <c r="I202" s="8">
        <v>0.72776238113491398</v>
      </c>
      <c r="J202" s="8">
        <v>0.41582440371142598</v>
      </c>
      <c r="K202" s="8">
        <v>5.2488009064911197E-3</v>
      </c>
      <c r="L202" s="8">
        <v>1.6666256212792599E-3</v>
      </c>
      <c r="M202" s="8">
        <v>7.11951940734009E-3</v>
      </c>
      <c r="N202" s="8">
        <v>3.0000018168034001E-3</v>
      </c>
      <c r="O202" s="8">
        <v>3.56743976352496E-2</v>
      </c>
      <c r="P202" s="9">
        <v>5.5860033828879302E-2</v>
      </c>
      <c r="Q202" s="570">
        <v>5.4861283922735902E-3</v>
      </c>
    </row>
    <row r="203" spans="2:17" ht="15.75" x14ac:dyDescent="0.25">
      <c r="B203" s="6">
        <v>2026</v>
      </c>
      <c r="C203" s="7">
        <v>2016</v>
      </c>
      <c r="D203" s="484" t="s">
        <v>3402</v>
      </c>
      <c r="E203" s="488">
        <v>0.14817009333098533</v>
      </c>
      <c r="F203" s="489">
        <v>0.21478553964772956</v>
      </c>
      <c r="G203" s="487">
        <v>3.37295763275813E-3</v>
      </c>
      <c r="H203" s="8">
        <v>1.79774624413967E-2</v>
      </c>
      <c r="I203" s="8">
        <v>0.79544010237622198</v>
      </c>
      <c r="J203" s="8">
        <v>0.29150542576827398</v>
      </c>
      <c r="K203" s="8">
        <v>5.87559089504135E-3</v>
      </c>
      <c r="L203" s="8">
        <v>1.8294589760516199E-3</v>
      </c>
      <c r="M203" s="8">
        <v>8.3341688903324704E-3</v>
      </c>
      <c r="N203" s="8">
        <v>2.64438986192095E-3</v>
      </c>
      <c r="O203" s="8">
        <v>2.94750580870205E-2</v>
      </c>
      <c r="P203" s="9">
        <v>4.9587038944752901E-2</v>
      </c>
      <c r="Q203" s="570">
        <v>6.14125904276667E-3</v>
      </c>
    </row>
    <row r="204" spans="2:17" ht="15.75" x14ac:dyDescent="0.25">
      <c r="B204" s="6">
        <v>2026</v>
      </c>
      <c r="C204" s="7">
        <v>2017</v>
      </c>
      <c r="D204" s="484" t="s">
        <v>3403</v>
      </c>
      <c r="E204" s="488">
        <v>0.14681941164261297</v>
      </c>
      <c r="F204" s="489">
        <v>0.16515192134560597</v>
      </c>
      <c r="G204" s="487">
        <v>1.9067899235773601E-3</v>
      </c>
      <c r="H204" s="8">
        <v>1.24488580415908E-2</v>
      </c>
      <c r="I204" s="8">
        <v>0.78629708657263597</v>
      </c>
      <c r="J204" s="8">
        <v>0.18288545893515401</v>
      </c>
      <c r="K204" s="8">
        <v>5.6472948440617898E-3</v>
      </c>
      <c r="L204" s="8">
        <v>1.59836185356786E-3</v>
      </c>
      <c r="M204" s="8">
        <v>8.1444245765871608E-3</v>
      </c>
      <c r="N204" s="8">
        <v>2.3696603190135499E-3</v>
      </c>
      <c r="O204" s="8">
        <v>3.05589568479099E-2</v>
      </c>
      <c r="P204" s="9">
        <v>4.4740809807866398E-2</v>
      </c>
      <c r="Q204" s="570">
        <v>5.9026404574105398E-3</v>
      </c>
    </row>
    <row r="205" spans="2:17" ht="15.75" x14ac:dyDescent="0.25">
      <c r="B205" s="6">
        <v>2026</v>
      </c>
      <c r="C205" s="7">
        <v>2018</v>
      </c>
      <c r="D205" s="484" t="s">
        <v>3404</v>
      </c>
      <c r="E205" s="488">
        <v>0.14616467265708127</v>
      </c>
      <c r="F205" s="489">
        <v>0.19919189752894112</v>
      </c>
      <c r="G205" s="487">
        <v>1.27552504518707E-3</v>
      </c>
      <c r="H205" s="8">
        <v>1.6618007008823502E-2</v>
      </c>
      <c r="I205" s="8">
        <v>0.78199562519584198</v>
      </c>
      <c r="J205" s="8">
        <v>0.24155653734517901</v>
      </c>
      <c r="K205" s="8">
        <v>5.5556419533612398E-3</v>
      </c>
      <c r="L205" s="8">
        <v>1.9837219551499001E-3</v>
      </c>
      <c r="M205" s="8">
        <v>8.0541775032218002E-3</v>
      </c>
      <c r="N205" s="8">
        <v>2.6064230389097401E-3</v>
      </c>
      <c r="O205" s="8">
        <v>3.1070721189923399E-2</v>
      </c>
      <c r="P205" s="9">
        <v>4.8917304186835098E-2</v>
      </c>
      <c r="Q205" s="570">
        <v>5.80684342969619E-3</v>
      </c>
    </row>
    <row r="206" spans="2:17" ht="15.75" x14ac:dyDescent="0.25">
      <c r="B206" s="6">
        <v>2026</v>
      </c>
      <c r="C206" s="7">
        <v>2019</v>
      </c>
      <c r="D206" s="484" t="s">
        <v>3405</v>
      </c>
      <c r="E206" s="488">
        <v>0.12594998744248179</v>
      </c>
      <c r="F206" s="489">
        <v>0.1905395851292517</v>
      </c>
      <c r="G206" s="487">
        <v>1.10654657346974E-2</v>
      </c>
      <c r="H206" s="8">
        <v>1.5214093474118701E-2</v>
      </c>
      <c r="I206" s="8">
        <v>0.65159843152008101</v>
      </c>
      <c r="J206" s="8">
        <v>0.20765876357066501</v>
      </c>
      <c r="K206" s="8">
        <v>5.7831721791995602E-3</v>
      </c>
      <c r="L206" s="8">
        <v>1.90602259081545E-3</v>
      </c>
      <c r="M206" s="8">
        <v>6.1887673271251702E-3</v>
      </c>
      <c r="N206" s="8">
        <v>2.56330548318292E-3</v>
      </c>
      <c r="O206" s="8">
        <v>3.9044796153884599E-2</v>
      </c>
      <c r="P206" s="9">
        <v>4.8156710503814003E-2</v>
      </c>
      <c r="Q206" s="570">
        <v>6.0446615626964899E-3</v>
      </c>
    </row>
    <row r="207" spans="2:17" ht="15.75" x14ac:dyDescent="0.25">
      <c r="B207" s="6">
        <v>2026</v>
      </c>
      <c r="C207" s="7">
        <v>2020</v>
      </c>
      <c r="D207" s="484" t="s">
        <v>3406</v>
      </c>
      <c r="E207" s="488">
        <v>0.13380155127066526</v>
      </c>
      <c r="F207" s="489">
        <v>0.19447724173066211</v>
      </c>
      <c r="G207" s="487">
        <v>1.05438235965498E-2</v>
      </c>
      <c r="H207" s="8">
        <v>1.5452377360031499E-2</v>
      </c>
      <c r="I207" s="8">
        <v>0.69932453034175801</v>
      </c>
      <c r="J207" s="8">
        <v>0.20206709010604301</v>
      </c>
      <c r="K207" s="8">
        <v>5.9713696332312598E-3</v>
      </c>
      <c r="L207" s="8">
        <v>1.8186955082101601E-3</v>
      </c>
      <c r="M207" s="8">
        <v>7.0388728592668303E-3</v>
      </c>
      <c r="N207" s="8">
        <v>2.6156372631370999E-3</v>
      </c>
      <c r="O207" s="8">
        <v>3.4924586870405998E-2</v>
      </c>
      <c r="P207" s="9">
        <v>4.9079843102205797E-2</v>
      </c>
      <c r="Q207" s="570">
        <v>6.2413684704856701E-3</v>
      </c>
    </row>
    <row r="208" spans="2:17" ht="15.75" x14ac:dyDescent="0.25">
      <c r="B208" s="6">
        <v>2026</v>
      </c>
      <c r="C208" s="7">
        <v>2021</v>
      </c>
      <c r="D208" s="484" t="s">
        <v>3407</v>
      </c>
      <c r="E208" s="488">
        <v>0.11510022244438702</v>
      </c>
      <c r="F208" s="489">
        <v>0.18795577289617005</v>
      </c>
      <c r="G208" s="487">
        <v>1.2446235467711E-2</v>
      </c>
      <c r="H208" s="8">
        <v>1.6468008128311201E-2</v>
      </c>
      <c r="I208" s="8">
        <v>0.57846144336557204</v>
      </c>
      <c r="J208" s="8">
        <v>0.193550306874503</v>
      </c>
      <c r="K208" s="8">
        <v>5.3529478691737801E-3</v>
      </c>
      <c r="L208" s="8">
        <v>2.0646687564844202E-3</v>
      </c>
      <c r="M208" s="8">
        <v>5.0813465795136598E-3</v>
      </c>
      <c r="N208" s="8">
        <v>2.6451174676676999E-3</v>
      </c>
      <c r="O208" s="8">
        <v>4.4232528473295403E-2</v>
      </c>
      <c r="P208" s="9">
        <v>4.9599873910125498E-2</v>
      </c>
      <c r="Q208" s="570">
        <v>5.5949844184634504E-3</v>
      </c>
    </row>
    <row r="209" spans="2:17" ht="15.75" x14ac:dyDescent="0.25">
      <c r="B209" s="6">
        <v>2026</v>
      </c>
      <c r="C209" s="7">
        <v>2022</v>
      </c>
      <c r="D209" s="484" t="s">
        <v>3408</v>
      </c>
      <c r="E209" s="488">
        <v>0.1284448785959742</v>
      </c>
      <c r="F209" s="489">
        <v>0.18045242255864408</v>
      </c>
      <c r="G209" s="487">
        <v>3.20063504939762E-3</v>
      </c>
      <c r="H209" s="8">
        <v>1.51755890337796E-2</v>
      </c>
      <c r="I209" s="8">
        <v>0.66807192534051396</v>
      </c>
      <c r="J209" s="8">
        <v>0.16565979252393701</v>
      </c>
      <c r="K209" s="8">
        <v>5.0369489460166499E-3</v>
      </c>
      <c r="L209" s="8">
        <v>2.05625599386765E-3</v>
      </c>
      <c r="M209" s="8">
        <v>6.1951533128498E-3</v>
      </c>
      <c r="N209" s="8">
        <v>2.5835779221722501E-3</v>
      </c>
      <c r="O209" s="8">
        <v>3.99125734130239E-2</v>
      </c>
      <c r="P209" s="9">
        <v>4.8514316327585898E-2</v>
      </c>
      <c r="Q209" s="570">
        <v>5.26469742622561E-3</v>
      </c>
    </row>
    <row r="210" spans="2:17" ht="15.75" x14ac:dyDescent="0.25">
      <c r="B210" s="6">
        <v>2026</v>
      </c>
      <c r="C210" s="7">
        <v>2023</v>
      </c>
      <c r="D210" s="484" t="s">
        <v>3409</v>
      </c>
      <c r="E210" s="488">
        <v>0.13196230178363058</v>
      </c>
      <c r="F210" s="489">
        <v>0.19695312014618338</v>
      </c>
      <c r="G210" s="487">
        <v>2.2153167069177398E-3</v>
      </c>
      <c r="H210" s="8">
        <v>1.8156747229673101E-2</v>
      </c>
      <c r="I210" s="8">
        <v>0.69020609138690203</v>
      </c>
      <c r="J210" s="8">
        <v>0.17243028861846901</v>
      </c>
      <c r="K210" s="8">
        <v>5.1514558425370099E-3</v>
      </c>
      <c r="L210" s="8">
        <v>2.1302558587451498E-3</v>
      </c>
      <c r="M210" s="8">
        <v>6.5577156549058001E-3</v>
      </c>
      <c r="N210" s="8">
        <v>2.7374603005563799E-3</v>
      </c>
      <c r="O210" s="8">
        <v>3.8260144561079901E-2</v>
      </c>
      <c r="P210" s="9">
        <v>5.1228801482281802E-2</v>
      </c>
      <c r="Q210" s="570">
        <v>5.38438181648978E-3</v>
      </c>
    </row>
    <row r="211" spans="2:17" ht="15.75" x14ac:dyDescent="0.25">
      <c r="B211" s="6">
        <v>2026</v>
      </c>
      <c r="C211" s="7">
        <v>2024</v>
      </c>
      <c r="D211" s="484" t="s">
        <v>3410</v>
      </c>
      <c r="E211" s="488">
        <v>0.13288784579380136</v>
      </c>
      <c r="F211" s="489">
        <v>0.15842181788237625</v>
      </c>
      <c r="G211" s="487">
        <v>2.0640628853319598E-3</v>
      </c>
      <c r="H211" s="8">
        <v>1.4232131191949399E-2</v>
      </c>
      <c r="I211" s="8">
        <v>0.69711471844698203</v>
      </c>
      <c r="J211" s="8">
        <v>0.123343512280072</v>
      </c>
      <c r="K211" s="8">
        <v>5.0912301532317298E-3</v>
      </c>
      <c r="L211" s="8">
        <v>1.8417114757723701E-3</v>
      </c>
      <c r="M211" s="8">
        <v>6.6399560493253596E-3</v>
      </c>
      <c r="N211" s="8">
        <v>2.5321795393683901E-3</v>
      </c>
      <c r="O211" s="8">
        <v>3.7873566345168398E-2</v>
      </c>
      <c r="P211" s="9">
        <v>4.7607648854925799E-2</v>
      </c>
      <c r="Q211" s="570">
        <v>5.3214329887616603E-3</v>
      </c>
    </row>
    <row r="212" spans="2:17" ht="15.75" x14ac:dyDescent="0.25">
      <c r="B212" s="6">
        <v>2026</v>
      </c>
      <c r="C212" s="7">
        <v>2025</v>
      </c>
      <c r="D212" s="484" t="s">
        <v>3411</v>
      </c>
      <c r="E212" s="488">
        <v>0.1472276800399922</v>
      </c>
      <c r="F212" s="489">
        <v>0.16767771805660536</v>
      </c>
      <c r="G212" s="487">
        <v>2.6754013152098101E-3</v>
      </c>
      <c r="H212" s="8">
        <v>1.62077291955827E-2</v>
      </c>
      <c r="I212" s="8">
        <v>0.78747219671907698</v>
      </c>
      <c r="J212" s="8">
        <v>0.115498091000375</v>
      </c>
      <c r="K212" s="8">
        <v>5.6651702508874798E-3</v>
      </c>
      <c r="L212" s="8">
        <v>2.1039920473797801E-3</v>
      </c>
      <c r="M212" s="8">
        <v>8.2393452001956E-3</v>
      </c>
      <c r="N212" s="8">
        <v>2.58146717483749E-3</v>
      </c>
      <c r="O212" s="8">
        <v>2.9970698370588501E-2</v>
      </c>
      <c r="P212" s="9">
        <v>4.8477082744600601E-2</v>
      </c>
      <c r="Q212" s="570">
        <v>5.9213241108119399E-3</v>
      </c>
    </row>
    <row r="213" spans="2:17" ht="15.75" x14ac:dyDescent="0.25">
      <c r="B213" s="6">
        <v>2026</v>
      </c>
      <c r="C213" s="7">
        <v>2026</v>
      </c>
      <c r="D213" s="484" t="s">
        <v>3412</v>
      </c>
      <c r="E213" s="488">
        <v>0.13727679333284173</v>
      </c>
      <c r="F213" s="489">
        <v>0.19510747083758018</v>
      </c>
      <c r="G213" s="487">
        <v>2.06696558361489E-3</v>
      </c>
      <c r="H213" s="8">
        <v>2.0472234199742999E-2</v>
      </c>
      <c r="I213" s="8">
        <v>0.72487574595777104</v>
      </c>
      <c r="J213" s="8">
        <v>0.129280666208752</v>
      </c>
      <c r="K213" s="8">
        <v>5.23978794248339E-3</v>
      </c>
      <c r="L213" s="8">
        <v>2.1490473187839401E-3</v>
      </c>
      <c r="M213" s="8">
        <v>7.12612694854155E-3</v>
      </c>
      <c r="N213" s="8">
        <v>2.8655922878715601E-3</v>
      </c>
      <c r="O213" s="8">
        <v>3.5487855365208598E-2</v>
      </c>
      <c r="P213" s="9">
        <v>5.3489049738521699E-2</v>
      </c>
      <c r="Q213" s="570">
        <v>5.4767079020278499E-3</v>
      </c>
    </row>
    <row r="214" spans="2:17" ht="15.75" x14ac:dyDescent="0.25">
      <c r="B214" s="6">
        <v>2027</v>
      </c>
      <c r="C214" s="7">
        <v>2013</v>
      </c>
      <c r="D214" s="484" t="s">
        <v>3443</v>
      </c>
      <c r="E214" s="488">
        <v>0.16696820524482767</v>
      </c>
      <c r="F214" s="489">
        <v>0.27408631262785577</v>
      </c>
      <c r="G214" s="487">
        <v>1.12204132428036E-3</v>
      </c>
      <c r="H214" s="8">
        <v>2.2686664098903998E-2</v>
      </c>
      <c r="I214" s="8">
        <v>0.81278025137769006</v>
      </c>
      <c r="J214" s="8">
        <v>0.49379811849674599</v>
      </c>
      <c r="K214" s="8">
        <v>5.7216501845135598E-3</v>
      </c>
      <c r="L214" s="8">
        <v>9.4144435192763097E-4</v>
      </c>
      <c r="M214" s="8">
        <v>8.5819905819344306E-3</v>
      </c>
      <c r="N214" s="8">
        <v>3.0000018168034001E-3</v>
      </c>
      <c r="O214" s="8">
        <v>2.8508288879737199E-2</v>
      </c>
      <c r="P214" s="9">
        <v>5.5860033828879302E-2</v>
      </c>
      <c r="Q214" s="570">
        <v>5.9803578164106001E-3</v>
      </c>
    </row>
    <row r="215" spans="2:17" ht="15.75" x14ac:dyDescent="0.25">
      <c r="B215" s="6">
        <v>2027</v>
      </c>
      <c r="C215" s="7">
        <v>2014</v>
      </c>
      <c r="D215" s="484" t="s">
        <v>3444</v>
      </c>
      <c r="E215" s="488">
        <v>0.16010663681764292</v>
      </c>
      <c r="F215" s="489">
        <v>0.26165103907581344</v>
      </c>
      <c r="G215" s="487">
        <v>1.04916104820841E-3</v>
      </c>
      <c r="H215" s="8">
        <v>2.2612425412779798E-2</v>
      </c>
      <c r="I215" s="8">
        <v>0.77158455199811504</v>
      </c>
      <c r="J215" s="8">
        <v>0.47179563192999302</v>
      </c>
      <c r="K215" s="8">
        <v>5.4835891285499004E-3</v>
      </c>
      <c r="L215" s="8">
        <v>1.32178960947476E-3</v>
      </c>
      <c r="M215" s="8">
        <v>7.8824176708315995E-3</v>
      </c>
      <c r="N215" s="8">
        <v>3.0000018168034001E-3</v>
      </c>
      <c r="O215" s="8">
        <v>3.1936196144141102E-2</v>
      </c>
      <c r="P215" s="9">
        <v>5.5860033828879302E-2</v>
      </c>
      <c r="Q215" s="570">
        <v>5.7315326958765596E-3</v>
      </c>
    </row>
    <row r="216" spans="2:17" ht="15.75" x14ac:dyDescent="0.25">
      <c r="B216" s="6">
        <v>2027</v>
      </c>
      <c r="C216" s="7">
        <v>2015</v>
      </c>
      <c r="D216" s="484" t="s">
        <v>3445</v>
      </c>
      <c r="E216" s="488">
        <v>0.15733184025254049</v>
      </c>
      <c r="F216" s="489">
        <v>0.26068815164264975</v>
      </c>
      <c r="G216" s="487">
        <v>9.7043888207479505E-4</v>
      </c>
      <c r="H216" s="8">
        <v>2.2694078803823299E-2</v>
      </c>
      <c r="I216" s="8">
        <v>0.72776238113491398</v>
      </c>
      <c r="J216" s="8">
        <v>0.44926761948643401</v>
      </c>
      <c r="K216" s="8">
        <v>5.2488009064911197E-3</v>
      </c>
      <c r="L216" s="8">
        <v>1.6666256212792599E-3</v>
      </c>
      <c r="M216" s="8">
        <v>7.11951940734009E-3</v>
      </c>
      <c r="N216" s="8">
        <v>3.0000018168034001E-3</v>
      </c>
      <c r="O216" s="8">
        <v>3.56743976352496E-2</v>
      </c>
      <c r="P216" s="9">
        <v>5.5860033828879302E-2</v>
      </c>
      <c r="Q216" s="570">
        <v>5.4861283922735902E-3</v>
      </c>
    </row>
    <row r="217" spans="2:17" ht="15.75" x14ac:dyDescent="0.25">
      <c r="B217" s="6">
        <v>2027</v>
      </c>
      <c r="C217" s="7">
        <v>2016</v>
      </c>
      <c r="D217" s="484" t="s">
        <v>3446</v>
      </c>
      <c r="E217" s="488">
        <v>0.15010094211554317</v>
      </c>
      <c r="F217" s="489">
        <v>0.26036449963037378</v>
      </c>
      <c r="G217" s="487">
        <v>1.1114828158634001E-3</v>
      </c>
      <c r="H217" s="8">
        <v>2.2727315208066399E-2</v>
      </c>
      <c r="I217" s="8">
        <v>0.80684234863895699</v>
      </c>
      <c r="J217" s="8">
        <v>0.40843507377834898</v>
      </c>
      <c r="K217" s="8">
        <v>5.6896892073255304E-3</v>
      </c>
      <c r="L217" s="8">
        <v>1.9161316649005801E-3</v>
      </c>
      <c r="M217" s="8">
        <v>8.4801923749320308E-3</v>
      </c>
      <c r="N217" s="8">
        <v>3.0000018168034001E-3</v>
      </c>
      <c r="O217" s="8">
        <v>2.9007100094048999E-2</v>
      </c>
      <c r="P217" s="9">
        <v>5.5860033828879302E-2</v>
      </c>
      <c r="Q217" s="570">
        <v>5.9469517056588601E-3</v>
      </c>
    </row>
    <row r="218" spans="2:17" ht="15.75" x14ac:dyDescent="0.25">
      <c r="B218" s="6">
        <v>2027</v>
      </c>
      <c r="C218" s="7">
        <v>2017</v>
      </c>
      <c r="D218" s="484" t="s">
        <v>3447</v>
      </c>
      <c r="E218" s="488">
        <v>0.14681941164261297</v>
      </c>
      <c r="F218" s="489">
        <v>0.16515421372096156</v>
      </c>
      <c r="G218" s="487">
        <v>1.92045706680665E-3</v>
      </c>
      <c r="H218" s="8">
        <v>1.2438732219480201E-2</v>
      </c>
      <c r="I218" s="8">
        <v>0.78633562336678298</v>
      </c>
      <c r="J218" s="8">
        <v>0.19502417120731599</v>
      </c>
      <c r="K218" s="8">
        <v>5.6530714301748801E-3</v>
      </c>
      <c r="L218" s="8">
        <v>1.59836185356786E-3</v>
      </c>
      <c r="M218" s="8">
        <v>8.1444245765871608E-3</v>
      </c>
      <c r="N218" s="8">
        <v>2.3696603190135499E-3</v>
      </c>
      <c r="O218" s="8">
        <v>3.05589568479099E-2</v>
      </c>
      <c r="P218" s="9">
        <v>4.4740809807866398E-2</v>
      </c>
      <c r="Q218" s="570">
        <v>5.9086782351144397E-3</v>
      </c>
    </row>
    <row r="219" spans="2:17" ht="15.75" x14ac:dyDescent="0.25">
      <c r="B219" s="6">
        <v>2027</v>
      </c>
      <c r="C219" s="7">
        <v>2018</v>
      </c>
      <c r="D219" s="484" t="s">
        <v>3448</v>
      </c>
      <c r="E219" s="488">
        <v>0.14616467265708127</v>
      </c>
      <c r="F219" s="489">
        <v>0.19919354187294805</v>
      </c>
      <c r="G219" s="487">
        <v>1.2792432861294799E-3</v>
      </c>
      <c r="H219" s="8">
        <v>1.6632185500364501E-2</v>
      </c>
      <c r="I219" s="8">
        <v>0.78200418727993104</v>
      </c>
      <c r="J219" s="8">
        <v>0.249731211535487</v>
      </c>
      <c r="K219" s="8">
        <v>5.5572156104680701E-3</v>
      </c>
      <c r="L219" s="8">
        <v>1.9837219551499001E-3</v>
      </c>
      <c r="M219" s="8">
        <v>8.0541775032218002E-3</v>
      </c>
      <c r="N219" s="8">
        <v>2.6064230389097401E-3</v>
      </c>
      <c r="O219" s="8">
        <v>3.1070721189923399E-2</v>
      </c>
      <c r="P219" s="9">
        <v>4.8917304186835098E-2</v>
      </c>
      <c r="Q219" s="570">
        <v>5.8084882405943896E-3</v>
      </c>
    </row>
    <row r="220" spans="2:17" ht="15.75" x14ac:dyDescent="0.25">
      <c r="B220" s="6">
        <v>2027</v>
      </c>
      <c r="C220" s="7">
        <v>2019</v>
      </c>
      <c r="D220" s="484" t="s">
        <v>3449</v>
      </c>
      <c r="E220" s="488">
        <v>0.12594998744248165</v>
      </c>
      <c r="F220" s="489">
        <v>0.1905424739829647</v>
      </c>
      <c r="G220" s="487">
        <v>1.12631672334941E-2</v>
      </c>
      <c r="H220" s="8">
        <v>1.5247612441850701E-2</v>
      </c>
      <c r="I220" s="8">
        <v>0.65199065049168003</v>
      </c>
      <c r="J220" s="8">
        <v>0.22374639881590899</v>
      </c>
      <c r="K220" s="8">
        <v>5.8667473145256697E-3</v>
      </c>
      <c r="L220" s="8">
        <v>1.90602259081545E-3</v>
      </c>
      <c r="M220" s="8">
        <v>6.1887673271251702E-3</v>
      </c>
      <c r="N220" s="8">
        <v>2.56330548318292E-3</v>
      </c>
      <c r="O220" s="8">
        <v>3.9044796153884599E-2</v>
      </c>
      <c r="P220" s="9">
        <v>4.8156710503814003E-2</v>
      </c>
      <c r="Q220" s="570">
        <v>6.1320155947828803E-3</v>
      </c>
    </row>
    <row r="221" spans="2:17" ht="15.75" x14ac:dyDescent="0.25">
      <c r="B221" s="6">
        <v>2027</v>
      </c>
      <c r="C221" s="7">
        <v>2020</v>
      </c>
      <c r="D221" s="484" t="s">
        <v>3450</v>
      </c>
      <c r="E221" s="488">
        <v>0.13380155127066526</v>
      </c>
      <c r="F221" s="489">
        <v>0.1944799747712449</v>
      </c>
      <c r="G221" s="487">
        <v>1.0744899606229701E-2</v>
      </c>
      <c r="H221" s="8">
        <v>1.54771206681905E-2</v>
      </c>
      <c r="I221" s="8">
        <v>0.69965814930331705</v>
      </c>
      <c r="J221" s="8">
        <v>0.217085106809597</v>
      </c>
      <c r="K221" s="8">
        <v>6.0564770722392296E-3</v>
      </c>
      <c r="L221" s="8">
        <v>1.8186955082101601E-3</v>
      </c>
      <c r="M221" s="8">
        <v>7.0388728592668303E-3</v>
      </c>
      <c r="N221" s="8">
        <v>2.6156372631370999E-3</v>
      </c>
      <c r="O221" s="8">
        <v>3.4924586870405998E-2</v>
      </c>
      <c r="P221" s="9">
        <v>4.9079843102205797E-2</v>
      </c>
      <c r="Q221" s="570">
        <v>6.3303240902269102E-3</v>
      </c>
    </row>
    <row r="222" spans="2:17" ht="15.75" x14ac:dyDescent="0.25">
      <c r="B222" s="6">
        <v>2027</v>
      </c>
      <c r="C222" s="7">
        <v>2021</v>
      </c>
      <c r="D222" s="484" t="s">
        <v>3451</v>
      </c>
      <c r="E222" s="488">
        <v>0.11510022244438702</v>
      </c>
      <c r="F222" s="489">
        <v>0.18795877696452445</v>
      </c>
      <c r="G222" s="487">
        <v>1.27110920557754E-2</v>
      </c>
      <c r="H222" s="8">
        <v>1.6471368133915899E-2</v>
      </c>
      <c r="I222" s="8">
        <v>0.57881645557622297</v>
      </c>
      <c r="J222" s="8">
        <v>0.21053765851978901</v>
      </c>
      <c r="K222" s="8">
        <v>5.46508868215685E-3</v>
      </c>
      <c r="L222" s="8">
        <v>2.0646687564844202E-3</v>
      </c>
      <c r="M222" s="8">
        <v>5.0813465795136598E-3</v>
      </c>
      <c r="N222" s="8">
        <v>2.6451174676676899E-3</v>
      </c>
      <c r="O222" s="8">
        <v>4.4232528473295403E-2</v>
      </c>
      <c r="P222" s="9">
        <v>4.9599873910125498E-2</v>
      </c>
      <c r="Q222" s="570">
        <v>5.7121957413921298E-3</v>
      </c>
    </row>
    <row r="223" spans="2:17" ht="15.75" x14ac:dyDescent="0.25">
      <c r="B223" s="6">
        <v>2027</v>
      </c>
      <c r="C223" s="7">
        <v>2022</v>
      </c>
      <c r="D223" s="484" t="s">
        <v>3452</v>
      </c>
      <c r="E223" s="488">
        <v>0.1284448785959742</v>
      </c>
      <c r="F223" s="489">
        <v>0.18045390302373665</v>
      </c>
      <c r="G223" s="487">
        <v>3.2574777942640299E-3</v>
      </c>
      <c r="H223" s="8">
        <v>1.51011055428196E-2</v>
      </c>
      <c r="I223" s="8">
        <v>0.66812956374770505</v>
      </c>
      <c r="J223" s="8">
        <v>0.175473170765992</v>
      </c>
      <c r="K223" s="8">
        <v>5.0610167531602397E-3</v>
      </c>
      <c r="L223" s="8">
        <v>2.05625599386765E-3</v>
      </c>
      <c r="M223" s="8">
        <v>6.1951533128498E-3</v>
      </c>
      <c r="N223" s="8">
        <v>2.5835779221722501E-3</v>
      </c>
      <c r="O223" s="8">
        <v>3.99125734130239E-2</v>
      </c>
      <c r="P223" s="9">
        <v>4.8514316327585801E-2</v>
      </c>
      <c r="Q223" s="570">
        <v>5.2898534728089098E-3</v>
      </c>
    </row>
    <row r="224" spans="2:17" ht="15.75" x14ac:dyDescent="0.25">
      <c r="B224" s="6">
        <v>2027</v>
      </c>
      <c r="C224" s="7">
        <v>2023</v>
      </c>
      <c r="D224" s="484" t="s">
        <v>3453</v>
      </c>
      <c r="E224" s="488">
        <v>0.13196230178363058</v>
      </c>
      <c r="F224" s="489">
        <v>0.19695726485068629</v>
      </c>
      <c r="G224" s="487">
        <v>2.24968945555739E-3</v>
      </c>
      <c r="H224" s="8">
        <v>1.8022043215350898E-2</v>
      </c>
      <c r="I224" s="8">
        <v>0.69024090832575902</v>
      </c>
      <c r="J224" s="8">
        <v>0.19976836036187301</v>
      </c>
      <c r="K224" s="8">
        <v>5.1659818892474396E-3</v>
      </c>
      <c r="L224" s="8">
        <v>2.1302558587451498E-3</v>
      </c>
      <c r="M224" s="8">
        <v>6.5577156549058001E-3</v>
      </c>
      <c r="N224" s="8">
        <v>2.7374603005563799E-3</v>
      </c>
      <c r="O224" s="8">
        <v>3.8260144561079901E-2</v>
      </c>
      <c r="P224" s="9">
        <v>5.1228801482281899E-2</v>
      </c>
      <c r="Q224" s="570">
        <v>5.3995646665740797E-3</v>
      </c>
    </row>
    <row r="225" spans="2:17" ht="15.75" x14ac:dyDescent="0.25">
      <c r="B225" s="6">
        <v>2027</v>
      </c>
      <c r="C225" s="7">
        <v>2024</v>
      </c>
      <c r="D225" s="484" t="s">
        <v>3454</v>
      </c>
      <c r="E225" s="488">
        <v>0.13288784579380136</v>
      </c>
      <c r="F225" s="489">
        <v>0.15842206187932661</v>
      </c>
      <c r="G225" s="487">
        <v>2.0965139224364401E-3</v>
      </c>
      <c r="H225" s="8">
        <v>1.39418571932306E-2</v>
      </c>
      <c r="I225" s="8">
        <v>0.69714760141028798</v>
      </c>
      <c r="J225" s="8">
        <v>0.13259937910585201</v>
      </c>
      <c r="K225" s="8">
        <v>5.1049536195338398E-3</v>
      </c>
      <c r="L225" s="8">
        <v>1.8417114757723701E-3</v>
      </c>
      <c r="M225" s="8">
        <v>6.6399560493253596E-3</v>
      </c>
      <c r="N225" s="8">
        <v>2.5321795393683901E-3</v>
      </c>
      <c r="O225" s="8">
        <v>3.7873566345168398E-2</v>
      </c>
      <c r="P225" s="9">
        <v>4.7607648854925799E-2</v>
      </c>
      <c r="Q225" s="570">
        <v>5.3357769693129697E-3</v>
      </c>
    </row>
    <row r="226" spans="2:17" ht="15.75" x14ac:dyDescent="0.25">
      <c r="B226" s="6">
        <v>2027</v>
      </c>
      <c r="C226" s="7">
        <v>2025</v>
      </c>
      <c r="D226" s="484" t="s">
        <v>3455</v>
      </c>
      <c r="E226" s="488">
        <v>0.14722768003999304</v>
      </c>
      <c r="F226" s="489">
        <v>0.16767899550389381</v>
      </c>
      <c r="G226" s="487">
        <v>2.7240716996153702E-3</v>
      </c>
      <c r="H226" s="8">
        <v>1.5850771239027599E-2</v>
      </c>
      <c r="I226" s="8">
        <v>0.78752154785481399</v>
      </c>
      <c r="J226" s="8">
        <v>0.13222900231816301</v>
      </c>
      <c r="K226" s="8">
        <v>5.6857778220926296E-3</v>
      </c>
      <c r="L226" s="8">
        <v>2.1039920473797801E-3</v>
      </c>
      <c r="M226" s="8">
        <v>8.2393452001956104E-3</v>
      </c>
      <c r="N226" s="8">
        <v>2.58146717483749E-3</v>
      </c>
      <c r="O226" s="8">
        <v>2.9970698370588501E-2</v>
      </c>
      <c r="P226" s="9">
        <v>4.8477082744600698E-2</v>
      </c>
      <c r="Q226" s="570">
        <v>5.9428634649422501E-3</v>
      </c>
    </row>
    <row r="227" spans="2:17" ht="15.75" x14ac:dyDescent="0.25">
      <c r="B227" s="6">
        <v>2027</v>
      </c>
      <c r="C227" s="7">
        <v>2026</v>
      </c>
      <c r="D227" s="484" t="s">
        <v>3456</v>
      </c>
      <c r="E227" s="488">
        <v>0.13727679333284173</v>
      </c>
      <c r="F227" s="489">
        <v>0.19511201240897122</v>
      </c>
      <c r="G227" s="487">
        <v>2.1031312851455099E-3</v>
      </c>
      <c r="H227" s="8">
        <v>2.0506210112298501E-2</v>
      </c>
      <c r="I227" s="8">
        <v>0.72491242123372701</v>
      </c>
      <c r="J227" s="8">
        <v>0.154643562072279</v>
      </c>
      <c r="K227" s="8">
        <v>5.2551009060387201E-3</v>
      </c>
      <c r="L227" s="8">
        <v>2.1490473187839401E-3</v>
      </c>
      <c r="M227" s="8">
        <v>7.12612694854155E-3</v>
      </c>
      <c r="N227" s="8">
        <v>2.8655922878715601E-3</v>
      </c>
      <c r="O227" s="8">
        <v>3.5487855365208598E-2</v>
      </c>
      <c r="P227" s="9">
        <v>5.3489049738521699E-2</v>
      </c>
      <c r="Q227" s="570">
        <v>5.4927132498448902E-3</v>
      </c>
    </row>
    <row r="228" spans="2:17" ht="15.75" x14ac:dyDescent="0.25">
      <c r="B228" s="6">
        <v>2027</v>
      </c>
      <c r="C228" s="7">
        <v>2027</v>
      </c>
      <c r="D228" s="484" t="s">
        <v>3457</v>
      </c>
      <c r="E228" s="488">
        <v>0.14361338109552144</v>
      </c>
      <c r="F228" s="489">
        <v>0.1711888507198589</v>
      </c>
      <c r="G228" s="487">
        <v>5.7131455754971102E-3</v>
      </c>
      <c r="H228" s="8">
        <v>1.77181590188869E-2</v>
      </c>
      <c r="I228" s="8">
        <v>0.76154170622557404</v>
      </c>
      <c r="J228" s="8">
        <v>0.11022691092698</v>
      </c>
      <c r="K228" s="8">
        <v>5.6939428477840101E-3</v>
      </c>
      <c r="L228" s="8">
        <v>2.1111302654675101E-3</v>
      </c>
      <c r="M228" s="8">
        <v>8.0129682440654802E-3</v>
      </c>
      <c r="N228" s="8">
        <v>2.68792194686597E-3</v>
      </c>
      <c r="O228" s="8">
        <v>3.06533011813339E-2</v>
      </c>
      <c r="P228" s="9">
        <v>5.0354944923183098E-2</v>
      </c>
      <c r="Q228" s="570">
        <v>5.9513976768636196E-3</v>
      </c>
    </row>
    <row r="229" spans="2:17" ht="15.75" x14ac:dyDescent="0.25">
      <c r="B229" s="6">
        <v>2028</v>
      </c>
      <c r="C229" s="7">
        <v>2014</v>
      </c>
      <c r="D229" s="484" t="s">
        <v>3488</v>
      </c>
      <c r="E229" s="488">
        <v>0.16010663681764292</v>
      </c>
      <c r="F229" s="489">
        <v>0.26165859513060663</v>
      </c>
      <c r="G229" s="487">
        <v>1.04916104820841E-3</v>
      </c>
      <c r="H229" s="8">
        <v>2.2612425412779798E-2</v>
      </c>
      <c r="I229" s="8">
        <v>0.77158455199811504</v>
      </c>
      <c r="J229" s="8">
        <v>0.50842084081274697</v>
      </c>
      <c r="K229" s="8">
        <v>5.48358912854991E-3</v>
      </c>
      <c r="L229" s="8">
        <v>1.32178960947476E-3</v>
      </c>
      <c r="M229" s="8">
        <v>7.8824176708315995E-3</v>
      </c>
      <c r="N229" s="8">
        <v>3.0000018168034001E-3</v>
      </c>
      <c r="O229" s="8">
        <v>3.1936196144141102E-2</v>
      </c>
      <c r="P229" s="9">
        <v>5.5860033828879302E-2</v>
      </c>
      <c r="Q229" s="570">
        <v>5.7315326958765596E-3</v>
      </c>
    </row>
    <row r="230" spans="2:17" ht="15.75" x14ac:dyDescent="0.25">
      <c r="B230" s="6">
        <v>2028</v>
      </c>
      <c r="C230" s="7">
        <v>2015</v>
      </c>
      <c r="D230" s="484" t="s">
        <v>3489</v>
      </c>
      <c r="E230" s="488">
        <v>0.15733184025254049</v>
      </c>
      <c r="F230" s="489">
        <v>0.26069163488944103</v>
      </c>
      <c r="G230" s="487">
        <v>9.7043888207479505E-4</v>
      </c>
      <c r="H230" s="8">
        <v>2.2694078803823299E-2</v>
      </c>
      <c r="I230" s="8">
        <v>0.72776238113491398</v>
      </c>
      <c r="J230" s="8">
        <v>0.47048530108022601</v>
      </c>
      <c r="K230" s="8">
        <v>5.2488009064911197E-3</v>
      </c>
      <c r="L230" s="8">
        <v>1.6666256212792599E-3</v>
      </c>
      <c r="M230" s="8">
        <v>7.1195194073400796E-3</v>
      </c>
      <c r="N230" s="8">
        <v>3.0000018168034001E-3</v>
      </c>
      <c r="O230" s="8">
        <v>3.5674397635249502E-2</v>
      </c>
      <c r="P230" s="9">
        <v>5.5860033828879302E-2</v>
      </c>
      <c r="Q230" s="570">
        <v>5.4861283922735798E-3</v>
      </c>
    </row>
    <row r="231" spans="2:17" ht="15.75" x14ac:dyDescent="0.25">
      <c r="B231" s="6">
        <v>2028</v>
      </c>
      <c r="C231" s="7">
        <v>2016</v>
      </c>
      <c r="D231" s="484" t="s">
        <v>3490</v>
      </c>
      <c r="E231" s="488">
        <v>0.15010094211554342</v>
      </c>
      <c r="F231" s="489">
        <v>0.26037037498871635</v>
      </c>
      <c r="G231" s="487">
        <v>1.1114828158634001E-3</v>
      </c>
      <c r="H231" s="8">
        <v>2.2727315208066399E-2</v>
      </c>
      <c r="I231" s="8">
        <v>0.80684234863895699</v>
      </c>
      <c r="J231" s="8">
        <v>0.44128399313116901</v>
      </c>
      <c r="K231" s="8">
        <v>5.6896892073255304E-3</v>
      </c>
      <c r="L231" s="8">
        <v>1.9161316649005801E-3</v>
      </c>
      <c r="M231" s="8">
        <v>8.4801923749320395E-3</v>
      </c>
      <c r="N231" s="8">
        <v>3.0000018168034001E-3</v>
      </c>
      <c r="O231" s="8">
        <v>2.9007100094048999E-2</v>
      </c>
      <c r="P231" s="9">
        <v>5.5860033828879302E-2</v>
      </c>
      <c r="Q231" s="570">
        <v>5.9469517056588601E-3</v>
      </c>
    </row>
    <row r="232" spans="2:17" ht="15.75" x14ac:dyDescent="0.25">
      <c r="B232" s="6">
        <v>2028</v>
      </c>
      <c r="C232" s="7">
        <v>2017</v>
      </c>
      <c r="D232" s="484" t="s">
        <v>3491</v>
      </c>
      <c r="E232" s="488">
        <v>0.14753458405255956</v>
      </c>
      <c r="F232" s="489">
        <v>0.25044038883769004</v>
      </c>
      <c r="G232" s="487">
        <v>1.0825850028745E-3</v>
      </c>
      <c r="H232" s="8">
        <v>2.2698184228383898E-2</v>
      </c>
      <c r="I232" s="8">
        <v>0.79070769464368096</v>
      </c>
      <c r="J232" s="8">
        <v>0.41113139618285499</v>
      </c>
      <c r="K232" s="8">
        <v>5.5828913717562902E-3</v>
      </c>
      <c r="L232" s="8">
        <v>2.0603636243968601E-3</v>
      </c>
      <c r="M232" s="8">
        <v>8.1968512173828598E-3</v>
      </c>
      <c r="N232" s="8">
        <v>3.0000018168034001E-3</v>
      </c>
      <c r="O232" s="8">
        <v>3.0395471766039898E-2</v>
      </c>
      <c r="P232" s="9">
        <v>5.5860033828879302E-2</v>
      </c>
      <c r="Q232" s="570">
        <v>5.8353249458735603E-3</v>
      </c>
    </row>
    <row r="233" spans="2:17" ht="15.75" x14ac:dyDescent="0.25">
      <c r="B233" s="6">
        <v>2028</v>
      </c>
      <c r="C233" s="7">
        <v>2018</v>
      </c>
      <c r="D233" s="484" t="s">
        <v>3492</v>
      </c>
      <c r="E233" s="488">
        <v>0.14616467265708127</v>
      </c>
      <c r="F233" s="489">
        <v>0.19919708649949572</v>
      </c>
      <c r="G233" s="487">
        <v>1.28272649032788E-3</v>
      </c>
      <c r="H233" s="8">
        <v>1.6629333789329299E-2</v>
      </c>
      <c r="I233" s="8">
        <v>0.78201220814414296</v>
      </c>
      <c r="J233" s="8">
        <v>0.26911352500031899</v>
      </c>
      <c r="K233" s="8">
        <v>5.5586897952567202E-3</v>
      </c>
      <c r="L233" s="8">
        <v>1.9837219551499001E-3</v>
      </c>
      <c r="M233" s="8">
        <v>8.0541775032218002E-3</v>
      </c>
      <c r="N233" s="8">
        <v>2.6064230389097401E-3</v>
      </c>
      <c r="O233" s="8">
        <v>3.1070721189923399E-2</v>
      </c>
      <c r="P233" s="9">
        <v>4.8917304186835098E-2</v>
      </c>
      <c r="Q233" s="570">
        <v>5.8100290814775803E-3</v>
      </c>
    </row>
    <row r="234" spans="2:17" ht="15.75" x14ac:dyDescent="0.25">
      <c r="B234" s="6">
        <v>2028</v>
      </c>
      <c r="C234" s="7">
        <v>2019</v>
      </c>
      <c r="D234" s="484" t="s">
        <v>3493</v>
      </c>
      <c r="E234" s="488">
        <v>0.12594998744248179</v>
      </c>
      <c r="F234" s="489">
        <v>0.19054399728541163</v>
      </c>
      <c r="G234" s="487">
        <v>1.1449114526204699E-2</v>
      </c>
      <c r="H234" s="8">
        <v>1.52648979734635E-2</v>
      </c>
      <c r="I234" s="8">
        <v>0.65235955078915697</v>
      </c>
      <c r="J234" s="8">
        <v>0.23137719781188501</v>
      </c>
      <c r="K234" s="8">
        <v>5.9453536695960501E-3</v>
      </c>
      <c r="L234" s="8">
        <v>1.90602259081545E-3</v>
      </c>
      <c r="M234" s="8">
        <v>6.1887673271251598E-3</v>
      </c>
      <c r="N234" s="8">
        <v>2.56330548318292E-3</v>
      </c>
      <c r="O234" s="8">
        <v>3.9044796153884599E-2</v>
      </c>
      <c r="P234" s="9">
        <v>4.8156710503814003E-2</v>
      </c>
      <c r="Q234" s="570">
        <v>6.2141761804190097E-3</v>
      </c>
    </row>
    <row r="235" spans="2:17" ht="15.75" x14ac:dyDescent="0.25">
      <c r="B235" s="6">
        <v>2028</v>
      </c>
      <c r="C235" s="7">
        <v>2020</v>
      </c>
      <c r="D235" s="484" t="s">
        <v>3494</v>
      </c>
      <c r="E235" s="488">
        <v>0.13380155127066526</v>
      </c>
      <c r="F235" s="489">
        <v>0.19448307649519622</v>
      </c>
      <c r="G235" s="487">
        <v>1.0934691479603E-2</v>
      </c>
      <c r="H235" s="8">
        <v>1.55020280942479E-2</v>
      </c>
      <c r="I235" s="8">
        <v>0.69997304658690895</v>
      </c>
      <c r="J235" s="8">
        <v>0.23434596429330201</v>
      </c>
      <c r="K235" s="8">
        <v>6.13680857424712E-3</v>
      </c>
      <c r="L235" s="8">
        <v>1.8186955082101601E-3</v>
      </c>
      <c r="M235" s="8">
        <v>7.0388728592668303E-3</v>
      </c>
      <c r="N235" s="8">
        <v>2.6156372631370999E-3</v>
      </c>
      <c r="O235" s="8">
        <v>3.4924586870405998E-2</v>
      </c>
      <c r="P235" s="9">
        <v>4.9079843102205797E-2</v>
      </c>
      <c r="Q235" s="570">
        <v>6.4142878262898398E-3</v>
      </c>
    </row>
    <row r="236" spans="2:17" ht="15.75" x14ac:dyDescent="0.25">
      <c r="B236" s="6">
        <v>2028</v>
      </c>
      <c r="C236" s="7">
        <v>2021</v>
      </c>
      <c r="D236" s="484" t="s">
        <v>3495</v>
      </c>
      <c r="E236" s="488">
        <v>0.11510022244438702</v>
      </c>
      <c r="F236" s="489">
        <v>0.18796171144532289</v>
      </c>
      <c r="G236" s="487">
        <v>1.296187470442E-2</v>
      </c>
      <c r="H236" s="8">
        <v>1.6505770798806999E-2</v>
      </c>
      <c r="I236" s="8">
        <v>0.57915260413163805</v>
      </c>
      <c r="J236" s="8">
        <v>0.22634315084616899</v>
      </c>
      <c r="K236" s="8">
        <v>5.57127091323378E-3</v>
      </c>
      <c r="L236" s="8">
        <v>2.0646687564844202E-3</v>
      </c>
      <c r="M236" s="8">
        <v>5.0813465795136598E-3</v>
      </c>
      <c r="N236" s="8">
        <v>2.6451174676676899E-3</v>
      </c>
      <c r="O236" s="8">
        <v>4.4232528473295403E-2</v>
      </c>
      <c r="P236" s="9">
        <v>4.9599873910125498E-2</v>
      </c>
      <c r="Q236" s="570">
        <v>5.82317906178168E-3</v>
      </c>
    </row>
    <row r="237" spans="2:17" ht="15.75" x14ac:dyDescent="0.25">
      <c r="B237" s="6">
        <v>2028</v>
      </c>
      <c r="C237" s="7">
        <v>2022</v>
      </c>
      <c r="D237" s="484" t="s">
        <v>3496</v>
      </c>
      <c r="E237" s="488">
        <v>0.1284448785959742</v>
      </c>
      <c r="F237" s="489">
        <v>0.18045674400856421</v>
      </c>
      <c r="G237" s="487">
        <v>3.31145235143085E-3</v>
      </c>
      <c r="H237" s="8">
        <v>1.510812021505E-2</v>
      </c>
      <c r="I237" s="8">
        <v>0.66818429404494695</v>
      </c>
      <c r="J237" s="8">
        <v>0.19090095863130199</v>
      </c>
      <c r="K237" s="8">
        <v>5.0838702441737401E-3</v>
      </c>
      <c r="L237" s="8">
        <v>2.05625599386765E-3</v>
      </c>
      <c r="M237" s="8">
        <v>6.1951533128498E-3</v>
      </c>
      <c r="N237" s="8">
        <v>2.5835779221722501E-3</v>
      </c>
      <c r="O237" s="8">
        <v>3.99125734130239E-2</v>
      </c>
      <c r="P237" s="9">
        <v>4.8514316327585801E-2</v>
      </c>
      <c r="Q237" s="570">
        <v>5.3137402972751897E-3</v>
      </c>
    </row>
    <row r="238" spans="2:17" ht="15.75" x14ac:dyDescent="0.25">
      <c r="B238" s="6">
        <v>2028</v>
      </c>
      <c r="C238" s="7">
        <v>2023</v>
      </c>
      <c r="D238" s="484" t="s">
        <v>3497</v>
      </c>
      <c r="E238" s="488">
        <v>0.13196230178363058</v>
      </c>
      <c r="F238" s="489">
        <v>0.19695927262695023</v>
      </c>
      <c r="G238" s="487">
        <v>2.28241106006709E-3</v>
      </c>
      <c r="H238" s="8">
        <v>1.7973750718763299E-2</v>
      </c>
      <c r="I238" s="8">
        <v>0.69027405297108302</v>
      </c>
      <c r="J238" s="8">
        <v>0.212145452711449</v>
      </c>
      <c r="K238" s="8">
        <v>5.1798102408855103E-3</v>
      </c>
      <c r="L238" s="8">
        <v>2.1302558587451498E-3</v>
      </c>
      <c r="M238" s="8">
        <v>6.5577156549058097E-3</v>
      </c>
      <c r="N238" s="8">
        <v>2.7374603005563699E-3</v>
      </c>
      <c r="O238" s="8">
        <v>3.8260144561079901E-2</v>
      </c>
      <c r="P238" s="9">
        <v>5.1228801482281899E-2</v>
      </c>
      <c r="Q238" s="570">
        <v>5.4140182749108203E-3</v>
      </c>
    </row>
    <row r="239" spans="2:17" ht="15.75" x14ac:dyDescent="0.25">
      <c r="B239" s="6">
        <v>2028</v>
      </c>
      <c r="C239" s="7">
        <v>2024</v>
      </c>
      <c r="D239" s="484" t="s">
        <v>3498</v>
      </c>
      <c r="E239" s="488">
        <v>0.13288784579380136</v>
      </c>
      <c r="F239" s="489">
        <v>0.15842458934570108</v>
      </c>
      <c r="G239" s="487">
        <v>2.12747750063588E-3</v>
      </c>
      <c r="H239" s="8">
        <v>1.37667042037926E-2</v>
      </c>
      <c r="I239" s="8">
        <v>0.69717897735452405</v>
      </c>
      <c r="J239" s="8">
        <v>0.151929055315637</v>
      </c>
      <c r="K239" s="8">
        <v>5.1180481475006003E-3</v>
      </c>
      <c r="L239" s="8">
        <v>1.8417114757723701E-3</v>
      </c>
      <c r="M239" s="8">
        <v>6.6399560493253596E-3</v>
      </c>
      <c r="N239" s="8">
        <v>2.5321795393683901E-3</v>
      </c>
      <c r="O239" s="8">
        <v>3.7873566345168502E-2</v>
      </c>
      <c r="P239" s="9">
        <v>4.7607648854925799E-2</v>
      </c>
      <c r="Q239" s="570">
        <v>5.3494635737282798E-3</v>
      </c>
    </row>
    <row r="240" spans="2:17" ht="15.75" x14ac:dyDescent="0.25">
      <c r="B240" s="6">
        <v>2028</v>
      </c>
      <c r="C240" s="7">
        <v>2025</v>
      </c>
      <c r="D240" s="484" t="s">
        <v>3499</v>
      </c>
      <c r="E240" s="488">
        <v>0.1472276800399922</v>
      </c>
      <c r="F240" s="489">
        <v>0.16767910585308671</v>
      </c>
      <c r="G240" s="487">
        <v>2.7706088164192802E-3</v>
      </c>
      <c r="H240" s="8">
        <v>1.54920838685791E-2</v>
      </c>
      <c r="I240" s="8">
        <v>0.78756873635366698</v>
      </c>
      <c r="J240" s="8">
        <v>0.142426334639571</v>
      </c>
      <c r="K240" s="8">
        <v>5.70548234660584E-3</v>
      </c>
      <c r="L240" s="8">
        <v>2.1039920473797801E-3</v>
      </c>
      <c r="M240" s="8">
        <v>8.2393452001956104E-3</v>
      </c>
      <c r="N240" s="8">
        <v>2.58146717483749E-3</v>
      </c>
      <c r="O240" s="8">
        <v>2.9970698370588501E-2</v>
      </c>
      <c r="P240" s="9">
        <v>4.8477082744600698E-2</v>
      </c>
      <c r="Q240" s="570">
        <v>5.9634589406164003E-3</v>
      </c>
    </row>
    <row r="241" spans="2:17" ht="15.75" x14ac:dyDescent="0.25">
      <c r="B241" s="6">
        <v>2028</v>
      </c>
      <c r="C241" s="7">
        <v>2026</v>
      </c>
      <c r="D241" s="484" t="s">
        <v>3500</v>
      </c>
      <c r="E241" s="488">
        <v>0.13727679333284173</v>
      </c>
      <c r="F241" s="489">
        <v>0.1951159271141196</v>
      </c>
      <c r="G241" s="487">
        <v>2.13777824870948E-3</v>
      </c>
      <c r="H241" s="8">
        <v>2.04008700951415E-2</v>
      </c>
      <c r="I241" s="8">
        <v>0.72494755682137402</v>
      </c>
      <c r="J241" s="8">
        <v>0.18191182140821599</v>
      </c>
      <c r="K241" s="8">
        <v>5.2697710093494703E-3</v>
      </c>
      <c r="L241" s="8">
        <v>2.1490473187839401E-3</v>
      </c>
      <c r="M241" s="8">
        <v>7.1261269485415604E-3</v>
      </c>
      <c r="N241" s="8">
        <v>2.8655922878715601E-3</v>
      </c>
      <c r="O241" s="8">
        <v>3.5487855365208702E-2</v>
      </c>
      <c r="P241" s="9">
        <v>5.3489049738521699E-2</v>
      </c>
      <c r="Q241" s="570">
        <v>5.5080466701297303E-3</v>
      </c>
    </row>
    <row r="242" spans="2:17" ht="15.75" x14ac:dyDescent="0.25">
      <c r="B242" s="6">
        <v>2028</v>
      </c>
      <c r="C242" s="7">
        <v>2027</v>
      </c>
      <c r="D242" s="484" t="s">
        <v>3501</v>
      </c>
      <c r="E242" s="488">
        <v>0.14361338109552144</v>
      </c>
      <c r="F242" s="489">
        <v>0.17119304589176745</v>
      </c>
      <c r="G242" s="487">
        <v>5.8668173999424601E-3</v>
      </c>
      <c r="H242" s="8">
        <v>1.78014536375261E-2</v>
      </c>
      <c r="I242" s="8">
        <v>0.76169660940716499</v>
      </c>
      <c r="J242" s="8">
        <v>0.130865067829671</v>
      </c>
      <c r="K242" s="8">
        <v>5.7583079248077502E-3</v>
      </c>
      <c r="L242" s="8">
        <v>2.1111302654675101E-3</v>
      </c>
      <c r="M242" s="8">
        <v>8.0129682440654802E-3</v>
      </c>
      <c r="N242" s="8">
        <v>2.68792194686597E-3</v>
      </c>
      <c r="O242" s="8">
        <v>3.06533011813339E-2</v>
      </c>
      <c r="P242" s="9">
        <v>5.0354944923183098E-2</v>
      </c>
      <c r="Q242" s="570">
        <v>6.0186730570545802E-3</v>
      </c>
    </row>
    <row r="243" spans="2:17" ht="15.75" x14ac:dyDescent="0.25">
      <c r="B243" s="6">
        <v>2028</v>
      </c>
      <c r="C243" s="7">
        <v>2028</v>
      </c>
      <c r="D243" s="484" t="s">
        <v>3502</v>
      </c>
      <c r="E243" s="488">
        <v>0.14519487842231057</v>
      </c>
      <c r="F243" s="489">
        <v>0.14944590103585298</v>
      </c>
      <c r="G243" s="487">
        <v>1.9854631249692002E-3</v>
      </c>
      <c r="H243" s="8">
        <v>1.4217159070935599E-2</v>
      </c>
      <c r="I243" s="8">
        <v>0.77523300577465903</v>
      </c>
      <c r="J243" s="8">
        <v>8.9912781245991197E-2</v>
      </c>
      <c r="K243" s="8">
        <v>5.5339013218783798E-3</v>
      </c>
      <c r="L243" s="8">
        <v>1.86095468502749E-3</v>
      </c>
      <c r="M243" s="8">
        <v>7.9869888029784602E-3</v>
      </c>
      <c r="N243" s="8">
        <v>2.5138343814374402E-3</v>
      </c>
      <c r="O243" s="8">
        <v>3.1293825953789503E-2</v>
      </c>
      <c r="P243" s="9">
        <v>4.72840402690239E-2</v>
      </c>
      <c r="Q243" s="570">
        <v>5.7841197833302998E-3</v>
      </c>
    </row>
    <row r="244" spans="2:17" ht="15.75" x14ac:dyDescent="0.25">
      <c r="B244" s="6">
        <v>2029</v>
      </c>
      <c r="C244" s="7">
        <v>2015</v>
      </c>
      <c r="D244" s="484" t="s">
        <v>3533</v>
      </c>
      <c r="E244" s="488">
        <v>0.15733184025254049</v>
      </c>
      <c r="F244" s="489">
        <v>0.26069763084607134</v>
      </c>
      <c r="G244" s="487">
        <v>9.7043888207479505E-4</v>
      </c>
      <c r="H244" s="8">
        <v>2.2694078803823299E-2</v>
      </c>
      <c r="I244" s="8">
        <v>0.72776238113491398</v>
      </c>
      <c r="J244" s="8">
        <v>0.50700878977349495</v>
      </c>
      <c r="K244" s="8">
        <v>5.2488009064911197E-3</v>
      </c>
      <c r="L244" s="8">
        <v>1.6666256212792599E-3</v>
      </c>
      <c r="M244" s="8">
        <v>7.11951940734009E-3</v>
      </c>
      <c r="N244" s="8">
        <v>3.0000018168034001E-3</v>
      </c>
      <c r="O244" s="8">
        <v>3.56743976352496E-2</v>
      </c>
      <c r="P244" s="9">
        <v>5.5860033828879302E-2</v>
      </c>
      <c r="Q244" s="570">
        <v>5.4861283922735798E-3</v>
      </c>
    </row>
    <row r="245" spans="2:17" ht="15.75" x14ac:dyDescent="0.25">
      <c r="B245" s="6">
        <v>2029</v>
      </c>
      <c r="C245" s="7">
        <v>2016</v>
      </c>
      <c r="D245" s="484" t="s">
        <v>3534</v>
      </c>
      <c r="E245" s="488">
        <v>0.15010094211554342</v>
      </c>
      <c r="F245" s="489">
        <v>0.2603741025450107</v>
      </c>
      <c r="G245" s="487">
        <v>1.1114828158634001E-3</v>
      </c>
      <c r="H245" s="8">
        <v>2.2727315208066399E-2</v>
      </c>
      <c r="I245" s="8">
        <v>0.80684234863895699</v>
      </c>
      <c r="J245" s="8">
        <v>0.46212462987547098</v>
      </c>
      <c r="K245" s="8">
        <v>5.6896892073255304E-3</v>
      </c>
      <c r="L245" s="8">
        <v>1.9161316649005801E-3</v>
      </c>
      <c r="M245" s="8">
        <v>8.4801923749320395E-3</v>
      </c>
      <c r="N245" s="8">
        <v>3.0000018168034001E-3</v>
      </c>
      <c r="O245" s="8">
        <v>2.9007100094048999E-2</v>
      </c>
      <c r="P245" s="9">
        <v>5.5860033828879302E-2</v>
      </c>
      <c r="Q245" s="570">
        <v>5.9469517056588601E-3</v>
      </c>
    </row>
    <row r="246" spans="2:17" ht="15.75" x14ac:dyDescent="0.25">
      <c r="B246" s="6">
        <v>2029</v>
      </c>
      <c r="C246" s="7">
        <v>2017</v>
      </c>
      <c r="D246" s="484" t="s">
        <v>3535</v>
      </c>
      <c r="E246" s="488">
        <v>0.14753458405255956</v>
      </c>
      <c r="F246" s="489">
        <v>0.25044601295669178</v>
      </c>
      <c r="G246" s="487">
        <v>1.0825850028745E-3</v>
      </c>
      <c r="H246" s="8">
        <v>2.2698184228383898E-2</v>
      </c>
      <c r="I246" s="8">
        <v>0.79070769464368096</v>
      </c>
      <c r="J246" s="8">
        <v>0.44419717075429099</v>
      </c>
      <c r="K246" s="8">
        <v>5.5828913717562902E-3</v>
      </c>
      <c r="L246" s="8">
        <v>2.0603636243968601E-3</v>
      </c>
      <c r="M246" s="8">
        <v>8.1968512173828598E-3</v>
      </c>
      <c r="N246" s="8">
        <v>3.0000018168034001E-3</v>
      </c>
      <c r="O246" s="8">
        <v>3.0395471766039898E-2</v>
      </c>
      <c r="P246" s="9">
        <v>5.5860033828879302E-2</v>
      </c>
      <c r="Q246" s="570">
        <v>5.8353249458735603E-3</v>
      </c>
    </row>
    <row r="247" spans="2:17" ht="15.75" x14ac:dyDescent="0.25">
      <c r="B247" s="6">
        <v>2029</v>
      </c>
      <c r="C247" s="7">
        <v>2018</v>
      </c>
      <c r="D247" s="484" t="s">
        <v>3536</v>
      </c>
      <c r="E247" s="488">
        <v>0.14667109937655012</v>
      </c>
      <c r="F247" s="489">
        <v>0.25070883603466182</v>
      </c>
      <c r="G247" s="487">
        <v>1.07279785480341E-3</v>
      </c>
      <c r="H247" s="8">
        <v>2.2731145206663E-2</v>
      </c>
      <c r="I247" s="8">
        <v>0.78521566040511204</v>
      </c>
      <c r="J247" s="8">
        <v>0.40751775101369397</v>
      </c>
      <c r="K247" s="8">
        <v>5.5523611817805902E-3</v>
      </c>
      <c r="L247" s="8">
        <v>2.1424102515329099E-3</v>
      </c>
      <c r="M247" s="8">
        <v>8.1024128241801701E-3</v>
      </c>
      <c r="N247" s="8">
        <v>3.0000018168034001E-3</v>
      </c>
      <c r="O247" s="8">
        <v>3.0858219892733098E-2</v>
      </c>
      <c r="P247" s="9">
        <v>5.5860033828879302E-2</v>
      </c>
      <c r="Q247" s="570">
        <v>5.8034143161828696E-3</v>
      </c>
    </row>
    <row r="248" spans="2:17" ht="15.75" x14ac:dyDescent="0.25">
      <c r="B248" s="6">
        <v>2029</v>
      </c>
      <c r="C248" s="7">
        <v>2019</v>
      </c>
      <c r="D248" s="484" t="s">
        <v>3537</v>
      </c>
      <c r="E248" s="488">
        <v>0.12594998744248165</v>
      </c>
      <c r="F248" s="489">
        <v>0.19054718023299289</v>
      </c>
      <c r="G248" s="487">
        <v>1.1623307753777099E-2</v>
      </c>
      <c r="H248" s="8">
        <v>1.52650217905196E-2</v>
      </c>
      <c r="I248" s="8">
        <v>0.65270513244467199</v>
      </c>
      <c r="J248" s="8">
        <v>0.24939839245598899</v>
      </c>
      <c r="K248" s="8">
        <v>6.0189912444106996E-3</v>
      </c>
      <c r="L248" s="8">
        <v>1.90602259081545E-3</v>
      </c>
      <c r="M248" s="8">
        <v>6.1887673271251598E-3</v>
      </c>
      <c r="N248" s="8">
        <v>2.56330548318292E-3</v>
      </c>
      <c r="O248" s="8">
        <v>3.9044796153884599E-2</v>
      </c>
      <c r="P248" s="9">
        <v>4.8156710503814003E-2</v>
      </c>
      <c r="Q248" s="570">
        <v>6.2911433196048798E-3</v>
      </c>
    </row>
    <row r="249" spans="2:17" ht="15.75" x14ac:dyDescent="0.25">
      <c r="B249" s="6">
        <v>2029</v>
      </c>
      <c r="C249" s="7">
        <v>2020</v>
      </c>
      <c r="D249" s="484" t="s">
        <v>3538</v>
      </c>
      <c r="E249" s="488">
        <v>0.13380155127066548</v>
      </c>
      <c r="F249" s="489">
        <v>0.19448461457826968</v>
      </c>
      <c r="G249" s="487">
        <v>1.11131994082076E-2</v>
      </c>
      <c r="H249" s="8">
        <v>1.5515773288967199E-2</v>
      </c>
      <c r="I249" s="8">
        <v>0.70026922221838805</v>
      </c>
      <c r="J249" s="8">
        <v>0.24248848870029799</v>
      </c>
      <c r="K249" s="8">
        <v>6.2123641392549302E-3</v>
      </c>
      <c r="L249" s="8">
        <v>1.8186955082101601E-3</v>
      </c>
      <c r="M249" s="8">
        <v>7.0388728592668303E-3</v>
      </c>
      <c r="N249" s="8">
        <v>2.6156372631370999E-3</v>
      </c>
      <c r="O249" s="8">
        <v>3.4924586870405998E-2</v>
      </c>
      <c r="P249" s="9">
        <v>4.9079843102205797E-2</v>
      </c>
      <c r="Q249" s="570">
        <v>6.4932596786744503E-3</v>
      </c>
    </row>
    <row r="250" spans="2:17" ht="15.75" x14ac:dyDescent="0.25">
      <c r="B250" s="6">
        <v>2029</v>
      </c>
      <c r="C250" s="7">
        <v>2021</v>
      </c>
      <c r="D250" s="484" t="s">
        <v>3539</v>
      </c>
      <c r="E250" s="488">
        <v>0.11510022244438702</v>
      </c>
      <c r="F250" s="489">
        <v>0.1879650330155811</v>
      </c>
      <c r="G250" s="487">
        <v>1.3198583741821E-2</v>
      </c>
      <c r="H250" s="8">
        <v>1.65398085480555E-2</v>
      </c>
      <c r="I250" s="8">
        <v>0.57946988905599806</v>
      </c>
      <c r="J250" s="8">
        <v>0.24452381416284</v>
      </c>
      <c r="K250" s="8">
        <v>5.6714945624045804E-3</v>
      </c>
      <c r="L250" s="8">
        <v>2.0646687564844202E-3</v>
      </c>
      <c r="M250" s="8">
        <v>5.0813465795136598E-3</v>
      </c>
      <c r="N250" s="8">
        <v>2.6451174676676999E-3</v>
      </c>
      <c r="O250" s="8">
        <v>4.4232528473295403E-2</v>
      </c>
      <c r="P250" s="9">
        <v>4.9599873910125498E-2</v>
      </c>
      <c r="Q250" s="570">
        <v>5.9279343796321202E-3</v>
      </c>
    </row>
    <row r="251" spans="2:17" ht="15.75" x14ac:dyDescent="0.25">
      <c r="B251" s="6">
        <v>2029</v>
      </c>
      <c r="C251" s="7">
        <v>2022</v>
      </c>
      <c r="D251" s="484" t="s">
        <v>3540</v>
      </c>
      <c r="E251" s="488">
        <v>0.1284448785959742</v>
      </c>
      <c r="F251" s="489">
        <v>0.18045956876147901</v>
      </c>
      <c r="G251" s="487">
        <v>3.3625588106080198E-3</v>
      </c>
      <c r="H251" s="8">
        <v>1.5147652973807799E-2</v>
      </c>
      <c r="I251" s="8">
        <v>0.668236116235292</v>
      </c>
      <c r="J251" s="8">
        <v>0.20526387317998801</v>
      </c>
      <c r="K251" s="8">
        <v>5.1055094190571798E-3</v>
      </c>
      <c r="L251" s="8">
        <v>2.05625599386765E-3</v>
      </c>
      <c r="M251" s="8">
        <v>6.1951533128498E-3</v>
      </c>
      <c r="N251" s="8">
        <v>2.5835779221722501E-3</v>
      </c>
      <c r="O251" s="8">
        <v>3.99125734130239E-2</v>
      </c>
      <c r="P251" s="9">
        <v>4.8514316327585801E-2</v>
      </c>
      <c r="Q251" s="570">
        <v>5.3363578996244304E-3</v>
      </c>
    </row>
    <row r="252" spans="2:17" ht="15.75" x14ac:dyDescent="0.25">
      <c r="B252" s="6">
        <v>2029</v>
      </c>
      <c r="C252" s="7">
        <v>2023</v>
      </c>
      <c r="D252" s="484" t="s">
        <v>3541</v>
      </c>
      <c r="E252" s="488">
        <v>0.13196230178363058</v>
      </c>
      <c r="F252" s="489">
        <v>0.19696264721181306</v>
      </c>
      <c r="G252" s="487">
        <v>2.3134815883702098E-3</v>
      </c>
      <c r="H252" s="8">
        <v>1.7980156116794599E-2</v>
      </c>
      <c r="I252" s="8">
        <v>0.69030552532396205</v>
      </c>
      <c r="J252" s="8">
        <v>0.231243393047532</v>
      </c>
      <c r="K252" s="8">
        <v>5.1929408974512297E-3</v>
      </c>
      <c r="L252" s="8">
        <v>2.1302558587451498E-3</v>
      </c>
      <c r="M252" s="8">
        <v>6.5577156549058097E-3</v>
      </c>
      <c r="N252" s="8">
        <v>2.7374603005563799E-3</v>
      </c>
      <c r="O252" s="8">
        <v>3.8260144561079901E-2</v>
      </c>
      <c r="P252" s="9">
        <v>5.1228801482281899E-2</v>
      </c>
      <c r="Q252" s="570">
        <v>5.4277426415000199E-3</v>
      </c>
    </row>
    <row r="253" spans="2:17" ht="15.75" x14ac:dyDescent="0.25">
      <c r="B253" s="6">
        <v>2029</v>
      </c>
      <c r="C253" s="7">
        <v>2024</v>
      </c>
      <c r="D253" s="484" t="s">
        <v>3542</v>
      </c>
      <c r="E253" s="488">
        <v>0.13288784579380136</v>
      </c>
      <c r="F253" s="489">
        <v>0.15842597101663025</v>
      </c>
      <c r="G253" s="487">
        <v>2.1569536990821798E-3</v>
      </c>
      <c r="H253" s="8">
        <v>1.37054782214301E-2</v>
      </c>
      <c r="I253" s="8">
        <v>0.69720884627975299</v>
      </c>
      <c r="J253" s="8">
        <v>0.160846000128996</v>
      </c>
      <c r="K253" s="8">
        <v>5.1305137371320097E-3</v>
      </c>
      <c r="L253" s="8">
        <v>1.8417114757723701E-3</v>
      </c>
      <c r="M253" s="8">
        <v>6.6399560493253596E-3</v>
      </c>
      <c r="N253" s="8">
        <v>2.5321795393683901E-3</v>
      </c>
      <c r="O253" s="8">
        <v>3.7873566345168502E-2</v>
      </c>
      <c r="P253" s="9">
        <v>4.7607648854925799E-2</v>
      </c>
      <c r="Q253" s="570">
        <v>5.3624928020075896E-3</v>
      </c>
    </row>
    <row r="254" spans="2:17" ht="15.75" x14ac:dyDescent="0.25">
      <c r="B254" s="6">
        <v>2029</v>
      </c>
      <c r="C254" s="7">
        <v>2025</v>
      </c>
      <c r="D254" s="484" t="s">
        <v>3543</v>
      </c>
      <c r="E254" s="488">
        <v>0.1472276800399922</v>
      </c>
      <c r="F254" s="489">
        <v>0.16768182689199476</v>
      </c>
      <c r="G254" s="487">
        <v>2.81501281037163E-3</v>
      </c>
      <c r="H254" s="8">
        <v>1.5277929880291301E-2</v>
      </c>
      <c r="I254" s="8">
        <v>0.78761376221386104</v>
      </c>
      <c r="J254" s="8">
        <v>0.16347891894292799</v>
      </c>
      <c r="K254" s="8">
        <v>5.7242838244270997E-3</v>
      </c>
      <c r="L254" s="8">
        <v>2.1039920473797801E-3</v>
      </c>
      <c r="M254" s="8">
        <v>8.2393452001956104E-3</v>
      </c>
      <c r="N254" s="8">
        <v>2.58146717483749E-3</v>
      </c>
      <c r="O254" s="8">
        <v>2.9970698370588501E-2</v>
      </c>
      <c r="P254" s="9">
        <v>4.8477082744600698E-2</v>
      </c>
      <c r="Q254" s="570">
        <v>5.98311053783442E-3</v>
      </c>
    </row>
    <row r="255" spans="2:17" ht="15.75" x14ac:dyDescent="0.25">
      <c r="B255" s="6">
        <v>2029</v>
      </c>
      <c r="C255" s="7">
        <v>2026</v>
      </c>
      <c r="D255" s="484" t="s">
        <v>3544</v>
      </c>
      <c r="E255" s="488">
        <v>0.13727679333284173</v>
      </c>
      <c r="F255" s="489">
        <v>0.19511820956132062</v>
      </c>
      <c r="G255" s="487">
        <v>2.1709066040732201E-3</v>
      </c>
      <c r="H255" s="8">
        <v>2.02955650569429E-2</v>
      </c>
      <c r="I255" s="8">
        <v>0.72498115271764996</v>
      </c>
      <c r="J255" s="8">
        <v>0.19937322382085801</v>
      </c>
      <c r="K255" s="8">
        <v>5.2837982524156302E-3</v>
      </c>
      <c r="L255" s="8">
        <v>2.1490473187839401E-3</v>
      </c>
      <c r="M255" s="8">
        <v>7.1261269485415604E-3</v>
      </c>
      <c r="N255" s="8">
        <v>2.8655922878715601E-3</v>
      </c>
      <c r="O255" s="8">
        <v>3.5487855365208702E-2</v>
      </c>
      <c r="P255" s="9">
        <v>5.3489049738521699E-2</v>
      </c>
      <c r="Q255" s="570">
        <v>5.5227081628823702E-3</v>
      </c>
    </row>
    <row r="256" spans="2:17" ht="15.75" x14ac:dyDescent="0.25">
      <c r="B256" s="6">
        <v>2029</v>
      </c>
      <c r="C256" s="7">
        <v>2027</v>
      </c>
      <c r="D256" s="484" t="s">
        <v>3545</v>
      </c>
      <c r="E256" s="488">
        <v>0.14361338109552144</v>
      </c>
      <c r="F256" s="489">
        <v>0.17119545646429804</v>
      </c>
      <c r="G256" s="487">
        <v>6.0140359489275997E-3</v>
      </c>
      <c r="H256" s="8">
        <v>1.7546183012111301E-2</v>
      </c>
      <c r="I256" s="8">
        <v>0.76184500949882406</v>
      </c>
      <c r="J256" s="8">
        <v>0.151726764853299</v>
      </c>
      <c r="K256" s="8">
        <v>5.8199708632801399E-3</v>
      </c>
      <c r="L256" s="8">
        <v>2.1111302654675101E-3</v>
      </c>
      <c r="M256" s="8">
        <v>8.0129682440654802E-3</v>
      </c>
      <c r="N256" s="8">
        <v>2.68792194686597E-3</v>
      </c>
      <c r="O256" s="8">
        <v>3.06533011813339E-2</v>
      </c>
      <c r="P256" s="9">
        <v>5.0354944923183098E-2</v>
      </c>
      <c r="Q256" s="570">
        <v>6.0831241199794496E-3</v>
      </c>
    </row>
    <row r="257" spans="2:17" ht="15.75" x14ac:dyDescent="0.25">
      <c r="B257" s="6">
        <v>2029</v>
      </c>
      <c r="C257" s="7">
        <v>2028</v>
      </c>
      <c r="D257" s="484" t="s">
        <v>3546</v>
      </c>
      <c r="E257" s="488">
        <v>0.14519487842231057</v>
      </c>
      <c r="F257" s="489">
        <v>0.14944953967390379</v>
      </c>
      <c r="G257" s="487">
        <v>2.0160045217600098E-3</v>
      </c>
      <c r="H257" s="8">
        <v>1.43214050625858E-2</v>
      </c>
      <c r="I257" s="8">
        <v>0.77526395598558695</v>
      </c>
      <c r="J257" s="8">
        <v>0.10579341763411</v>
      </c>
      <c r="K257" s="8">
        <v>5.5468174160649497E-3</v>
      </c>
      <c r="L257" s="8">
        <v>1.86095468502749E-3</v>
      </c>
      <c r="M257" s="8">
        <v>7.9869888029784602E-3</v>
      </c>
      <c r="N257" s="8">
        <v>2.5138343814374402E-3</v>
      </c>
      <c r="O257" s="8">
        <v>3.12938259537896E-2</v>
      </c>
      <c r="P257" s="9">
        <v>4.72840402690239E-2</v>
      </c>
      <c r="Q257" s="570">
        <v>5.7976198859816704E-3</v>
      </c>
    </row>
    <row r="258" spans="2:17" ht="15.75" x14ac:dyDescent="0.25">
      <c r="B258" s="6">
        <v>2029</v>
      </c>
      <c r="C258" s="7">
        <v>2029</v>
      </c>
      <c r="D258" s="484" t="s">
        <v>3547</v>
      </c>
      <c r="E258" s="488">
        <v>0.13977797368771358</v>
      </c>
      <c r="F258" s="489">
        <v>0.16442117442861262</v>
      </c>
      <c r="G258" s="487">
        <v>1.93499050962196E-3</v>
      </c>
      <c r="H258" s="8">
        <v>1.65885242202456E-2</v>
      </c>
      <c r="I258" s="8">
        <v>0.74093875097640305</v>
      </c>
      <c r="J258" s="8">
        <v>0.10350109829632299</v>
      </c>
      <c r="K258" s="8">
        <v>5.3238707125791498E-3</v>
      </c>
      <c r="L258" s="8">
        <v>2.0547918909442102E-3</v>
      </c>
      <c r="M258" s="8">
        <v>7.3929121003645602E-3</v>
      </c>
      <c r="N258" s="8">
        <v>2.6274411642777402E-3</v>
      </c>
      <c r="O258" s="8">
        <v>3.4203115317697E-2</v>
      </c>
      <c r="P258" s="9">
        <v>4.9288063918326797E-2</v>
      </c>
      <c r="Q258" s="570">
        <v>5.5645925218755802E-3</v>
      </c>
    </row>
    <row r="259" spans="2:17" ht="15.75" x14ac:dyDescent="0.25">
      <c r="B259" s="6">
        <v>2030</v>
      </c>
      <c r="C259" s="7">
        <v>2016</v>
      </c>
      <c r="D259" s="484" t="s">
        <v>3578</v>
      </c>
      <c r="E259" s="488">
        <v>0.15010094211554317</v>
      </c>
      <c r="F259" s="489">
        <v>0.26038051904876064</v>
      </c>
      <c r="G259" s="487">
        <v>1.1114828158634001E-3</v>
      </c>
      <c r="H259" s="8">
        <v>2.2727315208066399E-2</v>
      </c>
      <c r="I259" s="8">
        <v>0.80684234863895699</v>
      </c>
      <c r="J259" s="8">
        <v>0.49799908473173399</v>
      </c>
      <c r="K259" s="8">
        <v>5.6896892073255304E-3</v>
      </c>
      <c r="L259" s="8">
        <v>1.9161316649005801E-3</v>
      </c>
      <c r="M259" s="8">
        <v>8.4801923749320395E-3</v>
      </c>
      <c r="N259" s="8">
        <v>3.0000018168034001E-3</v>
      </c>
      <c r="O259" s="8">
        <v>2.9007100094048999E-2</v>
      </c>
      <c r="P259" s="9">
        <v>5.5860033828879302E-2</v>
      </c>
      <c r="Q259" s="570">
        <v>5.9469517056588601E-3</v>
      </c>
    </row>
    <row r="260" spans="2:17" ht="15.75" x14ac:dyDescent="0.25">
      <c r="B260" s="6">
        <v>2030</v>
      </c>
      <c r="C260" s="7">
        <v>2017</v>
      </c>
      <c r="D260" s="484" t="s">
        <v>3579</v>
      </c>
      <c r="E260" s="488">
        <v>0.14753458405255956</v>
      </c>
      <c r="F260" s="489">
        <v>0.25044958111693738</v>
      </c>
      <c r="G260" s="487">
        <v>1.0825850028745E-3</v>
      </c>
      <c r="H260" s="8">
        <v>2.2698184228383898E-2</v>
      </c>
      <c r="I260" s="8">
        <v>0.79070769464368096</v>
      </c>
      <c r="J260" s="8">
        <v>0.46517538891455201</v>
      </c>
      <c r="K260" s="8">
        <v>5.5828913717562902E-3</v>
      </c>
      <c r="L260" s="8">
        <v>2.0603636243968601E-3</v>
      </c>
      <c r="M260" s="8">
        <v>8.1968512173828598E-3</v>
      </c>
      <c r="N260" s="8">
        <v>3.0000018168034001E-3</v>
      </c>
      <c r="O260" s="8">
        <v>3.0395471766039898E-2</v>
      </c>
      <c r="P260" s="9">
        <v>5.5860033828879302E-2</v>
      </c>
      <c r="Q260" s="570">
        <v>5.8353249458735603E-3</v>
      </c>
    </row>
    <row r="261" spans="2:17" ht="15.75" x14ac:dyDescent="0.25">
      <c r="B261" s="6">
        <v>2030</v>
      </c>
      <c r="C261" s="7">
        <v>2018</v>
      </c>
      <c r="D261" s="484" t="s">
        <v>3580</v>
      </c>
      <c r="E261" s="488">
        <v>0.14667109937655012</v>
      </c>
      <c r="F261" s="489">
        <v>0.25071509382585239</v>
      </c>
      <c r="G261" s="487">
        <v>1.07279785480341E-3</v>
      </c>
      <c r="H261" s="8">
        <v>2.2731145206663E-2</v>
      </c>
      <c r="I261" s="8">
        <v>0.78521566040511104</v>
      </c>
      <c r="J261" s="8">
        <v>0.44029289349608502</v>
      </c>
      <c r="K261" s="8">
        <v>5.5523611817805902E-3</v>
      </c>
      <c r="L261" s="8">
        <v>2.1424102515329099E-3</v>
      </c>
      <c r="M261" s="8">
        <v>8.1024128241801701E-3</v>
      </c>
      <c r="N261" s="8">
        <v>3.0000018168034001E-3</v>
      </c>
      <c r="O261" s="8">
        <v>3.0858219892733098E-2</v>
      </c>
      <c r="P261" s="9">
        <v>5.5860033828879302E-2</v>
      </c>
      <c r="Q261" s="570">
        <v>5.8034143161828696E-3</v>
      </c>
    </row>
    <row r="262" spans="2:17" ht="15.75" x14ac:dyDescent="0.25">
      <c r="B262" s="6">
        <v>2030</v>
      </c>
      <c r="C262" s="7">
        <v>2019</v>
      </c>
      <c r="D262" s="484" t="s">
        <v>3581</v>
      </c>
      <c r="E262" s="488">
        <v>0.13320379982585182</v>
      </c>
      <c r="F262" s="489">
        <v>0.25039728312287524</v>
      </c>
      <c r="G262" s="487">
        <v>9.2044291085117795E-4</v>
      </c>
      <c r="H262" s="8">
        <v>2.2731562716455999E-2</v>
      </c>
      <c r="I262" s="8">
        <v>0.69979582962259701</v>
      </c>
      <c r="J262" s="8">
        <v>0.40974011565664997</v>
      </c>
      <c r="K262" s="8">
        <v>5.04605245941966E-3</v>
      </c>
      <c r="L262" s="8">
        <v>2.2026440308258702E-3</v>
      </c>
      <c r="M262" s="8">
        <v>6.6262164414258298E-3</v>
      </c>
      <c r="N262" s="8">
        <v>3.0000018168033901E-3</v>
      </c>
      <c r="O262" s="8">
        <v>3.8091582168229401E-2</v>
      </c>
      <c r="P262" s="9">
        <v>5.5860033828879302E-2</v>
      </c>
      <c r="Q262" s="570">
        <v>5.27421256010846E-3</v>
      </c>
    </row>
    <row r="263" spans="2:17" ht="15.75" x14ac:dyDescent="0.25">
      <c r="B263" s="6">
        <v>2030</v>
      </c>
      <c r="C263" s="7">
        <v>2020</v>
      </c>
      <c r="D263" s="484" t="s">
        <v>3582</v>
      </c>
      <c r="E263" s="488">
        <v>0.13380155127066526</v>
      </c>
      <c r="F263" s="489">
        <v>0.19448796650964401</v>
      </c>
      <c r="G263" s="487">
        <v>1.1280423527352401E-2</v>
      </c>
      <c r="H263" s="8">
        <v>1.55176960444246E-2</v>
      </c>
      <c r="I263" s="8">
        <v>0.70054667622357503</v>
      </c>
      <c r="J263" s="8">
        <v>0.261974882052461</v>
      </c>
      <c r="K263" s="8">
        <v>6.2831437672626698E-3</v>
      </c>
      <c r="L263" s="8">
        <v>1.8186955082101601E-3</v>
      </c>
      <c r="M263" s="8">
        <v>7.0388728592668303E-3</v>
      </c>
      <c r="N263" s="8">
        <v>2.6156372631370999E-3</v>
      </c>
      <c r="O263" s="8">
        <v>3.4924586870405998E-2</v>
      </c>
      <c r="P263" s="9">
        <v>4.9079843102205797E-2</v>
      </c>
      <c r="Q263" s="570">
        <v>6.5672396473807496E-3</v>
      </c>
    </row>
    <row r="264" spans="2:17" ht="15.75" x14ac:dyDescent="0.25">
      <c r="B264" s="6">
        <v>2030</v>
      </c>
      <c r="C264" s="7">
        <v>2021</v>
      </c>
      <c r="D264" s="484" t="s">
        <v>3583</v>
      </c>
      <c r="E264" s="488">
        <v>0.11510022244438702</v>
      </c>
      <c r="F264" s="489">
        <v>0.18796668855035664</v>
      </c>
      <c r="G264" s="487">
        <v>1.34212194068653E-2</v>
      </c>
      <c r="H264" s="8">
        <v>1.6559419995348199E-2</v>
      </c>
      <c r="I264" s="8">
        <v>0.57976831037535403</v>
      </c>
      <c r="J264" s="8">
        <v>0.25308954298247399</v>
      </c>
      <c r="K264" s="8">
        <v>5.7657596296692296E-3</v>
      </c>
      <c r="L264" s="8">
        <v>2.0646687564844202E-3</v>
      </c>
      <c r="M264" s="8">
        <v>5.0813465795136502E-3</v>
      </c>
      <c r="N264" s="8">
        <v>2.6451174676676999E-3</v>
      </c>
      <c r="O264" s="8">
        <v>4.4232528473295403E-2</v>
      </c>
      <c r="P264" s="9">
        <v>4.9599873910125498E-2</v>
      </c>
      <c r="Q264" s="570">
        <v>6.0264616949434399E-3</v>
      </c>
    </row>
    <row r="265" spans="2:17" ht="15.75" x14ac:dyDescent="0.25">
      <c r="B265" s="6">
        <v>2030</v>
      </c>
      <c r="C265" s="7">
        <v>2022</v>
      </c>
      <c r="D265" s="484" t="s">
        <v>3584</v>
      </c>
      <c r="E265" s="488">
        <v>0.1284448785959742</v>
      </c>
      <c r="F265" s="489">
        <v>0.18046274286139924</v>
      </c>
      <c r="G265" s="487">
        <v>3.4107972386738599E-3</v>
      </c>
      <c r="H265" s="8">
        <v>1.5186434317718199E-2</v>
      </c>
      <c r="I265" s="8">
        <v>0.668285030322467</v>
      </c>
      <c r="J265" s="8">
        <v>0.22177833470989899</v>
      </c>
      <c r="K265" s="8">
        <v>5.1259342778105397E-3</v>
      </c>
      <c r="L265" s="8">
        <v>2.05625599386765E-3</v>
      </c>
      <c r="M265" s="8">
        <v>6.1951533128498E-3</v>
      </c>
      <c r="N265" s="8">
        <v>2.5835779221722501E-3</v>
      </c>
      <c r="O265" s="8">
        <v>3.99125734130239E-2</v>
      </c>
      <c r="P265" s="9">
        <v>4.8514316327585801E-2</v>
      </c>
      <c r="Q265" s="570">
        <v>5.3577062798566503E-3</v>
      </c>
    </row>
    <row r="266" spans="2:17" ht="15.75" x14ac:dyDescent="0.25">
      <c r="B266" s="6">
        <v>2030</v>
      </c>
      <c r="C266" s="7">
        <v>2023</v>
      </c>
      <c r="D266" s="484" t="s">
        <v>3585</v>
      </c>
      <c r="E266" s="488">
        <v>0.13196230178363058</v>
      </c>
      <c r="F266" s="489">
        <v>0.19696586911500821</v>
      </c>
      <c r="G266" s="487">
        <v>2.3429010921084E-3</v>
      </c>
      <c r="H266" s="8">
        <v>1.8008326143405098E-2</v>
      </c>
      <c r="I266" s="8">
        <v>0.69033532538615205</v>
      </c>
      <c r="J266" s="8">
        <v>0.248891194879515</v>
      </c>
      <c r="K266" s="8">
        <v>5.2053738589445901E-3</v>
      </c>
      <c r="L266" s="8">
        <v>2.1302558587451498E-3</v>
      </c>
      <c r="M266" s="8">
        <v>6.5577156549058097E-3</v>
      </c>
      <c r="N266" s="8">
        <v>2.7374603005563799E-3</v>
      </c>
      <c r="O266" s="8">
        <v>3.8260144561079901E-2</v>
      </c>
      <c r="P266" s="9">
        <v>5.1228801482281899E-2</v>
      </c>
      <c r="Q266" s="570">
        <v>5.4407377663416596E-3</v>
      </c>
    </row>
    <row r="267" spans="2:17" ht="15.75" x14ac:dyDescent="0.25">
      <c r="B267" s="6">
        <v>2030</v>
      </c>
      <c r="C267" s="7">
        <v>2024</v>
      </c>
      <c r="D267" s="484" t="s">
        <v>3586</v>
      </c>
      <c r="E267" s="488">
        <v>0.13288784579380136</v>
      </c>
      <c r="F267" s="489">
        <v>0.15842858907025817</v>
      </c>
      <c r="G267" s="487">
        <v>2.1849425789619201E-3</v>
      </c>
      <c r="H267" s="8">
        <v>1.37161937097986E-2</v>
      </c>
      <c r="I267" s="8">
        <v>0.69723720818695401</v>
      </c>
      <c r="J267" s="8">
        <v>0.17491777841342299</v>
      </c>
      <c r="K267" s="8">
        <v>5.14235038842808E-3</v>
      </c>
      <c r="L267" s="8">
        <v>1.8417114757723701E-3</v>
      </c>
      <c r="M267" s="8">
        <v>6.6399560493253596E-3</v>
      </c>
      <c r="N267" s="8">
        <v>2.5321795393683901E-3</v>
      </c>
      <c r="O267" s="8">
        <v>3.7873566345168398E-2</v>
      </c>
      <c r="P267" s="9">
        <v>4.7607648854925799E-2</v>
      </c>
      <c r="Q267" s="570">
        <v>5.3748646541509097E-3</v>
      </c>
    </row>
    <row r="268" spans="2:17" ht="15.75" x14ac:dyDescent="0.25">
      <c r="B268" s="6">
        <v>2030</v>
      </c>
      <c r="C268" s="7">
        <v>2025</v>
      </c>
      <c r="D268" s="484" t="s">
        <v>3587</v>
      </c>
      <c r="E268" s="488">
        <v>0.1472276800399922</v>
      </c>
      <c r="F268" s="489">
        <v>0.16768334279686345</v>
      </c>
      <c r="G268" s="487">
        <v>2.8572837949818902E-3</v>
      </c>
      <c r="H268" s="8">
        <v>1.52057828096428E-2</v>
      </c>
      <c r="I268" s="8">
        <v>0.78765662543548598</v>
      </c>
      <c r="J268" s="8">
        <v>0.17316438401996401</v>
      </c>
      <c r="K268" s="8">
        <v>5.7421822555564104E-3</v>
      </c>
      <c r="L268" s="8">
        <v>2.1039920473797801E-3</v>
      </c>
      <c r="M268" s="8">
        <v>8.2393452001956104E-3</v>
      </c>
      <c r="N268" s="8">
        <v>2.58146717483749E-3</v>
      </c>
      <c r="O268" s="8">
        <v>2.9970698370588501E-2</v>
      </c>
      <c r="P268" s="9">
        <v>4.8477082744600698E-2</v>
      </c>
      <c r="Q268" s="570">
        <v>6.0018182565962901E-3</v>
      </c>
    </row>
    <row r="269" spans="2:17" ht="15.75" x14ac:dyDescent="0.25">
      <c r="B269" s="6">
        <v>2030</v>
      </c>
      <c r="C269" s="7">
        <v>2026</v>
      </c>
      <c r="D269" s="484" t="s">
        <v>3588</v>
      </c>
      <c r="E269" s="488">
        <v>0.13727679333284173</v>
      </c>
      <c r="F269" s="489">
        <v>0.19512332604277463</v>
      </c>
      <c r="G269" s="487">
        <v>2.20251645427991E-3</v>
      </c>
      <c r="H269" s="8">
        <v>2.0233349001089002E-2</v>
      </c>
      <c r="I269" s="8">
        <v>0.72501320892129295</v>
      </c>
      <c r="J269" s="8">
        <v>0.23229645243368699</v>
      </c>
      <c r="K269" s="8">
        <v>5.2971826352371998E-3</v>
      </c>
      <c r="L269" s="8">
        <v>2.1490473187839401E-3</v>
      </c>
      <c r="M269" s="8">
        <v>7.1261269485415604E-3</v>
      </c>
      <c r="N269" s="8">
        <v>2.8655922878715601E-3</v>
      </c>
      <c r="O269" s="8">
        <v>3.5487855365208702E-2</v>
      </c>
      <c r="P269" s="9">
        <v>5.3489049738521699E-2</v>
      </c>
      <c r="Q269" s="570">
        <v>5.5366977281028204E-3</v>
      </c>
    </row>
    <row r="270" spans="2:17" ht="15.75" x14ac:dyDescent="0.25">
      <c r="B270" s="6">
        <v>2030</v>
      </c>
      <c r="C270" s="7">
        <v>2027</v>
      </c>
      <c r="D270" s="484" t="s">
        <v>3589</v>
      </c>
      <c r="E270" s="488">
        <v>0.14361338109552144</v>
      </c>
      <c r="F270" s="489">
        <v>0.17119653674793608</v>
      </c>
      <c r="G270" s="487">
        <v>6.1548017738435202E-3</v>
      </c>
      <c r="H270" s="8">
        <v>1.7292513429396101E-2</v>
      </c>
      <c r="I270" s="8">
        <v>0.76198690648762701</v>
      </c>
      <c r="J270" s="8">
        <v>0.16480125574757601</v>
      </c>
      <c r="K270" s="8">
        <v>5.8789316632011897E-3</v>
      </c>
      <c r="L270" s="8">
        <v>2.1111302654675101E-3</v>
      </c>
      <c r="M270" s="8">
        <v>8.0129682440654802E-3</v>
      </c>
      <c r="N270" s="8">
        <v>2.68792194686597E-3</v>
      </c>
      <c r="O270" s="8">
        <v>3.06533011813339E-2</v>
      </c>
      <c r="P270" s="9">
        <v>5.0354944923183202E-2</v>
      </c>
      <c r="Q270" s="570">
        <v>6.1447508656382504E-3</v>
      </c>
    </row>
    <row r="271" spans="2:17" ht="15.75" x14ac:dyDescent="0.25">
      <c r="B271" s="6">
        <v>2030</v>
      </c>
      <c r="C271" s="7">
        <v>2028</v>
      </c>
      <c r="D271" s="484" t="s">
        <v>3590</v>
      </c>
      <c r="E271" s="488">
        <v>0.14519487842231057</v>
      </c>
      <c r="F271" s="489">
        <v>0.14945059667249025</v>
      </c>
      <c r="G271" s="487">
        <v>2.04526336693705E-3</v>
      </c>
      <c r="H271" s="8">
        <v>1.4007235419234199E-2</v>
      </c>
      <c r="I271" s="8">
        <v>0.77529360685583704</v>
      </c>
      <c r="J271" s="8">
        <v>0.12050348454251</v>
      </c>
      <c r="K271" s="8">
        <v>5.5591912740320104E-3</v>
      </c>
      <c r="L271" s="8">
        <v>1.86095468502749E-3</v>
      </c>
      <c r="M271" s="8">
        <v>7.9869888029784602E-3</v>
      </c>
      <c r="N271" s="8">
        <v>2.5138343814374402E-3</v>
      </c>
      <c r="O271" s="8">
        <v>3.12938259537896E-2</v>
      </c>
      <c r="P271" s="9">
        <v>4.72840402690239E-2</v>
      </c>
      <c r="Q271" s="570">
        <v>5.81055323489781E-3</v>
      </c>
    </row>
    <row r="272" spans="2:17" ht="15.75" x14ac:dyDescent="0.25">
      <c r="B272" s="6">
        <v>2030</v>
      </c>
      <c r="C272" s="7">
        <v>2029</v>
      </c>
      <c r="D272" s="484" t="s">
        <v>3591</v>
      </c>
      <c r="E272" s="488">
        <v>0.13977797368771358</v>
      </c>
      <c r="F272" s="489">
        <v>0.16442533109179663</v>
      </c>
      <c r="G272" s="487">
        <v>1.9658841206869398E-3</v>
      </c>
      <c r="H272" s="8">
        <v>1.66855230773542E-2</v>
      </c>
      <c r="I272" s="8">
        <v>0.74097007627968803</v>
      </c>
      <c r="J272" s="8">
        <v>0.122534191148276</v>
      </c>
      <c r="K272" s="8">
        <v>5.3369487325860198E-3</v>
      </c>
      <c r="L272" s="8">
        <v>2.0547918909442102E-3</v>
      </c>
      <c r="M272" s="8">
        <v>7.3929121003645602E-3</v>
      </c>
      <c r="N272" s="8">
        <v>2.6274411642777402E-3</v>
      </c>
      <c r="O272" s="8">
        <v>3.4203115317697E-2</v>
      </c>
      <c r="P272" s="9">
        <v>4.9288063918326797E-2</v>
      </c>
      <c r="Q272" s="570">
        <v>5.5782618719142996E-3</v>
      </c>
    </row>
    <row r="273" spans="2:17" ht="15.75" x14ac:dyDescent="0.25">
      <c r="B273" s="6">
        <v>2030</v>
      </c>
      <c r="C273" s="7">
        <v>2030</v>
      </c>
      <c r="D273" s="484" t="s">
        <v>3592</v>
      </c>
      <c r="E273" s="488">
        <v>0.11537585382310055</v>
      </c>
      <c r="F273" s="489">
        <v>0.15550461201780619</v>
      </c>
      <c r="G273" s="487">
        <v>2.0065753029014199E-2</v>
      </c>
      <c r="H273" s="8">
        <v>1.5179821577362499E-2</v>
      </c>
      <c r="I273" s="8">
        <v>0.57440148329321095</v>
      </c>
      <c r="J273" s="8">
        <v>9.5582928788962601E-2</v>
      </c>
      <c r="K273" s="8">
        <v>5.0977823077960199E-3</v>
      </c>
      <c r="L273" s="8">
        <v>1.92048699467948E-3</v>
      </c>
      <c r="M273" s="8">
        <v>5.6288374196917E-3</v>
      </c>
      <c r="N273" s="8">
        <v>2.56376967822518E-3</v>
      </c>
      <c r="O273" s="8">
        <v>4.0274858755799899E-2</v>
      </c>
      <c r="P273" s="9">
        <v>4.8164898904359599E-2</v>
      </c>
      <c r="Q273" s="570">
        <v>5.3282814026805901E-3</v>
      </c>
    </row>
    <row r="274" spans="2:17" ht="15.75" x14ac:dyDescent="0.25">
      <c r="B274" s="6">
        <v>2031</v>
      </c>
      <c r="C274" s="7">
        <v>2017</v>
      </c>
      <c r="D274" s="484" t="s">
        <v>3623</v>
      </c>
      <c r="E274" s="488">
        <v>0.14753457468031952</v>
      </c>
      <c r="F274" s="489">
        <v>0.25043709026858163</v>
      </c>
      <c r="G274" s="487">
        <v>1.08258525930878E-3</v>
      </c>
      <c r="H274" s="8">
        <v>2.2697318421512999E-2</v>
      </c>
      <c r="I274" s="8">
        <v>0.79070760141747398</v>
      </c>
      <c r="J274" s="8">
        <v>0.50128209469672502</v>
      </c>
      <c r="K274" s="8">
        <v>5.5828750297662799E-3</v>
      </c>
      <c r="L274" s="8">
        <v>2.0602853004733301E-3</v>
      </c>
      <c r="M274" s="8">
        <v>8.1968512173828702E-3</v>
      </c>
      <c r="N274" s="8">
        <v>3.0000018168034001E-3</v>
      </c>
      <c r="O274" s="8">
        <v>3.0395471766039898E-2</v>
      </c>
      <c r="P274" s="9">
        <v>5.5860033828879302E-2</v>
      </c>
      <c r="Q274" s="570">
        <v>5.8353078649712696E-3</v>
      </c>
    </row>
    <row r="275" spans="2:17" ht="15.75" x14ac:dyDescent="0.25">
      <c r="B275" s="6">
        <v>2031</v>
      </c>
      <c r="C275" s="7">
        <v>2018</v>
      </c>
      <c r="D275" s="484" t="s">
        <v>3624</v>
      </c>
      <c r="E275" s="488">
        <v>0.14667109308147241</v>
      </c>
      <c r="F275" s="489">
        <v>0.25069514218015715</v>
      </c>
      <c r="G275" s="487">
        <v>1.0727980270432999E-3</v>
      </c>
      <c r="H275" s="8">
        <v>2.2730319103508399E-2</v>
      </c>
      <c r="I275" s="8">
        <v>0.78521559778761596</v>
      </c>
      <c r="J275" s="8">
        <v>0.46108313065905299</v>
      </c>
      <c r="K275" s="8">
        <v>5.5523502053125796E-3</v>
      </c>
      <c r="L275" s="8">
        <v>2.1423325355765899E-3</v>
      </c>
      <c r="M275" s="8">
        <v>8.1024128241801805E-3</v>
      </c>
      <c r="N275" s="8">
        <v>3.0000018168034001E-3</v>
      </c>
      <c r="O275" s="8">
        <v>3.0858219892733098E-2</v>
      </c>
      <c r="P275" s="9">
        <v>5.5860033828879302E-2</v>
      </c>
      <c r="Q275" s="570">
        <v>5.8034028434076797E-3</v>
      </c>
    </row>
    <row r="276" spans="2:17" ht="15.75" x14ac:dyDescent="0.25">
      <c r="B276" s="6">
        <v>2031</v>
      </c>
      <c r="C276" s="7">
        <v>2019</v>
      </c>
      <c r="D276" s="484" t="s">
        <v>3625</v>
      </c>
      <c r="E276" s="488">
        <v>0.13320375445515914</v>
      </c>
      <c r="F276" s="489">
        <v>0.25038362696483624</v>
      </c>
      <c r="G276" s="487">
        <v>9.2044415224069799E-4</v>
      </c>
      <c r="H276" s="8">
        <v>2.2730688822552698E-2</v>
      </c>
      <c r="I276" s="8">
        <v>0.69979537831772898</v>
      </c>
      <c r="J276" s="8">
        <v>0.44268995085442903</v>
      </c>
      <c r="K276" s="8">
        <v>5.0459733484067397E-3</v>
      </c>
      <c r="L276" s="8">
        <v>2.20255949407768E-3</v>
      </c>
      <c r="M276" s="8">
        <v>6.6262164414258298E-3</v>
      </c>
      <c r="N276" s="8">
        <v>3.0000018168034001E-3</v>
      </c>
      <c r="O276" s="8">
        <v>3.8091582168229401E-2</v>
      </c>
      <c r="P276" s="9">
        <v>5.5860033828879302E-2</v>
      </c>
      <c r="Q276" s="570">
        <v>5.2741298720465797E-3</v>
      </c>
    </row>
    <row r="277" spans="2:17" ht="15.75" x14ac:dyDescent="0.25">
      <c r="B277" s="6">
        <v>2031</v>
      </c>
      <c r="C277" s="7">
        <v>2020</v>
      </c>
      <c r="D277" s="484" t="s">
        <v>3626</v>
      </c>
      <c r="E277" s="488">
        <v>0.14241953794652834</v>
      </c>
      <c r="F277" s="489">
        <v>0.24998841427649168</v>
      </c>
      <c r="G277" s="487">
        <v>1.02441538685268E-3</v>
      </c>
      <c r="H277" s="8">
        <v>2.2781081439968601E-2</v>
      </c>
      <c r="I277" s="8">
        <v>0.75799775939896996</v>
      </c>
      <c r="J277" s="8">
        <v>0.40388410033050098</v>
      </c>
      <c r="K277" s="8">
        <v>5.4125079781048102E-3</v>
      </c>
      <c r="L277" s="8">
        <v>2.1979210234095198E-3</v>
      </c>
      <c r="M277" s="8">
        <v>7.6397247432897298E-3</v>
      </c>
      <c r="N277" s="8">
        <v>3.0000018168034001E-3</v>
      </c>
      <c r="O277" s="8">
        <v>3.3125391489096302E-2</v>
      </c>
      <c r="P277" s="9">
        <v>5.5860033828879302E-2</v>
      </c>
      <c r="Q277" s="570">
        <v>5.6572375712262701E-3</v>
      </c>
    </row>
    <row r="278" spans="2:17" ht="15.75" x14ac:dyDescent="0.25">
      <c r="B278" s="6">
        <v>2031</v>
      </c>
      <c r="C278" s="7">
        <v>2021</v>
      </c>
      <c r="D278" s="484" t="s">
        <v>3627</v>
      </c>
      <c r="E278" s="488">
        <v>0.11510019393025958</v>
      </c>
      <c r="F278" s="489">
        <v>0.1879971379658254</v>
      </c>
      <c r="G278" s="487">
        <v>1.36297825872683E-2</v>
      </c>
      <c r="H278" s="8">
        <v>1.65683955999163E-2</v>
      </c>
      <c r="I278" s="8">
        <v>0.58004759208498402</v>
      </c>
      <c r="J278" s="8">
        <v>0.27367774754742602</v>
      </c>
      <c r="K278" s="8">
        <v>5.85401654014415E-3</v>
      </c>
      <c r="L278" s="8">
        <v>2.0661874871877798E-3</v>
      </c>
      <c r="M278" s="8">
        <v>5.0813465795136598E-3</v>
      </c>
      <c r="N278" s="8">
        <v>2.6451174676676999E-3</v>
      </c>
      <c r="O278" s="8">
        <v>4.4232528473295403E-2</v>
      </c>
      <c r="P278" s="9">
        <v>4.9599873910125498E-2</v>
      </c>
      <c r="Q278" s="570">
        <v>6.1187091912757998E-3</v>
      </c>
    </row>
    <row r="279" spans="2:17" ht="15.75" x14ac:dyDescent="0.25">
      <c r="B279" s="6">
        <v>2031</v>
      </c>
      <c r="C279" s="7">
        <v>2022</v>
      </c>
      <c r="D279" s="484" t="s">
        <v>3628</v>
      </c>
      <c r="E279" s="488">
        <v>0.1284448460347252</v>
      </c>
      <c r="F279" s="489">
        <v>0.18045535806795143</v>
      </c>
      <c r="G279" s="487">
        <v>3.4561685053130799E-3</v>
      </c>
      <c r="H279" s="8">
        <v>1.5209632356377199E-2</v>
      </c>
      <c r="I279" s="8">
        <v>0.66833072110162905</v>
      </c>
      <c r="J279" s="8">
        <v>0.229581016357254</v>
      </c>
      <c r="K279" s="8">
        <v>5.1450882091931801E-3</v>
      </c>
      <c r="L279" s="8">
        <v>2.0564421815098101E-3</v>
      </c>
      <c r="M279" s="8">
        <v>6.1951533128498E-3</v>
      </c>
      <c r="N279" s="8">
        <v>2.5835779221722501E-3</v>
      </c>
      <c r="O279" s="8">
        <v>3.99125734130239E-2</v>
      </c>
      <c r="P279" s="9">
        <v>4.8514316327585801E-2</v>
      </c>
      <c r="Q279" s="570">
        <v>5.3777262670221104E-3</v>
      </c>
    </row>
    <row r="280" spans="2:17" ht="15.75" x14ac:dyDescent="0.25">
      <c r="B280" s="6">
        <v>2031</v>
      </c>
      <c r="C280" s="7">
        <v>2023</v>
      </c>
      <c r="D280" s="484" t="s">
        <v>3629</v>
      </c>
      <c r="E280" s="488">
        <v>0.13196068444940393</v>
      </c>
      <c r="F280" s="489">
        <v>0.19694625522821382</v>
      </c>
      <c r="G280" s="487">
        <v>2.3707019406685199E-3</v>
      </c>
      <c r="H280" s="8">
        <v>1.8033836092442801E-2</v>
      </c>
      <c r="I280" s="8">
        <v>0.69034884557226595</v>
      </c>
      <c r="J280" s="8">
        <v>0.26922591028972198</v>
      </c>
      <c r="K280" s="8">
        <v>5.2143170929878904E-3</v>
      </c>
      <c r="L280" s="8">
        <v>2.13024334537937E-3</v>
      </c>
      <c r="M280" s="8">
        <v>6.5577156549058001E-3</v>
      </c>
      <c r="N280" s="8">
        <v>2.7374603005563799E-3</v>
      </c>
      <c r="O280" s="8">
        <v>3.8260144561079901E-2</v>
      </c>
      <c r="P280" s="9">
        <v>5.1228801482281802E-2</v>
      </c>
      <c r="Q280" s="570">
        <v>5.4500853737433899E-3</v>
      </c>
    </row>
    <row r="281" spans="2:17" ht="15.75" x14ac:dyDescent="0.25">
      <c r="B281" s="6">
        <v>2031</v>
      </c>
      <c r="C281" s="7">
        <v>2024</v>
      </c>
      <c r="D281" s="484" t="s">
        <v>3630</v>
      </c>
      <c r="E281" s="488">
        <v>0.13288782973438629</v>
      </c>
      <c r="F281" s="489">
        <v>0.15839390238611048</v>
      </c>
      <c r="G281" s="487">
        <v>2.2114445917184198E-3</v>
      </c>
      <c r="H281" s="8">
        <v>1.37604151066117E-2</v>
      </c>
      <c r="I281" s="8">
        <v>0.69726390761470003</v>
      </c>
      <c r="J281" s="8">
        <v>0.18805944795323201</v>
      </c>
      <c r="K281" s="8">
        <v>5.1535301803656104E-3</v>
      </c>
      <c r="L281" s="8">
        <v>1.84347776746234E-3</v>
      </c>
      <c r="M281" s="8">
        <v>6.6399560493253596E-3</v>
      </c>
      <c r="N281" s="8">
        <v>2.5321795393683901E-3</v>
      </c>
      <c r="O281" s="8">
        <v>3.7873566345168398E-2</v>
      </c>
      <c r="P281" s="9">
        <v>4.7607648854925799E-2</v>
      </c>
      <c r="Q281" s="570">
        <v>5.3865499466702596E-3</v>
      </c>
    </row>
    <row r="282" spans="2:17" ht="15.75" x14ac:dyDescent="0.25">
      <c r="B282" s="6">
        <v>2031</v>
      </c>
      <c r="C282" s="7">
        <v>2025</v>
      </c>
      <c r="D282" s="484" t="s">
        <v>3631</v>
      </c>
      <c r="E282" s="488">
        <v>0.14722765695352544</v>
      </c>
      <c r="F282" s="489">
        <v>0.16767264418969621</v>
      </c>
      <c r="G282" s="487">
        <v>2.8974224401004398E-3</v>
      </c>
      <c r="H282" s="8">
        <v>1.5221986215249299E-2</v>
      </c>
      <c r="I282" s="8">
        <v>0.78769710253162795</v>
      </c>
      <c r="J282" s="8">
        <v>0.18838439942872701</v>
      </c>
      <c r="K282" s="8">
        <v>5.7591375016832601E-3</v>
      </c>
      <c r="L282" s="8">
        <v>2.10402635651722E-3</v>
      </c>
      <c r="M282" s="8">
        <v>8.2393452001956E-3</v>
      </c>
      <c r="N282" s="8">
        <v>2.58146717483749E-3</v>
      </c>
      <c r="O282" s="8">
        <v>2.9970698370588501E-2</v>
      </c>
      <c r="P282" s="9">
        <v>4.8477082744600601E-2</v>
      </c>
      <c r="Q282" s="570">
        <v>6.0195401437151998E-3</v>
      </c>
    </row>
    <row r="283" spans="2:17" ht="15.75" x14ac:dyDescent="0.25">
      <c r="B283" s="6">
        <v>2031</v>
      </c>
      <c r="C283" s="7">
        <v>2026</v>
      </c>
      <c r="D283" s="484" t="s">
        <v>3632</v>
      </c>
      <c r="E283" s="488">
        <v>0.13727675002683104</v>
      </c>
      <c r="F283" s="489">
        <v>0.19512031364831534</v>
      </c>
      <c r="G283" s="487">
        <v>2.2326089720554202E-3</v>
      </c>
      <c r="H283" s="8">
        <v>2.0214886973297399E-2</v>
      </c>
      <c r="I283" s="8">
        <v>0.72504330620894297</v>
      </c>
      <c r="J283" s="8">
        <v>0.247118426988224</v>
      </c>
      <c r="K283" s="8">
        <v>5.3098488656473999E-3</v>
      </c>
      <c r="L283" s="8">
        <v>2.1494458408784002E-3</v>
      </c>
      <c r="M283" s="8">
        <v>7.1261269485415604E-3</v>
      </c>
      <c r="N283" s="8">
        <v>2.8655922878715601E-3</v>
      </c>
      <c r="O283" s="8">
        <v>3.5487855365208702E-2</v>
      </c>
      <c r="P283" s="9">
        <v>5.3489049738521699E-2</v>
      </c>
      <c r="Q283" s="570">
        <v>5.5499366692466001E-3</v>
      </c>
    </row>
    <row r="284" spans="2:17" ht="15.75" x14ac:dyDescent="0.25">
      <c r="B284" s="6">
        <v>2031</v>
      </c>
      <c r="C284" s="7">
        <v>2027</v>
      </c>
      <c r="D284" s="484" t="s">
        <v>3633</v>
      </c>
      <c r="E284" s="488">
        <v>0.1436110534969828</v>
      </c>
      <c r="F284" s="489">
        <v>0.17119737536187621</v>
      </c>
      <c r="G284" s="487">
        <v>6.2891785230099204E-3</v>
      </c>
      <c r="H284" s="8">
        <v>1.7145170416222599E-2</v>
      </c>
      <c r="I284" s="8">
        <v>0.76209920659503805</v>
      </c>
      <c r="J284" s="8">
        <v>0.19054603241180099</v>
      </c>
      <c r="K284" s="8">
        <v>5.93113290426948E-3</v>
      </c>
      <c r="L284" s="8">
        <v>2.1114010809500298E-3</v>
      </c>
      <c r="M284" s="8">
        <v>8.0129682440654802E-3</v>
      </c>
      <c r="N284" s="8">
        <v>2.68792194686598E-3</v>
      </c>
      <c r="O284" s="8">
        <v>3.06533011813339E-2</v>
      </c>
      <c r="P284" s="9">
        <v>5.0354944923183202E-2</v>
      </c>
      <c r="Q284" s="570">
        <v>6.1993124151880803E-3</v>
      </c>
    </row>
    <row r="285" spans="2:17" ht="15.75" x14ac:dyDescent="0.25">
      <c r="B285" s="6">
        <v>2031</v>
      </c>
      <c r="C285" s="7">
        <v>2028</v>
      </c>
      <c r="D285" s="484" t="s">
        <v>3634</v>
      </c>
      <c r="E285" s="488">
        <v>0.1451948625066769</v>
      </c>
      <c r="F285" s="489">
        <v>0.14953478344302926</v>
      </c>
      <c r="G285" s="487">
        <v>2.0732401531625699E-3</v>
      </c>
      <c r="H285" s="8">
        <v>1.3711803246360101E-2</v>
      </c>
      <c r="I285" s="8">
        <v>0.77532180657413097</v>
      </c>
      <c r="J285" s="8">
        <v>0.12946886976511501</v>
      </c>
      <c r="K285" s="8">
        <v>5.57099526760595E-3</v>
      </c>
      <c r="L285" s="8">
        <v>1.8665717675062901E-3</v>
      </c>
      <c r="M285" s="8">
        <v>7.9869888029784602E-3</v>
      </c>
      <c r="N285" s="8">
        <v>2.5138343814374402E-3</v>
      </c>
      <c r="O285" s="8">
        <v>3.12938259537896E-2</v>
      </c>
      <c r="P285" s="9">
        <v>4.72840402690239E-2</v>
      </c>
      <c r="Q285" s="570">
        <v>5.8228909526817198E-3</v>
      </c>
    </row>
    <row r="286" spans="2:17" ht="15.75" x14ac:dyDescent="0.25">
      <c r="B286" s="6">
        <v>2031</v>
      </c>
      <c r="C286" s="7">
        <v>2029</v>
      </c>
      <c r="D286" s="484" t="s">
        <v>3635</v>
      </c>
      <c r="E286" s="488">
        <v>0.13977791475478532</v>
      </c>
      <c r="F286" s="489">
        <v>0.16441724601564139</v>
      </c>
      <c r="G286" s="487">
        <v>1.99548167453953E-3</v>
      </c>
      <c r="H286" s="8">
        <v>1.63982788132985E-2</v>
      </c>
      <c r="I286" s="8">
        <v>0.74099954091432096</v>
      </c>
      <c r="J286" s="8">
        <v>0.14131214345203499</v>
      </c>
      <c r="K286" s="8">
        <v>5.3493757294305099E-3</v>
      </c>
      <c r="L286" s="8">
        <v>2.05504091697875E-3</v>
      </c>
      <c r="M286" s="8">
        <v>7.3929121003645602E-3</v>
      </c>
      <c r="N286" s="8">
        <v>2.6274411642777402E-3</v>
      </c>
      <c r="O286" s="8">
        <v>3.4203115317697E-2</v>
      </c>
      <c r="P286" s="9">
        <v>4.9288063918326699E-2</v>
      </c>
      <c r="Q286" s="570">
        <v>5.5912507624121203E-3</v>
      </c>
    </row>
    <row r="287" spans="2:17" ht="15.75" x14ac:dyDescent="0.25">
      <c r="B287" s="6">
        <v>2031</v>
      </c>
      <c r="C287" s="7">
        <v>2030</v>
      </c>
      <c r="D287" s="484" t="s">
        <v>3636</v>
      </c>
      <c r="E287" s="488">
        <v>0.1153757092839741</v>
      </c>
      <c r="F287" s="489">
        <v>0.15553133790691401</v>
      </c>
      <c r="G287" s="487">
        <v>2.0701533845500299E-2</v>
      </c>
      <c r="H287" s="8">
        <v>1.52901075753417E-2</v>
      </c>
      <c r="I287" s="8">
        <v>0.57504434108180802</v>
      </c>
      <c r="J287" s="8">
        <v>0.112807550970911</v>
      </c>
      <c r="K287" s="8">
        <v>5.3663494393692297E-3</v>
      </c>
      <c r="L287" s="8">
        <v>1.92332666648558E-3</v>
      </c>
      <c r="M287" s="8">
        <v>5.6288374196917E-3</v>
      </c>
      <c r="N287" s="8">
        <v>2.56376967822518E-3</v>
      </c>
      <c r="O287" s="8">
        <v>4.0274858755799899E-2</v>
      </c>
      <c r="P287" s="9">
        <v>4.8164898904359599E-2</v>
      </c>
      <c r="Q287" s="570">
        <v>5.6089919481945496E-3</v>
      </c>
    </row>
    <row r="288" spans="2:17" ht="15.75" x14ac:dyDescent="0.25">
      <c r="B288" s="6">
        <v>2031</v>
      </c>
      <c r="C288" s="7">
        <v>2031</v>
      </c>
      <c r="D288" s="484" t="s">
        <v>3637</v>
      </c>
      <c r="E288" s="488">
        <v>0.14795390212603327</v>
      </c>
      <c r="F288" s="489">
        <v>0.14954062192843876</v>
      </c>
      <c r="G288" s="487">
        <v>2.2832801313161298E-3</v>
      </c>
      <c r="H288" s="8">
        <v>1.41970783564388E-2</v>
      </c>
      <c r="I288" s="8">
        <v>0.79247149775513603</v>
      </c>
      <c r="J288" s="8">
        <v>9.1604083032452294E-2</v>
      </c>
      <c r="K288" s="8">
        <v>5.6524564384243603E-3</v>
      </c>
      <c r="L288" s="8">
        <v>1.76921704949409E-3</v>
      </c>
      <c r="M288" s="8">
        <v>8.3040106406213499E-3</v>
      </c>
      <c r="N288" s="8">
        <v>2.53534029223439E-3</v>
      </c>
      <c r="O288" s="8">
        <v>2.9702937670470799E-2</v>
      </c>
      <c r="P288" s="9">
        <v>4.7663404535481999E-2</v>
      </c>
      <c r="Q288" s="570">
        <v>5.90803543616594E-3</v>
      </c>
    </row>
    <row r="289" spans="2:17" ht="15.75" x14ac:dyDescent="0.25">
      <c r="B289" s="6">
        <v>2032</v>
      </c>
      <c r="C289" s="7">
        <v>2018</v>
      </c>
      <c r="D289" s="484" t="s">
        <v>3668</v>
      </c>
      <c r="E289" s="488">
        <v>0.14667109308147241</v>
      </c>
      <c r="F289" s="489">
        <v>0.2507019776912352</v>
      </c>
      <c r="G289" s="487">
        <v>1.0727980270432999E-3</v>
      </c>
      <c r="H289" s="8">
        <v>2.2730319103508399E-2</v>
      </c>
      <c r="I289" s="8">
        <v>0.78521559778761596</v>
      </c>
      <c r="J289" s="8">
        <v>0.49687673456254999</v>
      </c>
      <c r="K289" s="8">
        <v>5.5523502053125796E-3</v>
      </c>
      <c r="L289" s="8">
        <v>2.1423325355765899E-3</v>
      </c>
      <c r="M289" s="8">
        <v>8.1024128241801805E-3</v>
      </c>
      <c r="N289" s="8">
        <v>3.0000018168034001E-3</v>
      </c>
      <c r="O289" s="8">
        <v>3.0858219892733098E-2</v>
      </c>
      <c r="P289" s="9">
        <v>5.5860033828879302E-2</v>
      </c>
      <c r="Q289" s="570">
        <v>5.8034028434076797E-3</v>
      </c>
    </row>
    <row r="290" spans="2:17" ht="15.75" x14ac:dyDescent="0.25">
      <c r="B290" s="6">
        <v>2032</v>
      </c>
      <c r="C290" s="7">
        <v>2019</v>
      </c>
      <c r="D290" s="484" t="s">
        <v>3669</v>
      </c>
      <c r="E290" s="488">
        <v>0.13320375445515914</v>
      </c>
      <c r="F290" s="489">
        <v>0.25038718171978513</v>
      </c>
      <c r="G290" s="487">
        <v>9.2044415224069799E-4</v>
      </c>
      <c r="H290" s="8">
        <v>2.2730688822552698E-2</v>
      </c>
      <c r="I290" s="8">
        <v>0.69979537831772898</v>
      </c>
      <c r="J290" s="8">
        <v>0.46359698713881098</v>
      </c>
      <c r="K290" s="8">
        <v>5.0459733484067397E-3</v>
      </c>
      <c r="L290" s="8">
        <v>2.20255949407768E-3</v>
      </c>
      <c r="M290" s="8">
        <v>6.6262164414258298E-3</v>
      </c>
      <c r="N290" s="8">
        <v>3.0000018168034001E-3</v>
      </c>
      <c r="O290" s="8">
        <v>3.8091582168229401E-2</v>
      </c>
      <c r="P290" s="9">
        <v>5.5860033828879302E-2</v>
      </c>
      <c r="Q290" s="570">
        <v>5.2741298720465797E-3</v>
      </c>
    </row>
    <row r="291" spans="2:17" ht="15.75" x14ac:dyDescent="0.25">
      <c r="B291" s="6">
        <v>2032</v>
      </c>
      <c r="C291" s="7">
        <v>2020</v>
      </c>
      <c r="D291" s="484" t="s">
        <v>3670</v>
      </c>
      <c r="E291" s="488">
        <v>0.14241953794652834</v>
      </c>
      <c r="F291" s="489">
        <v>0.24999392678421761</v>
      </c>
      <c r="G291" s="487">
        <v>1.02441538685267E-3</v>
      </c>
      <c r="H291" s="8">
        <v>2.2781081439968601E-2</v>
      </c>
      <c r="I291" s="8">
        <v>0.75799775939896996</v>
      </c>
      <c r="J291" s="8">
        <v>0.436367001754492</v>
      </c>
      <c r="K291" s="8">
        <v>5.4125079781048102E-3</v>
      </c>
      <c r="L291" s="8">
        <v>2.1979210234095198E-3</v>
      </c>
      <c r="M291" s="8">
        <v>7.6397247432897298E-3</v>
      </c>
      <c r="N291" s="8">
        <v>3.0000018168034001E-3</v>
      </c>
      <c r="O291" s="8">
        <v>3.3125391489096302E-2</v>
      </c>
      <c r="P291" s="9">
        <v>5.5860033828879302E-2</v>
      </c>
      <c r="Q291" s="570">
        <v>5.6572375712262701E-3</v>
      </c>
    </row>
    <row r="292" spans="2:17" ht="15.75" x14ac:dyDescent="0.25">
      <c r="B292" s="6">
        <v>2032</v>
      </c>
      <c r="C292" s="7">
        <v>2021</v>
      </c>
      <c r="D292" s="484" t="s">
        <v>3671</v>
      </c>
      <c r="E292" s="488">
        <v>0.12113119071099382</v>
      </c>
      <c r="F292" s="489">
        <v>0.22654544502564525</v>
      </c>
      <c r="G292" s="487">
        <v>7.8396428997740998E-4</v>
      </c>
      <c r="H292" s="8">
        <v>2.2703388686973101E-2</v>
      </c>
      <c r="I292" s="8">
        <v>0.62334967927242302</v>
      </c>
      <c r="J292" s="8">
        <v>0.410966874966673</v>
      </c>
      <c r="K292" s="8">
        <v>4.58191828518263E-3</v>
      </c>
      <c r="L292" s="8">
        <v>2.2014761257576499E-3</v>
      </c>
      <c r="M292" s="8">
        <v>5.3010339717234796E-3</v>
      </c>
      <c r="N292" s="8">
        <v>3.0000018168034001E-3</v>
      </c>
      <c r="O292" s="8">
        <v>4.4584976269770898E-2</v>
      </c>
      <c r="P292" s="9">
        <v>5.5860033828879302E-2</v>
      </c>
      <c r="Q292" s="570">
        <v>4.7890922980773198E-3</v>
      </c>
    </row>
    <row r="293" spans="2:17" ht="15.75" x14ac:dyDescent="0.25">
      <c r="B293" s="6">
        <v>2032</v>
      </c>
      <c r="C293" s="7">
        <v>2022</v>
      </c>
      <c r="D293" s="484" t="s">
        <v>3672</v>
      </c>
      <c r="E293" s="488">
        <v>0.1284448460347252</v>
      </c>
      <c r="F293" s="489">
        <v>0.18045869471871873</v>
      </c>
      <c r="G293" s="487">
        <v>3.4986710029114602E-3</v>
      </c>
      <c r="H293" s="8">
        <v>1.5215769602622701E-2</v>
      </c>
      <c r="I293" s="8">
        <v>0.66837381899451098</v>
      </c>
      <c r="J293" s="8">
        <v>0.248251473453239</v>
      </c>
      <c r="K293" s="8">
        <v>5.1630844356863898E-3</v>
      </c>
      <c r="L293" s="8">
        <v>2.0564421815098101E-3</v>
      </c>
      <c r="M293" s="8">
        <v>6.1951533128498E-3</v>
      </c>
      <c r="N293" s="8">
        <v>2.5835779221722501E-3</v>
      </c>
      <c r="O293" s="8">
        <v>3.99125734130239E-2</v>
      </c>
      <c r="P293" s="9">
        <v>4.8514316327585801E-2</v>
      </c>
      <c r="Q293" s="570">
        <v>5.3965362030202598E-3</v>
      </c>
    </row>
    <row r="294" spans="2:17" ht="15.75" x14ac:dyDescent="0.25">
      <c r="B294" s="6">
        <v>2032</v>
      </c>
      <c r="C294" s="7">
        <v>2023</v>
      </c>
      <c r="D294" s="484" t="s">
        <v>3673</v>
      </c>
      <c r="E294" s="488">
        <v>0.13196068444940393</v>
      </c>
      <c r="F294" s="489">
        <v>0.19694804147870601</v>
      </c>
      <c r="G294" s="487">
        <v>2.3968195002980401E-3</v>
      </c>
      <c r="H294" s="8">
        <v>1.8050367867476502E-2</v>
      </c>
      <c r="I294" s="8">
        <v>0.69037530105967704</v>
      </c>
      <c r="J294" s="8">
        <v>0.27873925238338698</v>
      </c>
      <c r="K294" s="8">
        <v>5.2253546643365404E-3</v>
      </c>
      <c r="L294" s="8">
        <v>2.13024334537937E-3</v>
      </c>
      <c r="M294" s="8">
        <v>6.5577156549058001E-3</v>
      </c>
      <c r="N294" s="8">
        <v>2.7374603005563799E-3</v>
      </c>
      <c r="O294" s="8">
        <v>3.8260144561079901E-2</v>
      </c>
      <c r="P294" s="9">
        <v>5.1228801482281802E-2</v>
      </c>
      <c r="Q294" s="570">
        <v>5.4616220150899304E-3</v>
      </c>
    </row>
    <row r="295" spans="2:17" ht="15.75" x14ac:dyDescent="0.25">
      <c r="B295" s="6">
        <v>2032</v>
      </c>
      <c r="C295" s="7">
        <v>2024</v>
      </c>
      <c r="D295" s="484" t="s">
        <v>3674</v>
      </c>
      <c r="E295" s="488">
        <v>0.13288782973438629</v>
      </c>
      <c r="F295" s="489">
        <v>0.15839680518142538</v>
      </c>
      <c r="G295" s="487">
        <v>2.2364589621846598E-3</v>
      </c>
      <c r="H295" s="8">
        <v>1.3798141824345E-2</v>
      </c>
      <c r="I295" s="8">
        <v>0.697289255490946</v>
      </c>
      <c r="J295" s="8">
        <v>0.203134081727567</v>
      </c>
      <c r="K295" s="8">
        <v>5.1641089549909801E-3</v>
      </c>
      <c r="L295" s="8">
        <v>1.84347776746234E-3</v>
      </c>
      <c r="M295" s="8">
        <v>6.6399560493253596E-3</v>
      </c>
      <c r="N295" s="8">
        <v>2.5321795393683901E-3</v>
      </c>
      <c r="O295" s="8">
        <v>3.7873566345168398E-2</v>
      </c>
      <c r="P295" s="9">
        <v>4.7607648854925799E-2</v>
      </c>
      <c r="Q295" s="570">
        <v>5.3976070465415697E-3</v>
      </c>
    </row>
    <row r="296" spans="2:17" ht="15.75" x14ac:dyDescent="0.25">
      <c r="B296" s="6">
        <v>2032</v>
      </c>
      <c r="C296" s="7">
        <v>2025</v>
      </c>
      <c r="D296" s="484" t="s">
        <v>3675</v>
      </c>
      <c r="E296" s="488">
        <v>0.14722765695352544</v>
      </c>
      <c r="F296" s="489">
        <v>0.16767554828528522</v>
      </c>
      <c r="G296" s="487">
        <v>2.93542764823106E-3</v>
      </c>
      <c r="H296" s="8">
        <v>1.52727971739466E-2</v>
      </c>
      <c r="I296" s="8">
        <v>0.78773564048120204</v>
      </c>
      <c r="J296" s="8">
        <v>0.20255715363227</v>
      </c>
      <c r="K296" s="8">
        <v>5.77522983942868E-3</v>
      </c>
      <c r="L296" s="8">
        <v>2.10402635651722E-3</v>
      </c>
      <c r="M296" s="8">
        <v>8.2393452001956E-3</v>
      </c>
      <c r="N296" s="8">
        <v>2.58146717483749E-3</v>
      </c>
      <c r="O296" s="8">
        <v>2.9970698370588501E-2</v>
      </c>
      <c r="P296" s="9">
        <v>4.8477082744600601E-2</v>
      </c>
      <c r="Q296" s="570">
        <v>6.0363601055647897E-3</v>
      </c>
    </row>
    <row r="297" spans="2:17" ht="15.75" x14ac:dyDescent="0.25">
      <c r="B297" s="6">
        <v>2032</v>
      </c>
      <c r="C297" s="7">
        <v>2026</v>
      </c>
      <c r="D297" s="484" t="s">
        <v>3676</v>
      </c>
      <c r="E297" s="488">
        <v>0.13727675002683104</v>
      </c>
      <c r="F297" s="489">
        <v>0.1951241541361729</v>
      </c>
      <c r="G297" s="487">
        <v>2.2611820360195702E-3</v>
      </c>
      <c r="H297" s="8">
        <v>2.0220636884791102E-2</v>
      </c>
      <c r="I297" s="8">
        <v>0.72507228302844795</v>
      </c>
      <c r="J297" s="8">
        <v>0.269699651043314</v>
      </c>
      <c r="K297" s="8">
        <v>5.3219475279798097E-3</v>
      </c>
      <c r="L297" s="8">
        <v>2.1494458408784002E-3</v>
      </c>
      <c r="M297" s="8">
        <v>7.12612694854155E-3</v>
      </c>
      <c r="N297" s="8">
        <v>2.8655922878715601E-3</v>
      </c>
      <c r="O297" s="8">
        <v>3.5487855365208598E-2</v>
      </c>
      <c r="P297" s="9">
        <v>5.3489049738521699E-2</v>
      </c>
      <c r="Q297" s="570">
        <v>5.5625823794026603E-3</v>
      </c>
    </row>
    <row r="298" spans="2:17" ht="15.75" x14ac:dyDescent="0.25">
      <c r="B298" s="6">
        <v>2032</v>
      </c>
      <c r="C298" s="7">
        <v>2027</v>
      </c>
      <c r="D298" s="484" t="s">
        <v>3677</v>
      </c>
      <c r="E298" s="488">
        <v>0.1436110534969828</v>
      </c>
      <c r="F298" s="489">
        <v>0.171199276593234</v>
      </c>
      <c r="G298" s="487">
        <v>6.4170401188140798E-3</v>
      </c>
      <c r="H298" s="8">
        <v>1.7098630662745501E-2</v>
      </c>
      <c r="I298" s="8">
        <v>0.76222809736772401</v>
      </c>
      <c r="J298" s="8">
        <v>0.20228526485805501</v>
      </c>
      <c r="K298" s="8">
        <v>5.98468942708783E-3</v>
      </c>
      <c r="L298" s="8">
        <v>2.1114010809500298E-3</v>
      </c>
      <c r="M298" s="8">
        <v>8.0129682440654802E-3</v>
      </c>
      <c r="N298" s="8">
        <v>2.68792194686598E-3</v>
      </c>
      <c r="O298" s="8">
        <v>3.06533011813339E-2</v>
      </c>
      <c r="P298" s="9">
        <v>5.0354944923183202E-2</v>
      </c>
      <c r="Q298" s="570">
        <v>6.2552905263147298E-3</v>
      </c>
    </row>
    <row r="299" spans="2:17" ht="15.75" x14ac:dyDescent="0.25">
      <c r="B299" s="6">
        <v>2032</v>
      </c>
      <c r="C299" s="7">
        <v>2028</v>
      </c>
      <c r="D299" s="484" t="s">
        <v>3678</v>
      </c>
      <c r="E299" s="488">
        <v>0.1451948625066769</v>
      </c>
      <c r="F299" s="489">
        <v>0.14953719210650998</v>
      </c>
      <c r="G299" s="487">
        <v>2.0999342013021502E-3</v>
      </c>
      <c r="H299" s="8">
        <v>1.35314854429044E-2</v>
      </c>
      <c r="I299" s="8">
        <v>0.77534885875679205</v>
      </c>
      <c r="J299" s="8">
        <v>0.148230127448223</v>
      </c>
      <c r="K299" s="8">
        <v>5.5822846531339704E-3</v>
      </c>
      <c r="L299" s="8">
        <v>1.8665717675062901E-3</v>
      </c>
      <c r="M299" s="8">
        <v>7.9869888029784602E-3</v>
      </c>
      <c r="N299" s="8">
        <v>2.5138343814374402E-3</v>
      </c>
      <c r="O299" s="8">
        <v>3.12938259537896E-2</v>
      </c>
      <c r="P299" s="9">
        <v>4.72840402690239E-2</v>
      </c>
      <c r="Q299" s="570">
        <v>5.8346907941274097E-3</v>
      </c>
    </row>
    <row r="300" spans="2:17" ht="15.75" x14ac:dyDescent="0.25">
      <c r="B300" s="6">
        <v>2032</v>
      </c>
      <c r="C300" s="7">
        <v>2029</v>
      </c>
      <c r="D300" s="484" t="s">
        <v>3679</v>
      </c>
      <c r="E300" s="488">
        <v>0.13977791475478532</v>
      </c>
      <c r="F300" s="489">
        <v>0.16441795676566753</v>
      </c>
      <c r="G300" s="487">
        <v>2.0237807115418599E-3</v>
      </c>
      <c r="H300" s="8">
        <v>1.6116143185319998E-2</v>
      </c>
      <c r="I300" s="8">
        <v>0.74102823603964996</v>
      </c>
      <c r="J300" s="8">
        <v>0.15301696180238</v>
      </c>
      <c r="K300" s="8">
        <v>5.3613556812404598E-3</v>
      </c>
      <c r="L300" s="8">
        <v>2.05504091697875E-3</v>
      </c>
      <c r="M300" s="8">
        <v>7.3929121003645602E-3</v>
      </c>
      <c r="N300" s="8">
        <v>2.6274411642777402E-3</v>
      </c>
      <c r="O300" s="8">
        <v>3.4203115317697E-2</v>
      </c>
      <c r="P300" s="9">
        <v>4.9288063918326699E-2</v>
      </c>
      <c r="Q300" s="570">
        <v>5.6037723944826704E-3</v>
      </c>
    </row>
    <row r="301" spans="2:17" ht="15.75" x14ac:dyDescent="0.25">
      <c r="B301" s="6">
        <v>2032</v>
      </c>
      <c r="C301" s="7">
        <v>2030</v>
      </c>
      <c r="D301" s="484" t="s">
        <v>3680</v>
      </c>
      <c r="E301" s="488">
        <v>0.1153757092839741</v>
      </c>
      <c r="F301" s="489">
        <v>0.15553269820342075</v>
      </c>
      <c r="G301" s="487">
        <v>2.1310612428702299E-2</v>
      </c>
      <c r="H301" s="8">
        <v>1.4999299676756001E-2</v>
      </c>
      <c r="I301" s="8">
        <v>0.57566153142929799</v>
      </c>
      <c r="J301" s="8">
        <v>0.12934104308677699</v>
      </c>
      <c r="K301" s="8">
        <v>5.6238821103580501E-3</v>
      </c>
      <c r="L301" s="8">
        <v>1.92332666648558E-3</v>
      </c>
      <c r="M301" s="8">
        <v>5.6288374196917E-3</v>
      </c>
      <c r="N301" s="8">
        <v>2.56376967822518E-3</v>
      </c>
      <c r="O301" s="8">
        <v>4.0274858755799899E-2</v>
      </c>
      <c r="P301" s="9">
        <v>4.8164898904359599E-2</v>
      </c>
      <c r="Q301" s="570">
        <v>5.8781691037811798E-3</v>
      </c>
    </row>
    <row r="302" spans="2:17" ht="15.75" x14ac:dyDescent="0.25">
      <c r="B302" s="6">
        <v>2032</v>
      </c>
      <c r="C302" s="7">
        <v>2031</v>
      </c>
      <c r="D302" s="484" t="s">
        <v>3681</v>
      </c>
      <c r="E302" s="488">
        <v>0.1479539021260329</v>
      </c>
      <c r="F302" s="489">
        <v>0.14954424460911644</v>
      </c>
      <c r="G302" s="487">
        <v>2.3225849279917602E-3</v>
      </c>
      <c r="H302" s="8">
        <v>1.42867388931327E-2</v>
      </c>
      <c r="I302" s="8">
        <v>0.79251134933831102</v>
      </c>
      <c r="J302" s="8">
        <v>0.108011299636534</v>
      </c>
      <c r="K302" s="8">
        <v>5.6690932203901099E-3</v>
      </c>
      <c r="L302" s="8">
        <v>1.76921704949409E-3</v>
      </c>
      <c r="M302" s="8">
        <v>8.3040106406213499E-3</v>
      </c>
      <c r="N302" s="8">
        <v>2.53534029223439E-3</v>
      </c>
      <c r="O302" s="8">
        <v>2.9702937670470799E-2</v>
      </c>
      <c r="P302" s="9">
        <v>4.7663404535481999E-2</v>
      </c>
      <c r="Q302" s="570">
        <v>5.9254244595875602E-3</v>
      </c>
    </row>
    <row r="303" spans="2:17" ht="15.75" x14ac:dyDescent="0.25">
      <c r="B303" s="6">
        <v>2032</v>
      </c>
      <c r="C303" s="7">
        <v>2032</v>
      </c>
      <c r="D303" s="484" t="s">
        <v>3682</v>
      </c>
      <c r="E303" s="488">
        <v>0.14238402704156833</v>
      </c>
      <c r="F303" s="489">
        <v>0.16590671144260713</v>
      </c>
      <c r="G303" s="487">
        <v>5.8465569152818401E-3</v>
      </c>
      <c r="H303" s="8">
        <v>1.6873319153174901E-2</v>
      </c>
      <c r="I303" s="8">
        <v>0.75500923364272399</v>
      </c>
      <c r="J303" s="8">
        <v>0.10489398630505301</v>
      </c>
      <c r="K303" s="8">
        <v>5.56488457968826E-3</v>
      </c>
      <c r="L303" s="8">
        <v>2.0694745379863599E-3</v>
      </c>
      <c r="M303" s="8">
        <v>7.87081801025343E-3</v>
      </c>
      <c r="N303" s="8">
        <v>2.6413226747378799E-3</v>
      </c>
      <c r="O303" s="8">
        <v>3.1317587070118197E-2</v>
      </c>
      <c r="P303" s="9">
        <v>4.9532933762843602E-2</v>
      </c>
      <c r="Q303" s="570">
        <v>5.8165039665721598E-3</v>
      </c>
    </row>
    <row r="304" spans="2:17" ht="15.75" x14ac:dyDescent="0.25">
      <c r="B304" s="6">
        <v>2033</v>
      </c>
      <c r="C304" s="7">
        <v>2019</v>
      </c>
      <c r="D304" s="484" t="s">
        <v>3713</v>
      </c>
      <c r="E304" s="488">
        <v>0.13320375445515914</v>
      </c>
      <c r="F304" s="489">
        <v>0.25039330076842764</v>
      </c>
      <c r="G304" s="487">
        <v>9.2044415224069799E-4</v>
      </c>
      <c r="H304" s="8">
        <v>2.2730688822552698E-2</v>
      </c>
      <c r="I304" s="8">
        <v>0.69979537831772898</v>
      </c>
      <c r="J304" s="8">
        <v>0.49958574019681701</v>
      </c>
      <c r="K304" s="8">
        <v>5.0459733484067397E-3</v>
      </c>
      <c r="L304" s="8">
        <v>2.20255949407768E-3</v>
      </c>
      <c r="M304" s="8">
        <v>6.6262164414258298E-3</v>
      </c>
      <c r="N304" s="8">
        <v>3.0000018168034001E-3</v>
      </c>
      <c r="O304" s="8">
        <v>3.8091582168229401E-2</v>
      </c>
      <c r="P304" s="9">
        <v>5.5860033828879302E-2</v>
      </c>
      <c r="Q304" s="570">
        <v>5.2741298720465797E-3</v>
      </c>
    </row>
    <row r="305" spans="2:17" ht="15.75" x14ac:dyDescent="0.25">
      <c r="B305" s="6">
        <v>2033</v>
      </c>
      <c r="C305" s="7">
        <v>2020</v>
      </c>
      <c r="D305" s="484" t="s">
        <v>3714</v>
      </c>
      <c r="E305" s="488">
        <v>0.14241953794652834</v>
      </c>
      <c r="F305" s="489">
        <v>0.24999742413390874</v>
      </c>
      <c r="G305" s="487">
        <v>1.02441538685267E-3</v>
      </c>
      <c r="H305" s="8">
        <v>2.2781081439968601E-2</v>
      </c>
      <c r="I305" s="8">
        <v>0.75799775939896996</v>
      </c>
      <c r="J305" s="8">
        <v>0.45697542243668599</v>
      </c>
      <c r="K305" s="8">
        <v>5.4125079781048102E-3</v>
      </c>
      <c r="L305" s="8">
        <v>2.1979210234095198E-3</v>
      </c>
      <c r="M305" s="8">
        <v>7.6397247432897298E-3</v>
      </c>
      <c r="N305" s="8">
        <v>3.0000018168034001E-3</v>
      </c>
      <c r="O305" s="8">
        <v>3.3125391489096302E-2</v>
      </c>
      <c r="P305" s="9">
        <v>5.5860033828879302E-2</v>
      </c>
      <c r="Q305" s="570">
        <v>5.6572375712262701E-3</v>
      </c>
    </row>
    <row r="306" spans="2:17" ht="15.75" x14ac:dyDescent="0.25">
      <c r="B306" s="6">
        <v>2033</v>
      </c>
      <c r="C306" s="7">
        <v>2021</v>
      </c>
      <c r="D306" s="484" t="s">
        <v>3715</v>
      </c>
      <c r="E306" s="488">
        <v>0.12113119071099382</v>
      </c>
      <c r="F306" s="489">
        <v>0.22655122302847489</v>
      </c>
      <c r="G306" s="487">
        <v>7.8396428997740998E-4</v>
      </c>
      <c r="H306" s="8">
        <v>2.2703388686973101E-2</v>
      </c>
      <c r="I306" s="8">
        <v>0.62334967927242302</v>
      </c>
      <c r="J306" s="8">
        <v>0.44401941770639503</v>
      </c>
      <c r="K306" s="8">
        <v>4.58191828518263E-3</v>
      </c>
      <c r="L306" s="8">
        <v>2.2014761257576499E-3</v>
      </c>
      <c r="M306" s="8">
        <v>5.3010339717234796E-3</v>
      </c>
      <c r="N306" s="8">
        <v>3.0000018168034001E-3</v>
      </c>
      <c r="O306" s="8">
        <v>4.4584976269770898E-2</v>
      </c>
      <c r="P306" s="9">
        <v>5.5860033828879302E-2</v>
      </c>
      <c r="Q306" s="570">
        <v>4.7890922980773198E-3</v>
      </c>
    </row>
    <row r="307" spans="2:17" ht="15.75" x14ac:dyDescent="0.25">
      <c r="B307" s="6">
        <v>2033</v>
      </c>
      <c r="C307" s="7">
        <v>2022</v>
      </c>
      <c r="D307" s="484" t="s">
        <v>3716</v>
      </c>
      <c r="E307" s="488">
        <v>0.1303932199758451</v>
      </c>
      <c r="F307" s="489">
        <v>0.22633244473234804</v>
      </c>
      <c r="G307" s="487">
        <v>8.8875321564618303E-4</v>
      </c>
      <c r="H307" s="8">
        <v>2.27518369407789E-2</v>
      </c>
      <c r="I307" s="8">
        <v>0.68208560772135596</v>
      </c>
      <c r="J307" s="8">
        <v>0.407182396747862</v>
      </c>
      <c r="K307" s="8">
        <v>4.9298632761037697E-3</v>
      </c>
      <c r="L307" s="8">
        <v>2.2001922124728602E-3</v>
      </c>
      <c r="M307" s="8">
        <v>6.3164708481414098E-3</v>
      </c>
      <c r="N307" s="8">
        <v>3.0000018168034001E-3</v>
      </c>
      <c r="O307" s="8">
        <v>3.9609335575323097E-2</v>
      </c>
      <c r="P307" s="9">
        <v>5.5860033828879302E-2</v>
      </c>
      <c r="Q307" s="570">
        <v>5.1527698175048899E-3</v>
      </c>
    </row>
    <row r="308" spans="2:17" ht="15.75" x14ac:dyDescent="0.25">
      <c r="B308" s="6">
        <v>2033</v>
      </c>
      <c r="C308" s="7">
        <v>2023</v>
      </c>
      <c r="D308" s="484" t="s">
        <v>3717</v>
      </c>
      <c r="E308" s="488">
        <v>0.13196068444940393</v>
      </c>
      <c r="F308" s="489">
        <v>0.19695205684915074</v>
      </c>
      <c r="G308" s="487">
        <v>2.4212861216823E-3</v>
      </c>
      <c r="H308" s="8">
        <v>1.8055067224296999E-2</v>
      </c>
      <c r="I308" s="8">
        <v>0.69040008426315802</v>
      </c>
      <c r="J308" s="8">
        <v>0.30190179826207297</v>
      </c>
      <c r="K308" s="8">
        <v>5.23569454061284E-3</v>
      </c>
      <c r="L308" s="8">
        <v>2.13024334537937E-3</v>
      </c>
      <c r="M308" s="8">
        <v>6.5577156549058001E-3</v>
      </c>
      <c r="N308" s="8">
        <v>2.7374603005563799E-3</v>
      </c>
      <c r="O308" s="8">
        <v>3.8260144561079901E-2</v>
      </c>
      <c r="P308" s="9">
        <v>5.1228801482281802E-2</v>
      </c>
      <c r="Q308" s="570">
        <v>5.47242941468891E-3</v>
      </c>
    </row>
    <row r="309" spans="2:17" ht="15.75" x14ac:dyDescent="0.25">
      <c r="B309" s="6">
        <v>2033</v>
      </c>
      <c r="C309" s="7">
        <v>2024</v>
      </c>
      <c r="D309" s="484" t="s">
        <v>3718</v>
      </c>
      <c r="E309" s="488">
        <v>0.13288782973438629</v>
      </c>
      <c r="F309" s="489">
        <v>0.15839828304284606</v>
      </c>
      <c r="G309" s="487">
        <v>2.25998612052877E-3</v>
      </c>
      <c r="H309" s="8">
        <v>1.38207796285763E-2</v>
      </c>
      <c r="I309" s="8">
        <v>0.69731309635476002</v>
      </c>
      <c r="J309" s="8">
        <v>0.210286103991324</v>
      </c>
      <c r="K309" s="8">
        <v>5.1740587912810099E-3</v>
      </c>
      <c r="L309" s="8">
        <v>1.84347776746234E-3</v>
      </c>
      <c r="M309" s="8">
        <v>6.6399560493253596E-3</v>
      </c>
      <c r="N309" s="8">
        <v>2.5321795393683901E-3</v>
      </c>
      <c r="O309" s="8">
        <v>3.7873566345168398E-2</v>
      </c>
      <c r="P309" s="9">
        <v>4.7607648854925799E-2</v>
      </c>
      <c r="Q309" s="570">
        <v>5.4080067702768899E-3</v>
      </c>
    </row>
    <row r="310" spans="2:17" ht="15.75" x14ac:dyDescent="0.25">
      <c r="B310" s="6">
        <v>2033</v>
      </c>
      <c r="C310" s="7">
        <v>2025</v>
      </c>
      <c r="D310" s="484" t="s">
        <v>3719</v>
      </c>
      <c r="E310" s="488">
        <v>0.14722765695352627</v>
      </c>
      <c r="F310" s="489">
        <v>0.16767877476741769</v>
      </c>
      <c r="G310" s="487">
        <v>2.9713000512120798E-3</v>
      </c>
      <c r="H310" s="8">
        <v>1.53204865963006E-2</v>
      </c>
      <c r="I310" s="8">
        <v>0.78777201579865797</v>
      </c>
      <c r="J310" s="8">
        <v>0.218830324885082</v>
      </c>
      <c r="K310" s="8">
        <v>5.79041913048217E-3</v>
      </c>
      <c r="L310" s="8">
        <v>2.10402635651722E-3</v>
      </c>
      <c r="M310" s="8">
        <v>8.2393452001956104E-3</v>
      </c>
      <c r="N310" s="8">
        <v>2.58146717483749E-3</v>
      </c>
      <c r="O310" s="8">
        <v>2.9970698370588501E-2</v>
      </c>
      <c r="P310" s="9">
        <v>4.8477082744600601E-2</v>
      </c>
      <c r="Q310" s="570">
        <v>6.05223618895823E-3</v>
      </c>
    </row>
    <row r="311" spans="2:17" ht="15.75" x14ac:dyDescent="0.25">
      <c r="B311" s="6">
        <v>2033</v>
      </c>
      <c r="C311" s="7">
        <v>2026</v>
      </c>
      <c r="D311" s="484" t="s">
        <v>3720</v>
      </c>
      <c r="E311" s="488">
        <v>0.13727675002683104</v>
      </c>
      <c r="F311" s="489">
        <v>0.19512774963722745</v>
      </c>
      <c r="G311" s="487">
        <v>2.2882367855849299E-3</v>
      </c>
      <c r="H311" s="8">
        <v>2.0236046083316198E-2</v>
      </c>
      <c r="I311" s="8">
        <v>0.72509972015800395</v>
      </c>
      <c r="J311" s="8">
        <v>0.290462928579858</v>
      </c>
      <c r="K311" s="8">
        <v>5.3334033300676204E-3</v>
      </c>
      <c r="L311" s="8">
        <v>2.1494458408784002E-3</v>
      </c>
      <c r="M311" s="8">
        <v>7.12612694854155E-3</v>
      </c>
      <c r="N311" s="8">
        <v>2.8655922878715601E-3</v>
      </c>
      <c r="O311" s="8">
        <v>3.5487855365208598E-2</v>
      </c>
      <c r="P311" s="9">
        <v>5.3489049738521699E-2</v>
      </c>
      <c r="Q311" s="570">
        <v>5.5745561620265203E-3</v>
      </c>
    </row>
    <row r="312" spans="2:17" ht="15.75" x14ac:dyDescent="0.25">
      <c r="B312" s="6">
        <v>2033</v>
      </c>
      <c r="C312" s="7">
        <v>2027</v>
      </c>
      <c r="D312" s="484" t="s">
        <v>3721</v>
      </c>
      <c r="E312" s="488">
        <v>0.1436110534969828</v>
      </c>
      <c r="F312" s="489">
        <v>0.17120255994319569</v>
      </c>
      <c r="G312" s="487">
        <v>6.5384500371491704E-3</v>
      </c>
      <c r="H312" s="8">
        <v>1.7114061543393299E-2</v>
      </c>
      <c r="I312" s="8">
        <v>0.76235048503671599</v>
      </c>
      <c r="J312" s="8">
        <v>0.220412426073573</v>
      </c>
      <c r="K312" s="8">
        <v>6.0355438113548201E-3</v>
      </c>
      <c r="L312" s="8">
        <v>2.1114010809500199E-3</v>
      </c>
      <c r="M312" s="8">
        <v>8.0129682440654802E-3</v>
      </c>
      <c r="N312" s="8">
        <v>2.68792194686597E-3</v>
      </c>
      <c r="O312" s="8">
        <v>3.06533011813339E-2</v>
      </c>
      <c r="P312" s="9">
        <v>5.0354944923183098E-2</v>
      </c>
      <c r="Q312" s="570">
        <v>6.3084443201752898E-3</v>
      </c>
    </row>
    <row r="313" spans="2:17" ht="15.75" x14ac:dyDescent="0.25">
      <c r="B313" s="6">
        <v>2033</v>
      </c>
      <c r="C313" s="7">
        <v>2028</v>
      </c>
      <c r="D313" s="484" t="s">
        <v>3722</v>
      </c>
      <c r="E313" s="488">
        <v>0.1451948625066769</v>
      </c>
      <c r="F313" s="489">
        <v>0.14953858315345567</v>
      </c>
      <c r="G313" s="487">
        <v>2.1253459626699501E-3</v>
      </c>
      <c r="H313" s="8">
        <v>1.3476865192577001E-2</v>
      </c>
      <c r="I313" s="8">
        <v>0.77537461159517995</v>
      </c>
      <c r="J313" s="8">
        <v>0.15696412581350799</v>
      </c>
      <c r="K313" s="8">
        <v>5.5930318024424597E-3</v>
      </c>
      <c r="L313" s="8">
        <v>1.8665717675062901E-3</v>
      </c>
      <c r="M313" s="8">
        <v>7.9869888029784602E-3</v>
      </c>
      <c r="N313" s="8">
        <v>2.5138343814374402E-3</v>
      </c>
      <c r="O313" s="8">
        <v>3.12938259537896E-2</v>
      </c>
      <c r="P313" s="9">
        <v>4.72840402690239E-2</v>
      </c>
      <c r="Q313" s="570">
        <v>5.8459238818378599E-3</v>
      </c>
    </row>
    <row r="314" spans="2:17" ht="15.75" x14ac:dyDescent="0.25">
      <c r="B314" s="6">
        <v>2033</v>
      </c>
      <c r="C314" s="7">
        <v>2029</v>
      </c>
      <c r="D314" s="484" t="s">
        <v>3723</v>
      </c>
      <c r="E314" s="488">
        <v>0.13977791475478532</v>
      </c>
      <c r="F314" s="489">
        <v>0.16442132931571737</v>
      </c>
      <c r="G314" s="487">
        <v>2.0507826049595999E-3</v>
      </c>
      <c r="H314" s="8">
        <v>1.5955508832030799E-2</v>
      </c>
      <c r="I314" s="8">
        <v>0.74105561607361303</v>
      </c>
      <c r="J314" s="8">
        <v>0.17642022197191901</v>
      </c>
      <c r="K314" s="8">
        <v>5.3727865989519601E-3</v>
      </c>
      <c r="L314" s="8">
        <v>2.05504091697875E-3</v>
      </c>
      <c r="M314" s="8">
        <v>7.3929121003645602E-3</v>
      </c>
      <c r="N314" s="8">
        <v>2.6274411642777402E-3</v>
      </c>
      <c r="O314" s="8">
        <v>3.4203115317697E-2</v>
      </c>
      <c r="P314" s="9">
        <v>4.9288063918326699E-2</v>
      </c>
      <c r="Q314" s="570">
        <v>5.6157201675691402E-3</v>
      </c>
    </row>
    <row r="315" spans="2:17" ht="15.75" x14ac:dyDescent="0.25">
      <c r="B315" s="6">
        <v>2033</v>
      </c>
      <c r="C315" s="7">
        <v>2030</v>
      </c>
      <c r="D315" s="484" t="s">
        <v>3724</v>
      </c>
      <c r="E315" s="488">
        <v>0.1153757092839741</v>
      </c>
      <c r="F315" s="489">
        <v>0.15553302343628927</v>
      </c>
      <c r="G315" s="487">
        <v>2.1892994538796898E-2</v>
      </c>
      <c r="H315" s="8">
        <v>1.4716283782320899E-2</v>
      </c>
      <c r="I315" s="8">
        <v>0.57625167561888002</v>
      </c>
      <c r="J315" s="8">
        <v>0.13955949826539599</v>
      </c>
      <c r="K315" s="8">
        <v>5.8701294132513801E-3</v>
      </c>
      <c r="L315" s="8">
        <v>1.92332666648558E-3</v>
      </c>
      <c r="M315" s="8">
        <v>5.6288374196917E-3</v>
      </c>
      <c r="N315" s="8">
        <v>2.56376967822519E-3</v>
      </c>
      <c r="O315" s="8">
        <v>4.0274858755799899E-2</v>
      </c>
      <c r="P315" s="9">
        <v>4.8164898904359599E-2</v>
      </c>
      <c r="Q315" s="570">
        <v>6.1355506170051198E-3</v>
      </c>
    </row>
    <row r="316" spans="2:17" ht="15.75" x14ac:dyDescent="0.25">
      <c r="B316" s="6">
        <v>2033</v>
      </c>
      <c r="C316" s="7">
        <v>2031</v>
      </c>
      <c r="D316" s="484" t="s">
        <v>3725</v>
      </c>
      <c r="E316" s="488">
        <v>0.1479539021260329</v>
      </c>
      <c r="F316" s="489">
        <v>0.14954546117255416</v>
      </c>
      <c r="G316" s="487">
        <v>2.36023916393011E-3</v>
      </c>
      <c r="H316" s="8">
        <v>1.40333839349181E-2</v>
      </c>
      <c r="I316" s="8">
        <v>0.79254952788658395</v>
      </c>
      <c r="J316" s="8">
        <v>0.123681917251803</v>
      </c>
      <c r="K316" s="8">
        <v>5.6850315663095098E-3</v>
      </c>
      <c r="L316" s="8">
        <v>1.76921704949409E-3</v>
      </c>
      <c r="M316" s="8">
        <v>8.3040106406213499E-3</v>
      </c>
      <c r="N316" s="8">
        <v>2.53534029223439E-3</v>
      </c>
      <c r="O316" s="8">
        <v>2.9702937670470799E-2</v>
      </c>
      <c r="P316" s="9">
        <v>4.7663404535481999E-2</v>
      </c>
      <c r="Q316" s="570">
        <v>5.9420834667840696E-3</v>
      </c>
    </row>
    <row r="317" spans="2:17" ht="15.75" x14ac:dyDescent="0.25">
      <c r="B317" s="6">
        <v>2033</v>
      </c>
      <c r="C317" s="7">
        <v>2032</v>
      </c>
      <c r="D317" s="484" t="s">
        <v>3726</v>
      </c>
      <c r="E317" s="488">
        <v>0.14238402704156833</v>
      </c>
      <c r="F317" s="489">
        <v>0.16591076946905295</v>
      </c>
      <c r="G317" s="487">
        <v>6.0050219468519798E-3</v>
      </c>
      <c r="H317" s="8">
        <v>1.6973898834102299E-2</v>
      </c>
      <c r="I317" s="8">
        <v>0.75516992662372096</v>
      </c>
      <c r="J317" s="8">
        <v>0.12425819380261099</v>
      </c>
      <c r="K317" s="8">
        <v>5.6319764641822997E-3</v>
      </c>
      <c r="L317" s="8">
        <v>2.0694745379863599E-3</v>
      </c>
      <c r="M317" s="8">
        <v>7.87081801025343E-3</v>
      </c>
      <c r="N317" s="8">
        <v>2.6413226747378799E-3</v>
      </c>
      <c r="O317" s="8">
        <v>3.1317587070118197E-2</v>
      </c>
      <c r="P317" s="9">
        <v>4.9532933762843602E-2</v>
      </c>
      <c r="Q317" s="570">
        <v>5.8866294483672001E-3</v>
      </c>
    </row>
    <row r="318" spans="2:17" ht="15.75" x14ac:dyDescent="0.25">
      <c r="B318" s="6">
        <v>2033</v>
      </c>
      <c r="C318" s="7">
        <v>2033</v>
      </c>
      <c r="D318" s="484" t="s">
        <v>3727</v>
      </c>
      <c r="E318" s="488">
        <v>0.1451892803962247</v>
      </c>
      <c r="F318" s="489">
        <v>0.15740585377524161</v>
      </c>
      <c r="G318" s="487">
        <v>1.8457892859422701E-3</v>
      </c>
      <c r="H318" s="8">
        <v>1.5451340246387E-2</v>
      </c>
      <c r="I318" s="8">
        <v>0.77531247780271795</v>
      </c>
      <c r="J318" s="8">
        <v>9.58430776992691E-2</v>
      </c>
      <c r="K318" s="8">
        <v>5.5261615177761899E-3</v>
      </c>
      <c r="L318" s="8">
        <v>2.04752600886837E-3</v>
      </c>
      <c r="M318" s="8">
        <v>7.9791734113642994E-3</v>
      </c>
      <c r="N318" s="8">
        <v>2.55388047920363E-3</v>
      </c>
      <c r="O318" s="8">
        <v>3.1351463527661001E-2</v>
      </c>
      <c r="P318" s="9">
        <v>4.79904534336194E-2</v>
      </c>
      <c r="Q318" s="570">
        <v>5.7760300196314698E-3</v>
      </c>
    </row>
    <row r="319" spans="2:17" ht="15.75" x14ac:dyDescent="0.25">
      <c r="B319" s="6">
        <v>2034</v>
      </c>
      <c r="C319" s="7">
        <v>2020</v>
      </c>
      <c r="D319" s="484" t="s">
        <v>3758</v>
      </c>
      <c r="E319" s="488">
        <v>0.14241953794652834</v>
      </c>
      <c r="F319" s="489">
        <v>0.25000344436684074</v>
      </c>
      <c r="G319" s="487">
        <v>1.02441538685268E-3</v>
      </c>
      <c r="H319" s="8">
        <v>2.2781081439968601E-2</v>
      </c>
      <c r="I319" s="8">
        <v>0.75799775939896996</v>
      </c>
      <c r="J319" s="8">
        <v>0.49245014744116</v>
      </c>
      <c r="K319" s="8">
        <v>5.4125079781048102E-3</v>
      </c>
      <c r="L319" s="8">
        <v>2.1979210234095198E-3</v>
      </c>
      <c r="M319" s="8">
        <v>7.6397247432897298E-3</v>
      </c>
      <c r="N319" s="8">
        <v>3.0000018168034001E-3</v>
      </c>
      <c r="O319" s="8">
        <v>3.3125391489096302E-2</v>
      </c>
      <c r="P319" s="9">
        <v>5.5860033828879302E-2</v>
      </c>
      <c r="Q319" s="570">
        <v>5.6572375712262701E-3</v>
      </c>
    </row>
    <row r="320" spans="2:17" ht="15.75" x14ac:dyDescent="0.25">
      <c r="B320" s="6">
        <v>2034</v>
      </c>
      <c r="C320" s="7">
        <v>2021</v>
      </c>
      <c r="D320" s="484" t="s">
        <v>3759</v>
      </c>
      <c r="E320" s="488">
        <v>0.12113119071099382</v>
      </c>
      <c r="F320" s="489">
        <v>0.2265548888186287</v>
      </c>
      <c r="G320" s="487">
        <v>7.8396428997740998E-4</v>
      </c>
      <c r="H320" s="8">
        <v>2.2703388686973101E-2</v>
      </c>
      <c r="I320" s="8">
        <v>0.62334967927242302</v>
      </c>
      <c r="J320" s="8">
        <v>0.46498924107609202</v>
      </c>
      <c r="K320" s="8">
        <v>4.58191828518263E-3</v>
      </c>
      <c r="L320" s="8">
        <v>2.2014761257576499E-3</v>
      </c>
      <c r="M320" s="8">
        <v>5.3010339717234796E-3</v>
      </c>
      <c r="N320" s="8">
        <v>3.0000018168034001E-3</v>
      </c>
      <c r="O320" s="8">
        <v>4.4584976269770898E-2</v>
      </c>
      <c r="P320" s="9">
        <v>5.5860033828879302E-2</v>
      </c>
      <c r="Q320" s="570">
        <v>4.7890922980773198E-3</v>
      </c>
    </row>
    <row r="321" spans="2:17" ht="15.75" x14ac:dyDescent="0.25">
      <c r="B321" s="6">
        <v>2034</v>
      </c>
      <c r="C321" s="7">
        <v>2022</v>
      </c>
      <c r="D321" s="484" t="s">
        <v>3760</v>
      </c>
      <c r="E321" s="488">
        <v>0.1303932199758451</v>
      </c>
      <c r="F321" s="489">
        <v>0.22633806215672467</v>
      </c>
      <c r="G321" s="487">
        <v>8.8875321564618195E-4</v>
      </c>
      <c r="H321" s="8">
        <v>2.27518369407789E-2</v>
      </c>
      <c r="I321" s="8">
        <v>0.68208560772135596</v>
      </c>
      <c r="J321" s="8">
        <v>0.43993056792945101</v>
      </c>
      <c r="K321" s="8">
        <v>4.9298632761037697E-3</v>
      </c>
      <c r="L321" s="8">
        <v>2.2001922124728602E-3</v>
      </c>
      <c r="M321" s="8">
        <v>6.3164708481414098E-3</v>
      </c>
      <c r="N321" s="8">
        <v>3.0000018168034001E-3</v>
      </c>
      <c r="O321" s="8">
        <v>3.9609335575323097E-2</v>
      </c>
      <c r="P321" s="9">
        <v>5.5860033828879302E-2</v>
      </c>
      <c r="Q321" s="570">
        <v>5.1527698175048899E-3</v>
      </c>
    </row>
    <row r="322" spans="2:17" ht="15.75" x14ac:dyDescent="0.25">
      <c r="B322" s="6">
        <v>2034</v>
      </c>
      <c r="C322" s="7">
        <v>2023</v>
      </c>
      <c r="D322" s="484" t="s">
        <v>3761</v>
      </c>
      <c r="E322" s="488">
        <v>0.13805359733546058</v>
      </c>
      <c r="F322" s="489">
        <v>0.22577900244053933</v>
      </c>
      <c r="G322" s="487">
        <v>9.7509686513037495E-4</v>
      </c>
      <c r="H322" s="8">
        <v>2.2692794975931602E-2</v>
      </c>
      <c r="I322" s="8">
        <v>0.73040980799420896</v>
      </c>
      <c r="J322" s="8">
        <v>0.40500248154852297</v>
      </c>
      <c r="K322" s="8">
        <v>5.2438878421809804E-3</v>
      </c>
      <c r="L322" s="8">
        <v>2.1922469929393801E-3</v>
      </c>
      <c r="M322" s="8">
        <v>7.1597094520570604E-3</v>
      </c>
      <c r="N322" s="8">
        <v>3.0000018168034001E-3</v>
      </c>
      <c r="O322" s="8">
        <v>3.5477466416136298E-2</v>
      </c>
      <c r="P322" s="9">
        <v>5.5860033828879302E-2</v>
      </c>
      <c r="Q322" s="570">
        <v>5.4809931809967401E-3</v>
      </c>
    </row>
    <row r="323" spans="2:17" ht="15.75" x14ac:dyDescent="0.25">
      <c r="B323" s="6">
        <v>2034</v>
      </c>
      <c r="C323" s="7">
        <v>2024</v>
      </c>
      <c r="D323" s="484" t="s">
        <v>3762</v>
      </c>
      <c r="E323" s="488">
        <v>0.13288782973438629</v>
      </c>
      <c r="F323" s="489">
        <v>0.15840130083945439</v>
      </c>
      <c r="G323" s="487">
        <v>2.2820260845843E-3</v>
      </c>
      <c r="H323" s="8">
        <v>1.3827118747005301E-2</v>
      </c>
      <c r="I323" s="8">
        <v>0.69733543020822197</v>
      </c>
      <c r="J323" s="8">
        <v>0.22726121722290599</v>
      </c>
      <c r="K323" s="8">
        <v>5.1833796892356903E-3</v>
      </c>
      <c r="L323" s="8">
        <v>1.84347776746234E-3</v>
      </c>
      <c r="M323" s="8">
        <v>6.6399560493253596E-3</v>
      </c>
      <c r="N323" s="8">
        <v>2.5321795393683901E-3</v>
      </c>
      <c r="O323" s="8">
        <v>3.7873566345168502E-2</v>
      </c>
      <c r="P323" s="9">
        <v>4.7607648854925799E-2</v>
      </c>
      <c r="Q323" s="570">
        <v>5.41774911787621E-3</v>
      </c>
    </row>
    <row r="324" spans="2:17" ht="15.75" x14ac:dyDescent="0.25">
      <c r="B324" s="6">
        <v>2034</v>
      </c>
      <c r="C324" s="7">
        <v>2025</v>
      </c>
      <c r="D324" s="484" t="s">
        <v>3763</v>
      </c>
      <c r="E324" s="488">
        <v>0.14722765695352491</v>
      </c>
      <c r="F324" s="489">
        <v>0.16768040337522441</v>
      </c>
      <c r="G324" s="487">
        <v>3.0050396852459201E-3</v>
      </c>
      <c r="H324" s="8">
        <v>1.5348236948330299E-2</v>
      </c>
      <c r="I324" s="8">
        <v>0.78780622848698101</v>
      </c>
      <c r="J324" s="8">
        <v>0.226515307949963</v>
      </c>
      <c r="K324" s="8">
        <v>5.8047053748436998E-3</v>
      </c>
      <c r="L324" s="8">
        <v>2.10402635651722E-3</v>
      </c>
      <c r="M324" s="8">
        <v>8.2393452001956E-3</v>
      </c>
      <c r="N324" s="8">
        <v>2.58146717483749E-3</v>
      </c>
      <c r="O324" s="8">
        <v>2.9970698370588501E-2</v>
      </c>
      <c r="P324" s="9">
        <v>4.8477082744600698E-2</v>
      </c>
      <c r="Q324" s="570">
        <v>6.0671683938955199E-3</v>
      </c>
    </row>
    <row r="325" spans="2:17" ht="15.75" x14ac:dyDescent="0.25">
      <c r="B325" s="6">
        <v>2034</v>
      </c>
      <c r="C325" s="7">
        <v>2026</v>
      </c>
      <c r="D325" s="484" t="s">
        <v>3764</v>
      </c>
      <c r="E325" s="488">
        <v>0.13727675002683104</v>
      </c>
      <c r="F325" s="489">
        <v>0.19513185712608075</v>
      </c>
      <c r="G325" s="487">
        <v>2.3137732561555901E-3</v>
      </c>
      <c r="H325" s="8">
        <v>2.02501079949295E-2</v>
      </c>
      <c r="I325" s="8">
        <v>0.72512561759958305</v>
      </c>
      <c r="J325" s="8">
        <v>0.314419740607636</v>
      </c>
      <c r="K325" s="8">
        <v>5.3442162719108599E-3</v>
      </c>
      <c r="L325" s="8">
        <v>2.1494458408784002E-3</v>
      </c>
      <c r="M325" s="8">
        <v>7.1261269485415604E-3</v>
      </c>
      <c r="N325" s="8">
        <v>2.8655922878715601E-3</v>
      </c>
      <c r="O325" s="8">
        <v>3.5487855365208702E-2</v>
      </c>
      <c r="P325" s="9">
        <v>5.3489049738521699E-2</v>
      </c>
      <c r="Q325" s="570">
        <v>5.5858580171181801E-3</v>
      </c>
    </row>
    <row r="326" spans="2:17" ht="15.75" x14ac:dyDescent="0.25">
      <c r="B326" s="6">
        <v>2034</v>
      </c>
      <c r="C326" s="7">
        <v>2027</v>
      </c>
      <c r="D326" s="484" t="s">
        <v>3765</v>
      </c>
      <c r="E326" s="488">
        <v>0.1436110534969828</v>
      </c>
      <c r="F326" s="489">
        <v>0.17120571114993163</v>
      </c>
      <c r="G326" s="487">
        <v>6.6534084798079299E-3</v>
      </c>
      <c r="H326" s="8">
        <v>1.71515021301143E-2</v>
      </c>
      <c r="I326" s="8">
        <v>0.76246636960884695</v>
      </c>
      <c r="J326" s="8">
        <v>0.23716568743829999</v>
      </c>
      <c r="K326" s="8">
        <v>6.0836960570704703E-3</v>
      </c>
      <c r="L326" s="8">
        <v>2.1114010809500199E-3</v>
      </c>
      <c r="M326" s="8">
        <v>8.0129682440654802E-3</v>
      </c>
      <c r="N326" s="8">
        <v>2.68792194686597E-3</v>
      </c>
      <c r="O326" s="8">
        <v>3.06533011813339E-2</v>
      </c>
      <c r="P326" s="9">
        <v>5.0354944923183098E-2</v>
      </c>
      <c r="Q326" s="570">
        <v>6.3587737967697603E-3</v>
      </c>
    </row>
    <row r="327" spans="2:17" ht="15.75" x14ac:dyDescent="0.25">
      <c r="B327" s="6">
        <v>2034</v>
      </c>
      <c r="C327" s="7">
        <v>2028</v>
      </c>
      <c r="D327" s="484" t="s">
        <v>3766</v>
      </c>
      <c r="E327" s="488">
        <v>0.1451948625066769</v>
      </c>
      <c r="F327" s="489">
        <v>0.1495411985172356</v>
      </c>
      <c r="G327" s="487">
        <v>2.1494754900155998E-3</v>
      </c>
      <c r="H327" s="8">
        <v>1.34974062507513E-2</v>
      </c>
      <c r="I327" s="8">
        <v>0.77539906509014001</v>
      </c>
      <c r="J327" s="8">
        <v>0.17065946000642501</v>
      </c>
      <c r="K327" s="8">
        <v>5.6032367155314398E-3</v>
      </c>
      <c r="L327" s="8">
        <v>1.8665717675062901E-3</v>
      </c>
      <c r="M327" s="8">
        <v>7.9869888029784602E-3</v>
      </c>
      <c r="N327" s="8">
        <v>2.5138343814374402E-3</v>
      </c>
      <c r="O327" s="8">
        <v>3.1293825953789503E-2</v>
      </c>
      <c r="P327" s="9">
        <v>4.72840402690239E-2</v>
      </c>
      <c r="Q327" s="570">
        <v>5.8565902158130897E-3</v>
      </c>
    </row>
    <row r="328" spans="2:17" ht="15.75" x14ac:dyDescent="0.25">
      <c r="B328" s="6">
        <v>2034</v>
      </c>
      <c r="C328" s="7">
        <v>2029</v>
      </c>
      <c r="D328" s="484" t="s">
        <v>3767</v>
      </c>
      <c r="E328" s="488">
        <v>0.13977791475478532</v>
      </c>
      <c r="F328" s="489">
        <v>0.16442310853791098</v>
      </c>
      <c r="G328" s="487">
        <v>2.07648742381744E-3</v>
      </c>
      <c r="H328" s="8">
        <v>1.5908477697957401E-2</v>
      </c>
      <c r="I328" s="8">
        <v>0.74108168101626803</v>
      </c>
      <c r="J328" s="8">
        <v>0.18716968104388701</v>
      </c>
      <c r="K328" s="8">
        <v>5.3836684825650004E-3</v>
      </c>
      <c r="L328" s="8">
        <v>2.05504091697875E-3</v>
      </c>
      <c r="M328" s="8">
        <v>7.3929121003645602E-3</v>
      </c>
      <c r="N328" s="8">
        <v>2.6274411642777402E-3</v>
      </c>
      <c r="O328" s="8">
        <v>3.4203115317697E-2</v>
      </c>
      <c r="P328" s="9">
        <v>4.9288063918326699E-2</v>
      </c>
      <c r="Q328" s="570">
        <v>5.6270940816715203E-3</v>
      </c>
    </row>
    <row r="329" spans="2:17" ht="15.75" x14ac:dyDescent="0.25">
      <c r="B329" s="6">
        <v>2034</v>
      </c>
      <c r="C329" s="7">
        <v>2030</v>
      </c>
      <c r="D329" s="484" t="s">
        <v>3768</v>
      </c>
      <c r="E329" s="488">
        <v>0.1153757092839741</v>
      </c>
      <c r="F329" s="489">
        <v>0.15553574144469792</v>
      </c>
      <c r="G329" s="487">
        <v>2.2448681987238501E-2</v>
      </c>
      <c r="H329" s="8">
        <v>1.4556899667844301E-2</v>
      </c>
      <c r="I329" s="8">
        <v>0.57681477362835898</v>
      </c>
      <c r="J329" s="8">
        <v>0.160393332996391</v>
      </c>
      <c r="K329" s="8">
        <v>6.1050913480491997E-3</v>
      </c>
      <c r="L329" s="8">
        <v>1.92332666648558E-3</v>
      </c>
      <c r="M329" s="8">
        <v>5.6288374196917E-3</v>
      </c>
      <c r="N329" s="8">
        <v>2.56376967822518E-3</v>
      </c>
      <c r="O329" s="8">
        <v>4.0274858755799899E-2</v>
      </c>
      <c r="P329" s="9">
        <v>4.8164898904359599E-2</v>
      </c>
      <c r="Q329" s="570">
        <v>6.3811364878663601E-3</v>
      </c>
    </row>
    <row r="330" spans="2:17" ht="15.75" x14ac:dyDescent="0.25">
      <c r="B330" s="6">
        <v>2034</v>
      </c>
      <c r="C330" s="7">
        <v>2031</v>
      </c>
      <c r="D330" s="484" t="s">
        <v>3769</v>
      </c>
      <c r="E330" s="488">
        <v>0.14795390212603327</v>
      </c>
      <c r="F330" s="489">
        <v>0.14954569955746413</v>
      </c>
      <c r="G330" s="487">
        <v>2.3962429801610099E-3</v>
      </c>
      <c r="H330" s="8">
        <v>1.3788701485754E-2</v>
      </c>
      <c r="I330" s="8">
        <v>0.79258603339662803</v>
      </c>
      <c r="J330" s="8">
        <v>0.13336679655097</v>
      </c>
      <c r="K330" s="8">
        <v>5.7002714761825403E-3</v>
      </c>
      <c r="L330" s="8">
        <v>1.76921704949409E-3</v>
      </c>
      <c r="M330" s="8">
        <v>8.3040106406213499E-3</v>
      </c>
      <c r="N330" s="8">
        <v>2.53534029223439E-3</v>
      </c>
      <c r="O330" s="8">
        <v>2.9702937670470799E-2</v>
      </c>
      <c r="P330" s="9">
        <v>4.7663404535481999E-2</v>
      </c>
      <c r="Q330" s="570">
        <v>5.9580124577554702E-3</v>
      </c>
    </row>
    <row r="331" spans="2:17" ht="15.75" x14ac:dyDescent="0.25">
      <c r="B331" s="6">
        <v>2034</v>
      </c>
      <c r="C331" s="7">
        <v>2032</v>
      </c>
      <c r="D331" s="484" t="s">
        <v>3770</v>
      </c>
      <c r="E331" s="488">
        <v>0.14238402704156833</v>
      </c>
      <c r="F331" s="489">
        <v>0.16591277561019627</v>
      </c>
      <c r="G331" s="487">
        <v>6.15683241761876E-3</v>
      </c>
      <c r="H331" s="8">
        <v>1.6696601066563399E-2</v>
      </c>
      <c r="I331" s="8">
        <v>0.75532387344950103</v>
      </c>
      <c r="J331" s="8">
        <v>0.1435897868739</v>
      </c>
      <c r="K331" s="8">
        <v>5.6962517348236597E-3</v>
      </c>
      <c r="L331" s="8">
        <v>2.0694745379863599E-3</v>
      </c>
      <c r="M331" s="8">
        <v>7.87081801025343E-3</v>
      </c>
      <c r="N331" s="8">
        <v>2.6413226747378799E-3</v>
      </c>
      <c r="O331" s="8">
        <v>3.1317587070118197E-2</v>
      </c>
      <c r="P331" s="9">
        <v>4.9532933762843602E-2</v>
      </c>
      <c r="Q331" s="570">
        <v>5.9538109615296696E-3</v>
      </c>
    </row>
    <row r="332" spans="2:17" ht="15.75" x14ac:dyDescent="0.25">
      <c r="B332" s="6">
        <v>2034</v>
      </c>
      <c r="C332" s="7">
        <v>2033</v>
      </c>
      <c r="D332" s="484" t="s">
        <v>3771</v>
      </c>
      <c r="E332" s="488">
        <v>0.14518928039622447</v>
      </c>
      <c r="F332" s="489">
        <v>0.15740984120940046</v>
      </c>
      <c r="G332" s="487">
        <v>1.8717419177405701E-3</v>
      </c>
      <c r="H332" s="8">
        <v>1.5581411591269301E-2</v>
      </c>
      <c r="I332" s="8">
        <v>0.77533879574869302</v>
      </c>
      <c r="J332" s="8">
        <v>0.11294084454817099</v>
      </c>
      <c r="K332" s="8">
        <v>5.53714984370203E-3</v>
      </c>
      <c r="L332" s="8">
        <v>2.04752600886837E-3</v>
      </c>
      <c r="M332" s="8">
        <v>7.9791734113642994E-3</v>
      </c>
      <c r="N332" s="8">
        <v>2.55388047920363E-3</v>
      </c>
      <c r="O332" s="8">
        <v>3.1351463527661001E-2</v>
      </c>
      <c r="P332" s="9">
        <v>4.7990453433619303E-2</v>
      </c>
      <c r="Q332" s="570">
        <v>5.7875151888957099E-3</v>
      </c>
    </row>
    <row r="333" spans="2:17" ht="15.75" x14ac:dyDescent="0.25">
      <c r="B333" s="6">
        <v>2034</v>
      </c>
      <c r="C333" s="7">
        <v>2034</v>
      </c>
      <c r="D333" s="484" t="s">
        <v>3772</v>
      </c>
      <c r="E333" s="488">
        <v>0.12501189077615468</v>
      </c>
      <c r="F333" s="489">
        <v>0.1553626288815883</v>
      </c>
      <c r="G333" s="487">
        <v>3.3836042447801498E-3</v>
      </c>
      <c r="H333" s="8">
        <v>1.51372464155131E-2</v>
      </c>
      <c r="I333" s="8">
        <v>0.645360450578089</v>
      </c>
      <c r="J333" s="8">
        <v>9.2760304550978695E-2</v>
      </c>
      <c r="K333" s="8">
        <v>4.8916820640609697E-3</v>
      </c>
      <c r="L333" s="8">
        <v>2.0773560929749301E-3</v>
      </c>
      <c r="M333" s="8">
        <v>5.8695674874992597E-3</v>
      </c>
      <c r="N333" s="8">
        <v>2.5248618793357199E-3</v>
      </c>
      <c r="O333" s="8">
        <v>4.1441773638187102E-2</v>
      </c>
      <c r="P333" s="9">
        <v>4.7478565331949503E-2</v>
      </c>
      <c r="Q333" s="570">
        <v>5.1128622204801299E-3</v>
      </c>
    </row>
    <row r="334" spans="2:17" ht="15.75" x14ac:dyDescent="0.25">
      <c r="B334" s="6">
        <v>2035</v>
      </c>
      <c r="C334" s="7">
        <v>2021</v>
      </c>
      <c r="D334" s="484" t="s">
        <v>3803</v>
      </c>
      <c r="E334" s="488">
        <v>0.12113119071099382</v>
      </c>
      <c r="F334" s="489">
        <v>0.22656119899998217</v>
      </c>
      <c r="G334" s="487">
        <v>7.8396428997740998E-4</v>
      </c>
      <c r="H334" s="8">
        <v>2.2703388686973101E-2</v>
      </c>
      <c r="I334" s="8">
        <v>0.62334967927242302</v>
      </c>
      <c r="J334" s="8">
        <v>0.50108607396320204</v>
      </c>
      <c r="K334" s="8">
        <v>4.58191828518263E-3</v>
      </c>
      <c r="L334" s="8">
        <v>2.2014761257576499E-3</v>
      </c>
      <c r="M334" s="8">
        <v>5.3010339717234796E-3</v>
      </c>
      <c r="N334" s="8">
        <v>3.0000018168034001E-3</v>
      </c>
      <c r="O334" s="8">
        <v>4.4584976269770898E-2</v>
      </c>
      <c r="P334" s="9">
        <v>5.5860033828879302E-2</v>
      </c>
      <c r="Q334" s="570">
        <v>4.7890922980773198E-3</v>
      </c>
    </row>
    <row r="335" spans="2:17" ht="15.75" x14ac:dyDescent="0.25">
      <c r="B335" s="6">
        <v>2035</v>
      </c>
      <c r="C335" s="7">
        <v>2022</v>
      </c>
      <c r="D335" s="484" t="s">
        <v>3804</v>
      </c>
      <c r="E335" s="488">
        <v>0.1303932199758451</v>
      </c>
      <c r="F335" s="489">
        <v>0.22634162606963729</v>
      </c>
      <c r="G335" s="487">
        <v>8.8875321564618195E-4</v>
      </c>
      <c r="H335" s="8">
        <v>2.27518369407789E-2</v>
      </c>
      <c r="I335" s="8">
        <v>0.68208560772135596</v>
      </c>
      <c r="J335" s="8">
        <v>0.46070728610106798</v>
      </c>
      <c r="K335" s="8">
        <v>4.9298632761037697E-3</v>
      </c>
      <c r="L335" s="8">
        <v>2.2001922124728602E-3</v>
      </c>
      <c r="M335" s="8">
        <v>6.3164708481414098E-3</v>
      </c>
      <c r="N335" s="8">
        <v>3.0000018168034001E-3</v>
      </c>
      <c r="O335" s="8">
        <v>3.9609335575323097E-2</v>
      </c>
      <c r="P335" s="9">
        <v>5.5860033828879302E-2</v>
      </c>
      <c r="Q335" s="570">
        <v>5.1527698175048899E-3</v>
      </c>
    </row>
    <row r="336" spans="2:17" ht="15.75" x14ac:dyDescent="0.25">
      <c r="B336" s="6">
        <v>2035</v>
      </c>
      <c r="C336" s="7">
        <v>2023</v>
      </c>
      <c r="D336" s="484" t="s">
        <v>3805</v>
      </c>
      <c r="E336" s="488">
        <v>0.13805359733546058</v>
      </c>
      <c r="F336" s="489">
        <v>0.22578448265169701</v>
      </c>
      <c r="G336" s="487">
        <v>9.7509686513037603E-4</v>
      </c>
      <c r="H336" s="8">
        <v>2.2692794975931602E-2</v>
      </c>
      <c r="I336" s="8">
        <v>0.73040980799420996</v>
      </c>
      <c r="J336" s="8">
        <v>0.437575330229238</v>
      </c>
      <c r="K336" s="8">
        <v>5.2438878421809899E-3</v>
      </c>
      <c r="L336" s="8">
        <v>2.1922469929393801E-3</v>
      </c>
      <c r="M336" s="8">
        <v>7.1597094520570699E-3</v>
      </c>
      <c r="N336" s="8">
        <v>3.0000018168034001E-3</v>
      </c>
      <c r="O336" s="8">
        <v>3.5477466416136298E-2</v>
      </c>
      <c r="P336" s="9">
        <v>5.5860033828879302E-2</v>
      </c>
      <c r="Q336" s="570">
        <v>5.4809931809967401E-3</v>
      </c>
    </row>
    <row r="337" spans="2:17" ht="15.75" x14ac:dyDescent="0.25">
      <c r="B337" s="6">
        <v>2035</v>
      </c>
      <c r="C337" s="7">
        <v>2024</v>
      </c>
      <c r="D337" s="484" t="s">
        <v>3806</v>
      </c>
      <c r="E337" s="488">
        <v>0.13424040179997335</v>
      </c>
      <c r="F337" s="489">
        <v>0.2091431212782261</v>
      </c>
      <c r="G337" s="487">
        <v>9.3227365504366E-4</v>
      </c>
      <c r="H337" s="8">
        <v>2.2752252198944601E-2</v>
      </c>
      <c r="I337" s="8">
        <v>0.70648260796093898</v>
      </c>
      <c r="J337" s="8">
        <v>0.40635470242397598</v>
      </c>
      <c r="K337" s="8">
        <v>5.0747439667352999E-3</v>
      </c>
      <c r="L337" s="8">
        <v>2.1998141934978198E-3</v>
      </c>
      <c r="M337" s="8">
        <v>6.7382418560953204E-3</v>
      </c>
      <c r="N337" s="8">
        <v>3.0000018168034001E-3</v>
      </c>
      <c r="O337" s="8">
        <v>3.7542657636348897E-2</v>
      </c>
      <c r="P337" s="9">
        <v>5.5860033828879302E-2</v>
      </c>
      <c r="Q337" s="570">
        <v>5.3042013700682301E-3</v>
      </c>
    </row>
    <row r="338" spans="2:17" ht="15.75" x14ac:dyDescent="0.25">
      <c r="B338" s="6">
        <v>2035</v>
      </c>
      <c r="C338" s="7">
        <v>2025</v>
      </c>
      <c r="D338" s="484" t="s">
        <v>3807</v>
      </c>
      <c r="E338" s="488">
        <v>0.14722765695352544</v>
      </c>
      <c r="F338" s="489">
        <v>0.16768372741412313</v>
      </c>
      <c r="G338" s="487">
        <v>3.03664657590719E-3</v>
      </c>
      <c r="H338" s="8">
        <v>1.53548447085931E-2</v>
      </c>
      <c r="I338" s="8">
        <v>0.787838278549156</v>
      </c>
      <c r="J338" s="8">
        <v>0.24485855466484099</v>
      </c>
      <c r="K338" s="8">
        <v>5.8180885725132902E-3</v>
      </c>
      <c r="L338" s="8">
        <v>2.10402635651722E-3</v>
      </c>
      <c r="M338" s="8">
        <v>8.2393452001956104E-3</v>
      </c>
      <c r="N338" s="8">
        <v>2.58146717483749E-3</v>
      </c>
      <c r="O338" s="8">
        <v>2.9970698370588501E-2</v>
      </c>
      <c r="P338" s="9">
        <v>4.8477082744600698E-2</v>
      </c>
      <c r="Q338" s="570">
        <v>6.0811567203766697E-3</v>
      </c>
    </row>
    <row r="339" spans="2:17" ht="15.75" x14ac:dyDescent="0.25">
      <c r="B339" s="6">
        <v>2035</v>
      </c>
      <c r="C339" s="7">
        <v>2026</v>
      </c>
      <c r="D339" s="484" t="s">
        <v>3808</v>
      </c>
      <c r="E339" s="488">
        <v>0.13727675002683104</v>
      </c>
      <c r="F339" s="489">
        <v>0.19513379546446935</v>
      </c>
      <c r="G339" s="487">
        <v>2.33779147350295E-3</v>
      </c>
      <c r="H339" s="8">
        <v>2.0257948175672402E-2</v>
      </c>
      <c r="I339" s="8">
        <v>0.725149975355312</v>
      </c>
      <c r="J339" s="8">
        <v>0.32554791566706398</v>
      </c>
      <c r="K339" s="8">
        <v>5.3543863535095004E-3</v>
      </c>
      <c r="L339" s="8">
        <v>2.1494458408784002E-3</v>
      </c>
      <c r="M339" s="8">
        <v>7.12612694854155E-3</v>
      </c>
      <c r="N339" s="8">
        <v>2.8655922878715601E-3</v>
      </c>
      <c r="O339" s="8">
        <v>3.5487855365208702E-2</v>
      </c>
      <c r="P339" s="9">
        <v>5.3489049738521699E-2</v>
      </c>
      <c r="Q339" s="570">
        <v>5.5964879446776502E-3</v>
      </c>
    </row>
    <row r="340" spans="2:17" ht="15.75" x14ac:dyDescent="0.25">
      <c r="B340" s="6">
        <v>2035</v>
      </c>
      <c r="C340" s="7">
        <v>2027</v>
      </c>
      <c r="D340" s="484" t="s">
        <v>3809</v>
      </c>
      <c r="E340" s="488">
        <v>0.1436110534969828</v>
      </c>
      <c r="F340" s="489">
        <v>0.17120924687688527</v>
      </c>
      <c r="G340" s="487">
        <v>6.7619155972259799E-3</v>
      </c>
      <c r="H340" s="8">
        <v>1.7184442122238301E-2</v>
      </c>
      <c r="I340" s="8">
        <v>0.76257575109245201</v>
      </c>
      <c r="J340" s="8">
        <v>0.25642393899364002</v>
      </c>
      <c r="K340" s="8">
        <v>6.1291461642347597E-3</v>
      </c>
      <c r="L340" s="8">
        <v>2.1114010809500199E-3</v>
      </c>
      <c r="M340" s="8">
        <v>8.0129682440654802E-3</v>
      </c>
      <c r="N340" s="8">
        <v>2.68792194686597E-3</v>
      </c>
      <c r="O340" s="8">
        <v>3.06533011813339E-2</v>
      </c>
      <c r="P340" s="9">
        <v>5.0354944923183098E-2</v>
      </c>
      <c r="Q340" s="570">
        <v>6.4062789560981699E-3</v>
      </c>
    </row>
    <row r="341" spans="2:17" ht="15.75" x14ac:dyDescent="0.25">
      <c r="B341" s="6">
        <v>2035</v>
      </c>
      <c r="C341" s="7">
        <v>2028</v>
      </c>
      <c r="D341" s="484" t="s">
        <v>3810</v>
      </c>
      <c r="E341" s="488">
        <v>0.1451948625066769</v>
      </c>
      <c r="F341" s="489">
        <v>0.1495437717162974</v>
      </c>
      <c r="G341" s="487">
        <v>2.1723228234442598E-3</v>
      </c>
      <c r="H341" s="8">
        <v>1.3543199984071001E-2</v>
      </c>
      <c r="I341" s="8">
        <v>0.775422219243036</v>
      </c>
      <c r="J341" s="8">
        <v>0.18338805618135101</v>
      </c>
      <c r="K341" s="8">
        <v>5.6128993924009002E-3</v>
      </c>
      <c r="L341" s="8">
        <v>1.8665717675062901E-3</v>
      </c>
      <c r="M341" s="8">
        <v>7.9869888029784602E-3</v>
      </c>
      <c r="N341" s="8">
        <v>2.5138343814374402E-3</v>
      </c>
      <c r="O341" s="8">
        <v>3.1293825953789503E-2</v>
      </c>
      <c r="P341" s="9">
        <v>4.72840402690239E-2</v>
      </c>
      <c r="Q341" s="570">
        <v>5.8666897960530998E-3</v>
      </c>
    </row>
    <row r="342" spans="2:17" ht="15.75" x14ac:dyDescent="0.25">
      <c r="B342" s="6">
        <v>2035</v>
      </c>
      <c r="C342" s="7">
        <v>2029</v>
      </c>
      <c r="D342" s="484" t="s">
        <v>3811</v>
      </c>
      <c r="E342" s="488">
        <v>0.13977791475478532</v>
      </c>
      <c r="F342" s="489">
        <v>0.1644262513766418</v>
      </c>
      <c r="G342" s="487">
        <v>2.1008952214733498E-3</v>
      </c>
      <c r="H342" s="8">
        <v>1.5927846409956599E-2</v>
      </c>
      <c r="I342" s="8">
        <v>0.74110643086846695</v>
      </c>
      <c r="J342" s="8">
        <v>0.20378883037827</v>
      </c>
      <c r="K342" s="8">
        <v>5.3940013320795902E-3</v>
      </c>
      <c r="L342" s="8">
        <v>2.05504091697875E-3</v>
      </c>
      <c r="M342" s="8">
        <v>7.3929121003645498E-3</v>
      </c>
      <c r="N342" s="8">
        <v>2.6274411642777402E-3</v>
      </c>
      <c r="O342" s="8">
        <v>3.4203115317697E-2</v>
      </c>
      <c r="P342" s="9">
        <v>4.9288063918326797E-2</v>
      </c>
      <c r="Q342" s="570">
        <v>5.6378941367898096E-3</v>
      </c>
    </row>
    <row r="343" spans="2:17" ht="15.75" x14ac:dyDescent="0.25">
      <c r="B343" s="6">
        <v>2035</v>
      </c>
      <c r="C343" s="7">
        <v>2030</v>
      </c>
      <c r="D343" s="484" t="s">
        <v>3812</v>
      </c>
      <c r="E343" s="488">
        <v>0.1153757092839741</v>
      </c>
      <c r="F343" s="489">
        <v>0.15553724536424651</v>
      </c>
      <c r="G343" s="487">
        <v>2.2977676194525499E-2</v>
      </c>
      <c r="H343" s="8">
        <v>1.4511278290202099E-2</v>
      </c>
      <c r="I343" s="8">
        <v>0.57735082545886796</v>
      </c>
      <c r="J343" s="8">
        <v>0.17000843713144601</v>
      </c>
      <c r="K343" s="8">
        <v>6.32876791475154E-3</v>
      </c>
      <c r="L343" s="8">
        <v>1.92332666648558E-3</v>
      </c>
      <c r="M343" s="8">
        <v>5.6288374196917E-3</v>
      </c>
      <c r="N343" s="8">
        <v>2.56376967822518E-3</v>
      </c>
      <c r="O343" s="8">
        <v>4.0274858755799899E-2</v>
      </c>
      <c r="P343" s="9">
        <v>4.8164898904359599E-2</v>
      </c>
      <c r="Q343" s="570">
        <v>6.6149267163649102E-3</v>
      </c>
    </row>
    <row r="344" spans="2:17" ht="15.75" x14ac:dyDescent="0.25">
      <c r="B344" s="6">
        <v>2035</v>
      </c>
      <c r="C344" s="7">
        <v>2031</v>
      </c>
      <c r="D344" s="484" t="s">
        <v>3813</v>
      </c>
      <c r="E344" s="488">
        <v>0.14795390212603327</v>
      </c>
      <c r="F344" s="489">
        <v>0.14954826466459997</v>
      </c>
      <c r="G344" s="487">
        <v>2.43059648867153E-3</v>
      </c>
      <c r="H344" s="8">
        <v>1.36525546096048E-2</v>
      </c>
      <c r="I344" s="8">
        <v>0.79262086586707203</v>
      </c>
      <c r="J344" s="8">
        <v>0.153145411746409</v>
      </c>
      <c r="K344" s="8">
        <v>5.7148129500092203E-3</v>
      </c>
      <c r="L344" s="8">
        <v>1.76921704949409E-3</v>
      </c>
      <c r="M344" s="8">
        <v>8.3040106406213499E-3</v>
      </c>
      <c r="N344" s="8">
        <v>2.53534029223439E-3</v>
      </c>
      <c r="O344" s="8">
        <v>2.9702937670470799E-2</v>
      </c>
      <c r="P344" s="9">
        <v>4.7663404535481999E-2</v>
      </c>
      <c r="Q344" s="570">
        <v>5.9732114325017497E-3</v>
      </c>
    </row>
    <row r="345" spans="2:17" ht="15.75" x14ac:dyDescent="0.25">
      <c r="B345" s="6">
        <v>2035</v>
      </c>
      <c r="C345" s="7">
        <v>2032</v>
      </c>
      <c r="D345" s="484" t="s">
        <v>3814</v>
      </c>
      <c r="E345" s="488">
        <v>0.14238402704156833</v>
      </c>
      <c r="F345" s="489">
        <v>0.16591359879160048</v>
      </c>
      <c r="G345" s="487">
        <v>6.3019888961717199E-3</v>
      </c>
      <c r="H345" s="8">
        <v>1.64307871047462E-2</v>
      </c>
      <c r="I345" s="8">
        <v>0.75547107410665304</v>
      </c>
      <c r="J345" s="8">
        <v>0.15571864118617401</v>
      </c>
      <c r="K345" s="8">
        <v>5.7577103916123303E-3</v>
      </c>
      <c r="L345" s="8">
        <v>2.0694745379863599E-3</v>
      </c>
      <c r="M345" s="8">
        <v>7.87081801025343E-3</v>
      </c>
      <c r="N345" s="8">
        <v>2.6413226747378799E-3</v>
      </c>
      <c r="O345" s="8">
        <v>3.1317587070118197E-2</v>
      </c>
      <c r="P345" s="9">
        <v>4.9532933762843602E-2</v>
      </c>
      <c r="Q345" s="570">
        <v>6.0180485060595803E-3</v>
      </c>
    </row>
    <row r="346" spans="2:17" ht="15.75" x14ac:dyDescent="0.25">
      <c r="B346" s="6">
        <v>2035</v>
      </c>
      <c r="C346" s="7">
        <v>2033</v>
      </c>
      <c r="D346" s="484" t="s">
        <v>3815</v>
      </c>
      <c r="E346" s="488">
        <v>0.14518928039622447</v>
      </c>
      <c r="F346" s="489">
        <v>0.15741100896041105</v>
      </c>
      <c r="G346" s="487">
        <v>1.8966046979508101E-3</v>
      </c>
      <c r="H346" s="8">
        <v>1.52313762593201E-2</v>
      </c>
      <c r="I346" s="8">
        <v>0.77536400882407897</v>
      </c>
      <c r="J346" s="8">
        <v>0.12923706690037401</v>
      </c>
      <c r="K346" s="8">
        <v>5.5476768638938996E-3</v>
      </c>
      <c r="L346" s="8">
        <v>2.04752600886837E-3</v>
      </c>
      <c r="M346" s="8">
        <v>7.9791734113642994E-3</v>
      </c>
      <c r="N346" s="8">
        <v>2.55388047920363E-3</v>
      </c>
      <c r="O346" s="8">
        <v>3.1351463527661001E-2</v>
      </c>
      <c r="P346" s="9">
        <v>4.7990453433619303E-2</v>
      </c>
      <c r="Q346" s="570">
        <v>5.7985181942276998E-3</v>
      </c>
    </row>
    <row r="347" spans="2:17" ht="15.75" x14ac:dyDescent="0.25">
      <c r="B347" s="6">
        <v>2035</v>
      </c>
      <c r="C347" s="7">
        <v>2034</v>
      </c>
      <c r="D347" s="484" t="s">
        <v>3816</v>
      </c>
      <c r="E347" s="488">
        <v>0.12501189077615468</v>
      </c>
      <c r="F347" s="489">
        <v>0.1553665137810219</v>
      </c>
      <c r="G347" s="487">
        <v>3.4675994367626898E-3</v>
      </c>
      <c r="H347" s="8">
        <v>1.52854974906144E-2</v>
      </c>
      <c r="I347" s="8">
        <v>0.64544557762009602</v>
      </c>
      <c r="J347" s="8">
        <v>0.10909720383481</v>
      </c>
      <c r="K347" s="8">
        <v>4.9272076278760501E-3</v>
      </c>
      <c r="L347" s="8">
        <v>2.0773560929749301E-3</v>
      </c>
      <c r="M347" s="8">
        <v>5.8695674874992597E-3</v>
      </c>
      <c r="N347" s="8">
        <v>2.5248618793357199E-3</v>
      </c>
      <c r="O347" s="8">
        <v>4.1441773638186997E-2</v>
      </c>
      <c r="P347" s="9">
        <v>4.7478565331949503E-2</v>
      </c>
      <c r="Q347" s="570">
        <v>5.1499940926485804E-3</v>
      </c>
    </row>
    <row r="348" spans="2:17" ht="15.75" x14ac:dyDescent="0.25">
      <c r="B348" s="6">
        <v>2035</v>
      </c>
      <c r="C348" s="7">
        <v>2035</v>
      </c>
      <c r="D348" s="484" t="s">
        <v>3817</v>
      </c>
      <c r="E348" s="488">
        <v>0.13147234536281169</v>
      </c>
      <c r="F348" s="489">
        <v>0.15167404429989409</v>
      </c>
      <c r="G348" s="487">
        <v>6.8467817474525197E-3</v>
      </c>
      <c r="H348" s="8">
        <v>1.45591880331255E-2</v>
      </c>
      <c r="I348" s="8">
        <v>0.684863340035746</v>
      </c>
      <c r="J348" s="8">
        <v>9.1973690499189104E-2</v>
      </c>
      <c r="K348" s="8">
        <v>5.2155626693121101E-3</v>
      </c>
      <c r="L348" s="8">
        <v>1.86432242230041E-3</v>
      </c>
      <c r="M348" s="8">
        <v>6.7329930698256596E-3</v>
      </c>
      <c r="N348" s="8">
        <v>2.5353897654948302E-3</v>
      </c>
      <c r="O348" s="8">
        <v>3.6736730714785601E-2</v>
      </c>
      <c r="P348" s="9">
        <v>4.7664277243796301E-2</v>
      </c>
      <c r="Q348" s="570">
        <v>5.45138726950183E-3</v>
      </c>
    </row>
    <row r="349" spans="2:17" ht="15.75" x14ac:dyDescent="0.25">
      <c r="B349" s="6">
        <v>2036</v>
      </c>
      <c r="C349" s="7">
        <v>2022</v>
      </c>
      <c r="D349" s="484" t="s">
        <v>3848</v>
      </c>
      <c r="E349" s="488">
        <v>0.1303932199758451</v>
      </c>
      <c r="F349" s="489">
        <v>0.22634776088252606</v>
      </c>
      <c r="G349" s="487">
        <v>8.8875321564618195E-4</v>
      </c>
      <c r="H349" s="8">
        <v>2.27518369407789E-2</v>
      </c>
      <c r="I349" s="8">
        <v>0.68208560772135596</v>
      </c>
      <c r="J349" s="8">
        <v>0.49647171341938301</v>
      </c>
      <c r="K349" s="8">
        <v>4.9298632761037697E-3</v>
      </c>
      <c r="L349" s="8">
        <v>2.2001922124728602E-3</v>
      </c>
      <c r="M349" s="8">
        <v>6.3164708481414098E-3</v>
      </c>
      <c r="N349" s="8">
        <v>3.0000018168034001E-3</v>
      </c>
      <c r="O349" s="8">
        <v>3.9609335575323097E-2</v>
      </c>
      <c r="P349" s="9">
        <v>5.5860033828879302E-2</v>
      </c>
      <c r="Q349" s="570">
        <v>5.1527698175048899E-3</v>
      </c>
    </row>
    <row r="350" spans="2:17" ht="15.75" x14ac:dyDescent="0.25">
      <c r="B350" s="6">
        <v>2036</v>
      </c>
      <c r="C350" s="7">
        <v>2023</v>
      </c>
      <c r="D350" s="484" t="s">
        <v>3849</v>
      </c>
      <c r="E350" s="488">
        <v>0.13805359733546058</v>
      </c>
      <c r="F350" s="489">
        <v>0.22578795951118635</v>
      </c>
      <c r="G350" s="487">
        <v>9.7509686513037603E-4</v>
      </c>
      <c r="H350" s="8">
        <v>2.2692794975931602E-2</v>
      </c>
      <c r="I350" s="8">
        <v>0.73040980799420996</v>
      </c>
      <c r="J350" s="8">
        <v>0.45824081696232499</v>
      </c>
      <c r="K350" s="8">
        <v>5.2438878421809899E-3</v>
      </c>
      <c r="L350" s="8">
        <v>2.1922469929393801E-3</v>
      </c>
      <c r="M350" s="8">
        <v>7.1597094520570699E-3</v>
      </c>
      <c r="N350" s="8">
        <v>3.0000018168034001E-3</v>
      </c>
      <c r="O350" s="8">
        <v>3.5477466416136298E-2</v>
      </c>
      <c r="P350" s="9">
        <v>5.5860033828879302E-2</v>
      </c>
      <c r="Q350" s="570">
        <v>5.4809931809967401E-3</v>
      </c>
    </row>
    <row r="351" spans="2:17" ht="15.75" x14ac:dyDescent="0.25">
      <c r="B351" s="6">
        <v>2036</v>
      </c>
      <c r="C351" s="7">
        <v>2024</v>
      </c>
      <c r="D351" s="484" t="s">
        <v>3850</v>
      </c>
      <c r="E351" s="488">
        <v>0.13424040179997335</v>
      </c>
      <c r="F351" s="489">
        <v>0.2091486864667195</v>
      </c>
      <c r="G351" s="487">
        <v>9.3227365504366E-4</v>
      </c>
      <c r="H351" s="8">
        <v>2.2752252198944601E-2</v>
      </c>
      <c r="I351" s="8">
        <v>0.70648260796093898</v>
      </c>
      <c r="J351" s="8">
        <v>0.43903630521847098</v>
      </c>
      <c r="K351" s="8">
        <v>5.0747439667352999E-3</v>
      </c>
      <c r="L351" s="8">
        <v>2.1998141934978198E-3</v>
      </c>
      <c r="M351" s="8">
        <v>6.7382418560953204E-3</v>
      </c>
      <c r="N351" s="8">
        <v>3.0000018168034001E-3</v>
      </c>
      <c r="O351" s="8">
        <v>3.7542657636348897E-2</v>
      </c>
      <c r="P351" s="9">
        <v>5.5860033828879302E-2</v>
      </c>
      <c r="Q351" s="570">
        <v>5.3042013700682301E-3</v>
      </c>
    </row>
    <row r="352" spans="2:17" ht="15.75" x14ac:dyDescent="0.25">
      <c r="B352" s="6">
        <v>2036</v>
      </c>
      <c r="C352" s="7">
        <v>2025</v>
      </c>
      <c r="D352" s="484" t="s">
        <v>3851</v>
      </c>
      <c r="E352" s="488">
        <v>0.15117373881274854</v>
      </c>
      <c r="F352" s="489">
        <v>0.20894571724237554</v>
      </c>
      <c r="G352" s="487">
        <v>1.12350724107352E-3</v>
      </c>
      <c r="H352" s="8">
        <v>2.2723778184657598E-2</v>
      </c>
      <c r="I352" s="8">
        <v>0.81356768007824498</v>
      </c>
      <c r="J352" s="8">
        <v>0.40508332151710402</v>
      </c>
      <c r="K352" s="8">
        <v>5.7386754363857803E-3</v>
      </c>
      <c r="L352" s="8">
        <v>2.1950573681013899E-3</v>
      </c>
      <c r="M352" s="8">
        <v>8.5987433704509605E-3</v>
      </c>
      <c r="N352" s="8">
        <v>3.0000018168034001E-3</v>
      </c>
      <c r="O352" s="8">
        <v>2.8426200216006201E-2</v>
      </c>
      <c r="P352" s="9">
        <v>5.5860033828879302E-2</v>
      </c>
      <c r="Q352" s="570">
        <v>5.9981528746240404E-3</v>
      </c>
    </row>
    <row r="353" spans="2:17" ht="15.75" x14ac:dyDescent="0.25">
      <c r="B353" s="6">
        <v>2036</v>
      </c>
      <c r="C353" s="7">
        <v>2026</v>
      </c>
      <c r="D353" s="484" t="s">
        <v>3852</v>
      </c>
      <c r="E353" s="488">
        <v>0.13727675002683104</v>
      </c>
      <c r="F353" s="489">
        <v>0.19513837638644754</v>
      </c>
      <c r="G353" s="487">
        <v>2.36029145583279E-3</v>
      </c>
      <c r="H353" s="8">
        <v>2.02593539399528E-2</v>
      </c>
      <c r="I353" s="8">
        <v>0.725172793427314</v>
      </c>
      <c r="J353" s="8">
        <v>0.35293697278542902</v>
      </c>
      <c r="K353" s="8">
        <v>5.3639135748635601E-3</v>
      </c>
      <c r="L353" s="8">
        <v>2.1494458408784002E-3</v>
      </c>
      <c r="M353" s="8">
        <v>7.1261269485415604E-3</v>
      </c>
      <c r="N353" s="8">
        <v>2.8655922878715601E-3</v>
      </c>
      <c r="O353" s="8">
        <v>3.5487855365208702E-2</v>
      </c>
      <c r="P353" s="9">
        <v>5.3489049738521699E-2</v>
      </c>
      <c r="Q353" s="570">
        <v>5.60644594470492E-3</v>
      </c>
    </row>
    <row r="354" spans="2:17" ht="15.75" x14ac:dyDescent="0.25">
      <c r="B354" s="6">
        <v>2036</v>
      </c>
      <c r="C354" s="7">
        <v>2027</v>
      </c>
      <c r="D354" s="484" t="s">
        <v>3853</v>
      </c>
      <c r="E354" s="488">
        <v>0.1436110534969828</v>
      </c>
      <c r="F354" s="489">
        <v>0.171210962065523</v>
      </c>
      <c r="G354" s="487">
        <v>6.8639714989086401E-3</v>
      </c>
      <c r="H354" s="8">
        <v>1.7201528622196101E-2</v>
      </c>
      <c r="I354" s="8">
        <v>0.762678629496512</v>
      </c>
      <c r="J354" s="8">
        <v>0.26542294698409802</v>
      </c>
      <c r="K354" s="8">
        <v>6.1718941328477101E-3</v>
      </c>
      <c r="L354" s="8">
        <v>2.1114010809500199E-3</v>
      </c>
      <c r="M354" s="8">
        <v>8.0129682440654802E-3</v>
      </c>
      <c r="N354" s="8">
        <v>2.68792194686597E-3</v>
      </c>
      <c r="O354" s="8">
        <v>3.06533011813339E-2</v>
      </c>
      <c r="P354" s="9">
        <v>5.0354944923183098E-2</v>
      </c>
      <c r="Q354" s="570">
        <v>6.45095979816049E-3</v>
      </c>
    </row>
    <row r="355" spans="2:17" ht="15.75" x14ac:dyDescent="0.25">
      <c r="B355" s="6">
        <v>2036</v>
      </c>
      <c r="C355" s="7">
        <v>2028</v>
      </c>
      <c r="D355" s="484" t="s">
        <v>3854</v>
      </c>
      <c r="E355" s="488">
        <v>0.1451948625066769</v>
      </c>
      <c r="F355" s="489">
        <v>0.14954659545246893</v>
      </c>
      <c r="G355" s="487">
        <v>2.1938879928541499E-3</v>
      </c>
      <c r="H355" s="8">
        <v>1.35818031654623E-2</v>
      </c>
      <c r="I355" s="8">
        <v>0.77544407405553495</v>
      </c>
      <c r="J355" s="8">
        <v>0.19793309593915401</v>
      </c>
      <c r="K355" s="8">
        <v>5.6220198330508399E-3</v>
      </c>
      <c r="L355" s="8">
        <v>1.8665717675062901E-3</v>
      </c>
      <c r="M355" s="8">
        <v>7.9869888029784602E-3</v>
      </c>
      <c r="N355" s="8">
        <v>2.5138343814374402E-3</v>
      </c>
      <c r="O355" s="8">
        <v>3.12938259537896E-2</v>
      </c>
      <c r="P355" s="9">
        <v>4.72840402690239E-2</v>
      </c>
      <c r="Q355" s="570">
        <v>5.8762226225578702E-3</v>
      </c>
    </row>
    <row r="356" spans="2:17" ht="15.75" x14ac:dyDescent="0.25">
      <c r="B356" s="6">
        <v>2036</v>
      </c>
      <c r="C356" s="7">
        <v>2029</v>
      </c>
      <c r="D356" s="484" t="s">
        <v>3855</v>
      </c>
      <c r="E356" s="488">
        <v>0.13977791475478532</v>
      </c>
      <c r="F356" s="489">
        <v>0.16442927746255681</v>
      </c>
      <c r="G356" s="487">
        <v>2.1240060384949801E-3</v>
      </c>
      <c r="H356" s="8">
        <v>1.5968040946087E-2</v>
      </c>
      <c r="I356" s="8">
        <v>0.741129865631594</v>
      </c>
      <c r="J356" s="8">
        <v>0.219146060111651</v>
      </c>
      <c r="K356" s="8">
        <v>5.40378514749572E-3</v>
      </c>
      <c r="L356" s="8">
        <v>2.05504091697875E-3</v>
      </c>
      <c r="M356" s="8">
        <v>7.3929121003645602E-3</v>
      </c>
      <c r="N356" s="8">
        <v>2.6274411642777402E-3</v>
      </c>
      <c r="O356" s="8">
        <v>3.4203115317697E-2</v>
      </c>
      <c r="P356" s="9">
        <v>4.9288063918326699E-2</v>
      </c>
      <c r="Q356" s="570">
        <v>5.6481203329240203E-3</v>
      </c>
    </row>
    <row r="357" spans="2:17" ht="15.75" x14ac:dyDescent="0.25">
      <c r="B357" s="6">
        <v>2036</v>
      </c>
      <c r="C357" s="7">
        <v>2030</v>
      </c>
      <c r="D357" s="484" t="s">
        <v>3856</v>
      </c>
      <c r="E357" s="488">
        <v>0.11537570928397378</v>
      </c>
      <c r="F357" s="489">
        <v>0.15553996555329144</v>
      </c>
      <c r="G357" s="487">
        <v>2.3479978258741999E-2</v>
      </c>
      <c r="H357" s="8">
        <v>1.45306154624773E-2</v>
      </c>
      <c r="I357" s="8">
        <v>0.57785983112799699</v>
      </c>
      <c r="J357" s="8">
        <v>0.184933753468352</v>
      </c>
      <c r="K357" s="8">
        <v>6.5411591133583804E-3</v>
      </c>
      <c r="L357" s="8">
        <v>1.92332666648558E-3</v>
      </c>
      <c r="M357" s="8">
        <v>5.6288374196917E-3</v>
      </c>
      <c r="N357" s="8">
        <v>2.56376967822518E-3</v>
      </c>
      <c r="O357" s="8">
        <v>4.0274858755799899E-2</v>
      </c>
      <c r="P357" s="9">
        <v>4.8164898904359599E-2</v>
      </c>
      <c r="Q357" s="570">
        <v>6.8369213025007598E-3</v>
      </c>
    </row>
    <row r="358" spans="2:17" ht="15.75" x14ac:dyDescent="0.25">
      <c r="B358" s="6">
        <v>2036</v>
      </c>
      <c r="C358" s="7">
        <v>2031</v>
      </c>
      <c r="D358" s="484" t="s">
        <v>3857</v>
      </c>
      <c r="E358" s="488">
        <v>0.14795390212603327</v>
      </c>
      <c r="F358" s="489">
        <v>0.1495496959888849</v>
      </c>
      <c r="G358" s="487">
        <v>2.4632997772792002E-3</v>
      </c>
      <c r="H358" s="8">
        <v>1.3614450521564E-2</v>
      </c>
      <c r="I358" s="8">
        <v>0.79265402529798501</v>
      </c>
      <c r="J358" s="8">
        <v>0.162290593877018</v>
      </c>
      <c r="K358" s="8">
        <v>5.7286559877895403E-3</v>
      </c>
      <c r="L358" s="8">
        <v>1.76921704949409E-3</v>
      </c>
      <c r="M358" s="8">
        <v>8.3040106406213499E-3</v>
      </c>
      <c r="N358" s="8">
        <v>2.53534029223439E-3</v>
      </c>
      <c r="O358" s="8">
        <v>2.9702937670470799E-2</v>
      </c>
      <c r="P358" s="9">
        <v>4.7663404535481999E-2</v>
      </c>
      <c r="Q358" s="570">
        <v>5.9876803910229202E-3</v>
      </c>
    </row>
    <row r="359" spans="2:17" ht="15.75" x14ac:dyDescent="0.25">
      <c r="B359" s="6">
        <v>2036</v>
      </c>
      <c r="C359" s="7">
        <v>2032</v>
      </c>
      <c r="D359" s="484" t="s">
        <v>3858</v>
      </c>
      <c r="E359" s="488">
        <v>0.14238402704156833</v>
      </c>
      <c r="F359" s="489">
        <v>0.16591698525342399</v>
      </c>
      <c r="G359" s="487">
        <v>6.4404918340088E-3</v>
      </c>
      <c r="H359" s="8">
        <v>1.62845243067327E-2</v>
      </c>
      <c r="I359" s="8">
        <v>0.75561152858964098</v>
      </c>
      <c r="J359" s="8">
        <v>0.17970537044649401</v>
      </c>
      <c r="K359" s="8">
        <v>5.8163524345483299E-3</v>
      </c>
      <c r="L359" s="8">
        <v>2.0694745379863599E-3</v>
      </c>
      <c r="M359" s="8">
        <v>7.87081801025343E-3</v>
      </c>
      <c r="N359" s="8">
        <v>2.6413226747378799E-3</v>
      </c>
      <c r="O359" s="8">
        <v>3.1317587070118197E-2</v>
      </c>
      <c r="P359" s="9">
        <v>4.9532933762843602E-2</v>
      </c>
      <c r="Q359" s="570">
        <v>6.0793420819569297E-3</v>
      </c>
    </row>
    <row r="360" spans="2:17" ht="15.75" x14ac:dyDescent="0.25">
      <c r="B360" s="6">
        <v>2036</v>
      </c>
      <c r="C360" s="7">
        <v>2033</v>
      </c>
      <c r="D360" s="484" t="s">
        <v>3859</v>
      </c>
      <c r="E360" s="488">
        <v>0.14518928039622447</v>
      </c>
      <c r="F360" s="489">
        <v>0.15741115594978905</v>
      </c>
      <c r="G360" s="487">
        <v>1.92037771969382E-3</v>
      </c>
      <c r="H360" s="8">
        <v>1.48982424728642E-2</v>
      </c>
      <c r="I360" s="8">
        <v>0.77538811702667998</v>
      </c>
      <c r="J360" s="8">
        <v>0.13930892994887001</v>
      </c>
      <c r="K360" s="8">
        <v>5.5577425783517901E-3</v>
      </c>
      <c r="L360" s="8">
        <v>2.04752600886837E-3</v>
      </c>
      <c r="M360" s="8">
        <v>7.9791734113642994E-3</v>
      </c>
      <c r="N360" s="8">
        <v>2.55388047920363E-3</v>
      </c>
      <c r="O360" s="8">
        <v>3.1351463527661001E-2</v>
      </c>
      <c r="P360" s="9">
        <v>4.79904534336194E-2</v>
      </c>
      <c r="Q360" s="570">
        <v>5.80903903562743E-3</v>
      </c>
    </row>
    <row r="361" spans="2:17" ht="15.75" x14ac:dyDescent="0.25">
      <c r="B361" s="6">
        <v>2036</v>
      </c>
      <c r="C361" s="7">
        <v>2034</v>
      </c>
      <c r="D361" s="484" t="s">
        <v>3860</v>
      </c>
      <c r="E361" s="488">
        <v>0.12501189077615468</v>
      </c>
      <c r="F361" s="489">
        <v>0.15536754821651799</v>
      </c>
      <c r="G361" s="487">
        <v>3.5480673451123799E-3</v>
      </c>
      <c r="H361" s="8">
        <v>1.48938369296124E-2</v>
      </c>
      <c r="I361" s="8">
        <v>0.64552713088909197</v>
      </c>
      <c r="J361" s="8">
        <v>0.124357610484602</v>
      </c>
      <c r="K361" s="8">
        <v>4.9612417774028096E-3</v>
      </c>
      <c r="L361" s="8">
        <v>2.0773560929749301E-3</v>
      </c>
      <c r="M361" s="8">
        <v>5.8695674874992597E-3</v>
      </c>
      <c r="N361" s="8">
        <v>2.5248618793357199E-3</v>
      </c>
      <c r="O361" s="8">
        <v>4.1441773638186997E-2</v>
      </c>
      <c r="P361" s="9">
        <v>4.7478565331949503E-2</v>
      </c>
      <c r="Q361" s="570">
        <v>5.1855671153926298E-3</v>
      </c>
    </row>
    <row r="362" spans="2:17" ht="15.75" x14ac:dyDescent="0.25">
      <c r="B362" s="6">
        <v>2036</v>
      </c>
      <c r="C362" s="7">
        <v>2035</v>
      </c>
      <c r="D362" s="484" t="s">
        <v>3861</v>
      </c>
      <c r="E362" s="488">
        <v>0.13147234536281152</v>
      </c>
      <c r="F362" s="489">
        <v>0.15167778788879752</v>
      </c>
      <c r="G362" s="487">
        <v>7.0421809137920597E-3</v>
      </c>
      <c r="H362" s="8">
        <v>1.4670262216516501E-2</v>
      </c>
      <c r="I362" s="8">
        <v>0.68506139370562602</v>
      </c>
      <c r="J362" s="8">
        <v>0.108375660884081</v>
      </c>
      <c r="K362" s="8">
        <v>5.2982223878340296E-3</v>
      </c>
      <c r="L362" s="8">
        <v>1.86432242230041E-3</v>
      </c>
      <c r="M362" s="8">
        <v>6.7329930698256596E-3</v>
      </c>
      <c r="N362" s="8">
        <v>2.5353897654948401E-3</v>
      </c>
      <c r="O362" s="8">
        <v>3.6736730714785601E-2</v>
      </c>
      <c r="P362" s="9">
        <v>4.7664277243796301E-2</v>
      </c>
      <c r="Q362" s="570">
        <v>5.5377844936982399E-3</v>
      </c>
    </row>
    <row r="363" spans="2:17" ht="15.75" x14ac:dyDescent="0.25">
      <c r="B363" s="6">
        <v>2036</v>
      </c>
      <c r="C363" s="7">
        <v>2036</v>
      </c>
      <c r="D363" s="484" t="s">
        <v>3862</v>
      </c>
      <c r="E363" s="488">
        <v>0.1187994629194086</v>
      </c>
      <c r="F363" s="489">
        <v>0.1412533658530862</v>
      </c>
      <c r="G363" s="487">
        <v>3.1719518829869901E-3</v>
      </c>
      <c r="H363" s="8">
        <v>1.2820922252941999E-2</v>
      </c>
      <c r="I363" s="8">
        <v>0.607008859945256</v>
      </c>
      <c r="J363" s="8">
        <v>7.7163074023522807E-2</v>
      </c>
      <c r="K363" s="8">
        <v>4.5855094985756397E-3</v>
      </c>
      <c r="L363" s="8">
        <v>2.05135224036628E-3</v>
      </c>
      <c r="M363" s="8">
        <v>5.16539278496505E-3</v>
      </c>
      <c r="N363" s="8">
        <v>2.3776577685910602E-3</v>
      </c>
      <c r="O363" s="8">
        <v>4.4911431327359898E-2</v>
      </c>
      <c r="P363" s="9">
        <v>4.4881884818413702E-2</v>
      </c>
      <c r="Q363" s="570">
        <v>4.7928458902041999E-3</v>
      </c>
    </row>
    <row r="364" spans="2:17" ht="15.75" x14ac:dyDescent="0.25">
      <c r="B364" s="6">
        <v>2037</v>
      </c>
      <c r="C364" s="7">
        <v>2023</v>
      </c>
      <c r="D364" s="484" t="s">
        <v>3893</v>
      </c>
      <c r="E364" s="488">
        <v>0.13805359733546058</v>
      </c>
      <c r="F364" s="489">
        <v>0.2257939444728958</v>
      </c>
      <c r="G364" s="487">
        <v>9.7509686513037603E-4</v>
      </c>
      <c r="H364" s="8">
        <v>2.2692794975931602E-2</v>
      </c>
      <c r="I364" s="8">
        <v>0.73040980799420996</v>
      </c>
      <c r="J364" s="8">
        <v>0.49381377377668401</v>
      </c>
      <c r="K364" s="8">
        <v>5.2438878421809899E-3</v>
      </c>
      <c r="L364" s="8">
        <v>2.1922469929393801E-3</v>
      </c>
      <c r="M364" s="8">
        <v>7.1597094520570699E-3</v>
      </c>
      <c r="N364" s="8">
        <v>3.0000018168034001E-3</v>
      </c>
      <c r="O364" s="8">
        <v>3.5477466416136298E-2</v>
      </c>
      <c r="P364" s="9">
        <v>5.5860033828879302E-2</v>
      </c>
      <c r="Q364" s="570">
        <v>5.4809931809967401E-3</v>
      </c>
    </row>
    <row r="365" spans="2:17" ht="15.75" x14ac:dyDescent="0.25">
      <c r="B365" s="6">
        <v>2037</v>
      </c>
      <c r="C365" s="7">
        <v>2024</v>
      </c>
      <c r="D365" s="484" t="s">
        <v>3894</v>
      </c>
      <c r="E365" s="488">
        <v>0.13424040179997335</v>
      </c>
      <c r="F365" s="489">
        <v>0.20915221723914751</v>
      </c>
      <c r="G365" s="487">
        <v>9.3227365504366E-4</v>
      </c>
      <c r="H365" s="8">
        <v>2.2752252198944601E-2</v>
      </c>
      <c r="I365" s="8">
        <v>0.70648260796093898</v>
      </c>
      <c r="J365" s="8">
        <v>0.45977078980671898</v>
      </c>
      <c r="K365" s="8">
        <v>5.0747439667352999E-3</v>
      </c>
      <c r="L365" s="8">
        <v>2.1998141934978198E-3</v>
      </c>
      <c r="M365" s="8">
        <v>6.7382418560953204E-3</v>
      </c>
      <c r="N365" s="8">
        <v>3.0000018168034001E-3</v>
      </c>
      <c r="O365" s="8">
        <v>3.7542657636348897E-2</v>
      </c>
      <c r="P365" s="9">
        <v>5.5860033828879302E-2</v>
      </c>
      <c r="Q365" s="570">
        <v>5.3042013700682301E-3</v>
      </c>
    </row>
    <row r="366" spans="2:17" ht="15.75" x14ac:dyDescent="0.25">
      <c r="B366" s="6">
        <v>2037</v>
      </c>
      <c r="C366" s="7">
        <v>2025</v>
      </c>
      <c r="D366" s="484" t="s">
        <v>3895</v>
      </c>
      <c r="E366" s="488">
        <v>0.15117373881274854</v>
      </c>
      <c r="F366" s="489">
        <v>0.20895134511282792</v>
      </c>
      <c r="G366" s="487">
        <v>1.12350724107352E-3</v>
      </c>
      <c r="H366" s="8">
        <v>2.2723778184657598E-2</v>
      </c>
      <c r="I366" s="8">
        <v>0.81356768007824498</v>
      </c>
      <c r="J366" s="8">
        <v>0.43766267185690599</v>
      </c>
      <c r="K366" s="8">
        <v>5.7386754363857803E-3</v>
      </c>
      <c r="L366" s="8">
        <v>2.1950573681013899E-3</v>
      </c>
      <c r="M366" s="8">
        <v>8.5987433704509605E-3</v>
      </c>
      <c r="N366" s="8">
        <v>3.0000018168034001E-3</v>
      </c>
      <c r="O366" s="8">
        <v>2.8426200216006201E-2</v>
      </c>
      <c r="P366" s="9">
        <v>5.5860033828879302E-2</v>
      </c>
      <c r="Q366" s="570">
        <v>5.9981528746240499E-3</v>
      </c>
    </row>
    <row r="367" spans="2:17" ht="15.75" x14ac:dyDescent="0.25">
      <c r="B367" s="6">
        <v>2037</v>
      </c>
      <c r="C367" s="7">
        <v>2026</v>
      </c>
      <c r="D367" s="484" t="s">
        <v>3896</v>
      </c>
      <c r="E367" s="488">
        <v>0.13870284237277214</v>
      </c>
      <c r="F367" s="489">
        <v>0.20876037558400046</v>
      </c>
      <c r="G367" s="487">
        <v>9.8264412792470703E-4</v>
      </c>
      <c r="H367" s="8">
        <v>2.2566847332868199E-2</v>
      </c>
      <c r="I367" s="8">
        <v>0.73467088840541594</v>
      </c>
      <c r="J367" s="8">
        <v>0.40965843492392801</v>
      </c>
      <c r="K367" s="8">
        <v>5.2537725599848401E-3</v>
      </c>
      <c r="L367" s="8">
        <v>2.1885955007482998E-3</v>
      </c>
      <c r="M367" s="8">
        <v>7.2290406024865198E-3</v>
      </c>
      <c r="N367" s="8">
        <v>3.0000018168034001E-3</v>
      </c>
      <c r="O367" s="8">
        <v>3.5137743779031998E-2</v>
      </c>
      <c r="P367" s="9">
        <v>5.5860033828879302E-2</v>
      </c>
      <c r="Q367" s="570">
        <v>5.4913248418769003E-3</v>
      </c>
    </row>
    <row r="368" spans="2:17" ht="15.75" x14ac:dyDescent="0.25">
      <c r="B368" s="6">
        <v>2037</v>
      </c>
      <c r="C368" s="7">
        <v>2027</v>
      </c>
      <c r="D368" s="484" t="s">
        <v>3897</v>
      </c>
      <c r="E368" s="488">
        <v>0.1436110534969828</v>
      </c>
      <c r="F368" s="489">
        <v>0.17121474828585728</v>
      </c>
      <c r="G368" s="487">
        <v>6.9595762622142099E-3</v>
      </c>
      <c r="H368" s="8">
        <v>1.7202786772204801E-2</v>
      </c>
      <c r="I368" s="8">
        <v>0.76277500482999705</v>
      </c>
      <c r="J368" s="8">
        <v>0.28726206929228199</v>
      </c>
      <c r="K368" s="8">
        <v>6.2119399629093101E-3</v>
      </c>
      <c r="L368" s="8">
        <v>2.1114010809500298E-3</v>
      </c>
      <c r="M368" s="8">
        <v>8.0129682440654802E-3</v>
      </c>
      <c r="N368" s="8">
        <v>2.68792194686597E-3</v>
      </c>
      <c r="O368" s="8">
        <v>3.06533011813339E-2</v>
      </c>
      <c r="P368" s="9">
        <v>5.0354944923183098E-2</v>
      </c>
      <c r="Q368" s="570">
        <v>6.4928163229567397E-3</v>
      </c>
    </row>
    <row r="369" spans="2:17" ht="15.75" x14ac:dyDescent="0.25">
      <c r="B369" s="6">
        <v>2037</v>
      </c>
      <c r="C369" s="7">
        <v>2028</v>
      </c>
      <c r="D369" s="484" t="s">
        <v>3898</v>
      </c>
      <c r="E369" s="488">
        <v>0.1451948625066769</v>
      </c>
      <c r="F369" s="489">
        <v>0.14954800197400261</v>
      </c>
      <c r="G369" s="487">
        <v>2.2141710200088201E-3</v>
      </c>
      <c r="H369" s="8">
        <v>1.3599990977652901E-2</v>
      </c>
      <c r="I369" s="8">
        <v>0.77546462952943196</v>
      </c>
      <c r="J369" s="8">
        <v>0.20477173074101199</v>
      </c>
      <c r="K369" s="8">
        <v>5.63059803748126E-3</v>
      </c>
      <c r="L369" s="8">
        <v>1.8665717675062901E-3</v>
      </c>
      <c r="M369" s="8">
        <v>7.9869888029784602E-3</v>
      </c>
      <c r="N369" s="8">
        <v>2.5138343814374402E-3</v>
      </c>
      <c r="O369" s="8">
        <v>3.1293825953789503E-2</v>
      </c>
      <c r="P369" s="9">
        <v>4.72840402690239E-2</v>
      </c>
      <c r="Q369" s="570">
        <v>5.8851886953274098E-3</v>
      </c>
    </row>
    <row r="370" spans="2:17" ht="15.75" x14ac:dyDescent="0.25">
      <c r="B370" s="6">
        <v>2037</v>
      </c>
      <c r="C370" s="7">
        <v>2029</v>
      </c>
      <c r="D370" s="484" t="s">
        <v>3899</v>
      </c>
      <c r="E370" s="488">
        <v>0.13977791475478532</v>
      </c>
      <c r="F370" s="489">
        <v>0.16443264110903136</v>
      </c>
      <c r="G370" s="487">
        <v>2.1458199051253399E-3</v>
      </c>
      <c r="H370" s="8">
        <v>1.6000202348131601E-2</v>
      </c>
      <c r="I370" s="8">
        <v>0.74115198530733295</v>
      </c>
      <c r="J370" s="8">
        <v>0.236752810731373</v>
      </c>
      <c r="K370" s="8">
        <v>5.4130199288133897E-3</v>
      </c>
      <c r="L370" s="8">
        <v>2.05504091697875E-3</v>
      </c>
      <c r="M370" s="8">
        <v>7.3929121003645602E-3</v>
      </c>
      <c r="N370" s="8">
        <v>2.6274411642777402E-3</v>
      </c>
      <c r="O370" s="8">
        <v>3.4203115317697E-2</v>
      </c>
      <c r="P370" s="9">
        <v>4.9288063918326699E-2</v>
      </c>
      <c r="Q370" s="570">
        <v>5.6577726700741404E-3</v>
      </c>
    </row>
    <row r="371" spans="2:17" ht="15.75" x14ac:dyDescent="0.25">
      <c r="B371" s="6">
        <v>2037</v>
      </c>
      <c r="C371" s="7">
        <v>2030</v>
      </c>
      <c r="D371" s="484" t="s">
        <v>3900</v>
      </c>
      <c r="E371" s="488">
        <v>0.1153757092839741</v>
      </c>
      <c r="F371" s="489">
        <v>0.15554259876043086</v>
      </c>
      <c r="G371" s="487">
        <v>2.3955589014753299E-2</v>
      </c>
      <c r="H371" s="8">
        <v>1.4568889491430899E-2</v>
      </c>
      <c r="I371" s="8">
        <v>0.57834179066415503</v>
      </c>
      <c r="J371" s="8">
        <v>0.198732368875886</v>
      </c>
      <c r="K371" s="8">
        <v>6.7422649438697198E-3</v>
      </c>
      <c r="L371" s="8">
        <v>1.92332666648558E-3</v>
      </c>
      <c r="M371" s="8">
        <v>5.6288374196917E-3</v>
      </c>
      <c r="N371" s="8">
        <v>2.56376967822518E-3</v>
      </c>
      <c r="O371" s="8">
        <v>4.0274858755799899E-2</v>
      </c>
      <c r="P371" s="9">
        <v>4.8164898904359599E-2</v>
      </c>
      <c r="Q371" s="570">
        <v>7.0471202462739297E-3</v>
      </c>
    </row>
    <row r="372" spans="2:17" ht="15.75" x14ac:dyDescent="0.25">
      <c r="B372" s="6">
        <v>2037</v>
      </c>
      <c r="C372" s="7">
        <v>2031</v>
      </c>
      <c r="D372" s="484" t="s">
        <v>3901</v>
      </c>
      <c r="E372" s="488">
        <v>0.14795390212603327</v>
      </c>
      <c r="F372" s="489">
        <v>0.14955229667841788</v>
      </c>
      <c r="G372" s="487">
        <v>2.4943529138693999E-3</v>
      </c>
      <c r="H372" s="8">
        <v>1.36308347591606E-2</v>
      </c>
      <c r="I372" s="8">
        <v>0.79268551169045598</v>
      </c>
      <c r="J372" s="8">
        <v>0.17647053356804199</v>
      </c>
      <c r="K372" s="8">
        <v>5.7418005895234899E-3</v>
      </c>
      <c r="L372" s="8">
        <v>1.76921704949409E-3</v>
      </c>
      <c r="M372" s="8">
        <v>8.3040106406213499E-3</v>
      </c>
      <c r="N372" s="8">
        <v>2.53534029223439E-3</v>
      </c>
      <c r="O372" s="8">
        <v>2.9702937670470799E-2</v>
      </c>
      <c r="P372" s="9">
        <v>4.7663404535481999E-2</v>
      </c>
      <c r="Q372" s="570">
        <v>6.0014193333189801E-3</v>
      </c>
    </row>
    <row r="373" spans="2:17" ht="15.75" x14ac:dyDescent="0.25">
      <c r="B373" s="6">
        <v>2037</v>
      </c>
      <c r="C373" s="7">
        <v>2032</v>
      </c>
      <c r="D373" s="484" t="s">
        <v>3902</v>
      </c>
      <c r="E373" s="488">
        <v>0.14238402704156833</v>
      </c>
      <c r="F373" s="489">
        <v>0.1659187538650419</v>
      </c>
      <c r="G373" s="487">
        <v>6.5723415851836999E-3</v>
      </c>
      <c r="H373" s="8">
        <v>1.6244260600589699E-2</v>
      </c>
      <c r="I373" s="8">
        <v>0.75574523689874795</v>
      </c>
      <c r="J373" s="8">
        <v>0.190676942295606</v>
      </c>
      <c r="K373" s="8">
        <v>5.8721778636316403E-3</v>
      </c>
      <c r="L373" s="8">
        <v>2.0694745379863599E-3</v>
      </c>
      <c r="M373" s="8">
        <v>7.87081801025343E-3</v>
      </c>
      <c r="N373" s="8">
        <v>2.6413226747378799E-3</v>
      </c>
      <c r="O373" s="8">
        <v>3.1317587070118197E-2</v>
      </c>
      <c r="P373" s="9">
        <v>4.9532933762843602E-2</v>
      </c>
      <c r="Q373" s="570">
        <v>6.1376916892217099E-3</v>
      </c>
    </row>
    <row r="374" spans="2:17" ht="15.75" x14ac:dyDescent="0.25">
      <c r="B374" s="6">
        <v>2037</v>
      </c>
      <c r="C374" s="7">
        <v>2033</v>
      </c>
      <c r="D374" s="484" t="s">
        <v>3903</v>
      </c>
      <c r="E374" s="488">
        <v>0.14518928039622447</v>
      </c>
      <c r="F374" s="489">
        <v>0.15741385483687576</v>
      </c>
      <c r="G374" s="487">
        <v>1.9430610569137301E-3</v>
      </c>
      <c r="H374" s="8">
        <v>1.47167771227662E-2</v>
      </c>
      <c r="I374" s="8">
        <v>0.77541112035558901</v>
      </c>
      <c r="J374" s="8">
        <v>0.15987286614718199</v>
      </c>
      <c r="K374" s="8">
        <v>5.5673469870756997E-3</v>
      </c>
      <c r="L374" s="8">
        <v>2.04752600886837E-3</v>
      </c>
      <c r="M374" s="8">
        <v>7.9791734113642994E-3</v>
      </c>
      <c r="N374" s="8">
        <v>2.55388047920363E-3</v>
      </c>
      <c r="O374" s="8">
        <v>3.1351463527661001E-2</v>
      </c>
      <c r="P374" s="9">
        <v>4.7990453433619303E-2</v>
      </c>
      <c r="Q374" s="570">
        <v>5.8190777130948997E-3</v>
      </c>
    </row>
    <row r="375" spans="2:17" ht="15.75" x14ac:dyDescent="0.25">
      <c r="B375" s="6">
        <v>2037</v>
      </c>
      <c r="C375" s="7">
        <v>2034</v>
      </c>
      <c r="D375" s="484" t="s">
        <v>3904</v>
      </c>
      <c r="E375" s="488">
        <v>0.12501189077615468</v>
      </c>
      <c r="F375" s="489">
        <v>0.15536763124988515</v>
      </c>
      <c r="G375" s="487">
        <v>3.6250082712129799E-3</v>
      </c>
      <c r="H375" s="8">
        <v>1.45237614927042E-2</v>
      </c>
      <c r="I375" s="8">
        <v>0.64560511037797397</v>
      </c>
      <c r="J375" s="8">
        <v>0.13372992750691101</v>
      </c>
      <c r="K375" s="8">
        <v>4.9937845126412196E-3</v>
      </c>
      <c r="L375" s="8">
        <v>2.0773560929749301E-3</v>
      </c>
      <c r="M375" s="8">
        <v>5.8695674874992597E-3</v>
      </c>
      <c r="N375" s="8">
        <v>2.5248618793357199E-3</v>
      </c>
      <c r="O375" s="8">
        <v>4.1441773638186997E-2</v>
      </c>
      <c r="P375" s="9">
        <v>4.7478565331949503E-2</v>
      </c>
      <c r="Q375" s="570">
        <v>5.2195812887122798E-3</v>
      </c>
    </row>
    <row r="376" spans="2:17" ht="15.75" x14ac:dyDescent="0.25">
      <c r="B376" s="6">
        <v>2037</v>
      </c>
      <c r="C376" s="7">
        <v>2035</v>
      </c>
      <c r="D376" s="484" t="s">
        <v>3905</v>
      </c>
      <c r="E376" s="488">
        <v>0.13147234536281169</v>
      </c>
      <c r="F376" s="489">
        <v>0.15167902903815675</v>
      </c>
      <c r="G376" s="487">
        <v>7.2293745118718498E-3</v>
      </c>
      <c r="H376" s="8">
        <v>1.43793131053473E-2</v>
      </c>
      <c r="I376" s="8">
        <v>0.68525113275721705</v>
      </c>
      <c r="J376" s="8">
        <v>0.123967057118839</v>
      </c>
      <c r="K376" s="8">
        <v>5.3774119324295003E-3</v>
      </c>
      <c r="L376" s="8">
        <v>1.86432242230041E-3</v>
      </c>
      <c r="M376" s="8">
        <v>6.7329930698256596E-3</v>
      </c>
      <c r="N376" s="8">
        <v>2.5353897654948401E-3</v>
      </c>
      <c r="O376" s="8">
        <v>3.6736730714785601E-2</v>
      </c>
      <c r="P376" s="9">
        <v>4.7664277243796301E-2</v>
      </c>
      <c r="Q376" s="570">
        <v>5.6205546381019097E-3</v>
      </c>
    </row>
    <row r="377" spans="2:17" ht="15.75" x14ac:dyDescent="0.25">
      <c r="B377" s="6">
        <v>2037</v>
      </c>
      <c r="C377" s="7">
        <v>2036</v>
      </c>
      <c r="D377" s="484" t="s">
        <v>3906</v>
      </c>
      <c r="E377" s="488">
        <v>0.1187994629194086</v>
      </c>
      <c r="F377" s="489">
        <v>0.14125718004214557</v>
      </c>
      <c r="G377" s="487">
        <v>3.2512919859061101E-3</v>
      </c>
      <c r="H377" s="8">
        <v>1.3018079486557499E-2</v>
      </c>
      <c r="I377" s="8">
        <v>0.60708931735965199</v>
      </c>
      <c r="J377" s="8">
        <v>8.9632799321180595E-2</v>
      </c>
      <c r="K377" s="8">
        <v>4.6191024516976298E-3</v>
      </c>
      <c r="L377" s="8">
        <v>2.05135224036628E-3</v>
      </c>
      <c r="M377" s="8">
        <v>5.16539278496505E-3</v>
      </c>
      <c r="N377" s="8">
        <v>2.3776577685910602E-3</v>
      </c>
      <c r="O377" s="8">
        <v>4.4911431327359898E-2</v>
      </c>
      <c r="P377" s="9">
        <v>4.4881884818413702E-2</v>
      </c>
      <c r="Q377" s="570">
        <v>4.82795776759983E-3</v>
      </c>
    </row>
    <row r="378" spans="2:17" ht="15.75" x14ac:dyDescent="0.25">
      <c r="B378" s="6">
        <v>2037</v>
      </c>
      <c r="C378" s="7">
        <v>2037</v>
      </c>
      <c r="D378" s="484" t="s">
        <v>3907</v>
      </c>
      <c r="E378" s="488">
        <v>0.12864160531968821</v>
      </c>
      <c r="F378" s="489">
        <v>0.18394047696443688</v>
      </c>
      <c r="G378" s="487">
        <v>2.3551618029544999E-3</v>
      </c>
      <c r="H378" s="8">
        <v>1.9801933991884499E-2</v>
      </c>
      <c r="I378" s="8">
        <v>0.66999663700587997</v>
      </c>
      <c r="J378" s="8">
        <v>0.12445307918630399</v>
      </c>
      <c r="K378" s="8">
        <v>4.9222911604441897E-3</v>
      </c>
      <c r="L378" s="8">
        <v>2.1344148544073902E-3</v>
      </c>
      <c r="M378" s="8">
        <v>6.1986379626746899E-3</v>
      </c>
      <c r="N378" s="8">
        <v>2.82149628293065E-3</v>
      </c>
      <c r="O378" s="8">
        <v>3.9978529350713499E-2</v>
      </c>
      <c r="P378" s="9">
        <v>5.2711196211363998E-2</v>
      </c>
      <c r="Q378" s="570">
        <v>5.14485532437595E-3</v>
      </c>
    </row>
    <row r="379" spans="2:17" ht="15.75" x14ac:dyDescent="0.25">
      <c r="B379" s="6">
        <v>2038</v>
      </c>
      <c r="C379" s="7">
        <v>2024</v>
      </c>
      <c r="D379" s="484" t="s">
        <v>3938</v>
      </c>
      <c r="E379" s="488">
        <v>0.13424040179997282</v>
      </c>
      <c r="F379" s="489">
        <v>0.20915829500498886</v>
      </c>
      <c r="G379" s="487">
        <v>9.3227365504366E-4</v>
      </c>
      <c r="H379" s="8">
        <v>2.2752252198944601E-2</v>
      </c>
      <c r="I379" s="8">
        <v>0.70648260796093798</v>
      </c>
      <c r="J379" s="8">
        <v>0.49546251748544901</v>
      </c>
      <c r="K379" s="8">
        <v>5.0747439667352999E-3</v>
      </c>
      <c r="L379" s="8">
        <v>2.1998141934978198E-3</v>
      </c>
      <c r="M379" s="8">
        <v>6.7382418560953204E-3</v>
      </c>
      <c r="N379" s="8">
        <v>3.0000018168034001E-3</v>
      </c>
      <c r="O379" s="8">
        <v>3.7542657636348897E-2</v>
      </c>
      <c r="P379" s="9">
        <v>5.5860033828879302E-2</v>
      </c>
      <c r="Q379" s="570">
        <v>5.3042013700682301E-3</v>
      </c>
    </row>
    <row r="380" spans="2:17" ht="15.75" x14ac:dyDescent="0.25">
      <c r="B380" s="6">
        <v>2038</v>
      </c>
      <c r="C380" s="7">
        <v>2025</v>
      </c>
      <c r="D380" s="484" t="s">
        <v>3939</v>
      </c>
      <c r="E380" s="488">
        <v>0.15117373881274793</v>
      </c>
      <c r="F380" s="489">
        <v>0.20895491565313878</v>
      </c>
      <c r="G380" s="487">
        <v>1.12350724107352E-3</v>
      </c>
      <c r="H380" s="8">
        <v>2.2723778184657598E-2</v>
      </c>
      <c r="I380" s="8">
        <v>0.81356768007824498</v>
      </c>
      <c r="J380" s="8">
        <v>0.45833228349631799</v>
      </c>
      <c r="K380" s="8">
        <v>5.7386754363857803E-3</v>
      </c>
      <c r="L380" s="8">
        <v>2.1950573681013899E-3</v>
      </c>
      <c r="M380" s="8">
        <v>8.5987433704509605E-3</v>
      </c>
      <c r="N380" s="8">
        <v>3.0000018168034001E-3</v>
      </c>
      <c r="O380" s="8">
        <v>2.8426200216006201E-2</v>
      </c>
      <c r="P380" s="9">
        <v>5.5860033828879302E-2</v>
      </c>
      <c r="Q380" s="570">
        <v>5.9981528746240499E-3</v>
      </c>
    </row>
    <row r="381" spans="2:17" ht="15.75" x14ac:dyDescent="0.25">
      <c r="B381" s="6">
        <v>2038</v>
      </c>
      <c r="C381" s="7">
        <v>2026</v>
      </c>
      <c r="D381" s="484" t="s">
        <v>3940</v>
      </c>
      <c r="E381" s="488">
        <v>0.13870284237277214</v>
      </c>
      <c r="F381" s="489">
        <v>0.20876576443464909</v>
      </c>
      <c r="G381" s="487">
        <v>9.8264412792470703E-4</v>
      </c>
      <c r="H381" s="8">
        <v>2.2566847332868199E-2</v>
      </c>
      <c r="I381" s="8">
        <v>0.73467088840541594</v>
      </c>
      <c r="J381" s="8">
        <v>0.44260574467999703</v>
      </c>
      <c r="K381" s="8">
        <v>5.2537725599848401E-3</v>
      </c>
      <c r="L381" s="8">
        <v>2.1885955007482998E-3</v>
      </c>
      <c r="M381" s="8">
        <v>7.2290406024865198E-3</v>
      </c>
      <c r="N381" s="8">
        <v>3.0000018168034001E-3</v>
      </c>
      <c r="O381" s="8">
        <v>3.5137743779031998E-2</v>
      </c>
      <c r="P381" s="9">
        <v>5.5860033828879302E-2</v>
      </c>
      <c r="Q381" s="570">
        <v>5.4913248418769003E-3</v>
      </c>
    </row>
    <row r="382" spans="2:17" ht="15.75" x14ac:dyDescent="0.25">
      <c r="B382" s="6">
        <v>2038</v>
      </c>
      <c r="C382" s="7">
        <v>2027</v>
      </c>
      <c r="D382" s="484" t="s">
        <v>3941</v>
      </c>
      <c r="E382" s="488">
        <v>0.14912826058599127</v>
      </c>
      <c r="F382" s="489">
        <v>0.20195628919185421</v>
      </c>
      <c r="G382" s="487">
        <v>1.09928423696457E-3</v>
      </c>
      <c r="H382" s="8">
        <v>2.2726219176785599E-2</v>
      </c>
      <c r="I382" s="8">
        <v>0.79932201959802296</v>
      </c>
      <c r="J382" s="8">
        <v>0.412749166451432</v>
      </c>
      <c r="K382" s="8">
        <v>5.7353426771655199E-3</v>
      </c>
      <c r="L382" s="8">
        <v>2.2075366268480201E-3</v>
      </c>
      <c r="M382" s="8">
        <v>8.3927701895727905E-3</v>
      </c>
      <c r="N382" s="8">
        <v>3.0000018168034001E-3</v>
      </c>
      <c r="O382" s="8">
        <v>2.9435468802309302E-2</v>
      </c>
      <c r="P382" s="9">
        <v>5.5860033828879302E-2</v>
      </c>
      <c r="Q382" s="570">
        <v>5.9946694228207396E-3</v>
      </c>
    </row>
    <row r="383" spans="2:17" ht="15.75" x14ac:dyDescent="0.25">
      <c r="B383" s="6">
        <v>2038</v>
      </c>
      <c r="C383" s="7">
        <v>2028</v>
      </c>
      <c r="D383" s="484" t="s">
        <v>3942</v>
      </c>
      <c r="E383" s="488">
        <v>0.1451948625066769</v>
      </c>
      <c r="F383" s="489">
        <v>0.14955088376691031</v>
      </c>
      <c r="G383" s="487">
        <v>2.2331719202828E-3</v>
      </c>
      <c r="H383" s="8">
        <v>1.35986975997351E-2</v>
      </c>
      <c r="I383" s="8">
        <v>0.77548388566651705</v>
      </c>
      <c r="J383" s="8">
        <v>0.22108058483064499</v>
      </c>
      <c r="K383" s="8">
        <v>5.6386340056921603E-3</v>
      </c>
      <c r="L383" s="8">
        <v>1.8665717675062901E-3</v>
      </c>
      <c r="M383" s="8">
        <v>7.9869888029784602E-3</v>
      </c>
      <c r="N383" s="8">
        <v>2.5138343814374402E-3</v>
      </c>
      <c r="O383" s="8">
        <v>3.12938259537896E-2</v>
      </c>
      <c r="P383" s="9">
        <v>4.72840402690239E-2</v>
      </c>
      <c r="Q383" s="570">
        <v>5.8935880143617296E-3</v>
      </c>
    </row>
    <row r="384" spans="2:17" ht="15.75" x14ac:dyDescent="0.25">
      <c r="B384" s="6">
        <v>2038</v>
      </c>
      <c r="C384" s="7">
        <v>2029</v>
      </c>
      <c r="D384" s="484" t="s">
        <v>3943</v>
      </c>
      <c r="E384" s="488">
        <v>0.13977791475478532</v>
      </c>
      <c r="F384" s="489">
        <v>0.1644342685683102</v>
      </c>
      <c r="G384" s="487">
        <v>2.16633684337899E-3</v>
      </c>
      <c r="H384" s="8">
        <v>1.6013339452434501E-2</v>
      </c>
      <c r="I384" s="8">
        <v>0.74117278989750102</v>
      </c>
      <c r="J384" s="8">
        <v>0.244971375078152</v>
      </c>
      <c r="K384" s="8">
        <v>5.4217056760326003E-3</v>
      </c>
      <c r="L384" s="8">
        <v>2.05504091697875E-3</v>
      </c>
      <c r="M384" s="8">
        <v>7.3929121003645602E-3</v>
      </c>
      <c r="N384" s="8">
        <v>2.6274411642777402E-3</v>
      </c>
      <c r="O384" s="8">
        <v>3.4203115317697097E-2</v>
      </c>
      <c r="P384" s="9">
        <v>4.9288063918326699E-2</v>
      </c>
      <c r="Q384" s="570">
        <v>5.6668511482401698E-3</v>
      </c>
    </row>
    <row r="385" spans="2:17" ht="15.75" x14ac:dyDescent="0.25">
      <c r="B385" s="6">
        <v>2038</v>
      </c>
      <c r="C385" s="7">
        <v>2030</v>
      </c>
      <c r="D385" s="484" t="s">
        <v>3944</v>
      </c>
      <c r="E385" s="488">
        <v>0.1153757092839741</v>
      </c>
      <c r="F385" s="489">
        <v>0.15554549864071229</v>
      </c>
      <c r="G385" s="487">
        <v>2.4404509084947498E-2</v>
      </c>
      <c r="H385" s="8">
        <v>1.45978052688441E-2</v>
      </c>
      <c r="I385" s="8">
        <v>0.57879670410201101</v>
      </c>
      <c r="J385" s="8">
        <v>0.21452470172492599</v>
      </c>
      <c r="K385" s="8">
        <v>6.9320854062855696E-3</v>
      </c>
      <c r="L385" s="8">
        <v>1.92332666648558E-3</v>
      </c>
      <c r="M385" s="8">
        <v>5.6288374196917E-3</v>
      </c>
      <c r="N385" s="8">
        <v>2.56376967822519E-3</v>
      </c>
      <c r="O385" s="8">
        <v>4.0274858755799899E-2</v>
      </c>
      <c r="P385" s="9">
        <v>4.8164898904359599E-2</v>
      </c>
      <c r="Q385" s="570">
        <v>7.2455235476843903E-3</v>
      </c>
    </row>
    <row r="386" spans="2:17" ht="15.75" x14ac:dyDescent="0.25">
      <c r="B386" s="6">
        <v>2038</v>
      </c>
      <c r="C386" s="7">
        <v>2031</v>
      </c>
      <c r="D386" s="484" t="s">
        <v>3945</v>
      </c>
      <c r="E386" s="488">
        <v>0.1479539021260329</v>
      </c>
      <c r="F386" s="489">
        <v>0.14955480965815698</v>
      </c>
      <c r="G386" s="487">
        <v>2.5237559500548398E-3</v>
      </c>
      <c r="H386" s="8">
        <v>1.3661744383023601E-2</v>
      </c>
      <c r="I386" s="8">
        <v>0.79271532504623998</v>
      </c>
      <c r="J386" s="8">
        <v>0.189572466242211</v>
      </c>
      <c r="K386" s="8">
        <v>5.75424675521109E-3</v>
      </c>
      <c r="L386" s="8">
        <v>1.76921704949409E-3</v>
      </c>
      <c r="M386" s="8">
        <v>8.3040106406213499E-3</v>
      </c>
      <c r="N386" s="8">
        <v>2.53534029223439E-3</v>
      </c>
      <c r="O386" s="8">
        <v>2.9702937670470799E-2</v>
      </c>
      <c r="P386" s="9">
        <v>4.7663404535481999E-2</v>
      </c>
      <c r="Q386" s="570">
        <v>6.0144282593899302E-3</v>
      </c>
    </row>
    <row r="387" spans="2:17" ht="15.75" x14ac:dyDescent="0.25">
      <c r="B387" s="6">
        <v>2038</v>
      </c>
      <c r="C387" s="7">
        <v>2032</v>
      </c>
      <c r="D387" s="484" t="s">
        <v>3946</v>
      </c>
      <c r="E387" s="488">
        <v>0.14238402704156833</v>
      </c>
      <c r="F387" s="489">
        <v>0.16592179811149577</v>
      </c>
      <c r="G387" s="487">
        <v>6.69753842338965E-3</v>
      </c>
      <c r="H387" s="8">
        <v>1.62613250586481E-2</v>
      </c>
      <c r="I387" s="8">
        <v>0.755872199038362</v>
      </c>
      <c r="J387" s="8">
        <v>0.207560696736621</v>
      </c>
      <c r="K387" s="8">
        <v>5.92518667886227E-3</v>
      </c>
      <c r="L387" s="8">
        <v>2.0694745379863599E-3</v>
      </c>
      <c r="M387" s="8">
        <v>7.87081801025343E-3</v>
      </c>
      <c r="N387" s="8">
        <v>2.6413226747378799E-3</v>
      </c>
      <c r="O387" s="8">
        <v>3.1317587070118197E-2</v>
      </c>
      <c r="P387" s="9">
        <v>4.9532933762843602E-2</v>
      </c>
      <c r="Q387" s="570">
        <v>6.19309732785394E-3</v>
      </c>
    </row>
    <row r="388" spans="2:17" ht="15.75" x14ac:dyDescent="0.25">
      <c r="B388" s="6">
        <v>2038</v>
      </c>
      <c r="C388" s="7">
        <v>2033</v>
      </c>
      <c r="D388" s="484" t="s">
        <v>3947</v>
      </c>
      <c r="E388" s="488">
        <v>0.14518928039622447</v>
      </c>
      <c r="F388" s="489">
        <v>0.15741538724990201</v>
      </c>
      <c r="G388" s="487">
        <v>1.9646547675957401E-3</v>
      </c>
      <c r="H388" s="8">
        <v>1.46673211186348E-2</v>
      </c>
      <c r="I388" s="8">
        <v>0.77543301881085203</v>
      </c>
      <c r="J388" s="8">
        <v>0.169356371194334</v>
      </c>
      <c r="K388" s="8">
        <v>5.5764900900656398E-3</v>
      </c>
      <c r="L388" s="8">
        <v>2.04752600886837E-3</v>
      </c>
      <c r="M388" s="8">
        <v>7.9791734113642994E-3</v>
      </c>
      <c r="N388" s="8">
        <v>2.5538804792036201E-3</v>
      </c>
      <c r="O388" s="8">
        <v>3.1351463527661001E-2</v>
      </c>
      <c r="P388" s="9">
        <v>4.7990453433619303E-2</v>
      </c>
      <c r="Q388" s="570">
        <v>5.8286342266301201E-3</v>
      </c>
    </row>
    <row r="389" spans="2:17" ht="15.75" x14ac:dyDescent="0.25">
      <c r="B389" s="6">
        <v>2038</v>
      </c>
      <c r="C389" s="7">
        <v>2034</v>
      </c>
      <c r="D389" s="484" t="s">
        <v>3948</v>
      </c>
      <c r="E389" s="488">
        <v>0.12501189077615468</v>
      </c>
      <c r="F389" s="489">
        <v>0.15537017204270551</v>
      </c>
      <c r="G389" s="487">
        <v>3.6984224543832401E-3</v>
      </c>
      <c r="H389" s="8">
        <v>1.4324047359749899E-2</v>
      </c>
      <c r="I389" s="8">
        <v>0.64567951608380603</v>
      </c>
      <c r="J389" s="8">
        <v>0.15312417773039899</v>
      </c>
      <c r="K389" s="8">
        <v>5.0248358335912898E-3</v>
      </c>
      <c r="L389" s="8">
        <v>2.0773560929749301E-3</v>
      </c>
      <c r="M389" s="8">
        <v>5.8695674874992597E-3</v>
      </c>
      <c r="N389" s="8">
        <v>2.5248618793357199E-3</v>
      </c>
      <c r="O389" s="8">
        <v>4.1441773638186997E-2</v>
      </c>
      <c r="P389" s="9">
        <v>4.7478565331949503E-2</v>
      </c>
      <c r="Q389" s="570">
        <v>5.2520366126075201E-3</v>
      </c>
    </row>
    <row r="390" spans="2:17" ht="15.75" x14ac:dyDescent="0.25">
      <c r="B390" s="6">
        <v>2038</v>
      </c>
      <c r="C390" s="7">
        <v>2035</v>
      </c>
      <c r="D390" s="484" t="s">
        <v>3949</v>
      </c>
      <c r="E390" s="488">
        <v>0.13147234536281152</v>
      </c>
      <c r="F390" s="489">
        <v>0.15167931938616117</v>
      </c>
      <c r="G390" s="487">
        <v>7.4083632428050697E-3</v>
      </c>
      <c r="H390" s="8">
        <v>1.4105898318848301E-2</v>
      </c>
      <c r="I390" s="8">
        <v>0.68543255717399498</v>
      </c>
      <c r="J390" s="8">
        <v>0.133600198211594</v>
      </c>
      <c r="K390" s="8">
        <v>5.4531313030985098E-3</v>
      </c>
      <c r="L390" s="8">
        <v>1.86432242230041E-3</v>
      </c>
      <c r="M390" s="8">
        <v>6.7329930698256596E-3</v>
      </c>
      <c r="N390" s="8">
        <v>2.5353897654948401E-3</v>
      </c>
      <c r="O390" s="8">
        <v>3.6736730714785601E-2</v>
      </c>
      <c r="P390" s="9">
        <v>4.7664277243796301E-2</v>
      </c>
      <c r="Q390" s="570">
        <v>5.6996977027128498E-3</v>
      </c>
    </row>
    <row r="391" spans="2:17" ht="15.75" x14ac:dyDescent="0.25">
      <c r="B391" s="6">
        <v>2038</v>
      </c>
      <c r="C391" s="7">
        <v>2036</v>
      </c>
      <c r="D391" s="484" t="s">
        <v>3950</v>
      </c>
      <c r="E391" s="488">
        <v>0.1187994629194086</v>
      </c>
      <c r="F391" s="489">
        <v>0.1412563664888748</v>
      </c>
      <c r="G391" s="487">
        <v>3.3273002904228499E-3</v>
      </c>
      <c r="H391" s="8">
        <v>1.25024705183791E-2</v>
      </c>
      <c r="I391" s="8">
        <v>0.60716639703967101</v>
      </c>
      <c r="J391" s="8">
        <v>9.9645966690264307E-2</v>
      </c>
      <c r="K391" s="8">
        <v>4.6512851243090897E-3</v>
      </c>
      <c r="L391" s="8">
        <v>2.05135224036628E-3</v>
      </c>
      <c r="M391" s="8">
        <v>5.16539278496505E-3</v>
      </c>
      <c r="N391" s="8">
        <v>2.3776577685910602E-3</v>
      </c>
      <c r="O391" s="8">
        <v>4.4911431327359898E-2</v>
      </c>
      <c r="P391" s="9">
        <v>4.4881884818413702E-2</v>
      </c>
      <c r="Q391" s="570">
        <v>4.8615955978582896E-3</v>
      </c>
    </row>
    <row r="392" spans="2:17" ht="15.75" x14ac:dyDescent="0.25">
      <c r="B392" s="6">
        <v>2038</v>
      </c>
      <c r="C392" s="7">
        <v>2037</v>
      </c>
      <c r="D392" s="484" t="s">
        <v>3951</v>
      </c>
      <c r="E392" s="488">
        <v>0.12864160531968821</v>
      </c>
      <c r="F392" s="489">
        <v>0.18394503619784541</v>
      </c>
      <c r="G392" s="487">
        <v>2.4040025339228501E-3</v>
      </c>
      <c r="H392" s="8">
        <v>1.9852644955493801E-2</v>
      </c>
      <c r="I392" s="8">
        <v>0.67004616565633801</v>
      </c>
      <c r="J392" s="8">
        <v>0.14864036500021</v>
      </c>
      <c r="K392" s="8">
        <v>4.9429706500313903E-3</v>
      </c>
      <c r="L392" s="8">
        <v>2.1344148544073902E-3</v>
      </c>
      <c r="M392" s="8">
        <v>6.1986379626746899E-3</v>
      </c>
      <c r="N392" s="8">
        <v>2.82149628293065E-3</v>
      </c>
      <c r="O392" s="8">
        <v>3.9978529350713499E-2</v>
      </c>
      <c r="P392" s="9">
        <v>5.2711196211363998E-2</v>
      </c>
      <c r="Q392" s="570">
        <v>5.1664698487184002E-3</v>
      </c>
    </row>
    <row r="393" spans="2:17" ht="15.75" x14ac:dyDescent="0.25">
      <c r="B393" s="6">
        <v>2038</v>
      </c>
      <c r="C393" s="7">
        <v>2038</v>
      </c>
      <c r="D393" s="484" t="s">
        <v>3952</v>
      </c>
      <c r="E393" s="488">
        <v>0.12921149718672673</v>
      </c>
      <c r="F393" s="489">
        <v>0.18750812568556274</v>
      </c>
      <c r="G393" s="487">
        <v>8.5779426952325103E-3</v>
      </c>
      <c r="H393" s="8">
        <v>2.0435264103879101E-2</v>
      </c>
      <c r="I393" s="8">
        <v>0.66951816613260695</v>
      </c>
      <c r="J393" s="8">
        <v>0.126927849434777</v>
      </c>
      <c r="K393" s="8">
        <v>5.1892121366436299E-3</v>
      </c>
      <c r="L393" s="8">
        <v>2.1514985729670102E-3</v>
      </c>
      <c r="M393" s="8">
        <v>6.5644518818385698E-3</v>
      </c>
      <c r="N393" s="8">
        <v>2.8592392578963301E-3</v>
      </c>
      <c r="O393" s="8">
        <v>3.7332662357219798E-2</v>
      </c>
      <c r="P393" s="9">
        <v>5.33769822897587E-2</v>
      </c>
      <c r="Q393" s="570">
        <v>5.4238452826748402E-3</v>
      </c>
    </row>
    <row r="394" spans="2:17" ht="15.75" x14ac:dyDescent="0.25">
      <c r="B394" s="6">
        <v>2039</v>
      </c>
      <c r="C394" s="7">
        <v>2025</v>
      </c>
      <c r="D394" s="484" t="s">
        <v>3983</v>
      </c>
      <c r="E394" s="488">
        <v>0.15117373881274793</v>
      </c>
      <c r="F394" s="489">
        <v>0.20896106187423372</v>
      </c>
      <c r="G394" s="487">
        <v>1.12350724107352E-3</v>
      </c>
      <c r="H394" s="8">
        <v>2.2723778184657598E-2</v>
      </c>
      <c r="I394" s="8">
        <v>0.81356768007824498</v>
      </c>
      <c r="J394" s="8">
        <v>0.49391234080226099</v>
      </c>
      <c r="K394" s="8">
        <v>5.7386754363857803E-3</v>
      </c>
      <c r="L394" s="8">
        <v>2.1950573681013899E-3</v>
      </c>
      <c r="M394" s="8">
        <v>8.5987433704509605E-3</v>
      </c>
      <c r="N394" s="8">
        <v>3.0000018168034001E-3</v>
      </c>
      <c r="O394" s="8">
        <v>2.8426200216006201E-2</v>
      </c>
      <c r="P394" s="9">
        <v>5.5860033828879302E-2</v>
      </c>
      <c r="Q394" s="570">
        <v>5.9981528746240499E-3</v>
      </c>
    </row>
    <row r="395" spans="2:17" ht="15.75" x14ac:dyDescent="0.25">
      <c r="B395" s="6">
        <v>2039</v>
      </c>
      <c r="C395" s="7">
        <v>2026</v>
      </c>
      <c r="D395" s="484" t="s">
        <v>3984</v>
      </c>
      <c r="E395" s="488">
        <v>0.13870284237277214</v>
      </c>
      <c r="F395" s="489">
        <v>0.20876918333146904</v>
      </c>
      <c r="G395" s="487">
        <v>9.826441279247079E-4</v>
      </c>
      <c r="H395" s="8">
        <v>2.2566847332868199E-2</v>
      </c>
      <c r="I395" s="8">
        <v>0.73467088840541594</v>
      </c>
      <c r="J395" s="8">
        <v>0.46350880413693801</v>
      </c>
      <c r="K395" s="8">
        <v>5.2537725599848401E-3</v>
      </c>
      <c r="L395" s="8">
        <v>2.1885955007482998E-3</v>
      </c>
      <c r="M395" s="8">
        <v>7.2290406024865302E-3</v>
      </c>
      <c r="N395" s="8">
        <v>3.0000018168034001E-3</v>
      </c>
      <c r="O395" s="8">
        <v>3.5137743779031998E-2</v>
      </c>
      <c r="P395" s="9">
        <v>5.5860033828879302E-2</v>
      </c>
      <c r="Q395" s="570">
        <v>5.4913248418769003E-3</v>
      </c>
    </row>
    <row r="396" spans="2:17" ht="15.75" x14ac:dyDescent="0.25">
      <c r="B396" s="6">
        <v>2039</v>
      </c>
      <c r="C396" s="7">
        <v>2027</v>
      </c>
      <c r="D396" s="484" t="s">
        <v>3985</v>
      </c>
      <c r="E396" s="488">
        <v>0.14912826058599127</v>
      </c>
      <c r="F396" s="489">
        <v>0.20196180856109322</v>
      </c>
      <c r="G396" s="487">
        <v>1.09928423696457E-3</v>
      </c>
      <c r="H396" s="8">
        <v>2.2726219176785599E-2</v>
      </c>
      <c r="I396" s="8">
        <v>0.79932201959802296</v>
      </c>
      <c r="J396" s="8">
        <v>0.44594505229022802</v>
      </c>
      <c r="K396" s="8">
        <v>5.7353426771655199E-3</v>
      </c>
      <c r="L396" s="8">
        <v>2.2075366268480201E-3</v>
      </c>
      <c r="M396" s="8">
        <v>8.3927701895727905E-3</v>
      </c>
      <c r="N396" s="8">
        <v>3.0000018168034001E-3</v>
      </c>
      <c r="O396" s="8">
        <v>2.9435468802309302E-2</v>
      </c>
      <c r="P396" s="9">
        <v>5.5860033828879302E-2</v>
      </c>
      <c r="Q396" s="570">
        <v>5.9946694228207396E-3</v>
      </c>
    </row>
    <row r="397" spans="2:17" ht="15.75" x14ac:dyDescent="0.25">
      <c r="B397" s="6">
        <v>2039</v>
      </c>
      <c r="C397" s="7">
        <v>2028</v>
      </c>
      <c r="D397" s="484" t="s">
        <v>3986</v>
      </c>
      <c r="E397" s="488">
        <v>0.14629082714508937</v>
      </c>
      <c r="F397" s="489">
        <v>0.20126230701218364</v>
      </c>
      <c r="G397" s="487">
        <v>1.0684562226835699E-3</v>
      </c>
      <c r="H397" s="8">
        <v>2.2687886496442801E-2</v>
      </c>
      <c r="I397" s="8">
        <v>0.78276553271772598</v>
      </c>
      <c r="J397" s="8">
        <v>0.40522234233375398</v>
      </c>
      <c r="K397" s="8">
        <v>5.5415014234202597E-3</v>
      </c>
      <c r="L397" s="8">
        <v>2.1916773656368701E-3</v>
      </c>
      <c r="M397" s="8">
        <v>8.0612560175973898E-3</v>
      </c>
      <c r="N397" s="8">
        <v>3.0000018168034001E-3</v>
      </c>
      <c r="O397" s="8">
        <v>3.1059888244988801E-2</v>
      </c>
      <c r="P397" s="9">
        <v>5.5860033828879302E-2</v>
      </c>
      <c r="Q397" s="570">
        <v>5.7920635277389602E-3</v>
      </c>
    </row>
    <row r="398" spans="2:17" ht="15.75" x14ac:dyDescent="0.25">
      <c r="B398" s="6">
        <v>2039</v>
      </c>
      <c r="C398" s="7">
        <v>2029</v>
      </c>
      <c r="D398" s="484" t="s">
        <v>3987</v>
      </c>
      <c r="E398" s="488">
        <v>0.13977791475478532</v>
      </c>
      <c r="F398" s="489">
        <v>0.16443782358847411</v>
      </c>
      <c r="G398" s="487">
        <v>2.1855568688077401E-3</v>
      </c>
      <c r="H398" s="8">
        <v>1.6009302301658299E-2</v>
      </c>
      <c r="I398" s="8">
        <v>0.74119227940391197</v>
      </c>
      <c r="J398" s="8">
        <v>0.26487818152564402</v>
      </c>
      <c r="K398" s="8">
        <v>5.42984238915335E-3</v>
      </c>
      <c r="L398" s="8">
        <v>2.05504091697875E-3</v>
      </c>
      <c r="M398" s="8">
        <v>7.3929121003645602E-3</v>
      </c>
      <c r="N398" s="8">
        <v>2.6274411642777402E-3</v>
      </c>
      <c r="O398" s="8">
        <v>3.4203115317697E-2</v>
      </c>
      <c r="P398" s="9">
        <v>4.9288063918326699E-2</v>
      </c>
      <c r="Q398" s="570">
        <v>5.6753557674221102E-3</v>
      </c>
    </row>
    <row r="399" spans="2:17" ht="15.75" x14ac:dyDescent="0.25">
      <c r="B399" s="6">
        <v>2039</v>
      </c>
      <c r="C399" s="7">
        <v>2030</v>
      </c>
      <c r="D399" s="484" t="s">
        <v>3988</v>
      </c>
      <c r="E399" s="488">
        <v>0.1153757092839741</v>
      </c>
      <c r="F399" s="489">
        <v>0.15554691053540018</v>
      </c>
      <c r="G399" s="487">
        <v>2.4826738922374799E-2</v>
      </c>
      <c r="H399" s="8">
        <v>1.46074476418037E-2</v>
      </c>
      <c r="I399" s="8">
        <v>0.57922457147891804</v>
      </c>
      <c r="J399" s="8">
        <v>0.22188587490421</v>
      </c>
      <c r="K399" s="8">
        <v>7.1106205006059202E-3</v>
      </c>
      <c r="L399" s="8">
        <v>1.92332666648558E-3</v>
      </c>
      <c r="M399" s="8">
        <v>5.6288374196917E-3</v>
      </c>
      <c r="N399" s="8">
        <v>2.56376967822518E-3</v>
      </c>
      <c r="O399" s="8">
        <v>4.0274858755799899E-2</v>
      </c>
      <c r="P399" s="9">
        <v>4.8164898904359599E-2</v>
      </c>
      <c r="Q399" s="570">
        <v>7.4321312067321598E-3</v>
      </c>
    </row>
    <row r="400" spans="2:17" ht="15.75" x14ac:dyDescent="0.25">
      <c r="B400" s="6">
        <v>2039</v>
      </c>
      <c r="C400" s="7">
        <v>2031</v>
      </c>
      <c r="D400" s="484" t="s">
        <v>3989</v>
      </c>
      <c r="E400" s="488">
        <v>0.1479539021260329</v>
      </c>
      <c r="F400" s="489">
        <v>0.14955757130354219</v>
      </c>
      <c r="G400" s="487">
        <v>2.5515089243126001E-3</v>
      </c>
      <c r="H400" s="8">
        <v>1.36834782033688E-2</v>
      </c>
      <c r="I400" s="8">
        <v>0.79274346536748397</v>
      </c>
      <c r="J400" s="8">
        <v>0.20455927481929601</v>
      </c>
      <c r="K400" s="8">
        <v>5.7659944848523301E-3</v>
      </c>
      <c r="L400" s="8">
        <v>1.76921704949409E-3</v>
      </c>
      <c r="M400" s="8">
        <v>8.3040106406213499E-3</v>
      </c>
      <c r="N400" s="8">
        <v>2.53534029223439E-3</v>
      </c>
      <c r="O400" s="8">
        <v>2.9702937670470799E-2</v>
      </c>
      <c r="P400" s="9">
        <v>4.7663404535481999E-2</v>
      </c>
      <c r="Q400" s="570">
        <v>6.0267071692357704E-3</v>
      </c>
    </row>
    <row r="401" spans="2:17" ht="15.75" x14ac:dyDescent="0.25">
      <c r="B401" s="6">
        <v>2039</v>
      </c>
      <c r="C401" s="7">
        <v>2032</v>
      </c>
      <c r="D401" s="484" t="s">
        <v>3990</v>
      </c>
      <c r="E401" s="488">
        <v>0.14238402704156833</v>
      </c>
      <c r="F401" s="489">
        <v>0.16592469455858352</v>
      </c>
      <c r="G401" s="487">
        <v>6.8160825567135297E-3</v>
      </c>
      <c r="H401" s="8">
        <v>1.62923237130978E-2</v>
      </c>
      <c r="I401" s="8">
        <v>0.75599241501556802</v>
      </c>
      <c r="J401" s="8">
        <v>0.223117940695963</v>
      </c>
      <c r="K401" s="8">
        <v>5.9753788802402201E-3</v>
      </c>
      <c r="L401" s="8">
        <v>2.0694745379863599E-3</v>
      </c>
      <c r="M401" s="8">
        <v>7.87081801025343E-3</v>
      </c>
      <c r="N401" s="8">
        <v>2.6413226747378799E-3</v>
      </c>
      <c r="O401" s="8">
        <v>3.1317587070118197E-2</v>
      </c>
      <c r="P401" s="9">
        <v>4.9532933762843602E-2</v>
      </c>
      <c r="Q401" s="570">
        <v>6.2455589978536001E-3</v>
      </c>
    </row>
    <row r="402" spans="2:17" ht="15.75" x14ac:dyDescent="0.25">
      <c r="B402" s="6">
        <v>2039</v>
      </c>
      <c r="C402" s="7">
        <v>2033</v>
      </c>
      <c r="D402" s="484" t="s">
        <v>3991</v>
      </c>
      <c r="E402" s="488">
        <v>0.1451892803962247</v>
      </c>
      <c r="F402" s="489">
        <v>0.1574181726871563</v>
      </c>
      <c r="G402" s="487">
        <v>1.9851588965639801E-3</v>
      </c>
      <c r="H402" s="8">
        <v>1.4687354828177601E-2</v>
      </c>
      <c r="I402" s="8">
        <v>0.775453812393189</v>
      </c>
      <c r="J402" s="8">
        <v>0.18405619663154099</v>
      </c>
      <c r="K402" s="8">
        <v>5.5851718873215902E-3</v>
      </c>
      <c r="L402" s="8">
        <v>2.04752600886837E-3</v>
      </c>
      <c r="M402" s="8">
        <v>7.9791734113642994E-3</v>
      </c>
      <c r="N402" s="8">
        <v>2.55388047920363E-3</v>
      </c>
      <c r="O402" s="8">
        <v>3.1351463527661001E-2</v>
      </c>
      <c r="P402" s="9">
        <v>4.79904534336194E-2</v>
      </c>
      <c r="Q402" s="570">
        <v>5.8377085762330904E-3</v>
      </c>
    </row>
    <row r="403" spans="2:17" ht="15.75" x14ac:dyDescent="0.25">
      <c r="B403" s="6">
        <v>2039</v>
      </c>
      <c r="C403" s="7">
        <v>2034</v>
      </c>
      <c r="D403" s="484" t="s">
        <v>3992</v>
      </c>
      <c r="E403" s="488">
        <v>0.12501189077615468</v>
      </c>
      <c r="F403" s="489">
        <v>0.15537164911497126</v>
      </c>
      <c r="G403" s="487">
        <v>3.76831008229113E-3</v>
      </c>
      <c r="H403" s="8">
        <v>1.42699878145907E-2</v>
      </c>
      <c r="I403" s="8">
        <v>0.64575034800674103</v>
      </c>
      <c r="J403" s="8">
        <v>0.16209650965257799</v>
      </c>
      <c r="K403" s="8">
        <v>5.0543957402530296E-3</v>
      </c>
      <c r="L403" s="8">
        <v>2.0773560929749301E-3</v>
      </c>
      <c r="M403" s="8">
        <v>5.8695674874992597E-3</v>
      </c>
      <c r="N403" s="8">
        <v>2.5248618793357199E-3</v>
      </c>
      <c r="O403" s="8">
        <v>4.1441773638187102E-2</v>
      </c>
      <c r="P403" s="9">
        <v>4.7478565331949503E-2</v>
      </c>
      <c r="Q403" s="570">
        <v>5.2829330870783602E-3</v>
      </c>
    </row>
    <row r="404" spans="2:17" ht="15.75" x14ac:dyDescent="0.25">
      <c r="B404" s="6">
        <v>2039</v>
      </c>
      <c r="C404" s="7">
        <v>2035</v>
      </c>
      <c r="D404" s="484" t="s">
        <v>3993</v>
      </c>
      <c r="E404" s="488">
        <v>0.13147234536281152</v>
      </c>
      <c r="F404" s="489">
        <v>0.15168198301820726</v>
      </c>
      <c r="G404" s="487">
        <v>7.5791476633222396E-3</v>
      </c>
      <c r="H404" s="8">
        <v>1.3959223652294401E-2</v>
      </c>
      <c r="I404" s="8">
        <v>0.68560566694913505</v>
      </c>
      <c r="J404" s="8">
        <v>0.15328675416492099</v>
      </c>
      <c r="K404" s="8">
        <v>5.5253804998410799E-3</v>
      </c>
      <c r="L404" s="8">
        <v>1.86432242230041E-3</v>
      </c>
      <c r="M404" s="8">
        <v>6.7329930698256596E-3</v>
      </c>
      <c r="N404" s="8">
        <v>2.5353897654948302E-3</v>
      </c>
      <c r="O404" s="8">
        <v>3.6736730714785601E-2</v>
      </c>
      <c r="P404" s="9">
        <v>4.7664277243796203E-2</v>
      </c>
      <c r="Q404" s="570">
        <v>5.7752136875310603E-3</v>
      </c>
    </row>
    <row r="405" spans="2:17" ht="15.75" x14ac:dyDescent="0.25">
      <c r="B405" s="6">
        <v>2039</v>
      </c>
      <c r="C405" s="7">
        <v>2036</v>
      </c>
      <c r="D405" s="484" t="s">
        <v>3994</v>
      </c>
      <c r="E405" s="488">
        <v>0.1187994629194086</v>
      </c>
      <c r="F405" s="489">
        <v>0.14125494081608719</v>
      </c>
      <c r="G405" s="487">
        <v>3.399977081218E-3</v>
      </c>
      <c r="H405" s="8">
        <v>1.20166750508942E-2</v>
      </c>
      <c r="I405" s="8">
        <v>0.60724009897860098</v>
      </c>
      <c r="J405" s="8">
        <v>0.105460744687473</v>
      </c>
      <c r="K405" s="8">
        <v>4.6820575164100396E-3</v>
      </c>
      <c r="L405" s="8">
        <v>2.05135224036628E-3</v>
      </c>
      <c r="M405" s="8">
        <v>5.16539278496505E-3</v>
      </c>
      <c r="N405" s="8">
        <v>2.3776577685910602E-3</v>
      </c>
      <c r="O405" s="8">
        <v>4.4911431327359898E-2</v>
      </c>
      <c r="P405" s="9">
        <v>4.4881884818413702E-2</v>
      </c>
      <c r="Q405" s="570">
        <v>4.8937593809795796E-3</v>
      </c>
    </row>
    <row r="406" spans="2:17" ht="15.75" x14ac:dyDescent="0.25">
      <c r="B406" s="6">
        <v>2039</v>
      </c>
      <c r="C406" s="7">
        <v>2037</v>
      </c>
      <c r="D406" s="484" t="s">
        <v>3995</v>
      </c>
      <c r="E406" s="488">
        <v>0.12864160531968821</v>
      </c>
      <c r="F406" s="489">
        <v>0.18394859606551933</v>
      </c>
      <c r="G406" s="487">
        <v>2.45079225331667E-3</v>
      </c>
      <c r="H406" s="8">
        <v>1.97188420192702E-2</v>
      </c>
      <c r="I406" s="8">
        <v>0.67009361501271802</v>
      </c>
      <c r="J406" s="8">
        <v>0.17441822795112999</v>
      </c>
      <c r="K406" s="8">
        <v>4.9627819848890404E-3</v>
      </c>
      <c r="L406" s="8">
        <v>2.1344148544073902E-3</v>
      </c>
      <c r="M406" s="8">
        <v>6.1986379626747003E-3</v>
      </c>
      <c r="N406" s="8">
        <v>2.82149628293065E-3</v>
      </c>
      <c r="O406" s="8">
        <v>3.9978529350713499E-2</v>
      </c>
      <c r="P406" s="9">
        <v>5.2711196211363998E-2</v>
      </c>
      <c r="Q406" s="570">
        <v>5.1871769642268199E-3</v>
      </c>
    </row>
    <row r="407" spans="2:17" ht="15.75" x14ac:dyDescent="0.25">
      <c r="B407" s="6">
        <v>2039</v>
      </c>
      <c r="C407" s="7">
        <v>2038</v>
      </c>
      <c r="D407" s="484" t="s">
        <v>3996</v>
      </c>
      <c r="E407" s="488">
        <v>0.12921149718672673</v>
      </c>
      <c r="F407" s="489">
        <v>0.18751265601693423</v>
      </c>
      <c r="G407" s="487">
        <v>8.8310753272642806E-3</v>
      </c>
      <c r="H407" s="8">
        <v>2.04745030735882E-2</v>
      </c>
      <c r="I407" s="8">
        <v>0.66977349072333903</v>
      </c>
      <c r="J407" s="8">
        <v>0.15177233162541001</v>
      </c>
      <c r="K407" s="8">
        <v>5.2953589713648002E-3</v>
      </c>
      <c r="L407" s="8">
        <v>2.1514985729670201E-3</v>
      </c>
      <c r="M407" s="8">
        <v>6.5644518818385698E-3</v>
      </c>
      <c r="N407" s="8">
        <v>2.8592392578963301E-3</v>
      </c>
      <c r="O407" s="8">
        <v>3.7332662357219798E-2</v>
      </c>
      <c r="P407" s="9">
        <v>5.33769822897587E-2</v>
      </c>
      <c r="Q407" s="570">
        <v>5.5347916062424901E-3</v>
      </c>
    </row>
    <row r="408" spans="2:17" ht="15.75" x14ac:dyDescent="0.25">
      <c r="B408" s="6">
        <v>2039</v>
      </c>
      <c r="C408" s="7">
        <v>2039</v>
      </c>
      <c r="D408" s="484" t="s">
        <v>3997</v>
      </c>
      <c r="E408" s="488">
        <v>0.13245423191808509</v>
      </c>
      <c r="F408" s="489">
        <v>0.16468077687555341</v>
      </c>
      <c r="G408" s="487">
        <v>2.4267362191478302E-3</v>
      </c>
      <c r="H408" s="8">
        <v>1.67101010801167E-2</v>
      </c>
      <c r="I408" s="8">
        <v>0.69417989262199098</v>
      </c>
      <c r="J408" s="8">
        <v>0.104904493128023</v>
      </c>
      <c r="K408" s="8">
        <v>5.06475009809458E-3</v>
      </c>
      <c r="L408" s="8">
        <v>1.9715876798032102E-3</v>
      </c>
      <c r="M408" s="8">
        <v>6.6175968151172496E-3</v>
      </c>
      <c r="N408" s="8">
        <v>2.6529408954991699E-3</v>
      </c>
      <c r="O408" s="8">
        <v>3.7921913826497497E-2</v>
      </c>
      <c r="P408" s="9">
        <v>4.9737879177072702E-2</v>
      </c>
      <c r="Q408" s="570">
        <v>5.2937556230347096E-3</v>
      </c>
    </row>
    <row r="409" spans="2:17" ht="15.75" x14ac:dyDescent="0.25">
      <c r="B409" s="6">
        <v>2040</v>
      </c>
      <c r="C409" s="7">
        <v>2026</v>
      </c>
      <c r="D409" s="484" t="s">
        <v>4028</v>
      </c>
      <c r="E409" s="488">
        <v>0.13870284237277214</v>
      </c>
      <c r="F409" s="489">
        <v>0.20877506851796704</v>
      </c>
      <c r="G409" s="487">
        <v>9.826441279247079E-4</v>
      </c>
      <c r="H409" s="8">
        <v>2.2566847332868199E-2</v>
      </c>
      <c r="I409" s="8">
        <v>0.73467088840541594</v>
      </c>
      <c r="J409" s="8">
        <v>0.49949071160196901</v>
      </c>
      <c r="K409" s="8">
        <v>5.2537725599848401E-3</v>
      </c>
      <c r="L409" s="8">
        <v>2.1885955007482998E-3</v>
      </c>
      <c r="M409" s="8">
        <v>7.2290406024865302E-3</v>
      </c>
      <c r="N409" s="8">
        <v>3.0000018168034001E-3</v>
      </c>
      <c r="O409" s="8">
        <v>3.5137743779031998E-2</v>
      </c>
      <c r="P409" s="9">
        <v>5.5860033828879302E-2</v>
      </c>
      <c r="Q409" s="570">
        <v>5.4913248418769003E-3</v>
      </c>
    </row>
    <row r="410" spans="2:17" ht="15.75" x14ac:dyDescent="0.25">
      <c r="B410" s="6">
        <v>2040</v>
      </c>
      <c r="C410" s="7">
        <v>2027</v>
      </c>
      <c r="D410" s="484" t="s">
        <v>4029</v>
      </c>
      <c r="E410" s="488">
        <v>0.14912826058599127</v>
      </c>
      <c r="F410" s="489">
        <v>0.20196531026399991</v>
      </c>
      <c r="G410" s="487">
        <v>1.09928423696457E-3</v>
      </c>
      <c r="H410" s="8">
        <v>2.2726219176785599E-2</v>
      </c>
      <c r="I410" s="8">
        <v>0.79932201959802296</v>
      </c>
      <c r="J410" s="8">
        <v>0.46700581811759201</v>
      </c>
      <c r="K410" s="8">
        <v>5.7353426771655199E-3</v>
      </c>
      <c r="L410" s="8">
        <v>2.2075366268480201E-3</v>
      </c>
      <c r="M410" s="8">
        <v>8.3927701895727905E-3</v>
      </c>
      <c r="N410" s="8">
        <v>3.0000018168034001E-3</v>
      </c>
      <c r="O410" s="8">
        <v>2.9435468802309302E-2</v>
      </c>
      <c r="P410" s="9">
        <v>5.5860033828879302E-2</v>
      </c>
      <c r="Q410" s="570">
        <v>5.9946694228207396E-3</v>
      </c>
    </row>
    <row r="411" spans="2:17" ht="15.75" x14ac:dyDescent="0.25">
      <c r="B411" s="6">
        <v>2040</v>
      </c>
      <c r="C411" s="7">
        <v>2028</v>
      </c>
      <c r="D411" s="484" t="s">
        <v>4030</v>
      </c>
      <c r="E411" s="488">
        <v>0.14629082714508965</v>
      </c>
      <c r="F411" s="489">
        <v>0.20126791733087118</v>
      </c>
      <c r="G411" s="487">
        <v>1.0684562226835699E-3</v>
      </c>
      <c r="H411" s="8">
        <v>2.2687886496442801E-2</v>
      </c>
      <c r="I411" s="8">
        <v>0.78276553271772498</v>
      </c>
      <c r="J411" s="8">
        <v>0.43781287360263799</v>
      </c>
      <c r="K411" s="8">
        <v>5.5415014234202701E-3</v>
      </c>
      <c r="L411" s="8">
        <v>2.1916773656368701E-3</v>
      </c>
      <c r="M411" s="8">
        <v>8.0612560175973898E-3</v>
      </c>
      <c r="N411" s="8">
        <v>3.0000018168034001E-3</v>
      </c>
      <c r="O411" s="8">
        <v>3.1059888244988801E-2</v>
      </c>
      <c r="P411" s="9">
        <v>5.5860033828879399E-2</v>
      </c>
      <c r="Q411" s="570">
        <v>5.7920635277389498E-3</v>
      </c>
    </row>
    <row r="412" spans="2:17" ht="15.75" x14ac:dyDescent="0.25">
      <c r="B412" s="6">
        <v>2040</v>
      </c>
      <c r="C412" s="7">
        <v>2029</v>
      </c>
      <c r="D412" s="484" t="s">
        <v>4031</v>
      </c>
      <c r="E412" s="488">
        <v>0.14149999920742201</v>
      </c>
      <c r="F412" s="489">
        <v>0.20255245777460121</v>
      </c>
      <c r="G412" s="487">
        <v>1.0143488884044099E-3</v>
      </c>
      <c r="H412" s="8">
        <v>2.2650257733152199E-2</v>
      </c>
      <c r="I412" s="8">
        <v>0.75246461278253995</v>
      </c>
      <c r="J412" s="8">
        <v>0.41400194992405098</v>
      </c>
      <c r="K412" s="8">
        <v>5.3533737481443501E-3</v>
      </c>
      <c r="L412" s="8">
        <v>2.2065015357552501E-3</v>
      </c>
      <c r="M412" s="8">
        <v>7.5349267650340196E-3</v>
      </c>
      <c r="N412" s="8">
        <v>3.0000018168034001E-3</v>
      </c>
      <c r="O412" s="8">
        <v>3.3638901582549202E-2</v>
      </c>
      <c r="P412" s="9">
        <v>5.5860033828879302E-2</v>
      </c>
      <c r="Q412" s="570">
        <v>5.5954295537912601E-3</v>
      </c>
    </row>
    <row r="413" spans="2:17" ht="15.75" x14ac:dyDescent="0.25">
      <c r="B413" s="6">
        <v>2040</v>
      </c>
      <c r="C413" s="7">
        <v>2030</v>
      </c>
      <c r="D413" s="484" t="s">
        <v>4032</v>
      </c>
      <c r="E413" s="488">
        <v>0.1153757092839741</v>
      </c>
      <c r="F413" s="489">
        <v>0.1555499328056752</v>
      </c>
      <c r="G413" s="487">
        <v>2.52222788470849E-2</v>
      </c>
      <c r="H413" s="8">
        <v>1.4600732372479899E-2</v>
      </c>
      <c r="I413" s="8">
        <v>0.57962539283217696</v>
      </c>
      <c r="J413" s="8">
        <v>0.23970317090512899</v>
      </c>
      <c r="K413" s="8">
        <v>7.2778702268307804E-3</v>
      </c>
      <c r="L413" s="8">
        <v>1.92332666648558E-3</v>
      </c>
      <c r="M413" s="8">
        <v>5.6288374196917E-3</v>
      </c>
      <c r="N413" s="8">
        <v>2.56376967822518E-3</v>
      </c>
      <c r="O413" s="8">
        <v>4.0274858755799899E-2</v>
      </c>
      <c r="P413" s="9">
        <v>4.8164898904359599E-2</v>
      </c>
      <c r="Q413" s="570">
        <v>7.6069432234172401E-3</v>
      </c>
    </row>
    <row r="414" spans="2:17" ht="15.75" x14ac:dyDescent="0.25">
      <c r="B414" s="6">
        <v>2040</v>
      </c>
      <c r="C414" s="7">
        <v>2031</v>
      </c>
      <c r="D414" s="484" t="s">
        <v>4033</v>
      </c>
      <c r="E414" s="488">
        <v>0.14795390212603327</v>
      </c>
      <c r="F414" s="489">
        <v>0.14955890963986651</v>
      </c>
      <c r="G414" s="487">
        <v>2.5776118646509698E-3</v>
      </c>
      <c r="H414" s="8">
        <v>1.3688618265575299E-2</v>
      </c>
      <c r="I414" s="8">
        <v>0.79276993265649798</v>
      </c>
      <c r="J414" s="8">
        <v>0.211547217251809</v>
      </c>
      <c r="K414" s="8">
        <v>5.7770437784472198E-3</v>
      </c>
      <c r="L414" s="8">
        <v>1.76921704949409E-3</v>
      </c>
      <c r="M414" s="8">
        <v>8.3040106406213499E-3</v>
      </c>
      <c r="N414" s="8">
        <v>2.53534029223439E-3</v>
      </c>
      <c r="O414" s="8">
        <v>2.9702937670470799E-2</v>
      </c>
      <c r="P414" s="9">
        <v>4.7663404535481999E-2</v>
      </c>
      <c r="Q414" s="570">
        <v>6.0382560628565E-3</v>
      </c>
    </row>
    <row r="415" spans="2:17" ht="15.75" x14ac:dyDescent="0.25">
      <c r="B415" s="6">
        <v>2040</v>
      </c>
      <c r="C415" s="7">
        <v>2032</v>
      </c>
      <c r="D415" s="484" t="s">
        <v>4034</v>
      </c>
      <c r="E415" s="488">
        <v>0.14238402704156833</v>
      </c>
      <c r="F415" s="489">
        <v>0.16592791519249583</v>
      </c>
      <c r="G415" s="487">
        <v>6.9279741402832303E-3</v>
      </c>
      <c r="H415" s="8">
        <v>1.6312537679753901E-2</v>
      </c>
      <c r="I415" s="8">
        <v>0.75610588483901398</v>
      </c>
      <c r="J415" s="8">
        <v>0.24097171458314801</v>
      </c>
      <c r="K415" s="8">
        <v>6.0227544677654904E-3</v>
      </c>
      <c r="L415" s="8">
        <v>2.0694745379863599E-3</v>
      </c>
      <c r="M415" s="8">
        <v>7.87081801025343E-3</v>
      </c>
      <c r="N415" s="8">
        <v>2.6413226747378799E-3</v>
      </c>
      <c r="O415" s="8">
        <v>3.1317587070118197E-2</v>
      </c>
      <c r="P415" s="9">
        <v>4.9532933762843602E-2</v>
      </c>
      <c r="Q415" s="570">
        <v>6.2950766992207101E-3</v>
      </c>
    </row>
    <row r="416" spans="2:17" ht="15.75" x14ac:dyDescent="0.25">
      <c r="B416" s="6">
        <v>2040</v>
      </c>
      <c r="C416" s="7">
        <v>2033</v>
      </c>
      <c r="D416" s="484" t="s">
        <v>4035</v>
      </c>
      <c r="E416" s="488">
        <v>0.14518928039622447</v>
      </c>
      <c r="F416" s="489">
        <v>0.15742085335628384</v>
      </c>
      <c r="G416" s="487">
        <v>2.00457347789792E-3</v>
      </c>
      <c r="H416" s="8">
        <v>1.4722747047734699E-2</v>
      </c>
      <c r="I416" s="8">
        <v>0.77547350110375901</v>
      </c>
      <c r="J416" s="8">
        <v>0.19762464229339199</v>
      </c>
      <c r="K416" s="8">
        <v>5.5933923788435702E-3</v>
      </c>
      <c r="L416" s="8">
        <v>2.04752600886837E-3</v>
      </c>
      <c r="M416" s="8">
        <v>7.9791734113642994E-3</v>
      </c>
      <c r="N416" s="8">
        <v>2.5538804792036201E-3</v>
      </c>
      <c r="O416" s="8">
        <v>3.1351463527661001E-2</v>
      </c>
      <c r="P416" s="9">
        <v>4.7990453433619303E-2</v>
      </c>
      <c r="Q416" s="570">
        <v>5.8463007619037896E-3</v>
      </c>
    </row>
    <row r="417" spans="2:17" ht="15.75" x14ac:dyDescent="0.25">
      <c r="B417" s="6">
        <v>2040</v>
      </c>
      <c r="C417" s="7">
        <v>2034</v>
      </c>
      <c r="D417" s="484" t="s">
        <v>4036</v>
      </c>
      <c r="E417" s="488">
        <v>0.12501189077615468</v>
      </c>
      <c r="F417" s="489">
        <v>0.15537431746040054</v>
      </c>
      <c r="G417" s="487">
        <v>3.83467130000913E-3</v>
      </c>
      <c r="H417" s="8">
        <v>1.4290656244173699E-2</v>
      </c>
      <c r="I417" s="8">
        <v>0.645817606149102</v>
      </c>
      <c r="J417" s="8">
        <v>0.17604184852080601</v>
      </c>
      <c r="K417" s="8">
        <v>5.0824642326264304E-3</v>
      </c>
      <c r="L417" s="8">
        <v>2.0773560929749301E-3</v>
      </c>
      <c r="M417" s="8">
        <v>5.8695674874992597E-3</v>
      </c>
      <c r="N417" s="8">
        <v>2.5248618793357199E-3</v>
      </c>
      <c r="O417" s="8">
        <v>4.1441773638187102E-2</v>
      </c>
      <c r="P417" s="9">
        <v>4.7478565331949503E-2</v>
      </c>
      <c r="Q417" s="570">
        <v>5.3122707121247897E-3</v>
      </c>
    </row>
    <row r="418" spans="2:17" ht="15.75" x14ac:dyDescent="0.25">
      <c r="B418" s="6">
        <v>2040</v>
      </c>
      <c r="C418" s="7">
        <v>2035</v>
      </c>
      <c r="D418" s="484" t="s">
        <v>4037</v>
      </c>
      <c r="E418" s="488">
        <v>0.13147234536281169</v>
      </c>
      <c r="F418" s="489">
        <v>0.15168347452517617</v>
      </c>
      <c r="G418" s="487">
        <v>7.7417282099979104E-3</v>
      </c>
      <c r="H418" s="8">
        <v>1.39194917991709E-2</v>
      </c>
      <c r="I418" s="8">
        <v>0.68577046208298398</v>
      </c>
      <c r="J418" s="8">
        <v>0.16235406047606199</v>
      </c>
      <c r="K418" s="8">
        <v>5.5941595226571897E-3</v>
      </c>
      <c r="L418" s="8">
        <v>1.86432242230041E-3</v>
      </c>
      <c r="M418" s="8">
        <v>6.7329930698256596E-3</v>
      </c>
      <c r="N418" s="8">
        <v>2.5353897654948302E-3</v>
      </c>
      <c r="O418" s="8">
        <v>3.6736730714785601E-2</v>
      </c>
      <c r="P418" s="9">
        <v>4.7664277243796301E-2</v>
      </c>
      <c r="Q418" s="570">
        <v>5.8471025925565202E-3</v>
      </c>
    </row>
    <row r="419" spans="2:17" ht="15.75" x14ac:dyDescent="0.25">
      <c r="B419" s="6">
        <v>2040</v>
      </c>
      <c r="C419" s="7">
        <v>2036</v>
      </c>
      <c r="D419" s="484" t="s">
        <v>4038</v>
      </c>
      <c r="E419" s="488">
        <v>0.1187994629194086</v>
      </c>
      <c r="F419" s="489">
        <v>0.1412560591944827</v>
      </c>
      <c r="G419" s="487">
        <v>3.4693225843470598E-3</v>
      </c>
      <c r="H419" s="8">
        <v>1.1754676278137199E-2</v>
      </c>
      <c r="I419" s="8">
        <v>0.60731042317366701</v>
      </c>
      <c r="J419" s="8">
        <v>0.118955087253288</v>
      </c>
      <c r="K419" s="8">
        <v>4.7114196280004699E-3</v>
      </c>
      <c r="L419" s="8">
        <v>2.05135224036628E-3</v>
      </c>
      <c r="M419" s="8">
        <v>5.16539278496505E-3</v>
      </c>
      <c r="N419" s="8">
        <v>2.3776577685910602E-3</v>
      </c>
      <c r="O419" s="8">
        <v>4.4911431327359898E-2</v>
      </c>
      <c r="P419" s="9">
        <v>4.4881884818413702E-2</v>
      </c>
      <c r="Q419" s="570">
        <v>4.9244491169636896E-3</v>
      </c>
    </row>
    <row r="420" spans="2:17" ht="15.75" x14ac:dyDescent="0.25">
      <c r="B420" s="6">
        <v>2040</v>
      </c>
      <c r="C420" s="7">
        <v>2037</v>
      </c>
      <c r="D420" s="484" t="s">
        <v>4039</v>
      </c>
      <c r="E420" s="488">
        <v>0.12864160531968821</v>
      </c>
      <c r="F420" s="489">
        <v>0.18395061677956828</v>
      </c>
      <c r="G420" s="487">
        <v>2.4955311363817302E-3</v>
      </c>
      <c r="H420" s="8">
        <v>1.9590662013224399E-2</v>
      </c>
      <c r="I420" s="8">
        <v>0.67013898507088798</v>
      </c>
      <c r="J420" s="8">
        <v>0.19091170022808701</v>
      </c>
      <c r="K420" s="8">
        <v>4.9817251650171399E-3</v>
      </c>
      <c r="L420" s="8">
        <v>2.1344148544073902E-3</v>
      </c>
      <c r="M420" s="8">
        <v>6.1986379626746899E-3</v>
      </c>
      <c r="N420" s="8">
        <v>2.82149628293065E-3</v>
      </c>
      <c r="O420" s="8">
        <v>3.9978529350713499E-2</v>
      </c>
      <c r="P420" s="9">
        <v>5.2711196211363998E-2</v>
      </c>
      <c r="Q420" s="570">
        <v>5.2069766709012004E-3</v>
      </c>
    </row>
    <row r="421" spans="2:17" ht="15.75" x14ac:dyDescent="0.25">
      <c r="B421" s="6">
        <v>2040</v>
      </c>
      <c r="C421" s="7">
        <v>2038</v>
      </c>
      <c r="D421" s="484" t="s">
        <v>4040</v>
      </c>
      <c r="E421" s="488">
        <v>0.12921149718672673</v>
      </c>
      <c r="F421" s="489">
        <v>0.18751666790216506</v>
      </c>
      <c r="G421" s="487">
        <v>9.0735779390671203E-3</v>
      </c>
      <c r="H421" s="8">
        <v>2.0368563993040101E-2</v>
      </c>
      <c r="I421" s="8">
        <v>0.67001809636848098</v>
      </c>
      <c r="J421" s="8">
        <v>0.17852441706032901</v>
      </c>
      <c r="K421" s="8">
        <v>5.3970496092247697E-3</v>
      </c>
      <c r="L421" s="8">
        <v>2.1514985729670102E-3</v>
      </c>
      <c r="M421" s="8">
        <v>6.5644518818385802E-3</v>
      </c>
      <c r="N421" s="8">
        <v>2.8592392578963301E-3</v>
      </c>
      <c r="O421" s="8">
        <v>3.7332662357219798E-2</v>
      </c>
      <c r="P421" s="9">
        <v>5.33769822897587E-2</v>
      </c>
      <c r="Q421" s="570">
        <v>5.64108024350097E-3</v>
      </c>
    </row>
    <row r="422" spans="2:17" ht="15.75" x14ac:dyDescent="0.25">
      <c r="B422" s="6">
        <v>2040</v>
      </c>
      <c r="C422" s="7">
        <v>2039</v>
      </c>
      <c r="D422" s="484" t="s">
        <v>4041</v>
      </c>
      <c r="E422" s="488">
        <v>0.13245423191808509</v>
      </c>
      <c r="F422" s="489">
        <v>0.16468475205171257</v>
      </c>
      <c r="G422" s="487">
        <v>2.47651099936875E-3</v>
      </c>
      <c r="H422" s="8">
        <v>1.67811298496944E-2</v>
      </c>
      <c r="I422" s="8">
        <v>0.69423034217945701</v>
      </c>
      <c r="J422" s="8">
        <v>0.124340024962667</v>
      </c>
      <c r="K422" s="8">
        <v>5.0858061766239403E-3</v>
      </c>
      <c r="L422" s="8">
        <v>1.9715876798032102E-3</v>
      </c>
      <c r="M422" s="8">
        <v>6.6175968151172496E-3</v>
      </c>
      <c r="N422" s="8">
        <v>2.65294089549916E-3</v>
      </c>
      <c r="O422" s="8">
        <v>3.7921913826497497E-2</v>
      </c>
      <c r="P422" s="9">
        <v>4.9737879177072598E-2</v>
      </c>
      <c r="Q422" s="570">
        <v>5.3157637640002097E-3</v>
      </c>
    </row>
    <row r="423" spans="2:17" ht="15.75" x14ac:dyDescent="0.25">
      <c r="B423" s="6">
        <v>2040</v>
      </c>
      <c r="C423" s="7">
        <v>2040</v>
      </c>
      <c r="D423" s="484" t="s">
        <v>4042</v>
      </c>
      <c r="E423" s="488">
        <v>0.14690606418343907</v>
      </c>
      <c r="F423" s="489">
        <v>0.17728904204593626</v>
      </c>
      <c r="G423" s="487">
        <v>2.5820513084716299E-3</v>
      </c>
      <c r="H423" s="8">
        <v>1.87447227146957E-2</v>
      </c>
      <c r="I423" s="8">
        <v>0.78553799752393705</v>
      </c>
      <c r="J423" s="8">
        <v>0.116523542684614</v>
      </c>
      <c r="K423" s="8">
        <v>5.6343402778562396E-3</v>
      </c>
      <c r="L423" s="8">
        <v>2.1025068486051398E-3</v>
      </c>
      <c r="M423" s="8">
        <v>8.2057570059609793E-3</v>
      </c>
      <c r="N423" s="8">
        <v>2.75807991194265E-3</v>
      </c>
      <c r="O423" s="8">
        <v>3.0140799424391101E-2</v>
      </c>
      <c r="P423" s="9">
        <v>5.1592531427135699E-2</v>
      </c>
      <c r="Q423" s="570">
        <v>5.8891001432062103E-3</v>
      </c>
    </row>
    <row r="424" spans="2:17" ht="15.75" x14ac:dyDescent="0.25">
      <c r="B424" s="6">
        <v>2041</v>
      </c>
      <c r="C424" s="7">
        <v>2027</v>
      </c>
      <c r="D424" s="484" t="s">
        <v>4073</v>
      </c>
      <c r="E424" s="488">
        <v>0.14912826058599127</v>
      </c>
      <c r="F424" s="489">
        <v>0.20197133799043485</v>
      </c>
      <c r="G424" s="487">
        <v>1.09928423696457E-3</v>
      </c>
      <c r="H424" s="8">
        <v>2.2726219176785599E-2</v>
      </c>
      <c r="I424" s="8">
        <v>0.79932201959802296</v>
      </c>
      <c r="J424" s="8">
        <v>0.50325919665789198</v>
      </c>
      <c r="K424" s="8">
        <v>5.7353426771655199E-3</v>
      </c>
      <c r="L424" s="8">
        <v>2.2075366268480201E-3</v>
      </c>
      <c r="M424" s="8">
        <v>8.3927701895727801E-3</v>
      </c>
      <c r="N424" s="8">
        <v>3.0000018168034001E-3</v>
      </c>
      <c r="O424" s="8">
        <v>2.9435468802309302E-2</v>
      </c>
      <c r="P424" s="9">
        <v>5.5860033828879302E-2</v>
      </c>
      <c r="Q424" s="570">
        <v>5.9946694228207396E-3</v>
      </c>
    </row>
    <row r="425" spans="2:17" ht="15.75" x14ac:dyDescent="0.25">
      <c r="B425" s="6">
        <v>2041</v>
      </c>
      <c r="C425" s="7">
        <v>2028</v>
      </c>
      <c r="D425" s="484" t="s">
        <v>4074</v>
      </c>
      <c r="E425" s="488">
        <v>0.14629082714508965</v>
      </c>
      <c r="F425" s="489">
        <v>0.20127147673565746</v>
      </c>
      <c r="G425" s="487">
        <v>1.0684562226835699E-3</v>
      </c>
      <c r="H425" s="8">
        <v>2.2687886496442801E-2</v>
      </c>
      <c r="I425" s="8">
        <v>0.78276553271772598</v>
      </c>
      <c r="J425" s="8">
        <v>0.45848957885992397</v>
      </c>
      <c r="K425" s="8">
        <v>5.5415014234202701E-3</v>
      </c>
      <c r="L425" s="8">
        <v>2.1916773656368701E-3</v>
      </c>
      <c r="M425" s="8">
        <v>8.0612560175973898E-3</v>
      </c>
      <c r="N425" s="8">
        <v>3.0000018168034001E-3</v>
      </c>
      <c r="O425" s="8">
        <v>3.1059888244988801E-2</v>
      </c>
      <c r="P425" s="9">
        <v>5.5860033828879302E-2</v>
      </c>
      <c r="Q425" s="570">
        <v>5.7920635277389602E-3</v>
      </c>
    </row>
    <row r="426" spans="2:17" ht="15.75" x14ac:dyDescent="0.25">
      <c r="B426" s="6">
        <v>2041</v>
      </c>
      <c r="C426" s="7">
        <v>2029</v>
      </c>
      <c r="D426" s="484" t="s">
        <v>4075</v>
      </c>
      <c r="E426" s="488">
        <v>0.14149999920742201</v>
      </c>
      <c r="F426" s="489">
        <v>0.20255898188184185</v>
      </c>
      <c r="G426" s="487">
        <v>1.0143488884044099E-3</v>
      </c>
      <c r="H426" s="8">
        <v>2.2650257733152199E-2</v>
      </c>
      <c r="I426" s="8">
        <v>0.75246461278253995</v>
      </c>
      <c r="J426" s="8">
        <v>0.44729859249482501</v>
      </c>
      <c r="K426" s="8">
        <v>5.3533737481443501E-3</v>
      </c>
      <c r="L426" s="8">
        <v>2.2065015357552501E-3</v>
      </c>
      <c r="M426" s="8">
        <v>7.5349267650340196E-3</v>
      </c>
      <c r="N426" s="8">
        <v>3.0000018168034001E-3</v>
      </c>
      <c r="O426" s="8">
        <v>3.3638901582549202E-2</v>
      </c>
      <c r="P426" s="9">
        <v>5.5860033828879302E-2</v>
      </c>
      <c r="Q426" s="570">
        <v>5.5954295537912601E-3</v>
      </c>
    </row>
    <row r="427" spans="2:17" ht="15.75" x14ac:dyDescent="0.25">
      <c r="B427" s="6">
        <v>2041</v>
      </c>
      <c r="C427" s="7">
        <v>2030</v>
      </c>
      <c r="D427" s="484" t="s">
        <v>4076</v>
      </c>
      <c r="E427" s="488">
        <v>0.13350738757007893</v>
      </c>
      <c r="F427" s="489">
        <v>0.2015582740373999</v>
      </c>
      <c r="G427" s="487">
        <v>9.2343246228107796E-4</v>
      </c>
      <c r="H427" s="8">
        <v>2.2738804171692099E-2</v>
      </c>
      <c r="I427" s="8">
        <v>0.70138520728996401</v>
      </c>
      <c r="J427" s="8">
        <v>0.40672152402841499</v>
      </c>
      <c r="K427" s="8">
        <v>5.0907653390000604E-3</v>
      </c>
      <c r="L427" s="8">
        <v>2.1981143742705301E-3</v>
      </c>
      <c r="M427" s="8">
        <v>6.66391490132853E-3</v>
      </c>
      <c r="N427" s="8">
        <v>3.0000018168034001E-3</v>
      </c>
      <c r="O427" s="8">
        <v>3.7906859714706101E-2</v>
      </c>
      <c r="P427" s="9">
        <v>5.5860033828879302E-2</v>
      </c>
      <c r="Q427" s="570">
        <v>5.3209471576930196E-3</v>
      </c>
    </row>
    <row r="428" spans="2:17" ht="15.75" x14ac:dyDescent="0.25">
      <c r="B428" s="6">
        <v>2041</v>
      </c>
      <c r="C428" s="7">
        <v>2031</v>
      </c>
      <c r="D428" s="484" t="s">
        <v>4077</v>
      </c>
      <c r="E428" s="488">
        <v>0.14795390212603327</v>
      </c>
      <c r="F428" s="489">
        <v>0.14956179252002028</v>
      </c>
      <c r="G428" s="487">
        <v>2.60206479085595E-3</v>
      </c>
      <c r="H428" s="8">
        <v>1.36807093617046E-2</v>
      </c>
      <c r="I428" s="8">
        <v>0.79279472691558805</v>
      </c>
      <c r="J428" s="8">
        <v>0.22846269003021499</v>
      </c>
      <c r="K428" s="8">
        <v>5.78739463599574E-3</v>
      </c>
      <c r="L428" s="8">
        <v>1.76921704949409E-3</v>
      </c>
      <c r="M428" s="8">
        <v>8.3040106406213499E-3</v>
      </c>
      <c r="N428" s="8">
        <v>2.53534029223439E-3</v>
      </c>
      <c r="O428" s="8">
        <v>2.9702937670470799E-2</v>
      </c>
      <c r="P428" s="9">
        <v>4.7663404535481999E-2</v>
      </c>
      <c r="Q428" s="570">
        <v>6.0490749402521199E-3</v>
      </c>
    </row>
    <row r="429" spans="2:17" ht="15.75" x14ac:dyDescent="0.25">
      <c r="B429" s="6">
        <v>2041</v>
      </c>
      <c r="C429" s="7">
        <v>2032</v>
      </c>
      <c r="D429" s="484" t="s">
        <v>4078</v>
      </c>
      <c r="E429" s="488">
        <v>0.14238402704156833</v>
      </c>
      <c r="F429" s="489">
        <v>0.16592945828823327</v>
      </c>
      <c r="G429" s="487">
        <v>7.0332132870196797E-3</v>
      </c>
      <c r="H429" s="8">
        <v>1.63152743027822E-2</v>
      </c>
      <c r="I429" s="8">
        <v>0.75621260851801697</v>
      </c>
      <c r="J429" s="8">
        <v>0.249273765036684</v>
      </c>
      <c r="K429" s="8">
        <v>6.0673134414380697E-3</v>
      </c>
      <c r="L429" s="8">
        <v>2.0694745379863599E-3</v>
      </c>
      <c r="M429" s="8">
        <v>7.87081801025343E-3</v>
      </c>
      <c r="N429" s="8">
        <v>2.6413226747378799E-3</v>
      </c>
      <c r="O429" s="8">
        <v>3.1317587070118197E-2</v>
      </c>
      <c r="P429" s="9">
        <v>4.9532933762843602E-2</v>
      </c>
      <c r="Q429" s="570">
        <v>6.3416504319552501E-3</v>
      </c>
    </row>
    <row r="430" spans="2:17" ht="15.75" x14ac:dyDescent="0.25">
      <c r="B430" s="6">
        <v>2041</v>
      </c>
      <c r="C430" s="7">
        <v>2033</v>
      </c>
      <c r="D430" s="484" t="s">
        <v>4079</v>
      </c>
      <c r="E430" s="488">
        <v>0.14518928039622447</v>
      </c>
      <c r="F430" s="489">
        <v>0.15742378985924399</v>
      </c>
      <c r="G430" s="487">
        <v>2.0228985370036499E-3</v>
      </c>
      <c r="H430" s="8">
        <v>1.4743976763823E-2</v>
      </c>
      <c r="I430" s="8">
        <v>0.77549208494397803</v>
      </c>
      <c r="J430" s="8">
        <v>0.213159837469241</v>
      </c>
      <c r="K430" s="8">
        <v>5.6011515646315702E-3</v>
      </c>
      <c r="L430" s="8">
        <v>2.04752600886837E-3</v>
      </c>
      <c r="M430" s="8">
        <v>7.9791734113642994E-3</v>
      </c>
      <c r="N430" s="8">
        <v>2.55388047920363E-3</v>
      </c>
      <c r="O430" s="8">
        <v>3.1351463527661001E-2</v>
      </c>
      <c r="P430" s="9">
        <v>4.7990453433619303E-2</v>
      </c>
      <c r="Q430" s="570">
        <v>5.85441078364225E-3</v>
      </c>
    </row>
    <row r="431" spans="2:17" ht="15.75" x14ac:dyDescent="0.25">
      <c r="B431" s="6">
        <v>2041</v>
      </c>
      <c r="C431" s="7">
        <v>2034</v>
      </c>
      <c r="D431" s="484" t="s">
        <v>4080</v>
      </c>
      <c r="E431" s="488">
        <v>0.12501189077615468</v>
      </c>
      <c r="F431" s="489">
        <v>0.15537688232894581</v>
      </c>
      <c r="G431" s="487">
        <v>3.89750621783475E-3</v>
      </c>
      <c r="H431" s="8">
        <v>1.4326382767641499E-2</v>
      </c>
      <c r="I431" s="8">
        <v>0.64588129051464205</v>
      </c>
      <c r="J431" s="8">
        <v>0.18892171404977001</v>
      </c>
      <c r="K431" s="8">
        <v>5.1090413107114999E-3</v>
      </c>
      <c r="L431" s="8">
        <v>2.0773560929749301E-3</v>
      </c>
      <c r="M431" s="8">
        <v>5.8695674874992597E-3</v>
      </c>
      <c r="N431" s="8">
        <v>2.5248618793357199E-3</v>
      </c>
      <c r="O431" s="8">
        <v>4.1441773638186997E-2</v>
      </c>
      <c r="P431" s="9">
        <v>4.7478565331949503E-2</v>
      </c>
      <c r="Q431" s="570">
        <v>5.3400494877468199E-3</v>
      </c>
    </row>
    <row r="432" spans="2:17" ht="15.75" x14ac:dyDescent="0.25">
      <c r="B432" s="6">
        <v>2041</v>
      </c>
      <c r="C432" s="7">
        <v>2035</v>
      </c>
      <c r="D432" s="484" t="s">
        <v>4081</v>
      </c>
      <c r="E432" s="488">
        <v>0.13147234536281169</v>
      </c>
      <c r="F432" s="489">
        <v>0.15168610802933274</v>
      </c>
      <c r="G432" s="487">
        <v>7.8961052203161894E-3</v>
      </c>
      <c r="H432" s="8">
        <v>1.39336545842448E-2</v>
      </c>
      <c r="I432" s="8">
        <v>0.68592694258095099</v>
      </c>
      <c r="J432" s="8">
        <v>0.17640987577950601</v>
      </c>
      <c r="K432" s="8">
        <v>5.6594683715468601E-3</v>
      </c>
      <c r="L432" s="8">
        <v>1.86432242230041E-3</v>
      </c>
      <c r="M432" s="8">
        <v>6.7329930698256596E-3</v>
      </c>
      <c r="N432" s="8">
        <v>2.5353897654948401E-3</v>
      </c>
      <c r="O432" s="8">
        <v>3.6736730714785601E-2</v>
      </c>
      <c r="P432" s="9">
        <v>4.7664277243796301E-2</v>
      </c>
      <c r="Q432" s="570">
        <v>5.91536441778926E-3</v>
      </c>
    </row>
    <row r="433" spans="2:17" ht="15.75" x14ac:dyDescent="0.25">
      <c r="B433" s="6">
        <v>2041</v>
      </c>
      <c r="C433" s="7">
        <v>2036</v>
      </c>
      <c r="D433" s="484" t="s">
        <v>4082</v>
      </c>
      <c r="E433" s="488">
        <v>0.1187994629194086</v>
      </c>
      <c r="F433" s="489">
        <v>0.14125706564954565</v>
      </c>
      <c r="G433" s="487">
        <v>3.5353369770772798E-3</v>
      </c>
      <c r="H433" s="8">
        <v>1.1682163864740599E-2</v>
      </c>
      <c r="I433" s="8">
        <v>0.60737736962501299</v>
      </c>
      <c r="J433" s="8">
        <v>0.12539211118381699</v>
      </c>
      <c r="K433" s="8">
        <v>4.7393714590803796E-3</v>
      </c>
      <c r="L433" s="8">
        <v>2.05135224036628E-3</v>
      </c>
      <c r="M433" s="8">
        <v>5.16539278496505E-3</v>
      </c>
      <c r="N433" s="8">
        <v>2.3776577685910602E-3</v>
      </c>
      <c r="O433" s="8">
        <v>4.4911431327359898E-2</v>
      </c>
      <c r="P433" s="9">
        <v>4.4881884818413702E-2</v>
      </c>
      <c r="Q433" s="570">
        <v>4.9536648058106196E-3</v>
      </c>
    </row>
    <row r="434" spans="2:17" ht="15.75" x14ac:dyDescent="0.25">
      <c r="B434" s="6">
        <v>2041</v>
      </c>
      <c r="C434" s="7">
        <v>2037</v>
      </c>
      <c r="D434" s="484" t="s">
        <v>4083</v>
      </c>
      <c r="E434" s="488">
        <v>0.12864160531968821</v>
      </c>
      <c r="F434" s="489">
        <v>0.18395548721376503</v>
      </c>
      <c r="G434" s="487">
        <v>2.53821932227486E-3</v>
      </c>
      <c r="H434" s="8">
        <v>1.9520164490655401E-2</v>
      </c>
      <c r="I434" s="8">
        <v>0.67018227582914003</v>
      </c>
      <c r="J434" s="8">
        <v>0.22213188901443801</v>
      </c>
      <c r="K434" s="8">
        <v>4.9998001904157001E-3</v>
      </c>
      <c r="L434" s="8">
        <v>2.1344148544073902E-3</v>
      </c>
      <c r="M434" s="8">
        <v>6.1986379626746899E-3</v>
      </c>
      <c r="N434" s="8">
        <v>2.82149628293065E-3</v>
      </c>
      <c r="O434" s="8">
        <v>3.9978529350713499E-2</v>
      </c>
      <c r="P434" s="9">
        <v>5.2711196211363998E-2</v>
      </c>
      <c r="Q434" s="570">
        <v>5.2258689687415399E-3</v>
      </c>
    </row>
    <row r="435" spans="2:17" ht="15.75" x14ac:dyDescent="0.25">
      <c r="B435" s="6">
        <v>2041</v>
      </c>
      <c r="C435" s="7">
        <v>2038</v>
      </c>
      <c r="D435" s="484" t="s">
        <v>4084</v>
      </c>
      <c r="E435" s="488">
        <v>0.12921149718672673</v>
      </c>
      <c r="F435" s="489">
        <v>0.18751904595717264</v>
      </c>
      <c r="G435" s="487">
        <v>9.3054514389080707E-3</v>
      </c>
      <c r="H435" s="8">
        <v>2.0262591055711199E-2</v>
      </c>
      <c r="I435" s="8">
        <v>0.67025198304672695</v>
      </c>
      <c r="J435" s="8">
        <v>0.19566946826047499</v>
      </c>
      <c r="K435" s="8">
        <v>5.4942840502235496E-3</v>
      </c>
      <c r="L435" s="8">
        <v>2.1514985729670102E-3</v>
      </c>
      <c r="M435" s="8">
        <v>6.5644518818385802E-3</v>
      </c>
      <c r="N435" s="8">
        <v>2.8592392578963301E-3</v>
      </c>
      <c r="O435" s="8">
        <v>3.7332662357219798E-2</v>
      </c>
      <c r="P435" s="9">
        <v>5.33769822897587E-2</v>
      </c>
      <c r="Q435" s="570">
        <v>5.7427111944502703E-3</v>
      </c>
    </row>
    <row r="436" spans="2:17" ht="15.75" x14ac:dyDescent="0.25">
      <c r="B436" s="6">
        <v>2041</v>
      </c>
      <c r="C436" s="7">
        <v>2039</v>
      </c>
      <c r="D436" s="484" t="s">
        <v>4085</v>
      </c>
      <c r="E436" s="488">
        <v>0.13245423191808509</v>
      </c>
      <c r="F436" s="489">
        <v>0.16468715655325869</v>
      </c>
      <c r="G436" s="487">
        <v>2.5241955436671299E-3</v>
      </c>
      <c r="H436" s="8">
        <v>1.6582049548266E-2</v>
      </c>
      <c r="I436" s="8">
        <v>0.69427867378165697</v>
      </c>
      <c r="J436" s="8">
        <v>0.14419137159848699</v>
      </c>
      <c r="K436" s="8">
        <v>5.1059782906780699E-3</v>
      </c>
      <c r="L436" s="8">
        <v>1.9715876798032102E-3</v>
      </c>
      <c r="M436" s="8">
        <v>6.6175968151172496E-3</v>
      </c>
      <c r="N436" s="8">
        <v>2.65294089549916E-3</v>
      </c>
      <c r="O436" s="8">
        <v>3.7921913826497497E-2</v>
      </c>
      <c r="P436" s="9">
        <v>4.9737879177072598E-2</v>
      </c>
      <c r="Q436" s="570">
        <v>5.3368479715394396E-3</v>
      </c>
    </row>
    <row r="437" spans="2:17" ht="15.75" x14ac:dyDescent="0.25">
      <c r="B437" s="6">
        <v>2041</v>
      </c>
      <c r="C437" s="7">
        <v>2040</v>
      </c>
      <c r="D437" s="484" t="s">
        <v>4086</v>
      </c>
      <c r="E437" s="488">
        <v>0.14690606418343907</v>
      </c>
      <c r="F437" s="489">
        <v>0.17729331513830521</v>
      </c>
      <c r="G437" s="487">
        <v>2.6315674458412901E-3</v>
      </c>
      <c r="H437" s="8">
        <v>1.8792724903263901E-2</v>
      </c>
      <c r="I437" s="8">
        <v>0.785588207447243</v>
      </c>
      <c r="J437" s="8">
        <v>0.13868170574445701</v>
      </c>
      <c r="K437" s="8">
        <v>5.6553030328948097E-3</v>
      </c>
      <c r="L437" s="8">
        <v>2.1025068486051398E-3</v>
      </c>
      <c r="M437" s="8">
        <v>8.2057570059609897E-3</v>
      </c>
      <c r="N437" s="8">
        <v>2.75807991194265E-3</v>
      </c>
      <c r="O437" s="8">
        <v>3.0140799424391101E-2</v>
      </c>
      <c r="P437" s="9">
        <v>5.1592531427135803E-2</v>
      </c>
      <c r="Q437" s="570">
        <v>5.9110107410067702E-3</v>
      </c>
    </row>
    <row r="438" spans="2:17" ht="15.75" x14ac:dyDescent="0.25">
      <c r="B438" s="6">
        <v>2041</v>
      </c>
      <c r="C438" s="7">
        <v>2041</v>
      </c>
      <c r="D438" s="484" t="s">
        <v>4087</v>
      </c>
      <c r="E438" s="488">
        <v>0.13059318680233939</v>
      </c>
      <c r="F438" s="489">
        <v>0.16232297277742155</v>
      </c>
      <c r="G438" s="487">
        <v>7.7628208878189496E-3</v>
      </c>
      <c r="H438" s="8">
        <v>1.6292382406091301E-2</v>
      </c>
      <c r="I438" s="8">
        <v>0.67890302650703405</v>
      </c>
      <c r="J438" s="8">
        <v>0.112079985532961</v>
      </c>
      <c r="K438" s="8">
        <v>5.2004412151346498E-3</v>
      </c>
      <c r="L438" s="8">
        <v>1.9662474639579801E-3</v>
      </c>
      <c r="M438" s="8">
        <v>6.6795095467754298E-3</v>
      </c>
      <c r="N438" s="8">
        <v>2.6277354214106E-3</v>
      </c>
      <c r="O438" s="8">
        <v>3.6869789485783198E-2</v>
      </c>
      <c r="P438" s="9">
        <v>4.9293254614150302E-2</v>
      </c>
      <c r="Q438" s="570">
        <v>5.4355820902669202E-3</v>
      </c>
    </row>
    <row r="439" spans="2:17" ht="15.75" x14ac:dyDescent="0.25">
      <c r="B439" s="6">
        <v>2042</v>
      </c>
      <c r="C439" s="7">
        <v>2028</v>
      </c>
      <c r="D439" s="484" t="s">
        <v>4118</v>
      </c>
      <c r="E439" s="488">
        <v>0.14629082714508937</v>
      </c>
      <c r="F439" s="489">
        <v>0.20127760378839113</v>
      </c>
      <c r="G439" s="487">
        <v>1.0684562226835699E-3</v>
      </c>
      <c r="H439" s="8">
        <v>2.2687886496442801E-2</v>
      </c>
      <c r="I439" s="8">
        <v>0.78276553271772498</v>
      </c>
      <c r="J439" s="8">
        <v>0.49408184690958401</v>
      </c>
      <c r="K439" s="8">
        <v>5.5415014234202701E-3</v>
      </c>
      <c r="L439" s="8">
        <v>2.1916773656368701E-3</v>
      </c>
      <c r="M439" s="8">
        <v>8.0612560175973898E-3</v>
      </c>
      <c r="N439" s="8">
        <v>3.0000018168034001E-3</v>
      </c>
      <c r="O439" s="8">
        <v>3.1059888244988801E-2</v>
      </c>
      <c r="P439" s="9">
        <v>5.5860033828879302E-2</v>
      </c>
      <c r="Q439" s="570">
        <v>5.7920635277389498E-3</v>
      </c>
    </row>
    <row r="440" spans="2:17" ht="15.75" x14ac:dyDescent="0.25">
      <c r="B440" s="6">
        <v>2042</v>
      </c>
      <c r="C440" s="7">
        <v>2029</v>
      </c>
      <c r="D440" s="484" t="s">
        <v>4119</v>
      </c>
      <c r="E440" s="488">
        <v>0.14149999920742201</v>
      </c>
      <c r="F440" s="489">
        <v>0.20256312102976773</v>
      </c>
      <c r="G440" s="487">
        <v>1.0143488884044099E-3</v>
      </c>
      <c r="H440" s="8">
        <v>2.2650257733152199E-2</v>
      </c>
      <c r="I440" s="8">
        <v>0.75246461278253995</v>
      </c>
      <c r="J440" s="8">
        <v>0.468423282326145</v>
      </c>
      <c r="K440" s="8">
        <v>5.3533737481443501E-3</v>
      </c>
      <c r="L440" s="8">
        <v>2.2065015357552501E-3</v>
      </c>
      <c r="M440" s="8">
        <v>7.5349267650340196E-3</v>
      </c>
      <c r="N440" s="8">
        <v>3.0000018168034001E-3</v>
      </c>
      <c r="O440" s="8">
        <v>3.3638901582549202E-2</v>
      </c>
      <c r="P440" s="9">
        <v>5.5860033828879302E-2</v>
      </c>
      <c r="Q440" s="570">
        <v>5.5954295537912601E-3</v>
      </c>
    </row>
    <row r="441" spans="2:17" ht="15.75" x14ac:dyDescent="0.25">
      <c r="B441" s="6">
        <v>2042</v>
      </c>
      <c r="C441" s="7">
        <v>2030</v>
      </c>
      <c r="D441" s="484" t="s">
        <v>4120</v>
      </c>
      <c r="E441" s="488">
        <v>0.13350738757007932</v>
      </c>
      <c r="F441" s="489">
        <v>0.2015638220011044</v>
      </c>
      <c r="G441" s="487">
        <v>9.2343246228107796E-4</v>
      </c>
      <c r="H441" s="8">
        <v>2.2738804171692099E-2</v>
      </c>
      <c r="I441" s="8">
        <v>0.70138520728996401</v>
      </c>
      <c r="J441" s="8">
        <v>0.43943262892514001</v>
      </c>
      <c r="K441" s="8">
        <v>5.0907653390000604E-3</v>
      </c>
      <c r="L441" s="8">
        <v>2.1981143742705301E-3</v>
      </c>
      <c r="M441" s="8">
        <v>6.66391490132853E-3</v>
      </c>
      <c r="N441" s="8">
        <v>3.0000018168034001E-3</v>
      </c>
      <c r="O441" s="8">
        <v>3.7906859714706101E-2</v>
      </c>
      <c r="P441" s="9">
        <v>5.5860033828879302E-2</v>
      </c>
      <c r="Q441" s="570">
        <v>5.3209471576930196E-3</v>
      </c>
    </row>
    <row r="442" spans="2:17" ht="15.75" x14ac:dyDescent="0.25">
      <c r="B442" s="6">
        <v>2042</v>
      </c>
      <c r="C442" s="7">
        <v>2031</v>
      </c>
      <c r="D442" s="484" t="s">
        <v>4121</v>
      </c>
      <c r="E442" s="488">
        <v>0.14944312991568554</v>
      </c>
      <c r="F442" s="489">
        <v>0.2017598693103281</v>
      </c>
      <c r="G442" s="487">
        <v>1.1040381043891101E-3</v>
      </c>
      <c r="H442" s="8">
        <v>2.27318531579946E-2</v>
      </c>
      <c r="I442" s="8">
        <v>0.80266200200726201</v>
      </c>
      <c r="J442" s="8">
        <v>0.40766479328829303</v>
      </c>
      <c r="K442" s="8">
        <v>5.6654299729221704E-3</v>
      </c>
      <c r="L442" s="8">
        <v>2.2000075986345498E-3</v>
      </c>
      <c r="M442" s="8">
        <v>8.4082030891983201E-3</v>
      </c>
      <c r="N442" s="8">
        <v>3.0000018168034001E-3</v>
      </c>
      <c r="O442" s="8">
        <v>2.9359847594144201E-2</v>
      </c>
      <c r="P442" s="9">
        <v>5.5860033828879302E-2</v>
      </c>
      <c r="Q442" s="570">
        <v>5.9215955763245402E-3</v>
      </c>
    </row>
    <row r="443" spans="2:17" ht="15.75" x14ac:dyDescent="0.25">
      <c r="B443" s="6">
        <v>2042</v>
      </c>
      <c r="C443" s="7">
        <v>2032</v>
      </c>
      <c r="D443" s="484" t="s">
        <v>4122</v>
      </c>
      <c r="E443" s="488">
        <v>0.14238402704156833</v>
      </c>
      <c r="F443" s="489">
        <v>0.16593291675781172</v>
      </c>
      <c r="G443" s="487">
        <v>7.1318000766940502E-3</v>
      </c>
      <c r="H443" s="8">
        <v>1.6305472878931498E-2</v>
      </c>
      <c r="I443" s="8">
        <v>0.75631258606188101</v>
      </c>
      <c r="J443" s="8">
        <v>0.26954840979549699</v>
      </c>
      <c r="K443" s="8">
        <v>6.1090558012579701E-3</v>
      </c>
      <c r="L443" s="8">
        <v>2.0694745379863599E-3</v>
      </c>
      <c r="M443" s="8">
        <v>7.87081801025343E-3</v>
      </c>
      <c r="N443" s="8">
        <v>2.6413226747378799E-3</v>
      </c>
      <c r="O443" s="8">
        <v>3.1317587070118197E-2</v>
      </c>
      <c r="P443" s="9">
        <v>4.9532933762843602E-2</v>
      </c>
      <c r="Q443" s="570">
        <v>6.3852801960572296E-3</v>
      </c>
    </row>
    <row r="444" spans="2:17" ht="15.75" x14ac:dyDescent="0.25">
      <c r="B444" s="6">
        <v>2042</v>
      </c>
      <c r="C444" s="7">
        <v>2033</v>
      </c>
      <c r="D444" s="484" t="s">
        <v>4123</v>
      </c>
      <c r="E444" s="488">
        <v>0.14518928039622447</v>
      </c>
      <c r="F444" s="489">
        <v>0.15742521236880092</v>
      </c>
      <c r="G444" s="487">
        <v>2.0401340923748E-3</v>
      </c>
      <c r="H444" s="8">
        <v>1.47443985104477E-2</v>
      </c>
      <c r="I444" s="8">
        <v>0.77550956391537296</v>
      </c>
      <c r="J444" s="8">
        <v>0.22039551207718899</v>
      </c>
      <c r="K444" s="8">
        <v>5.6084494446855798E-3</v>
      </c>
      <c r="L444" s="8">
        <v>2.04752600886837E-3</v>
      </c>
      <c r="M444" s="8">
        <v>7.9791734113642994E-3</v>
      </c>
      <c r="N444" s="8">
        <v>2.55388047920363E-3</v>
      </c>
      <c r="O444" s="8">
        <v>3.1351463527661001E-2</v>
      </c>
      <c r="P444" s="9">
        <v>4.7990453433619303E-2</v>
      </c>
      <c r="Q444" s="570">
        <v>5.8620386414484403E-3</v>
      </c>
    </row>
    <row r="445" spans="2:17" ht="15.75" x14ac:dyDescent="0.25">
      <c r="B445" s="6">
        <v>2042</v>
      </c>
      <c r="C445" s="7">
        <v>2034</v>
      </c>
      <c r="D445" s="484" t="s">
        <v>4124</v>
      </c>
      <c r="E445" s="488">
        <v>0.12501189077615468</v>
      </c>
      <c r="F445" s="489">
        <v>0.15537968117625511</v>
      </c>
      <c r="G445" s="487">
        <v>3.9568149179943102E-3</v>
      </c>
      <c r="H445" s="8">
        <v>1.4346047637614901E-2</v>
      </c>
      <c r="I445" s="8">
        <v>0.64594140110794396</v>
      </c>
      <c r="J445" s="8">
        <v>0.20365898099427801</v>
      </c>
      <c r="K445" s="8">
        <v>5.1341269745082199E-3</v>
      </c>
      <c r="L445" s="8">
        <v>2.0773560929749301E-3</v>
      </c>
      <c r="M445" s="8">
        <v>5.8695674874992597E-3</v>
      </c>
      <c r="N445" s="8">
        <v>2.5248618793357199E-3</v>
      </c>
      <c r="O445" s="8">
        <v>4.1441773638187102E-2</v>
      </c>
      <c r="P445" s="9">
        <v>4.7478565331949399E-2</v>
      </c>
      <c r="Q445" s="570">
        <v>5.3662694139444498E-3</v>
      </c>
    </row>
    <row r="446" spans="2:17" ht="15.75" x14ac:dyDescent="0.25">
      <c r="B446" s="6">
        <v>2042</v>
      </c>
      <c r="C446" s="7">
        <v>2035</v>
      </c>
      <c r="D446" s="484" t="s">
        <v>4125</v>
      </c>
      <c r="E446" s="488">
        <v>0.13147234536281152</v>
      </c>
      <c r="F446" s="489">
        <v>0.15168862045452422</v>
      </c>
      <c r="G446" s="487">
        <v>8.0422789508636603E-3</v>
      </c>
      <c r="H446" s="8">
        <v>1.3958058446026799E-2</v>
      </c>
      <c r="I446" s="8">
        <v>0.686075108451769</v>
      </c>
      <c r="J446" s="8">
        <v>0.18937924824164001</v>
      </c>
      <c r="K446" s="8">
        <v>5.7213070465100798E-3</v>
      </c>
      <c r="L446" s="8">
        <v>1.86432242230041E-3</v>
      </c>
      <c r="M446" s="8">
        <v>6.7329930698256596E-3</v>
      </c>
      <c r="N446" s="8">
        <v>2.5353897654948401E-3</v>
      </c>
      <c r="O446" s="8">
        <v>3.6736730714785601E-2</v>
      </c>
      <c r="P446" s="9">
        <v>4.7664277243796301E-2</v>
      </c>
      <c r="Q446" s="570">
        <v>5.9799991632292502E-3</v>
      </c>
    </row>
    <row r="447" spans="2:17" ht="15.75" x14ac:dyDescent="0.25">
      <c r="B447" s="6">
        <v>2042</v>
      </c>
      <c r="C447" s="7">
        <v>2036</v>
      </c>
      <c r="D447" s="484" t="s">
        <v>4126</v>
      </c>
      <c r="E447" s="488">
        <v>0.1187994629194086</v>
      </c>
      <c r="F447" s="489">
        <v>0.14125925990475208</v>
      </c>
      <c r="G447" s="487">
        <v>3.59802039644109E-3</v>
      </c>
      <c r="H447" s="8">
        <v>1.1705720170775501E-2</v>
      </c>
      <c r="I447" s="8">
        <v>0.60744093833483503</v>
      </c>
      <c r="J447" s="8">
        <v>0.13561357930832199</v>
      </c>
      <c r="K447" s="8">
        <v>4.7659130096497698E-3</v>
      </c>
      <c r="L447" s="8">
        <v>2.05135224036628E-3</v>
      </c>
      <c r="M447" s="8">
        <v>5.16539278496505E-3</v>
      </c>
      <c r="N447" s="8">
        <v>2.3776577685910602E-3</v>
      </c>
      <c r="O447" s="8">
        <v>4.4911431327359898E-2</v>
      </c>
      <c r="P447" s="9">
        <v>4.4881884818413702E-2</v>
      </c>
      <c r="Q447" s="570">
        <v>4.98140644752038E-3</v>
      </c>
    </row>
    <row r="448" spans="2:17" ht="15.75" x14ac:dyDescent="0.25">
      <c r="B448" s="6">
        <v>2042</v>
      </c>
      <c r="C448" s="7">
        <v>2037</v>
      </c>
      <c r="D448" s="484" t="s">
        <v>4127</v>
      </c>
      <c r="E448" s="488">
        <v>0.12864160531968821</v>
      </c>
      <c r="F448" s="489">
        <v>0.18395781352542526</v>
      </c>
      <c r="G448" s="487">
        <v>2.5788569201194399E-3</v>
      </c>
      <c r="H448" s="8">
        <v>1.9500135972992799E-2</v>
      </c>
      <c r="I448" s="8">
        <v>0.67022348728756198</v>
      </c>
      <c r="J448" s="8">
        <v>0.23620580353905801</v>
      </c>
      <c r="K448" s="8">
        <v>5.0170070610847098E-3</v>
      </c>
      <c r="L448" s="8">
        <v>2.1344148544073902E-3</v>
      </c>
      <c r="M448" s="8">
        <v>6.1986379626746899E-3</v>
      </c>
      <c r="N448" s="8">
        <v>2.82149628293065E-3</v>
      </c>
      <c r="O448" s="8">
        <v>3.9978529350713499E-2</v>
      </c>
      <c r="P448" s="9">
        <v>5.2711196211363998E-2</v>
      </c>
      <c r="Q448" s="570">
        <v>5.2438538577478499E-3</v>
      </c>
    </row>
    <row r="449" spans="2:17" ht="15.75" x14ac:dyDescent="0.25">
      <c r="B449" s="6">
        <v>2042</v>
      </c>
      <c r="C449" s="7">
        <v>2038</v>
      </c>
      <c r="D449" s="484" t="s">
        <v>4128</v>
      </c>
      <c r="E449" s="488">
        <v>0.12921149718672673</v>
      </c>
      <c r="F449" s="489">
        <v>0.18752421891888049</v>
      </c>
      <c r="G449" s="487">
        <v>9.5266965480116095E-3</v>
      </c>
      <c r="H449" s="8">
        <v>2.02021097373421E-2</v>
      </c>
      <c r="I449" s="8">
        <v>0.67047515074927899</v>
      </c>
      <c r="J449" s="8">
        <v>0.22793179890010201</v>
      </c>
      <c r="K449" s="8">
        <v>5.5870622943611304E-3</v>
      </c>
      <c r="L449" s="8">
        <v>2.1514985729670102E-3</v>
      </c>
      <c r="M449" s="8">
        <v>6.5644518818385802E-3</v>
      </c>
      <c r="N449" s="8">
        <v>2.8592392578963301E-3</v>
      </c>
      <c r="O449" s="8">
        <v>3.7332662357219798E-2</v>
      </c>
      <c r="P449" s="9">
        <v>5.33769822897587E-2</v>
      </c>
      <c r="Q449" s="570">
        <v>5.8396844590903902E-3</v>
      </c>
    </row>
    <row r="450" spans="2:17" ht="15.75" x14ac:dyDescent="0.25">
      <c r="B450" s="6">
        <v>2042</v>
      </c>
      <c r="C450" s="7">
        <v>2039</v>
      </c>
      <c r="D450" s="484" t="s">
        <v>4129</v>
      </c>
      <c r="E450" s="488">
        <v>0.13245423191808509</v>
      </c>
      <c r="F450" s="489">
        <v>0.16468813962885553</v>
      </c>
      <c r="G450" s="487">
        <v>2.5697900306402201E-3</v>
      </c>
      <c r="H450" s="8">
        <v>1.6362569095690602E-2</v>
      </c>
      <c r="I450" s="8">
        <v>0.69432488742438103</v>
      </c>
      <c r="J450" s="8">
        <v>0.15655032571886501</v>
      </c>
      <c r="K450" s="8">
        <v>5.1252664402569696E-3</v>
      </c>
      <c r="L450" s="8">
        <v>1.9715876798032102E-3</v>
      </c>
      <c r="M450" s="8">
        <v>6.6175968151172496E-3</v>
      </c>
      <c r="N450" s="8">
        <v>2.65294089549916E-3</v>
      </c>
      <c r="O450" s="8">
        <v>3.7921913826497497E-2</v>
      </c>
      <c r="P450" s="9">
        <v>4.9737879177072598E-2</v>
      </c>
      <c r="Q450" s="570">
        <v>5.3570082456524002E-3</v>
      </c>
    </row>
    <row r="451" spans="2:17" ht="15.75" x14ac:dyDescent="0.25">
      <c r="B451" s="6">
        <v>2042</v>
      </c>
      <c r="C451" s="7">
        <v>2040</v>
      </c>
      <c r="D451" s="484" t="s">
        <v>4130</v>
      </c>
      <c r="E451" s="488">
        <v>0.14690606418343907</v>
      </c>
      <c r="F451" s="489">
        <v>0.17729667281398367</v>
      </c>
      <c r="G451" s="487">
        <v>2.67900420870411E-3</v>
      </c>
      <c r="H451" s="8">
        <v>1.8650717103261501E-2</v>
      </c>
      <c r="I451" s="8">
        <v>0.78563630947551899</v>
      </c>
      <c r="J451" s="8">
        <v>0.16217729088095301</v>
      </c>
      <c r="K451" s="8">
        <v>5.6753857413125702E-3</v>
      </c>
      <c r="L451" s="8">
        <v>2.1025068486051398E-3</v>
      </c>
      <c r="M451" s="8">
        <v>8.2057570059609793E-3</v>
      </c>
      <c r="N451" s="8">
        <v>2.75807991194265E-3</v>
      </c>
      <c r="O451" s="8">
        <v>3.0140799424391101E-2</v>
      </c>
      <c r="P451" s="9">
        <v>5.1592531427135699E-2</v>
      </c>
      <c r="Q451" s="570">
        <v>5.93200150038349E-3</v>
      </c>
    </row>
    <row r="452" spans="2:17" ht="15.75" x14ac:dyDescent="0.25">
      <c r="B452" s="6">
        <v>2042</v>
      </c>
      <c r="C452" s="7">
        <v>2041</v>
      </c>
      <c r="D452" s="484" t="s">
        <v>4131</v>
      </c>
      <c r="E452" s="488">
        <v>0.13059318680233939</v>
      </c>
      <c r="F452" s="489">
        <v>0.1623266078281182</v>
      </c>
      <c r="G452" s="487">
        <v>7.9886422757598809E-3</v>
      </c>
      <c r="H452" s="8">
        <v>1.63397797558269E-2</v>
      </c>
      <c r="I452" s="8">
        <v>0.67913187417175602</v>
      </c>
      <c r="J452" s="8">
        <v>0.141210983538991</v>
      </c>
      <c r="K452" s="8">
        <v>5.2959388922682099E-3</v>
      </c>
      <c r="L452" s="8">
        <v>1.9662474639579801E-3</v>
      </c>
      <c r="M452" s="8">
        <v>6.6795095467754298E-3</v>
      </c>
      <c r="N452" s="8">
        <v>2.6277354214106E-3</v>
      </c>
      <c r="O452" s="8">
        <v>3.6869789485783198E-2</v>
      </c>
      <c r="P452" s="9">
        <v>4.9293254614150302E-2</v>
      </c>
      <c r="Q452" s="570">
        <v>5.5353977485958E-3</v>
      </c>
    </row>
    <row r="453" spans="2:17" ht="15.75" x14ac:dyDescent="0.25">
      <c r="B453" s="6">
        <v>2042</v>
      </c>
      <c r="C453" s="7">
        <v>2042</v>
      </c>
      <c r="D453" s="484" t="s">
        <v>4132</v>
      </c>
      <c r="E453" s="488">
        <v>0.14384955791605086</v>
      </c>
      <c r="F453" s="489">
        <v>0.15361665755066295</v>
      </c>
      <c r="G453" s="487">
        <v>4.2173712414093302E-3</v>
      </c>
      <c r="H453" s="8">
        <v>1.4868992881597499E-2</v>
      </c>
      <c r="I453" s="8">
        <v>0.76399855585390697</v>
      </c>
      <c r="J453" s="8">
        <v>0.12854875799278101</v>
      </c>
      <c r="K453" s="8">
        <v>5.6436408227688402E-3</v>
      </c>
      <c r="L453" s="8">
        <v>1.81174958120177E-3</v>
      </c>
      <c r="M453" s="8">
        <v>7.9690854335281308E-3</v>
      </c>
      <c r="N453" s="8">
        <v>2.5694481042147599E-3</v>
      </c>
      <c r="O453" s="8">
        <v>3.1066611307480799E-2</v>
      </c>
      <c r="P453" s="9">
        <v>4.8265066338815797E-2</v>
      </c>
      <c r="Q453" s="570">
        <v>5.8988212174891997E-3</v>
      </c>
    </row>
    <row r="454" spans="2:17" ht="15.75" x14ac:dyDescent="0.25">
      <c r="B454" s="6">
        <v>2043</v>
      </c>
      <c r="C454" s="7">
        <v>2029</v>
      </c>
      <c r="D454" s="484" t="s">
        <v>4163</v>
      </c>
      <c r="E454" s="488">
        <v>0.14149999920742201</v>
      </c>
      <c r="F454" s="489">
        <v>0.2025702460351439</v>
      </c>
      <c r="G454" s="487">
        <v>1.0143488884044099E-3</v>
      </c>
      <c r="H454" s="8">
        <v>2.2650257733152199E-2</v>
      </c>
      <c r="I454" s="8">
        <v>0.75246461278253995</v>
      </c>
      <c r="J454" s="8">
        <v>0.50478669775362395</v>
      </c>
      <c r="K454" s="8">
        <v>5.3533737481443596E-3</v>
      </c>
      <c r="L454" s="8">
        <v>2.2065015357552501E-3</v>
      </c>
      <c r="M454" s="8">
        <v>7.53492676503403E-3</v>
      </c>
      <c r="N454" s="8">
        <v>3.0000018168034001E-3</v>
      </c>
      <c r="O454" s="8">
        <v>3.3638901582549202E-2</v>
      </c>
      <c r="P454" s="9">
        <v>5.5860033828879302E-2</v>
      </c>
      <c r="Q454" s="570">
        <v>5.5954295537912601E-3</v>
      </c>
    </row>
    <row r="455" spans="2:17" ht="15.75" x14ac:dyDescent="0.25">
      <c r="B455" s="6">
        <v>2043</v>
      </c>
      <c r="C455" s="7">
        <v>2030</v>
      </c>
      <c r="D455" s="484" t="s">
        <v>4164</v>
      </c>
      <c r="E455" s="488">
        <v>0.13350738757007932</v>
      </c>
      <c r="F455" s="489">
        <v>0.20156734184545497</v>
      </c>
      <c r="G455" s="487">
        <v>9.2343246228107796E-4</v>
      </c>
      <c r="H455" s="8">
        <v>2.2738804171692099E-2</v>
      </c>
      <c r="I455" s="8">
        <v>0.70138520728996401</v>
      </c>
      <c r="J455" s="8">
        <v>0.46018583079870101</v>
      </c>
      <c r="K455" s="8">
        <v>5.0907653390000604E-3</v>
      </c>
      <c r="L455" s="8">
        <v>2.1981143742705301E-3</v>
      </c>
      <c r="M455" s="8">
        <v>6.6639149013285404E-3</v>
      </c>
      <c r="N455" s="8">
        <v>3.0000018168034001E-3</v>
      </c>
      <c r="O455" s="8">
        <v>3.7906859714706101E-2</v>
      </c>
      <c r="P455" s="9">
        <v>5.5860033828879302E-2</v>
      </c>
      <c r="Q455" s="570">
        <v>5.3209471576930196E-3</v>
      </c>
    </row>
    <row r="456" spans="2:17" ht="15.75" x14ac:dyDescent="0.25">
      <c r="B456" s="6">
        <v>2043</v>
      </c>
      <c r="C456" s="7">
        <v>2031</v>
      </c>
      <c r="D456" s="484" t="s">
        <v>4165</v>
      </c>
      <c r="E456" s="488">
        <v>0.14944312991568554</v>
      </c>
      <c r="F456" s="489">
        <v>0.20176560330664089</v>
      </c>
      <c r="G456" s="487">
        <v>1.1040381043891101E-3</v>
      </c>
      <c r="H456" s="8">
        <v>2.27318531579946E-2</v>
      </c>
      <c r="I456" s="8">
        <v>0.80266200200726101</v>
      </c>
      <c r="J456" s="8">
        <v>0.44045176183590201</v>
      </c>
      <c r="K456" s="8">
        <v>5.6654299729221704E-3</v>
      </c>
      <c r="L456" s="8">
        <v>2.2000075986345498E-3</v>
      </c>
      <c r="M456" s="8">
        <v>8.4082030891983201E-3</v>
      </c>
      <c r="N456" s="8">
        <v>3.0000018168034001E-3</v>
      </c>
      <c r="O456" s="8">
        <v>2.9359847594144201E-2</v>
      </c>
      <c r="P456" s="9">
        <v>5.5860033828879302E-2</v>
      </c>
      <c r="Q456" s="570">
        <v>5.9215955763245402E-3</v>
      </c>
    </row>
    <row r="457" spans="2:17" ht="15.75" x14ac:dyDescent="0.25">
      <c r="B457" s="6">
        <v>2043</v>
      </c>
      <c r="C457" s="7">
        <v>2032</v>
      </c>
      <c r="D457" s="484" t="s">
        <v>4166</v>
      </c>
      <c r="E457" s="488">
        <v>0.14677874952376455</v>
      </c>
      <c r="F457" s="489">
        <v>0.20171759827760871</v>
      </c>
      <c r="G457" s="487">
        <v>1.07401543663205E-3</v>
      </c>
      <c r="H457" s="8">
        <v>2.2714322159521901E-2</v>
      </c>
      <c r="I457" s="8">
        <v>0.78589790694919903</v>
      </c>
      <c r="J457" s="8">
        <v>0.40929761827760502</v>
      </c>
      <c r="K457" s="8">
        <v>5.5559416598160499E-3</v>
      </c>
      <c r="L457" s="8">
        <v>2.20102650239783E-3</v>
      </c>
      <c r="M457" s="8">
        <v>8.1142135243363993E-3</v>
      </c>
      <c r="N457" s="8">
        <v>3.0000018168034001E-3</v>
      </c>
      <c r="O457" s="8">
        <v>3.08003964619676E-2</v>
      </c>
      <c r="P457" s="9">
        <v>5.5860033828879302E-2</v>
      </c>
      <c r="Q457" s="570">
        <v>5.8071566875469603E-3</v>
      </c>
    </row>
    <row r="458" spans="2:17" ht="15.75" x14ac:dyDescent="0.25">
      <c r="B458" s="6">
        <v>2043</v>
      </c>
      <c r="C458" s="7">
        <v>2033</v>
      </c>
      <c r="D458" s="484" t="s">
        <v>4167</v>
      </c>
      <c r="E458" s="488">
        <v>0.14518928039622447</v>
      </c>
      <c r="F458" s="489">
        <v>0.15742829802981831</v>
      </c>
      <c r="G458" s="487">
        <v>2.0562801570759202E-3</v>
      </c>
      <c r="H458" s="8">
        <v>1.47314272302076E-2</v>
      </c>
      <c r="I458" s="8">
        <v>0.77552593801946801</v>
      </c>
      <c r="J458" s="8">
        <v>0.237985993366613</v>
      </c>
      <c r="K458" s="8">
        <v>5.6152860190056197E-3</v>
      </c>
      <c r="L458" s="8">
        <v>2.04752600886837E-3</v>
      </c>
      <c r="M458" s="8">
        <v>7.9791734113642994E-3</v>
      </c>
      <c r="N458" s="8">
        <v>2.55388047920363E-3</v>
      </c>
      <c r="O458" s="8">
        <v>3.1351463527661001E-2</v>
      </c>
      <c r="P458" s="9">
        <v>4.7990453433619303E-2</v>
      </c>
      <c r="Q458" s="570">
        <v>5.86918433532239E-3</v>
      </c>
    </row>
    <row r="459" spans="2:17" ht="15.75" x14ac:dyDescent="0.25">
      <c r="B459" s="6">
        <v>2043</v>
      </c>
      <c r="C459" s="7">
        <v>2034</v>
      </c>
      <c r="D459" s="484" t="s">
        <v>4168</v>
      </c>
      <c r="E459" s="488">
        <v>0.12501189077615468</v>
      </c>
      <c r="F459" s="489">
        <v>0.15538105112269232</v>
      </c>
      <c r="G459" s="487">
        <v>4.0125974603421096E-3</v>
      </c>
      <c r="H459" s="8">
        <v>1.4344091298964899E-2</v>
      </c>
      <c r="I459" s="8">
        <v>0.645997937933941</v>
      </c>
      <c r="J459" s="8">
        <v>0.21053346946877999</v>
      </c>
      <c r="K459" s="8">
        <v>5.1577212240166096E-3</v>
      </c>
      <c r="L459" s="8">
        <v>2.0773560929749301E-3</v>
      </c>
      <c r="M459" s="8">
        <v>5.8695674874992597E-3</v>
      </c>
      <c r="N459" s="8">
        <v>2.5248618793357199E-3</v>
      </c>
      <c r="O459" s="8">
        <v>4.1441773638187102E-2</v>
      </c>
      <c r="P459" s="9">
        <v>4.7478565331949503E-2</v>
      </c>
      <c r="Q459" s="570">
        <v>5.3909304907176804E-3</v>
      </c>
    </row>
    <row r="460" spans="2:17" ht="15.75" x14ac:dyDescent="0.25">
      <c r="B460" s="6">
        <v>2043</v>
      </c>
      <c r="C460" s="7">
        <v>2035</v>
      </c>
      <c r="D460" s="484" t="s">
        <v>4169</v>
      </c>
      <c r="E460" s="488">
        <v>0.13147234536281152</v>
      </c>
      <c r="F460" s="489">
        <v>0.15169137869801202</v>
      </c>
      <c r="G460" s="487">
        <v>8.1802495929245295E-3</v>
      </c>
      <c r="H460" s="8">
        <v>1.39707254224971E-2</v>
      </c>
      <c r="I460" s="8">
        <v>0.68621495970609703</v>
      </c>
      <c r="J460" s="8">
        <v>0.20423889899195999</v>
      </c>
      <c r="K460" s="8">
        <v>5.7796755475468496E-3</v>
      </c>
      <c r="L460" s="8">
        <v>1.86432242230041E-3</v>
      </c>
      <c r="M460" s="8">
        <v>6.7329930698256596E-3</v>
      </c>
      <c r="N460" s="8">
        <v>2.5353897654948401E-3</v>
      </c>
      <c r="O460" s="8">
        <v>3.6736730714785601E-2</v>
      </c>
      <c r="P460" s="9">
        <v>4.7664277243796301E-2</v>
      </c>
      <c r="Q460" s="570">
        <v>6.0410068288765098E-3</v>
      </c>
    </row>
    <row r="461" spans="2:17" ht="15.75" x14ac:dyDescent="0.25">
      <c r="B461" s="6">
        <v>2043</v>
      </c>
      <c r="C461" s="7">
        <v>2036</v>
      </c>
      <c r="D461" s="484" t="s">
        <v>4170</v>
      </c>
      <c r="E461" s="488">
        <v>0.1187994629194086</v>
      </c>
      <c r="F461" s="489">
        <v>0.14126143701025942</v>
      </c>
      <c r="G461" s="487">
        <v>3.6573729466231899E-3</v>
      </c>
      <c r="H461" s="8">
        <v>1.1748237056086901E-2</v>
      </c>
      <c r="I461" s="8">
        <v>0.60750112930668099</v>
      </c>
      <c r="J461" s="8">
        <v>0.14511180351901501</v>
      </c>
      <c r="K461" s="8">
        <v>4.7910442797086499E-3</v>
      </c>
      <c r="L461" s="8">
        <v>2.05135224036628E-3</v>
      </c>
      <c r="M461" s="8">
        <v>5.16539278496505E-3</v>
      </c>
      <c r="N461" s="8">
        <v>2.3776577685910602E-3</v>
      </c>
      <c r="O461" s="8">
        <v>4.4911431327359898E-2</v>
      </c>
      <c r="P461" s="9">
        <v>4.4881884818413702E-2</v>
      </c>
      <c r="Q461" s="570">
        <v>5.0076740420929499E-3</v>
      </c>
    </row>
    <row r="462" spans="2:17" ht="15.75" x14ac:dyDescent="0.25">
      <c r="B462" s="6">
        <v>2043</v>
      </c>
      <c r="C462" s="7">
        <v>2037</v>
      </c>
      <c r="D462" s="484" t="s">
        <v>4171</v>
      </c>
      <c r="E462" s="488">
        <v>0.12864160531968821</v>
      </c>
      <c r="F462" s="489">
        <v>0.18396155125945315</v>
      </c>
      <c r="G462" s="487">
        <v>2.6174440142708601E-3</v>
      </c>
      <c r="H462" s="8">
        <v>1.9506668605831001E-2</v>
      </c>
      <c r="I462" s="8">
        <v>0.67026261944750698</v>
      </c>
      <c r="J462" s="8">
        <v>0.25764102961732599</v>
      </c>
      <c r="K462" s="8">
        <v>5.0333457770241801E-3</v>
      </c>
      <c r="L462" s="8">
        <v>2.1344148544073902E-3</v>
      </c>
      <c r="M462" s="8">
        <v>6.1986379626746899E-3</v>
      </c>
      <c r="N462" s="8">
        <v>2.82149628293065E-3</v>
      </c>
      <c r="O462" s="8">
        <v>3.9978529350713499E-2</v>
      </c>
      <c r="P462" s="9">
        <v>5.2711196211363998E-2</v>
      </c>
      <c r="Q462" s="570">
        <v>5.2609313379201198E-3</v>
      </c>
    </row>
    <row r="463" spans="2:17" ht="15.75" x14ac:dyDescent="0.25">
      <c r="B463" s="6">
        <v>2043</v>
      </c>
      <c r="C463" s="7">
        <v>2038</v>
      </c>
      <c r="D463" s="484" t="s">
        <v>4172</v>
      </c>
      <c r="E463" s="488">
        <v>0.12921149718672673</v>
      </c>
      <c r="F463" s="489">
        <v>0.1875266448698644</v>
      </c>
      <c r="G463" s="487">
        <v>9.7373138319444604E-3</v>
      </c>
      <c r="H463" s="8">
        <v>2.0184934338100698E-2</v>
      </c>
      <c r="I463" s="8">
        <v>0.67068759947658696</v>
      </c>
      <c r="J463" s="8">
        <v>0.24245195028741601</v>
      </c>
      <c r="K463" s="8">
        <v>5.6753843416375198E-3</v>
      </c>
      <c r="L463" s="8">
        <v>2.1514985729670102E-3</v>
      </c>
      <c r="M463" s="8">
        <v>6.5644518818385698E-3</v>
      </c>
      <c r="N463" s="8">
        <v>2.8592392578963301E-3</v>
      </c>
      <c r="O463" s="8">
        <v>3.7332662357219798E-2</v>
      </c>
      <c r="P463" s="9">
        <v>5.33769822897587E-2</v>
      </c>
      <c r="Q463" s="570">
        <v>5.9320000374213401E-3</v>
      </c>
    </row>
    <row r="464" spans="2:17" ht="15.75" x14ac:dyDescent="0.25">
      <c r="B464" s="6">
        <v>2043</v>
      </c>
      <c r="C464" s="7">
        <v>2039</v>
      </c>
      <c r="D464" s="484" t="s">
        <v>4173</v>
      </c>
      <c r="E464" s="488">
        <v>0.13245423191808509</v>
      </c>
      <c r="F464" s="489">
        <v>0.1646916182540421</v>
      </c>
      <c r="G464" s="487">
        <v>2.6132946021061401E-3</v>
      </c>
      <c r="H464" s="8">
        <v>1.6230255687483201E-2</v>
      </c>
      <c r="I464" s="8">
        <v>0.69436898310589101</v>
      </c>
      <c r="J464" s="8">
        <v>0.180778506068623</v>
      </c>
      <c r="K464" s="8">
        <v>5.1436706253606499E-3</v>
      </c>
      <c r="L464" s="8">
        <v>1.9715876798032102E-3</v>
      </c>
      <c r="M464" s="8">
        <v>6.6175968151172496E-3</v>
      </c>
      <c r="N464" s="8">
        <v>2.65294089549916E-3</v>
      </c>
      <c r="O464" s="8">
        <v>3.7921913826497497E-2</v>
      </c>
      <c r="P464" s="9">
        <v>4.9737879177072598E-2</v>
      </c>
      <c r="Q464" s="570">
        <v>5.3762445863391002E-3</v>
      </c>
    </row>
    <row r="465" spans="2:17" ht="15.75" x14ac:dyDescent="0.25">
      <c r="B465" s="6">
        <v>2043</v>
      </c>
      <c r="C465" s="7">
        <v>2040</v>
      </c>
      <c r="D465" s="484" t="s">
        <v>4174</v>
      </c>
      <c r="E465" s="488">
        <v>0.14690606418343907</v>
      </c>
      <c r="F465" s="489">
        <v>0.17729821706302337</v>
      </c>
      <c r="G465" s="487">
        <v>2.7243617747292901E-3</v>
      </c>
      <c r="H465" s="8">
        <v>1.84607814647085E-2</v>
      </c>
      <c r="I465" s="8">
        <v>0.78568230360457303</v>
      </c>
      <c r="J465" s="8">
        <v>0.17689242782661099</v>
      </c>
      <c r="K465" s="8">
        <v>5.6945884031095401E-3</v>
      </c>
      <c r="L465" s="8">
        <v>2.1025068486051398E-3</v>
      </c>
      <c r="M465" s="8">
        <v>8.2057570059609897E-3</v>
      </c>
      <c r="N465" s="8">
        <v>2.75807991194265E-3</v>
      </c>
      <c r="O465" s="8">
        <v>3.0140799424391101E-2</v>
      </c>
      <c r="P465" s="9">
        <v>5.1592531427135699E-2</v>
      </c>
      <c r="Q465" s="570">
        <v>5.9520724213363704E-3</v>
      </c>
    </row>
    <row r="466" spans="2:17" ht="15.75" x14ac:dyDescent="0.25">
      <c r="B466" s="6">
        <v>2043</v>
      </c>
      <c r="C466" s="7">
        <v>2041</v>
      </c>
      <c r="D466" s="484" t="s">
        <v>4175</v>
      </c>
      <c r="E466" s="488">
        <v>0.13059318680233939</v>
      </c>
      <c r="F466" s="489">
        <v>0.1623291501273243</v>
      </c>
      <c r="G466" s="487">
        <v>8.2049805484553893E-3</v>
      </c>
      <c r="H466" s="8">
        <v>1.61888964020892E-2</v>
      </c>
      <c r="I466" s="8">
        <v>0.67935111443571905</v>
      </c>
      <c r="J466" s="8">
        <v>0.17069829468494699</v>
      </c>
      <c r="K466" s="8">
        <v>5.3874274394996799E-3</v>
      </c>
      <c r="L466" s="8">
        <v>1.9662474639579801E-3</v>
      </c>
      <c r="M466" s="8">
        <v>6.6795095467754298E-3</v>
      </c>
      <c r="N466" s="8">
        <v>2.6277354214106E-3</v>
      </c>
      <c r="O466" s="8">
        <v>3.6869789485783198E-2</v>
      </c>
      <c r="P466" s="9">
        <v>4.9293254614150302E-2</v>
      </c>
      <c r="Q466" s="570">
        <v>5.6310230019586604E-3</v>
      </c>
    </row>
    <row r="467" spans="2:17" ht="15.75" x14ac:dyDescent="0.25">
      <c r="B467" s="6">
        <v>2043</v>
      </c>
      <c r="C467" s="7">
        <v>2042</v>
      </c>
      <c r="D467" s="484" t="s">
        <v>4176</v>
      </c>
      <c r="E467" s="488">
        <v>0.14384955791605086</v>
      </c>
      <c r="F467" s="489">
        <v>0.15361993627070664</v>
      </c>
      <c r="G467" s="487">
        <v>4.3217935834914704E-3</v>
      </c>
      <c r="H467" s="8">
        <v>1.4895888081900399E-2</v>
      </c>
      <c r="I467" s="8">
        <v>0.76410443377662296</v>
      </c>
      <c r="J467" s="8">
        <v>0.181885226359529</v>
      </c>
      <c r="K467" s="8">
        <v>5.6878424852609497E-3</v>
      </c>
      <c r="L467" s="8">
        <v>1.81174958120177E-3</v>
      </c>
      <c r="M467" s="8">
        <v>7.9690854335281308E-3</v>
      </c>
      <c r="N467" s="8">
        <v>2.5694481042147599E-3</v>
      </c>
      <c r="O467" s="8">
        <v>3.1066611307480799E-2</v>
      </c>
      <c r="P467" s="9">
        <v>4.8265066338815797E-2</v>
      </c>
      <c r="Q467" s="570">
        <v>5.94502148301722E-3</v>
      </c>
    </row>
    <row r="468" spans="2:17" ht="15.75" x14ac:dyDescent="0.25">
      <c r="B468" s="6">
        <v>2043</v>
      </c>
      <c r="C468" s="7">
        <v>2043</v>
      </c>
      <c r="D468" s="484" t="s">
        <v>4177</v>
      </c>
      <c r="E468" s="488">
        <v>0.14129514319861447</v>
      </c>
      <c r="F468" s="489">
        <v>0.16981420173838813</v>
      </c>
      <c r="G468" s="487">
        <v>5.7524490417866399E-3</v>
      </c>
      <c r="H468" s="8">
        <v>1.7529039066452201E-2</v>
      </c>
      <c r="I468" s="8">
        <v>0.74810567735614397</v>
      </c>
      <c r="J468" s="8">
        <v>0.17363053925827501</v>
      </c>
      <c r="K468" s="8">
        <v>5.5258641920096999E-3</v>
      </c>
      <c r="L468" s="8">
        <v>2.0806975717670398E-3</v>
      </c>
      <c r="M468" s="8">
        <v>7.7480922216020898E-3</v>
      </c>
      <c r="N468" s="8">
        <v>2.6815687066257502E-3</v>
      </c>
      <c r="O468" s="8">
        <v>3.1930392705422403E-2</v>
      </c>
      <c r="P468" s="9">
        <v>5.0242873765345697E-2</v>
      </c>
      <c r="Q468" s="570">
        <v>5.77571925011319E-3</v>
      </c>
    </row>
    <row r="469" spans="2:17" ht="15.75" x14ac:dyDescent="0.25">
      <c r="B469" s="6">
        <v>2044</v>
      </c>
      <c r="C469" s="7">
        <v>2030</v>
      </c>
      <c r="D469" s="484" t="s">
        <v>4208</v>
      </c>
      <c r="E469" s="488">
        <v>0.13350738757007932</v>
      </c>
      <c r="F469" s="489">
        <v>0.20157340080002925</v>
      </c>
      <c r="G469" s="487">
        <v>9.2343246228107796E-4</v>
      </c>
      <c r="H469" s="8">
        <v>2.2738804171692099E-2</v>
      </c>
      <c r="I469" s="8">
        <v>0.70138520728996401</v>
      </c>
      <c r="J469" s="8">
        <v>0.49590977785802298</v>
      </c>
      <c r="K469" s="8">
        <v>5.0907653390000604E-3</v>
      </c>
      <c r="L469" s="8">
        <v>2.1981143742705301E-3</v>
      </c>
      <c r="M469" s="8">
        <v>6.6639149013285404E-3</v>
      </c>
      <c r="N469" s="8">
        <v>3.0000018168034001E-3</v>
      </c>
      <c r="O469" s="8">
        <v>3.7906859714706101E-2</v>
      </c>
      <c r="P469" s="9">
        <v>5.5860033828879302E-2</v>
      </c>
      <c r="Q469" s="570">
        <v>5.3209471576930196E-3</v>
      </c>
    </row>
    <row r="470" spans="2:17" ht="15.75" x14ac:dyDescent="0.25">
      <c r="B470" s="6">
        <v>2044</v>
      </c>
      <c r="C470" s="7">
        <v>2031</v>
      </c>
      <c r="D470" s="484" t="s">
        <v>4209</v>
      </c>
      <c r="E470" s="488">
        <v>0.14944312991568554</v>
      </c>
      <c r="F470" s="489">
        <v>0.2017692411773426</v>
      </c>
      <c r="G470" s="487">
        <v>1.1040381043891101E-3</v>
      </c>
      <c r="H470" s="8">
        <v>2.27318531579946E-2</v>
      </c>
      <c r="I470" s="8">
        <v>0.80266200200726201</v>
      </c>
      <c r="J470" s="8">
        <v>0.46125309457103603</v>
      </c>
      <c r="K470" s="8">
        <v>5.6654299729221704E-3</v>
      </c>
      <c r="L470" s="8">
        <v>2.2000075986345498E-3</v>
      </c>
      <c r="M470" s="8">
        <v>8.4082030891983201E-3</v>
      </c>
      <c r="N470" s="8">
        <v>3.0000018168034001E-3</v>
      </c>
      <c r="O470" s="8">
        <v>2.9359847594144201E-2</v>
      </c>
      <c r="P470" s="9">
        <v>5.5860033828879302E-2</v>
      </c>
      <c r="Q470" s="570">
        <v>5.9215955763245402E-3</v>
      </c>
    </row>
    <row r="471" spans="2:17" ht="15.75" x14ac:dyDescent="0.25">
      <c r="B471" s="6">
        <v>2044</v>
      </c>
      <c r="C471" s="7">
        <v>2032</v>
      </c>
      <c r="D471" s="484" t="s">
        <v>4210</v>
      </c>
      <c r="E471" s="488">
        <v>0.14677874952376455</v>
      </c>
      <c r="F471" s="489">
        <v>0.20172318349555035</v>
      </c>
      <c r="G471" s="487">
        <v>1.07401543663205E-3</v>
      </c>
      <c r="H471" s="8">
        <v>2.2714322159521901E-2</v>
      </c>
      <c r="I471" s="8">
        <v>0.78589790694919903</v>
      </c>
      <c r="J471" s="8">
        <v>0.44221590888797102</v>
      </c>
      <c r="K471" s="8">
        <v>5.5559416598160499E-3</v>
      </c>
      <c r="L471" s="8">
        <v>2.20102650239783E-3</v>
      </c>
      <c r="M471" s="8">
        <v>8.1142135243363993E-3</v>
      </c>
      <c r="N471" s="8">
        <v>3.0000018168034001E-3</v>
      </c>
      <c r="O471" s="8">
        <v>3.08003964619676E-2</v>
      </c>
      <c r="P471" s="9">
        <v>5.5860033828879302E-2</v>
      </c>
      <c r="Q471" s="570">
        <v>5.8071566875469603E-3</v>
      </c>
    </row>
    <row r="472" spans="2:17" ht="15.75" x14ac:dyDescent="0.25">
      <c r="B472" s="6">
        <v>2044</v>
      </c>
      <c r="C472" s="7">
        <v>2033</v>
      </c>
      <c r="D472" s="484" t="s">
        <v>4211</v>
      </c>
      <c r="E472" s="488">
        <v>0.14618116508103415</v>
      </c>
      <c r="F472" s="489">
        <v>0.2018512310845304</v>
      </c>
      <c r="G472" s="487">
        <v>1.06724295042291E-3</v>
      </c>
      <c r="H472" s="8">
        <v>2.27341975112085E-2</v>
      </c>
      <c r="I472" s="8">
        <v>0.78209786060640896</v>
      </c>
      <c r="J472" s="8">
        <v>0.40712195640656901</v>
      </c>
      <c r="K472" s="8">
        <v>5.5348848610541797E-3</v>
      </c>
      <c r="L472" s="8">
        <v>2.1987817145401301E-3</v>
      </c>
      <c r="M472" s="8">
        <v>8.0488477073426892E-3</v>
      </c>
      <c r="N472" s="8">
        <v>3.0000018168034001E-3</v>
      </c>
      <c r="O472" s="8">
        <v>3.1120688965236801E-2</v>
      </c>
      <c r="P472" s="9">
        <v>5.5860033828879302E-2</v>
      </c>
      <c r="Q472" s="570">
        <v>5.7851477937832397E-3</v>
      </c>
    </row>
    <row r="473" spans="2:17" ht="15.75" x14ac:dyDescent="0.25">
      <c r="B473" s="6">
        <v>2044</v>
      </c>
      <c r="C473" s="7">
        <v>2034</v>
      </c>
      <c r="D473" s="484" t="s">
        <v>4212</v>
      </c>
      <c r="E473" s="488">
        <v>0.12501189077615468</v>
      </c>
      <c r="F473" s="489">
        <v>0.15538399299813849</v>
      </c>
      <c r="G473" s="487">
        <v>4.06485388716127E-3</v>
      </c>
      <c r="H473" s="8">
        <v>1.43298404834151E-2</v>
      </c>
      <c r="I473" s="8">
        <v>0.64605090099756401</v>
      </c>
      <c r="J473" s="8">
        <v>0.22721594767202299</v>
      </c>
      <c r="K473" s="8">
        <v>5.1798240592366603E-3</v>
      </c>
      <c r="L473" s="8">
        <v>2.0773560929749301E-3</v>
      </c>
      <c r="M473" s="8">
        <v>5.8695674874992502E-3</v>
      </c>
      <c r="N473" s="8">
        <v>2.5248618793357199E-3</v>
      </c>
      <c r="O473" s="8">
        <v>4.1441773638186997E-2</v>
      </c>
      <c r="P473" s="9">
        <v>4.7478565331949503E-2</v>
      </c>
      <c r="Q473" s="570">
        <v>5.4140327180665004E-3</v>
      </c>
    </row>
    <row r="474" spans="2:17" ht="15.75" x14ac:dyDescent="0.25">
      <c r="B474" s="6">
        <v>2044</v>
      </c>
      <c r="C474" s="7">
        <v>2035</v>
      </c>
      <c r="D474" s="484" t="s">
        <v>4213</v>
      </c>
      <c r="E474" s="488">
        <v>0.13147234536281152</v>
      </c>
      <c r="F474" s="489">
        <v>0.1516927169390995</v>
      </c>
      <c r="G474" s="487">
        <v>8.3100172857387203E-3</v>
      </c>
      <c r="H474" s="8">
        <v>1.39685052474095E-2</v>
      </c>
      <c r="I474" s="8">
        <v>0.686346496355417</v>
      </c>
      <c r="J474" s="8">
        <v>0.211162583527088</v>
      </c>
      <c r="K474" s="8">
        <v>5.8345738746571601E-3</v>
      </c>
      <c r="L474" s="8">
        <v>1.86432242230041E-3</v>
      </c>
      <c r="M474" s="8">
        <v>6.7329930698256596E-3</v>
      </c>
      <c r="N474" s="8">
        <v>2.5353897654948401E-3</v>
      </c>
      <c r="O474" s="8">
        <v>3.6736730714785601E-2</v>
      </c>
      <c r="P474" s="9">
        <v>4.7664277243796301E-2</v>
      </c>
      <c r="Q474" s="570">
        <v>6.0983874147310397E-3</v>
      </c>
    </row>
    <row r="475" spans="2:17" ht="15.75" x14ac:dyDescent="0.25">
      <c r="B475" s="6">
        <v>2044</v>
      </c>
      <c r="C475" s="7">
        <v>2036</v>
      </c>
      <c r="D475" s="484" t="s">
        <v>4214</v>
      </c>
      <c r="E475" s="488">
        <v>0.1187994629194086</v>
      </c>
      <c r="F475" s="489">
        <v>0.14126370336573149</v>
      </c>
      <c r="G475" s="487">
        <v>3.7133947052928602E-3</v>
      </c>
      <c r="H475" s="8">
        <v>1.17707069456062E-2</v>
      </c>
      <c r="I475" s="8">
        <v>0.60755794254488105</v>
      </c>
      <c r="J475" s="8">
        <v>0.155893828761026</v>
      </c>
      <c r="K475" s="8">
        <v>4.8147652692570103E-3</v>
      </c>
      <c r="L475" s="8">
        <v>2.05135224036628E-3</v>
      </c>
      <c r="M475" s="8">
        <v>5.16539278496505E-3</v>
      </c>
      <c r="N475" s="8">
        <v>2.3776577685910602E-3</v>
      </c>
      <c r="O475" s="8">
        <v>4.4911431327359898E-2</v>
      </c>
      <c r="P475" s="9">
        <v>4.4881884818413702E-2</v>
      </c>
      <c r="Q475" s="570">
        <v>5.0324675895283598E-3</v>
      </c>
    </row>
    <row r="476" spans="2:17" ht="15.75" x14ac:dyDescent="0.25">
      <c r="B476" s="6">
        <v>2044</v>
      </c>
      <c r="C476" s="7">
        <v>2037</v>
      </c>
      <c r="D476" s="484" t="s">
        <v>4215</v>
      </c>
      <c r="E476" s="488">
        <v>0.12864160531968821</v>
      </c>
      <c r="F476" s="489">
        <v>0.18396503077882567</v>
      </c>
      <c r="G476" s="487">
        <v>2.6539806688638699E-3</v>
      </c>
      <c r="H476" s="8">
        <v>1.95189285926178E-2</v>
      </c>
      <c r="I476" s="8">
        <v>0.67029967231115795</v>
      </c>
      <c r="J476" s="8">
        <v>0.277327829949224</v>
      </c>
      <c r="K476" s="8">
        <v>5.0488163382340998E-3</v>
      </c>
      <c r="L476" s="8">
        <v>2.1344148544073902E-3</v>
      </c>
      <c r="M476" s="8">
        <v>6.1986379626746899E-3</v>
      </c>
      <c r="N476" s="8">
        <v>2.82149628293065E-3</v>
      </c>
      <c r="O476" s="8">
        <v>3.9978529350713499E-2</v>
      </c>
      <c r="P476" s="9">
        <v>5.2711196211363998E-2</v>
      </c>
      <c r="Q476" s="570">
        <v>5.2771014092583496E-3</v>
      </c>
    </row>
    <row r="477" spans="2:17" ht="15.75" x14ac:dyDescent="0.25">
      <c r="B477" s="6">
        <v>2044</v>
      </c>
      <c r="C477" s="7">
        <v>2038</v>
      </c>
      <c r="D477" s="484" t="s">
        <v>4216</v>
      </c>
      <c r="E477" s="488">
        <v>0.12921149718672673</v>
      </c>
      <c r="F477" s="489">
        <v>0.18753048305615427</v>
      </c>
      <c r="G477" s="487">
        <v>9.9373037279051994E-3</v>
      </c>
      <c r="H477" s="8">
        <v>2.0192105592901601E-2</v>
      </c>
      <c r="I477" s="8">
        <v>0.67088932923562195</v>
      </c>
      <c r="J477" s="8">
        <v>0.26454949756196899</v>
      </c>
      <c r="K477" s="8">
        <v>5.7592501920527102E-3</v>
      </c>
      <c r="L477" s="8">
        <v>2.1514985729670102E-3</v>
      </c>
      <c r="M477" s="8">
        <v>6.5644518818385698E-3</v>
      </c>
      <c r="N477" s="8">
        <v>2.8592392578963301E-3</v>
      </c>
      <c r="O477" s="8">
        <v>3.7332662357219798E-2</v>
      </c>
      <c r="P477" s="9">
        <v>5.33769822897587E-2</v>
      </c>
      <c r="Q477" s="570">
        <v>6.0196579294431E-3</v>
      </c>
    </row>
    <row r="478" spans="2:17" ht="15.75" x14ac:dyDescent="0.25">
      <c r="B478" s="6">
        <v>2044</v>
      </c>
      <c r="C478" s="7">
        <v>2039</v>
      </c>
      <c r="D478" s="484" t="s">
        <v>4217</v>
      </c>
      <c r="E478" s="488">
        <v>0.13245423191808509</v>
      </c>
      <c r="F478" s="489">
        <v>0.16469345593103626</v>
      </c>
      <c r="G478" s="487">
        <v>2.6547093692751902E-3</v>
      </c>
      <c r="H478" s="8">
        <v>1.6195865444784401E-2</v>
      </c>
      <c r="I478" s="8">
        <v>0.69441096082627496</v>
      </c>
      <c r="J478" s="8">
        <v>0.19185026586076101</v>
      </c>
      <c r="K478" s="8">
        <v>5.1611908459890899E-3</v>
      </c>
      <c r="L478" s="8">
        <v>1.9715876798032102E-3</v>
      </c>
      <c r="M478" s="8">
        <v>6.6175968151172496E-3</v>
      </c>
      <c r="N478" s="8">
        <v>2.65294089549916E-3</v>
      </c>
      <c r="O478" s="8">
        <v>3.7921913826497497E-2</v>
      </c>
      <c r="P478" s="9">
        <v>4.9737879177072598E-2</v>
      </c>
      <c r="Q478" s="570">
        <v>5.3945569935995403E-3</v>
      </c>
    </row>
    <row r="479" spans="2:17" ht="15.75" x14ac:dyDescent="0.25">
      <c r="B479" s="6">
        <v>2044</v>
      </c>
      <c r="C479" s="7">
        <v>2040</v>
      </c>
      <c r="D479" s="484" t="s">
        <v>4218</v>
      </c>
      <c r="E479" s="488">
        <v>0.14690606418343907</v>
      </c>
      <c r="F479" s="489">
        <v>0.17730246626129714</v>
      </c>
      <c r="G479" s="487">
        <v>2.76764028499801E-3</v>
      </c>
      <c r="H479" s="8">
        <v>1.8340534651897399E-2</v>
      </c>
      <c r="I479" s="8">
        <v>0.78572618983267795</v>
      </c>
      <c r="J479" s="8">
        <v>0.205144526436873</v>
      </c>
      <c r="K479" s="8">
        <v>5.71291101828571E-3</v>
      </c>
      <c r="L479" s="8">
        <v>2.1025068486051398E-3</v>
      </c>
      <c r="M479" s="8">
        <v>8.2057570059609897E-3</v>
      </c>
      <c r="N479" s="8">
        <v>2.75807991194265E-3</v>
      </c>
      <c r="O479" s="8">
        <v>3.0140799424391101E-2</v>
      </c>
      <c r="P479" s="9">
        <v>5.1592531427135803E-2</v>
      </c>
      <c r="Q479" s="570">
        <v>5.9712235038654003E-3</v>
      </c>
    </row>
    <row r="480" spans="2:17" ht="15.75" x14ac:dyDescent="0.25">
      <c r="B480" s="6">
        <v>2044</v>
      </c>
      <c r="C480" s="7">
        <v>2041</v>
      </c>
      <c r="D480" s="484" t="s">
        <v>4219</v>
      </c>
      <c r="E480" s="488">
        <v>0.13059318680233939</v>
      </c>
      <c r="F480" s="489">
        <v>0.16232951755248054</v>
      </c>
      <c r="G480" s="487">
        <v>8.4118365161768207E-3</v>
      </c>
      <c r="H480" s="8">
        <v>1.5901182371762801E-2</v>
      </c>
      <c r="I480" s="8">
        <v>0.67956074727982696</v>
      </c>
      <c r="J480" s="8">
        <v>0.19182091719816599</v>
      </c>
      <c r="K480" s="8">
        <v>5.4749068568290503E-3</v>
      </c>
      <c r="L480" s="8">
        <v>1.9662474639579801E-3</v>
      </c>
      <c r="M480" s="8">
        <v>6.6795095467754298E-3</v>
      </c>
      <c r="N480" s="8">
        <v>2.6277354214106E-3</v>
      </c>
      <c r="O480" s="8">
        <v>3.6869789485783198E-2</v>
      </c>
      <c r="P480" s="9">
        <v>4.9293254614150302E-2</v>
      </c>
      <c r="Q480" s="570">
        <v>5.7224578503554903E-3</v>
      </c>
    </row>
    <row r="481" spans="2:17" ht="15.75" x14ac:dyDescent="0.25">
      <c r="B481" s="6">
        <v>2044</v>
      </c>
      <c r="C481" s="7">
        <v>2042</v>
      </c>
      <c r="D481" s="484" t="s">
        <v>4220</v>
      </c>
      <c r="E481" s="488">
        <v>0.14384955791605086</v>
      </c>
      <c r="F481" s="489">
        <v>0.15362252262124196</v>
      </c>
      <c r="G481" s="487">
        <v>4.4218308267431001E-3</v>
      </c>
      <c r="H481" s="8">
        <v>1.48016968174535E-2</v>
      </c>
      <c r="I481" s="8">
        <v>0.76420586677028102</v>
      </c>
      <c r="J481" s="8">
        <v>0.23465858616241</v>
      </c>
      <c r="K481" s="8">
        <v>5.7301884983578097E-3</v>
      </c>
      <c r="L481" s="8">
        <v>1.81174958120177E-3</v>
      </c>
      <c r="M481" s="8">
        <v>7.9690854335281308E-3</v>
      </c>
      <c r="N481" s="8">
        <v>2.5694481042147599E-3</v>
      </c>
      <c r="O481" s="8">
        <v>3.1066611307480799E-2</v>
      </c>
      <c r="P481" s="9">
        <v>4.8265066338815797E-2</v>
      </c>
      <c r="Q481" s="570">
        <v>5.9892821949186796E-3</v>
      </c>
    </row>
    <row r="482" spans="2:17" ht="15.75" x14ac:dyDescent="0.25">
      <c r="B482" s="6">
        <v>2044</v>
      </c>
      <c r="C482" s="7">
        <v>2043</v>
      </c>
      <c r="D482" s="484" t="s">
        <v>4221</v>
      </c>
      <c r="E482" s="488">
        <v>0.14129514319861475</v>
      </c>
      <c r="F482" s="489">
        <v>0.16981786077362837</v>
      </c>
      <c r="G482" s="487">
        <v>5.9082280793861502E-3</v>
      </c>
      <c r="H482" s="8">
        <v>1.75392604434676E-2</v>
      </c>
      <c r="I482" s="8">
        <v>0.74826364676500201</v>
      </c>
      <c r="J482" s="8">
        <v>0.26498656349968602</v>
      </c>
      <c r="K482" s="8">
        <v>5.59181900990192E-3</v>
      </c>
      <c r="L482" s="8">
        <v>2.0806975717670398E-3</v>
      </c>
      <c r="M482" s="8">
        <v>7.7480922216020898E-3</v>
      </c>
      <c r="N482" s="8">
        <v>2.6815687066257502E-3</v>
      </c>
      <c r="O482" s="8">
        <v>3.1930392705422403E-2</v>
      </c>
      <c r="P482" s="9">
        <v>5.0242873765345697E-2</v>
      </c>
      <c r="Q482" s="570">
        <v>5.8446562522003198E-3</v>
      </c>
    </row>
    <row r="483" spans="2:17" ht="15.75" x14ac:dyDescent="0.25">
      <c r="B483" s="6">
        <v>2044</v>
      </c>
      <c r="C483" s="7">
        <v>2044</v>
      </c>
      <c r="D483" s="484" t="s">
        <v>4222</v>
      </c>
      <c r="E483" s="488">
        <v>0.13809924739369436</v>
      </c>
      <c r="F483" s="489">
        <v>0.15959526701392207</v>
      </c>
      <c r="G483" s="487">
        <v>3.23035741994923E-3</v>
      </c>
      <c r="H483" s="8">
        <v>1.5819637454888E-2</v>
      </c>
      <c r="I483" s="8">
        <v>0.72945599181560195</v>
      </c>
      <c r="J483" s="8">
        <v>8.2865148337433497E-2</v>
      </c>
      <c r="K483" s="8">
        <v>5.3096865261043702E-3</v>
      </c>
      <c r="L483" s="8">
        <v>2.0532769480455701E-3</v>
      </c>
      <c r="M483" s="8">
        <v>7.2740112265562203E-3</v>
      </c>
      <c r="N483" s="8">
        <v>2.5760021522735601E-3</v>
      </c>
      <c r="O483" s="8">
        <v>3.4601584189161899E-2</v>
      </c>
      <c r="P483" s="9">
        <v>4.8380679746573001E-2</v>
      </c>
      <c r="Q483" s="570">
        <v>5.5497669894297996E-3</v>
      </c>
    </row>
    <row r="484" spans="2:17" ht="15.75" x14ac:dyDescent="0.25">
      <c r="B484" s="6">
        <v>2045</v>
      </c>
      <c r="C484" s="7">
        <v>2031</v>
      </c>
      <c r="D484" s="484" t="s">
        <v>4253</v>
      </c>
      <c r="E484" s="488">
        <v>0.14944312991568554</v>
      </c>
      <c r="F484" s="489">
        <v>0.20177550329897487</v>
      </c>
      <c r="G484" s="487">
        <v>1.1040381043891101E-3</v>
      </c>
      <c r="H484" s="8">
        <v>2.27318531579946E-2</v>
      </c>
      <c r="I484" s="8">
        <v>0.80266200200726201</v>
      </c>
      <c r="J484" s="8">
        <v>0.49705989266998002</v>
      </c>
      <c r="K484" s="8">
        <v>5.6654299729221704E-3</v>
      </c>
      <c r="L484" s="8">
        <v>2.2000075986345498E-3</v>
      </c>
      <c r="M484" s="8">
        <v>8.4082030891983201E-3</v>
      </c>
      <c r="N484" s="8">
        <v>3.0000018168034001E-3</v>
      </c>
      <c r="O484" s="8">
        <v>2.9359847594144201E-2</v>
      </c>
      <c r="P484" s="9">
        <v>5.5860033828879302E-2</v>
      </c>
      <c r="Q484" s="570">
        <v>5.9215955763245402E-3</v>
      </c>
    </row>
    <row r="485" spans="2:17" ht="15.75" x14ac:dyDescent="0.25">
      <c r="B485" s="6">
        <v>2045</v>
      </c>
      <c r="C485" s="7">
        <v>2032</v>
      </c>
      <c r="D485" s="484" t="s">
        <v>4254</v>
      </c>
      <c r="E485" s="488">
        <v>0.14677874952376455</v>
      </c>
      <c r="F485" s="489">
        <v>0.20172672697544436</v>
      </c>
      <c r="G485" s="487">
        <v>1.07401543663205E-3</v>
      </c>
      <c r="H485" s="8">
        <v>2.2714322159521901E-2</v>
      </c>
      <c r="I485" s="8">
        <v>0.78589790694919903</v>
      </c>
      <c r="J485" s="8">
        <v>0.46310055746607198</v>
      </c>
      <c r="K485" s="8">
        <v>5.5559416598160499E-3</v>
      </c>
      <c r="L485" s="8">
        <v>2.20102650239783E-3</v>
      </c>
      <c r="M485" s="8">
        <v>8.1142135243363993E-3</v>
      </c>
      <c r="N485" s="8">
        <v>3.0000018168034001E-3</v>
      </c>
      <c r="O485" s="8">
        <v>3.08003964619676E-2</v>
      </c>
      <c r="P485" s="9">
        <v>5.5860033828879302E-2</v>
      </c>
      <c r="Q485" s="570">
        <v>5.8071566875469603E-3</v>
      </c>
    </row>
    <row r="486" spans="2:17" ht="15.75" x14ac:dyDescent="0.25">
      <c r="B486" s="6">
        <v>2045</v>
      </c>
      <c r="C486" s="7">
        <v>2033</v>
      </c>
      <c r="D486" s="484" t="s">
        <v>4255</v>
      </c>
      <c r="E486" s="488">
        <v>0.14618116508103415</v>
      </c>
      <c r="F486" s="489">
        <v>0.20185719373727809</v>
      </c>
      <c r="G486" s="487">
        <v>1.06724295042291E-3</v>
      </c>
      <c r="H486" s="8">
        <v>2.27341975112085E-2</v>
      </c>
      <c r="I486" s="8">
        <v>0.78209786060640896</v>
      </c>
      <c r="J486" s="8">
        <v>0.43986526659549502</v>
      </c>
      <c r="K486" s="8">
        <v>5.5348848610541797E-3</v>
      </c>
      <c r="L486" s="8">
        <v>2.1987817145401301E-3</v>
      </c>
      <c r="M486" s="8">
        <v>8.0488477073426892E-3</v>
      </c>
      <c r="N486" s="8">
        <v>3.0000018168034001E-3</v>
      </c>
      <c r="O486" s="8">
        <v>3.1120688965236801E-2</v>
      </c>
      <c r="P486" s="9">
        <v>5.5860033828879302E-2</v>
      </c>
      <c r="Q486" s="570">
        <v>5.7851477937832397E-3</v>
      </c>
    </row>
    <row r="487" spans="2:17" ht="15.75" x14ac:dyDescent="0.25">
      <c r="B487" s="6">
        <v>2045</v>
      </c>
      <c r="C487" s="7">
        <v>2034</v>
      </c>
      <c r="D487" s="484" t="s">
        <v>4256</v>
      </c>
      <c r="E487" s="488">
        <v>0.13258215275046772</v>
      </c>
      <c r="F487" s="489">
        <v>0.20169356022378843</v>
      </c>
      <c r="G487" s="487">
        <v>9.1333505118046496E-4</v>
      </c>
      <c r="H487" s="8">
        <v>2.2734455676446899E-2</v>
      </c>
      <c r="I487" s="8">
        <v>0.69579011997506701</v>
      </c>
      <c r="J487" s="8">
        <v>0.40843314439324602</v>
      </c>
      <c r="K487" s="8">
        <v>5.02844603391804E-3</v>
      </c>
      <c r="L487" s="8">
        <v>2.2006740962970299E-3</v>
      </c>
      <c r="M487" s="8">
        <v>6.5589207243397897E-3</v>
      </c>
      <c r="N487" s="8">
        <v>3.0000018168034001E-3</v>
      </c>
      <c r="O487" s="8">
        <v>3.8421331181950999E-2</v>
      </c>
      <c r="P487" s="9">
        <v>5.5860033828879302E-2</v>
      </c>
      <c r="Q487" s="570">
        <v>5.255810050173E-3</v>
      </c>
    </row>
    <row r="488" spans="2:17" ht="15.75" x14ac:dyDescent="0.25">
      <c r="B488" s="6">
        <v>2045</v>
      </c>
      <c r="C488" s="7">
        <v>2035</v>
      </c>
      <c r="D488" s="484" t="s">
        <v>4257</v>
      </c>
      <c r="E488" s="488">
        <v>0.13147234536281152</v>
      </c>
      <c r="F488" s="489">
        <v>0.1516956563928292</v>
      </c>
      <c r="G488" s="487">
        <v>8.4315821276700394E-3</v>
      </c>
      <c r="H488" s="8">
        <v>1.3958694920830799E-2</v>
      </c>
      <c r="I488" s="8">
        <v>0.68646971841119697</v>
      </c>
      <c r="J488" s="8">
        <v>0.228020942157551</v>
      </c>
      <c r="K488" s="8">
        <v>5.8860020278410198E-3</v>
      </c>
      <c r="L488" s="8">
        <v>1.86432242230041E-3</v>
      </c>
      <c r="M488" s="8">
        <v>6.7329930698256596E-3</v>
      </c>
      <c r="N488" s="8">
        <v>2.5353897654948302E-3</v>
      </c>
      <c r="O488" s="8">
        <v>3.6736730714785601E-2</v>
      </c>
      <c r="P488" s="9">
        <v>4.7664277243796301E-2</v>
      </c>
      <c r="Q488" s="570">
        <v>6.1521409207928304E-3</v>
      </c>
    </row>
    <row r="489" spans="2:17" ht="15.75" x14ac:dyDescent="0.25">
      <c r="B489" s="6">
        <v>2045</v>
      </c>
      <c r="C489" s="7">
        <v>2036</v>
      </c>
      <c r="D489" s="484" t="s">
        <v>4258</v>
      </c>
      <c r="E489" s="488">
        <v>0.1187994629194086</v>
      </c>
      <c r="F489" s="489">
        <v>0.14126483886898486</v>
      </c>
      <c r="G489" s="487">
        <v>3.7660857289872301E-3</v>
      </c>
      <c r="H489" s="8">
        <v>1.17672829616339E-2</v>
      </c>
      <c r="I489" s="8">
        <v>0.60761137805410004</v>
      </c>
      <c r="J489" s="8">
        <v>0.160967717849099</v>
      </c>
      <c r="K489" s="8">
        <v>4.8370759782948502E-3</v>
      </c>
      <c r="L489" s="8">
        <v>2.05135224036628E-3</v>
      </c>
      <c r="M489" s="8">
        <v>5.16539278496505E-3</v>
      </c>
      <c r="N489" s="8">
        <v>2.3776577685910602E-3</v>
      </c>
      <c r="O489" s="8">
        <v>4.4911431327359898E-2</v>
      </c>
      <c r="P489" s="9">
        <v>4.4881884818413702E-2</v>
      </c>
      <c r="Q489" s="570">
        <v>5.0557870898265802E-3</v>
      </c>
    </row>
    <row r="490" spans="2:17" ht="15.75" x14ac:dyDescent="0.25">
      <c r="B490" s="6">
        <v>2045</v>
      </c>
      <c r="C490" s="7">
        <v>2037</v>
      </c>
      <c r="D490" s="484" t="s">
        <v>4259</v>
      </c>
      <c r="E490" s="488">
        <v>0.12864160531968821</v>
      </c>
      <c r="F490" s="489">
        <v>0.1839689727385069</v>
      </c>
      <c r="G490" s="487">
        <v>2.6884669317106401E-3</v>
      </c>
      <c r="H490" s="8">
        <v>1.9525583571333799E-2</v>
      </c>
      <c r="I490" s="8">
        <v>0.67033464588117997</v>
      </c>
      <c r="J490" s="8">
        <v>0.300021164900453</v>
      </c>
      <c r="K490" s="8">
        <v>5.0634187447144699E-3</v>
      </c>
      <c r="L490" s="8">
        <v>2.1344148544073902E-3</v>
      </c>
      <c r="M490" s="8">
        <v>6.1986379626746899E-3</v>
      </c>
      <c r="N490" s="8">
        <v>2.82149628293065E-3</v>
      </c>
      <c r="O490" s="8">
        <v>3.9978529350713499E-2</v>
      </c>
      <c r="P490" s="9">
        <v>5.2711196211363998E-2</v>
      </c>
      <c r="Q490" s="570">
        <v>5.2923640717625498E-3</v>
      </c>
    </row>
    <row r="491" spans="2:17" ht="15.75" x14ac:dyDescent="0.25">
      <c r="B491" s="6">
        <v>2045</v>
      </c>
      <c r="C491" s="7">
        <v>2038</v>
      </c>
      <c r="D491" s="484" t="s">
        <v>4260</v>
      </c>
      <c r="E491" s="488">
        <v>0.12921149718672673</v>
      </c>
      <c r="F491" s="489">
        <v>0.18753404425506545</v>
      </c>
      <c r="G491" s="487">
        <v>1.01266665682926E-2</v>
      </c>
      <c r="H491" s="8">
        <v>2.02045458762623E-2</v>
      </c>
      <c r="I491" s="8">
        <v>0.67108034003764505</v>
      </c>
      <c r="J491" s="8">
        <v>0.284839723073193</v>
      </c>
      <c r="K491" s="8">
        <v>5.83865984560671E-3</v>
      </c>
      <c r="L491" s="8">
        <v>2.1514985729670102E-3</v>
      </c>
      <c r="M491" s="8">
        <v>6.5644518818385698E-3</v>
      </c>
      <c r="N491" s="8">
        <v>2.8592392578963301E-3</v>
      </c>
      <c r="O491" s="8">
        <v>3.7332662357219798E-2</v>
      </c>
      <c r="P491" s="9">
        <v>5.33769822897587E-2</v>
      </c>
      <c r="Q491" s="570">
        <v>6.10265813515569E-3</v>
      </c>
    </row>
    <row r="492" spans="2:17" ht="15.75" x14ac:dyDescent="0.25">
      <c r="B492" s="6">
        <v>2045</v>
      </c>
      <c r="C492" s="7">
        <v>2039</v>
      </c>
      <c r="D492" s="484" t="s">
        <v>4261</v>
      </c>
      <c r="E492" s="488">
        <v>0.13245423191808509</v>
      </c>
      <c r="F492" s="489">
        <v>0.16469665585567411</v>
      </c>
      <c r="G492" s="487">
        <v>2.6940344181159898E-3</v>
      </c>
      <c r="H492" s="8">
        <v>1.6220085396713001E-2</v>
      </c>
      <c r="I492" s="8">
        <v>0.69445082058691099</v>
      </c>
      <c r="J492" s="8">
        <v>0.208960946492012</v>
      </c>
      <c r="K492" s="8">
        <v>5.1778271021423001E-3</v>
      </c>
      <c r="L492" s="8">
        <v>1.9715876798032102E-3</v>
      </c>
      <c r="M492" s="8">
        <v>6.6175968151172496E-3</v>
      </c>
      <c r="N492" s="8">
        <v>2.65294089549916E-3</v>
      </c>
      <c r="O492" s="8">
        <v>3.7921913826497497E-2</v>
      </c>
      <c r="P492" s="9">
        <v>4.9737879177072598E-2</v>
      </c>
      <c r="Q492" s="570">
        <v>5.4119454674336999E-3</v>
      </c>
    </row>
    <row r="493" spans="2:17" ht="15.75" x14ac:dyDescent="0.25">
      <c r="B493" s="6">
        <v>2045</v>
      </c>
      <c r="C493" s="7">
        <v>2040</v>
      </c>
      <c r="D493" s="484" t="s">
        <v>4262</v>
      </c>
      <c r="E493" s="488">
        <v>0.14690606418343907</v>
      </c>
      <c r="F493" s="489">
        <v>0.1773046687862285</v>
      </c>
      <c r="G493" s="487">
        <v>2.8088398501427202E-3</v>
      </c>
      <c r="H493" s="8">
        <v>1.83188765451982E-2</v>
      </c>
      <c r="I493" s="8">
        <v>0.78576796815992001</v>
      </c>
      <c r="J493" s="8">
        <v>0.218014269912259</v>
      </c>
      <c r="K493" s="8">
        <v>5.7303535868410797E-3</v>
      </c>
      <c r="L493" s="8">
        <v>2.1025068486051398E-3</v>
      </c>
      <c r="M493" s="8">
        <v>8.2057570059609793E-3</v>
      </c>
      <c r="N493" s="8">
        <v>2.75807991194265E-3</v>
      </c>
      <c r="O493" s="8">
        <v>3.0140799424391101E-2</v>
      </c>
      <c r="P493" s="9">
        <v>5.1592531427135803E-2</v>
      </c>
      <c r="Q493" s="570">
        <v>5.9894547479705899E-3</v>
      </c>
    </row>
    <row r="494" spans="2:17" ht="15.75" x14ac:dyDescent="0.25">
      <c r="B494" s="6">
        <v>2045</v>
      </c>
      <c r="C494" s="7">
        <v>2041</v>
      </c>
      <c r="D494" s="484" t="s">
        <v>4263</v>
      </c>
      <c r="E494" s="488">
        <v>0.13059318680233939</v>
      </c>
      <c r="F494" s="489">
        <v>0.16233240676880883</v>
      </c>
      <c r="G494" s="487">
        <v>8.6092108223335805E-3</v>
      </c>
      <c r="H494" s="8">
        <v>1.5721295582207001E-2</v>
      </c>
      <c r="I494" s="8">
        <v>0.67976077269619595</v>
      </c>
      <c r="J494" s="8">
        <v>0.22408432358397601</v>
      </c>
      <c r="K494" s="8">
        <v>5.5583771442563098E-3</v>
      </c>
      <c r="L494" s="8">
        <v>1.9662474639579801E-3</v>
      </c>
      <c r="M494" s="8">
        <v>6.6795095467754298E-3</v>
      </c>
      <c r="N494" s="8">
        <v>2.6277354214106E-3</v>
      </c>
      <c r="O494" s="8">
        <v>3.6869789485783198E-2</v>
      </c>
      <c r="P494" s="9">
        <v>4.9293254614150302E-2</v>
      </c>
      <c r="Q494" s="570">
        <v>5.8097022937862999E-3</v>
      </c>
    </row>
    <row r="495" spans="2:17" ht="15.75" x14ac:dyDescent="0.25">
      <c r="B495" s="6">
        <v>2045</v>
      </c>
      <c r="C495" s="7">
        <v>2042</v>
      </c>
      <c r="D495" s="484" t="s">
        <v>4264</v>
      </c>
      <c r="E495" s="488">
        <v>0.14384955791605086</v>
      </c>
      <c r="F495" s="489">
        <v>0.1536220796181624</v>
      </c>
      <c r="G495" s="487">
        <v>4.5174833458427998E-3</v>
      </c>
      <c r="H495" s="8">
        <v>1.44687503858489E-2</v>
      </c>
      <c r="I495" s="8">
        <v>0.76430285482604499</v>
      </c>
      <c r="J495" s="8">
        <v>0.277824832258529</v>
      </c>
      <c r="K495" s="8">
        <v>5.7706788620594399E-3</v>
      </c>
      <c r="L495" s="8">
        <v>1.81174958120177E-3</v>
      </c>
      <c r="M495" s="8">
        <v>7.9690854335281308E-3</v>
      </c>
      <c r="N495" s="8">
        <v>2.5694481042147599E-3</v>
      </c>
      <c r="O495" s="8">
        <v>3.1066611307480799E-2</v>
      </c>
      <c r="P495" s="9">
        <v>4.8265066338815797E-2</v>
      </c>
      <c r="Q495" s="570">
        <v>6.0316033531935698E-3</v>
      </c>
    </row>
    <row r="496" spans="2:17" ht="15.75" x14ac:dyDescent="0.25">
      <c r="B496" s="6">
        <v>2045</v>
      </c>
      <c r="C496" s="7">
        <v>2043</v>
      </c>
      <c r="D496" s="484" t="s">
        <v>4265</v>
      </c>
      <c r="E496" s="488">
        <v>0.14129514319861475</v>
      </c>
      <c r="F496" s="489">
        <v>0.16982153356158736</v>
      </c>
      <c r="G496" s="487">
        <v>6.0574653514786497E-3</v>
      </c>
      <c r="H496" s="8">
        <v>1.74988916348323E-2</v>
      </c>
      <c r="I496" s="8">
        <v>0.74841498435867304</v>
      </c>
      <c r="J496" s="8">
        <v>0.35520296588133099</v>
      </c>
      <c r="K496" s="8">
        <v>5.6550049496335696E-3</v>
      </c>
      <c r="L496" s="8">
        <v>2.0806975717670398E-3</v>
      </c>
      <c r="M496" s="8">
        <v>7.7480922216020898E-3</v>
      </c>
      <c r="N496" s="8">
        <v>2.6815687066257502E-3</v>
      </c>
      <c r="O496" s="8">
        <v>3.1930392705422403E-2</v>
      </c>
      <c r="P496" s="9">
        <v>5.0242873765345697E-2</v>
      </c>
      <c r="Q496" s="570">
        <v>5.9106991797431901E-3</v>
      </c>
    </row>
    <row r="497" spans="2:17" ht="15.75" x14ac:dyDescent="0.25">
      <c r="B497" s="6">
        <v>2045</v>
      </c>
      <c r="C497" s="7">
        <v>2044</v>
      </c>
      <c r="D497" s="484" t="s">
        <v>4266</v>
      </c>
      <c r="E497" s="488">
        <v>0.13809924739369436</v>
      </c>
      <c r="F497" s="489">
        <v>0.1595985277554384</v>
      </c>
      <c r="G497" s="487">
        <v>3.3044432409349502E-3</v>
      </c>
      <c r="H497" s="8">
        <v>1.58196194928319E-2</v>
      </c>
      <c r="I497" s="8">
        <v>0.72953112053796398</v>
      </c>
      <c r="J497" s="8">
        <v>9.9540206215788393E-2</v>
      </c>
      <c r="K497" s="8">
        <v>5.3410544506621504E-3</v>
      </c>
      <c r="L497" s="8">
        <v>2.0532769480455701E-3</v>
      </c>
      <c r="M497" s="8">
        <v>7.2740112265562203E-3</v>
      </c>
      <c r="N497" s="8">
        <v>2.5760021522735601E-3</v>
      </c>
      <c r="O497" s="8">
        <v>3.4601584189161899E-2</v>
      </c>
      <c r="P497" s="9">
        <v>4.8380679746573001E-2</v>
      </c>
      <c r="Q497" s="570">
        <v>5.5825532323429796E-3</v>
      </c>
    </row>
    <row r="498" spans="2:17" ht="15.75" x14ac:dyDescent="0.25">
      <c r="B498" s="6">
        <v>2045</v>
      </c>
      <c r="C498" s="7">
        <v>2045</v>
      </c>
      <c r="D498" s="484" t="s">
        <v>4267</v>
      </c>
      <c r="E498" s="488">
        <v>0.11814825884627506</v>
      </c>
      <c r="F498" s="489">
        <v>0.15602451356523714</v>
      </c>
      <c r="G498" s="487">
        <v>6.60073566871774E-3</v>
      </c>
      <c r="H498" s="8">
        <v>1.52672631914945E-2</v>
      </c>
      <c r="I498" s="8">
        <v>0.59907345287212199</v>
      </c>
      <c r="J498" s="8">
        <v>9.3674058484538497E-2</v>
      </c>
      <c r="K498" s="8">
        <v>4.8056122000813099E-3</v>
      </c>
      <c r="L498" s="8">
        <v>2.0749227917231899E-3</v>
      </c>
      <c r="M498" s="8">
        <v>5.2913103134028501E-3</v>
      </c>
      <c r="N498" s="8">
        <v>2.5325924716744601E-3</v>
      </c>
      <c r="O498" s="8">
        <v>4.3814083372081702E-2</v>
      </c>
      <c r="P498" s="9">
        <v>4.7614932980804797E-2</v>
      </c>
      <c r="Q498" s="570">
        <v>5.0229006591806704E-3</v>
      </c>
    </row>
    <row r="499" spans="2:17" ht="15.75" x14ac:dyDescent="0.25">
      <c r="B499" s="6">
        <v>2046</v>
      </c>
      <c r="C499" s="7">
        <v>2032</v>
      </c>
      <c r="D499" s="484" t="s">
        <v>4298</v>
      </c>
      <c r="E499" s="488">
        <v>0.14677874952376455</v>
      </c>
      <c r="F499" s="489">
        <v>0.20173282661554395</v>
      </c>
      <c r="G499" s="487">
        <v>1.07401543663205E-3</v>
      </c>
      <c r="H499" s="8">
        <v>2.2714322159521901E-2</v>
      </c>
      <c r="I499" s="8">
        <v>0.78589790694919903</v>
      </c>
      <c r="J499" s="8">
        <v>0.49905077298954198</v>
      </c>
      <c r="K499" s="8">
        <v>5.5559416598160499E-3</v>
      </c>
      <c r="L499" s="8">
        <v>2.20102650239783E-3</v>
      </c>
      <c r="M499" s="8">
        <v>8.1142135243363993E-3</v>
      </c>
      <c r="N499" s="8">
        <v>3.0000018168034001E-3</v>
      </c>
      <c r="O499" s="8">
        <v>3.08003964619676E-2</v>
      </c>
      <c r="P499" s="9">
        <v>5.5860033828879399E-2</v>
      </c>
      <c r="Q499" s="570">
        <v>5.8071566875469603E-3</v>
      </c>
    </row>
    <row r="500" spans="2:17" ht="15.75" x14ac:dyDescent="0.25">
      <c r="B500" s="6">
        <v>2046</v>
      </c>
      <c r="C500" s="7">
        <v>2033</v>
      </c>
      <c r="D500" s="484" t="s">
        <v>4299</v>
      </c>
      <c r="E500" s="488">
        <v>0.14618116508103415</v>
      </c>
      <c r="F500" s="489">
        <v>0.20186097667654859</v>
      </c>
      <c r="G500" s="487">
        <v>1.06724295042291E-3</v>
      </c>
      <c r="H500" s="8">
        <v>2.27341975112085E-2</v>
      </c>
      <c r="I500" s="8">
        <v>0.78209786060640896</v>
      </c>
      <c r="J500" s="8">
        <v>0.46063890076361103</v>
      </c>
      <c r="K500" s="8">
        <v>5.5348848610541797E-3</v>
      </c>
      <c r="L500" s="8">
        <v>2.1987817145401301E-3</v>
      </c>
      <c r="M500" s="8">
        <v>8.0488477073426892E-3</v>
      </c>
      <c r="N500" s="8">
        <v>3.0000018168034001E-3</v>
      </c>
      <c r="O500" s="8">
        <v>3.1120688965236801E-2</v>
      </c>
      <c r="P500" s="9">
        <v>5.5860033828879302E-2</v>
      </c>
      <c r="Q500" s="570">
        <v>5.7851477937832397E-3</v>
      </c>
    </row>
    <row r="501" spans="2:17" ht="15.75" x14ac:dyDescent="0.25">
      <c r="B501" s="6">
        <v>2046</v>
      </c>
      <c r="C501" s="7">
        <v>2034</v>
      </c>
      <c r="D501" s="484" t="s">
        <v>4300</v>
      </c>
      <c r="E501" s="488">
        <v>0.13258215275046772</v>
      </c>
      <c r="F501" s="489">
        <v>0.20169913153774979</v>
      </c>
      <c r="G501" s="487">
        <v>9.1333505118046496E-4</v>
      </c>
      <c r="H501" s="8">
        <v>2.2734455676446899E-2</v>
      </c>
      <c r="I501" s="8">
        <v>0.69579011997506701</v>
      </c>
      <c r="J501" s="8">
        <v>0.441281908572772</v>
      </c>
      <c r="K501" s="8">
        <v>5.02844603391804E-3</v>
      </c>
      <c r="L501" s="8">
        <v>2.2006740962970299E-3</v>
      </c>
      <c r="M501" s="8">
        <v>6.5589207243397897E-3</v>
      </c>
      <c r="N501" s="8">
        <v>3.0000018168034001E-3</v>
      </c>
      <c r="O501" s="8">
        <v>3.8421331181950999E-2</v>
      </c>
      <c r="P501" s="9">
        <v>5.5860033828879302E-2</v>
      </c>
      <c r="Q501" s="570">
        <v>5.255810050173E-3</v>
      </c>
    </row>
    <row r="502" spans="2:17" ht="15.75" x14ac:dyDescent="0.25">
      <c r="B502" s="6">
        <v>2046</v>
      </c>
      <c r="C502" s="7">
        <v>2035</v>
      </c>
      <c r="D502" s="484" t="s">
        <v>4301</v>
      </c>
      <c r="E502" s="488">
        <v>0.13938419858229409</v>
      </c>
      <c r="F502" s="489">
        <v>0.20148857193371064</v>
      </c>
      <c r="G502" s="487">
        <v>9.9004097460232698E-4</v>
      </c>
      <c r="H502" s="8">
        <v>2.2778837741970599E-2</v>
      </c>
      <c r="I502" s="8">
        <v>0.73872055618980004</v>
      </c>
      <c r="J502" s="8">
        <v>0.40402901762103399</v>
      </c>
      <c r="K502" s="8">
        <v>5.3015099233866799E-3</v>
      </c>
      <c r="L502" s="8">
        <v>2.1979220095438498E-3</v>
      </c>
      <c r="M502" s="8">
        <v>7.3073520183716198E-3</v>
      </c>
      <c r="N502" s="8">
        <v>3.0000018168034001E-3</v>
      </c>
      <c r="O502" s="8">
        <v>3.4754017841195001E-2</v>
      </c>
      <c r="P502" s="9">
        <v>5.5860033828879302E-2</v>
      </c>
      <c r="Q502" s="570">
        <v>5.5412206770203499E-3</v>
      </c>
    </row>
    <row r="503" spans="2:17" ht="15.75" x14ac:dyDescent="0.25">
      <c r="B503" s="6">
        <v>2046</v>
      </c>
      <c r="C503" s="7">
        <v>2036</v>
      </c>
      <c r="D503" s="484" t="s">
        <v>4302</v>
      </c>
      <c r="E503" s="488">
        <v>0.1187994629194086</v>
      </c>
      <c r="F503" s="489">
        <v>0.14126705261063419</v>
      </c>
      <c r="G503" s="487">
        <v>3.81544605764604E-3</v>
      </c>
      <c r="H503" s="8">
        <v>1.17505497790852E-2</v>
      </c>
      <c r="I503" s="8">
        <v>0.60766143583899501</v>
      </c>
      <c r="J503" s="8">
        <v>0.17304063504008699</v>
      </c>
      <c r="K503" s="8">
        <v>4.8579764068221601E-3</v>
      </c>
      <c r="L503" s="8">
        <v>2.05135224036628E-3</v>
      </c>
      <c r="M503" s="8">
        <v>5.16539278496505E-3</v>
      </c>
      <c r="N503" s="8">
        <v>2.3776577685910602E-3</v>
      </c>
      <c r="O503" s="8">
        <v>4.4911431327359898E-2</v>
      </c>
      <c r="P503" s="9">
        <v>4.4881884818413702E-2</v>
      </c>
      <c r="Q503" s="570">
        <v>5.07763254298763E-3</v>
      </c>
    </row>
    <row r="504" spans="2:17" ht="15.75" x14ac:dyDescent="0.25">
      <c r="B504" s="6">
        <v>2046</v>
      </c>
      <c r="C504" s="7">
        <v>2037</v>
      </c>
      <c r="D504" s="484" t="s">
        <v>4303</v>
      </c>
      <c r="E504" s="488">
        <v>0.12864160531968821</v>
      </c>
      <c r="F504" s="489">
        <v>0.1839708111910624</v>
      </c>
      <c r="G504" s="487">
        <v>2.7209028376147101E-3</v>
      </c>
      <c r="H504" s="8">
        <v>1.9524306636206901E-2</v>
      </c>
      <c r="I504" s="8">
        <v>0.67036754016044597</v>
      </c>
      <c r="J504" s="8">
        <v>0.31053743622845997</v>
      </c>
      <c r="K504" s="8">
        <v>5.0771529964652902E-3</v>
      </c>
      <c r="L504" s="8">
        <v>2.1344148544073902E-3</v>
      </c>
      <c r="M504" s="8">
        <v>6.1986379626746899E-3</v>
      </c>
      <c r="N504" s="8">
        <v>2.82149628293065E-3</v>
      </c>
      <c r="O504" s="8">
        <v>3.9978529350713499E-2</v>
      </c>
      <c r="P504" s="9">
        <v>5.2711196211363998E-2</v>
      </c>
      <c r="Q504" s="570">
        <v>5.3067193254327004E-3</v>
      </c>
    </row>
    <row r="505" spans="2:17" ht="15.75" x14ac:dyDescent="0.25">
      <c r="B505" s="6">
        <v>2046</v>
      </c>
      <c r="C505" s="7">
        <v>2038</v>
      </c>
      <c r="D505" s="484" t="s">
        <v>4304</v>
      </c>
      <c r="E505" s="488">
        <v>0.12921149718672673</v>
      </c>
      <c r="F505" s="489">
        <v>0.18753808633055719</v>
      </c>
      <c r="G505" s="487">
        <v>1.03054026009085E-2</v>
      </c>
      <c r="H505" s="8">
        <v>2.0210418604595101E-2</v>
      </c>
      <c r="I505" s="8">
        <v>0.67126063189639296</v>
      </c>
      <c r="J505" s="8">
        <v>0.30822938713187498</v>
      </c>
      <c r="K505" s="8">
        <v>5.9136133022995099E-3</v>
      </c>
      <c r="L505" s="8">
        <v>2.1514985729670102E-3</v>
      </c>
      <c r="M505" s="8">
        <v>6.5644518818385698E-3</v>
      </c>
      <c r="N505" s="8">
        <v>2.8592392578963301E-3</v>
      </c>
      <c r="O505" s="8">
        <v>3.7332662357219798E-2</v>
      </c>
      <c r="P505" s="9">
        <v>5.33769822897587E-2</v>
      </c>
      <c r="Q505" s="570">
        <v>6.1810006545591099E-3</v>
      </c>
    </row>
    <row r="506" spans="2:17" ht="15.75" x14ac:dyDescent="0.25">
      <c r="B506" s="6">
        <v>2046</v>
      </c>
      <c r="C506" s="7">
        <v>2039</v>
      </c>
      <c r="D506" s="484" t="s">
        <v>4305</v>
      </c>
      <c r="E506" s="488">
        <v>0.13245423191808509</v>
      </c>
      <c r="F506" s="489">
        <v>0.16469967062808247</v>
      </c>
      <c r="G506" s="487">
        <v>2.7312698139898401E-3</v>
      </c>
      <c r="H506" s="8">
        <v>1.6252605399715798E-2</v>
      </c>
      <c r="I506" s="8">
        <v>0.69448856239002399</v>
      </c>
      <c r="J506" s="8">
        <v>0.22471522049078299</v>
      </c>
      <c r="K506" s="8">
        <v>5.1935793938202796E-3</v>
      </c>
      <c r="L506" s="8">
        <v>1.9715876798032102E-3</v>
      </c>
      <c r="M506" s="8">
        <v>6.6175968151172401E-3</v>
      </c>
      <c r="N506" s="8">
        <v>2.6529408954991699E-3</v>
      </c>
      <c r="O506" s="8">
        <v>3.7921913826497497E-2</v>
      </c>
      <c r="P506" s="9">
        <v>4.9737879177072598E-2</v>
      </c>
      <c r="Q506" s="570">
        <v>5.4284100078415996E-3</v>
      </c>
    </row>
    <row r="507" spans="2:17" ht="15.75" x14ac:dyDescent="0.25">
      <c r="B507" s="6">
        <v>2046</v>
      </c>
      <c r="C507" s="7">
        <v>2040</v>
      </c>
      <c r="D507" s="484" t="s">
        <v>4306</v>
      </c>
      <c r="E507" s="488">
        <v>0.14690606418343907</v>
      </c>
      <c r="F507" s="489">
        <v>0.17730838311072425</v>
      </c>
      <c r="G507" s="487">
        <v>2.8479605556853199E-3</v>
      </c>
      <c r="H507" s="8">
        <v>1.8354087612796902E-2</v>
      </c>
      <c r="I507" s="8">
        <v>0.785807638587671</v>
      </c>
      <c r="J507" s="8">
        <v>0.237784469916024</v>
      </c>
      <c r="K507" s="8">
        <v>5.7469161087756399E-3</v>
      </c>
      <c r="L507" s="8">
        <v>2.1025068486051398E-3</v>
      </c>
      <c r="M507" s="8">
        <v>8.2057570059609793E-3</v>
      </c>
      <c r="N507" s="8">
        <v>2.75807991194265E-3</v>
      </c>
      <c r="O507" s="8">
        <v>3.0140799424391101E-2</v>
      </c>
      <c r="P507" s="9">
        <v>5.1592531427135699E-2</v>
      </c>
      <c r="Q507" s="570">
        <v>6.0067661536519403E-3</v>
      </c>
    </row>
    <row r="508" spans="2:17" ht="15.75" x14ac:dyDescent="0.25">
      <c r="B508" s="6">
        <v>2046</v>
      </c>
      <c r="C508" s="7">
        <v>2041</v>
      </c>
      <c r="D508" s="484" t="s">
        <v>4307</v>
      </c>
      <c r="E508" s="488">
        <v>0.13059318680233939</v>
      </c>
      <c r="F508" s="489">
        <v>0.16233438049597396</v>
      </c>
      <c r="G508" s="487">
        <v>8.7971039714716901E-3</v>
      </c>
      <c r="H508" s="8">
        <v>1.5720491595227499E-2</v>
      </c>
      <c r="I508" s="8">
        <v>0.67995119068522702</v>
      </c>
      <c r="J508" s="8">
        <v>0.24370208998351101</v>
      </c>
      <c r="K508" s="8">
        <v>5.6378383017814697E-3</v>
      </c>
      <c r="L508" s="8">
        <v>1.9662474639579801E-3</v>
      </c>
      <c r="M508" s="8">
        <v>6.6795095467754298E-3</v>
      </c>
      <c r="N508" s="8">
        <v>2.6277354214106E-3</v>
      </c>
      <c r="O508" s="8">
        <v>3.6869789485783198E-2</v>
      </c>
      <c r="P508" s="9">
        <v>4.9293254614150302E-2</v>
      </c>
      <c r="Q508" s="570">
        <v>5.8927563322510902E-3</v>
      </c>
    </row>
    <row r="509" spans="2:17" ht="15.75" x14ac:dyDescent="0.25">
      <c r="B509" s="6">
        <v>2046</v>
      </c>
      <c r="C509" s="7">
        <v>2042</v>
      </c>
      <c r="D509" s="484" t="s">
        <v>4308</v>
      </c>
      <c r="E509" s="488">
        <v>0.14384955791605086</v>
      </c>
      <c r="F509" s="489">
        <v>0.15362450808372283</v>
      </c>
      <c r="G509" s="487">
        <v>4.6087514383102704E-3</v>
      </c>
      <c r="H509" s="8">
        <v>1.42938734897184E-2</v>
      </c>
      <c r="I509" s="8">
        <v>0.76439539794026601</v>
      </c>
      <c r="J509" s="8">
        <v>0.33045460602534998</v>
      </c>
      <c r="K509" s="8">
        <v>5.8093135763658196E-3</v>
      </c>
      <c r="L509" s="8">
        <v>1.81174958120177E-3</v>
      </c>
      <c r="M509" s="8">
        <v>7.9690854335281204E-3</v>
      </c>
      <c r="N509" s="8">
        <v>2.5694481042147698E-3</v>
      </c>
      <c r="O509" s="8">
        <v>3.1066611307480799E-2</v>
      </c>
      <c r="P509" s="9">
        <v>4.8265066338815797E-2</v>
      </c>
      <c r="Q509" s="570">
        <v>6.0719849578418804E-3</v>
      </c>
    </row>
    <row r="510" spans="2:17" ht="15.75" x14ac:dyDescent="0.25">
      <c r="B510" s="6">
        <v>2046</v>
      </c>
      <c r="C510" s="7">
        <v>2043</v>
      </c>
      <c r="D510" s="484" t="s">
        <v>4309</v>
      </c>
      <c r="E510" s="488">
        <v>0.14129514319861475</v>
      </c>
      <c r="F510" s="489">
        <v>0.16982131648975729</v>
      </c>
      <c r="G510" s="487">
        <v>6.2001614170160303E-3</v>
      </c>
      <c r="H510" s="8">
        <v>1.7067424815433298E-2</v>
      </c>
      <c r="I510" s="8">
        <v>0.74855969012397505</v>
      </c>
      <c r="J510" s="8">
        <v>0.43260897642578899</v>
      </c>
      <c r="K510" s="8">
        <v>5.7154220112046704E-3</v>
      </c>
      <c r="L510" s="8">
        <v>2.0806975717670398E-3</v>
      </c>
      <c r="M510" s="8">
        <v>7.7480922216020898E-3</v>
      </c>
      <c r="N510" s="8">
        <v>2.6815687066257502E-3</v>
      </c>
      <c r="O510" s="8">
        <v>3.1930392705422403E-2</v>
      </c>
      <c r="P510" s="9">
        <v>5.0242873765345697E-2</v>
      </c>
      <c r="Q510" s="570">
        <v>5.9738480327417897E-3</v>
      </c>
    </row>
    <row r="511" spans="2:17" ht="15.75" x14ac:dyDescent="0.25">
      <c r="B511" s="6">
        <v>2046</v>
      </c>
      <c r="C511" s="7">
        <v>2044</v>
      </c>
      <c r="D511" s="484" t="s">
        <v>4310</v>
      </c>
      <c r="E511" s="488">
        <v>0.13809924739369436</v>
      </c>
      <c r="F511" s="489">
        <v>0.15960208003695517</v>
      </c>
      <c r="G511" s="487">
        <v>3.3754179111795202E-3</v>
      </c>
      <c r="H511" s="8">
        <v>1.5819507133869402E-2</v>
      </c>
      <c r="I511" s="8">
        <v>0.729603095233192</v>
      </c>
      <c r="J511" s="8">
        <v>0.118035660520622</v>
      </c>
      <c r="K511" s="8">
        <v>5.37110550461024E-3</v>
      </c>
      <c r="L511" s="8">
        <v>2.0532769480455701E-3</v>
      </c>
      <c r="M511" s="8">
        <v>7.2740112265562203E-3</v>
      </c>
      <c r="N511" s="8">
        <v>2.5760021522735601E-3</v>
      </c>
      <c r="O511" s="8">
        <v>3.4601584189161899E-2</v>
      </c>
      <c r="P511" s="9">
        <v>4.8380679746573001E-2</v>
      </c>
      <c r="Q511" s="570">
        <v>5.6139630616010303E-3</v>
      </c>
    </row>
    <row r="512" spans="2:17" ht="15.75" x14ac:dyDescent="0.25">
      <c r="B512" s="6">
        <v>2046</v>
      </c>
      <c r="C512" s="7">
        <v>2045</v>
      </c>
      <c r="D512" s="484" t="s">
        <v>4311</v>
      </c>
      <c r="E512" s="488">
        <v>0.11814825884627506</v>
      </c>
      <c r="F512" s="489">
        <v>0.1560275697560401</v>
      </c>
      <c r="G512" s="487">
        <v>6.7930122686947897E-3</v>
      </c>
      <c r="H512" s="8">
        <v>1.52672652541844E-2</v>
      </c>
      <c r="I512" s="8">
        <v>0.59926835474905804</v>
      </c>
      <c r="J512" s="8">
        <v>0.10948378608102401</v>
      </c>
      <c r="K512" s="8">
        <v>4.8869609109144499E-3</v>
      </c>
      <c r="L512" s="8">
        <v>2.0749227917231799E-3</v>
      </c>
      <c r="M512" s="8">
        <v>5.2913103134028501E-3</v>
      </c>
      <c r="N512" s="8">
        <v>2.5325924716744601E-3</v>
      </c>
      <c r="O512" s="8">
        <v>4.3814083372081702E-2</v>
      </c>
      <c r="P512" s="9">
        <v>4.7614932980804797E-2</v>
      </c>
      <c r="Q512" s="570">
        <v>5.1079275977381298E-3</v>
      </c>
    </row>
    <row r="513" spans="2:17" ht="15.75" x14ac:dyDescent="0.25">
      <c r="B513" s="6">
        <v>2046</v>
      </c>
      <c r="C513" s="7">
        <v>2046</v>
      </c>
      <c r="D513" s="484" t="s">
        <v>4312</v>
      </c>
      <c r="E513" s="488">
        <v>0.14719409431261388</v>
      </c>
      <c r="F513" s="489">
        <v>0.14084462560280148</v>
      </c>
      <c r="G513" s="487">
        <v>2.18950014224265E-3</v>
      </c>
      <c r="H513" s="8">
        <v>1.27818217841612E-2</v>
      </c>
      <c r="I513" s="8">
        <v>0.78769911909946</v>
      </c>
      <c r="J513" s="8">
        <v>8.1536497421213897E-2</v>
      </c>
      <c r="K513" s="8">
        <v>5.6215637248341003E-3</v>
      </c>
      <c r="L513" s="8">
        <v>1.7988958215553099E-3</v>
      </c>
      <c r="M513" s="8">
        <v>8.2165641237717905E-3</v>
      </c>
      <c r="N513" s="8">
        <v>2.4323366456766001E-3</v>
      </c>
      <c r="O513" s="8">
        <v>3.0143457060111199E-2</v>
      </c>
      <c r="P513" s="9">
        <v>4.58464202102025E-2</v>
      </c>
      <c r="Q513" s="570">
        <v>5.8757458911515197E-3</v>
      </c>
    </row>
    <row r="514" spans="2:17" ht="15.75" x14ac:dyDescent="0.25">
      <c r="B514" s="6">
        <v>2047</v>
      </c>
      <c r="C514" s="7">
        <v>2033</v>
      </c>
      <c r="D514" s="484" t="s">
        <v>4343</v>
      </c>
      <c r="E514" s="488">
        <v>0.14618116508103415</v>
      </c>
      <c r="F514" s="489">
        <v>0.20186748851491126</v>
      </c>
      <c r="G514" s="487">
        <v>1.06724295042291E-3</v>
      </c>
      <c r="H514" s="8">
        <v>2.27341975112085E-2</v>
      </c>
      <c r="I514" s="8">
        <v>0.78209786060640896</v>
      </c>
      <c r="J514" s="8">
        <v>0.49639801936963701</v>
      </c>
      <c r="K514" s="8">
        <v>5.5348848610541797E-3</v>
      </c>
      <c r="L514" s="8">
        <v>2.1987817145401301E-3</v>
      </c>
      <c r="M514" s="8">
        <v>8.0488477073426892E-3</v>
      </c>
      <c r="N514" s="8">
        <v>3.0000018168034001E-3</v>
      </c>
      <c r="O514" s="8">
        <v>3.1120688965236801E-2</v>
      </c>
      <c r="P514" s="9">
        <v>5.5860033828879302E-2</v>
      </c>
      <c r="Q514" s="570">
        <v>5.7851477937832397E-3</v>
      </c>
    </row>
    <row r="515" spans="2:17" ht="15.75" x14ac:dyDescent="0.25">
      <c r="B515" s="6">
        <v>2047</v>
      </c>
      <c r="C515" s="7">
        <v>2034</v>
      </c>
      <c r="D515" s="484" t="s">
        <v>4344</v>
      </c>
      <c r="E515" s="488">
        <v>0.13258215275046772</v>
      </c>
      <c r="F515" s="489">
        <v>0.201702666196415</v>
      </c>
      <c r="G515" s="487">
        <v>9.1333505118046496E-4</v>
      </c>
      <c r="H515" s="8">
        <v>2.2734455676446899E-2</v>
      </c>
      <c r="I515" s="8">
        <v>0.69579011997506701</v>
      </c>
      <c r="J515" s="8">
        <v>0.462122446869079</v>
      </c>
      <c r="K515" s="8">
        <v>5.02844603391804E-3</v>
      </c>
      <c r="L515" s="8">
        <v>2.2006740962970299E-3</v>
      </c>
      <c r="M515" s="8">
        <v>6.5589207243397897E-3</v>
      </c>
      <c r="N515" s="8">
        <v>3.0000018168034001E-3</v>
      </c>
      <c r="O515" s="8">
        <v>3.8421331181950999E-2</v>
      </c>
      <c r="P515" s="9">
        <v>5.5860033828879302E-2</v>
      </c>
      <c r="Q515" s="570">
        <v>5.2558100501730104E-3</v>
      </c>
    </row>
    <row r="516" spans="2:17" ht="15.75" x14ac:dyDescent="0.25">
      <c r="B516" s="6">
        <v>2047</v>
      </c>
      <c r="C516" s="7">
        <v>2035</v>
      </c>
      <c r="D516" s="484" t="s">
        <v>4345</v>
      </c>
      <c r="E516" s="488">
        <v>0.13938419858229409</v>
      </c>
      <c r="F516" s="489">
        <v>0.20149408514227299</v>
      </c>
      <c r="G516" s="487">
        <v>9.9004097460232698E-4</v>
      </c>
      <c r="H516" s="8">
        <v>2.2778837741970599E-2</v>
      </c>
      <c r="I516" s="8">
        <v>0.73872055618980004</v>
      </c>
      <c r="J516" s="8">
        <v>0.43652357420565002</v>
      </c>
      <c r="K516" s="8">
        <v>5.3015099233866703E-3</v>
      </c>
      <c r="L516" s="8">
        <v>2.1979220095438498E-3</v>
      </c>
      <c r="M516" s="8">
        <v>7.3073520183716198E-3</v>
      </c>
      <c r="N516" s="8">
        <v>3.0000018168034001E-3</v>
      </c>
      <c r="O516" s="8">
        <v>3.4754017841195001E-2</v>
      </c>
      <c r="P516" s="9">
        <v>5.5860033828879302E-2</v>
      </c>
      <c r="Q516" s="570">
        <v>5.5412206770203499E-3</v>
      </c>
    </row>
    <row r="517" spans="2:17" ht="15.75" x14ac:dyDescent="0.25">
      <c r="B517" s="6">
        <v>2047</v>
      </c>
      <c r="C517" s="7">
        <v>2036</v>
      </c>
      <c r="D517" s="484" t="s">
        <v>4346</v>
      </c>
      <c r="E517" s="488">
        <v>0.12171469320699414</v>
      </c>
      <c r="F517" s="489">
        <v>0.20174345401218044</v>
      </c>
      <c r="G517" s="487">
        <v>7.9051800646037795E-4</v>
      </c>
      <c r="H517" s="8">
        <v>2.2711458154356299E-2</v>
      </c>
      <c r="I517" s="8">
        <v>0.62700851875658203</v>
      </c>
      <c r="J517" s="8">
        <v>0.40938128085563302</v>
      </c>
      <c r="K517" s="8">
        <v>4.6076924418551003E-3</v>
      </c>
      <c r="L517" s="8">
        <v>2.1997365064592E-3</v>
      </c>
      <c r="M517" s="8">
        <v>5.3655720053423098E-3</v>
      </c>
      <c r="N517" s="8">
        <v>3.0000018168034001E-3</v>
      </c>
      <c r="O517" s="8">
        <v>4.4268739905038601E-2</v>
      </c>
      <c r="P517" s="9">
        <v>5.5860033828879302E-2</v>
      </c>
      <c r="Q517" s="570">
        <v>4.8160318477433999E-3</v>
      </c>
    </row>
    <row r="518" spans="2:17" ht="15.75" x14ac:dyDescent="0.25">
      <c r="B518" s="6">
        <v>2047</v>
      </c>
      <c r="C518" s="7">
        <v>2037</v>
      </c>
      <c r="D518" s="484" t="s">
        <v>4347</v>
      </c>
      <c r="E518" s="488">
        <v>0.12864160531968821</v>
      </c>
      <c r="F518" s="489">
        <v>0.18397520388206987</v>
      </c>
      <c r="G518" s="487">
        <v>2.7512884111624502E-3</v>
      </c>
      <c r="H518" s="8">
        <v>1.95184700984023E-2</v>
      </c>
      <c r="I518" s="8">
        <v>0.670398355151823</v>
      </c>
      <c r="J518" s="8">
        <v>0.33649042178069699</v>
      </c>
      <c r="K518" s="8">
        <v>5.0900190934865704E-3</v>
      </c>
      <c r="L518" s="8">
        <v>2.1344148544073902E-3</v>
      </c>
      <c r="M518" s="8">
        <v>6.1986379626746899E-3</v>
      </c>
      <c r="N518" s="8">
        <v>2.82149628293065E-3</v>
      </c>
      <c r="O518" s="8">
        <v>3.9978529350713499E-2</v>
      </c>
      <c r="P518" s="9">
        <v>5.2711196211363998E-2</v>
      </c>
      <c r="Q518" s="570">
        <v>5.3201671702688301E-3</v>
      </c>
    </row>
    <row r="519" spans="2:17" ht="15.75" x14ac:dyDescent="0.25">
      <c r="B519" s="6">
        <v>2047</v>
      </c>
      <c r="C519" s="7">
        <v>2038</v>
      </c>
      <c r="D519" s="484" t="s">
        <v>4348</v>
      </c>
      <c r="E519" s="488">
        <v>0.12921149718672673</v>
      </c>
      <c r="F519" s="489">
        <v>0.18753995242166702</v>
      </c>
      <c r="G519" s="487">
        <v>1.0473512006133201E-2</v>
      </c>
      <c r="H519" s="8">
        <v>2.0206819671754701E-2</v>
      </c>
      <c r="I519" s="8">
        <v>0.67143020482667204</v>
      </c>
      <c r="J519" s="8">
        <v>0.31904965200614299</v>
      </c>
      <c r="K519" s="8">
        <v>5.9841105621311202E-3</v>
      </c>
      <c r="L519" s="8">
        <v>2.1514985729670102E-3</v>
      </c>
      <c r="M519" s="8">
        <v>6.5644518818385802E-3</v>
      </c>
      <c r="N519" s="8">
        <v>2.8592392578963301E-3</v>
      </c>
      <c r="O519" s="8">
        <v>3.7332662357219798E-2</v>
      </c>
      <c r="P519" s="9">
        <v>5.33769822897587E-2</v>
      </c>
      <c r="Q519" s="570">
        <v>6.2546854876533399E-3</v>
      </c>
    </row>
    <row r="520" spans="2:17" ht="15.75" x14ac:dyDescent="0.25">
      <c r="B520" s="6">
        <v>2047</v>
      </c>
      <c r="C520" s="7">
        <v>2039</v>
      </c>
      <c r="D520" s="484" t="s">
        <v>4349</v>
      </c>
      <c r="E520" s="488">
        <v>0.13245423191808509</v>
      </c>
      <c r="F520" s="489">
        <v>0.16470289658886292</v>
      </c>
      <c r="G520" s="487">
        <v>2.7664156056232802E-3</v>
      </c>
      <c r="H520" s="8">
        <v>1.6259255346234101E-2</v>
      </c>
      <c r="I520" s="8">
        <v>0.69452418623832801</v>
      </c>
      <c r="J520" s="8">
        <v>0.242703433685203</v>
      </c>
      <c r="K520" s="8">
        <v>5.2084477210230301E-3</v>
      </c>
      <c r="L520" s="8">
        <v>1.9715876798032102E-3</v>
      </c>
      <c r="M520" s="8">
        <v>6.6175968151172496E-3</v>
      </c>
      <c r="N520" s="8">
        <v>2.6529408954991699E-3</v>
      </c>
      <c r="O520" s="8">
        <v>3.7921913826497497E-2</v>
      </c>
      <c r="P520" s="9">
        <v>4.9737879177072598E-2</v>
      </c>
      <c r="Q520" s="570">
        <v>5.44395061482323E-3</v>
      </c>
    </row>
    <row r="521" spans="2:17" ht="15.75" x14ac:dyDescent="0.25">
      <c r="B521" s="6">
        <v>2047</v>
      </c>
      <c r="C521" s="7">
        <v>2040</v>
      </c>
      <c r="D521" s="484" t="s">
        <v>4350</v>
      </c>
      <c r="E521" s="488">
        <v>0.14690606418343907</v>
      </c>
      <c r="F521" s="489">
        <v>0.17731176851035244</v>
      </c>
      <c r="G521" s="487">
        <v>2.8850024666474501E-3</v>
      </c>
      <c r="H521" s="8">
        <v>1.8382655666323501E-2</v>
      </c>
      <c r="I521" s="8">
        <v>0.78584520111814504</v>
      </c>
      <c r="J521" s="8">
        <v>0.25589179022879199</v>
      </c>
      <c r="K521" s="8">
        <v>5.7625985840894199E-3</v>
      </c>
      <c r="L521" s="8">
        <v>2.1025068486051398E-3</v>
      </c>
      <c r="M521" s="8">
        <v>8.2057570059609897E-3</v>
      </c>
      <c r="N521" s="8">
        <v>2.75807991194265E-3</v>
      </c>
      <c r="O521" s="8">
        <v>3.0140799424391101E-2</v>
      </c>
      <c r="P521" s="9">
        <v>5.1592531427135699E-2</v>
      </c>
      <c r="Q521" s="570">
        <v>6.0231577209094497E-3</v>
      </c>
    </row>
    <row r="522" spans="2:17" ht="15.75" x14ac:dyDescent="0.25">
      <c r="B522" s="6">
        <v>2047</v>
      </c>
      <c r="C522" s="7">
        <v>2041</v>
      </c>
      <c r="D522" s="484" t="s">
        <v>4351</v>
      </c>
      <c r="E522" s="488">
        <v>0.13059318680233939</v>
      </c>
      <c r="F522" s="489">
        <v>0.16233777119324788</v>
      </c>
      <c r="G522" s="487">
        <v>8.9755163536190501E-3</v>
      </c>
      <c r="H522" s="8">
        <v>1.5794239903045199E-2</v>
      </c>
      <c r="I522" s="8">
        <v>0.68013200125317097</v>
      </c>
      <c r="J522" s="8">
        <v>0.26880786212600799</v>
      </c>
      <c r="K522" s="8">
        <v>5.7132903294045299E-3</v>
      </c>
      <c r="L522" s="8">
        <v>1.9662474639579801E-3</v>
      </c>
      <c r="M522" s="8">
        <v>6.6795095467754298E-3</v>
      </c>
      <c r="N522" s="8">
        <v>2.6277354214106E-3</v>
      </c>
      <c r="O522" s="8">
        <v>3.6869789485783198E-2</v>
      </c>
      <c r="P522" s="9">
        <v>4.9293254614150302E-2</v>
      </c>
      <c r="Q522" s="570">
        <v>5.9716199657498499E-3</v>
      </c>
    </row>
    <row r="523" spans="2:17" ht="15.75" x14ac:dyDescent="0.25">
      <c r="B523" s="6">
        <v>2047</v>
      </c>
      <c r="C523" s="7">
        <v>2042</v>
      </c>
      <c r="D523" s="484" t="s">
        <v>4352</v>
      </c>
      <c r="E523" s="488">
        <v>0.14384955791605086</v>
      </c>
      <c r="F523" s="489">
        <v>0.15362680245304289</v>
      </c>
      <c r="G523" s="487">
        <v>4.6956353374532599E-3</v>
      </c>
      <c r="H523" s="8">
        <v>1.4350355718855999E-2</v>
      </c>
      <c r="I523" s="8">
        <v>0.76448349611313304</v>
      </c>
      <c r="J523" s="8">
        <v>0.37106886481450002</v>
      </c>
      <c r="K523" s="8">
        <v>5.8460926412769697E-3</v>
      </c>
      <c r="L523" s="8">
        <v>1.81174958120177E-3</v>
      </c>
      <c r="M523" s="8">
        <v>7.9690854335281308E-3</v>
      </c>
      <c r="N523" s="8">
        <v>2.5694481042147698E-3</v>
      </c>
      <c r="O523" s="8">
        <v>3.1066611307480799E-2</v>
      </c>
      <c r="P523" s="9">
        <v>4.8265066338815797E-2</v>
      </c>
      <c r="Q523" s="570">
        <v>6.1104270088636302E-3</v>
      </c>
    </row>
    <row r="524" spans="2:17" ht="15.75" x14ac:dyDescent="0.25">
      <c r="B524" s="6">
        <v>2047</v>
      </c>
      <c r="C524" s="7">
        <v>2043</v>
      </c>
      <c r="D524" s="484" t="s">
        <v>4353</v>
      </c>
      <c r="E524" s="488">
        <v>0.14129514319861447</v>
      </c>
      <c r="F524" s="489">
        <v>0.16982503256917394</v>
      </c>
      <c r="G524" s="487">
        <v>6.3363167198433002E-3</v>
      </c>
      <c r="H524" s="8">
        <v>1.6938038873157101E-2</v>
      </c>
      <c r="I524" s="8">
        <v>0.74869776405546495</v>
      </c>
      <c r="J524" s="8">
        <v>0.52051556243758301</v>
      </c>
      <c r="K524" s="8">
        <v>5.7730701946152102E-3</v>
      </c>
      <c r="L524" s="8">
        <v>2.0806975717670398E-3</v>
      </c>
      <c r="M524" s="8">
        <v>7.7480922216020898E-3</v>
      </c>
      <c r="N524" s="8">
        <v>2.6815687066257502E-3</v>
      </c>
      <c r="O524" s="8">
        <v>3.1930392705422403E-2</v>
      </c>
      <c r="P524" s="9">
        <v>5.0242873765345697E-2</v>
      </c>
      <c r="Q524" s="570">
        <v>6.0341028111961298E-3</v>
      </c>
    </row>
    <row r="525" spans="2:17" ht="15.75" x14ac:dyDescent="0.25">
      <c r="B525" s="6">
        <v>2047</v>
      </c>
      <c r="C525" s="7">
        <v>2044</v>
      </c>
      <c r="D525" s="484" t="s">
        <v>4354</v>
      </c>
      <c r="E525" s="488">
        <v>0.13809924739369436</v>
      </c>
      <c r="F525" s="489">
        <v>0.15959974322875331</v>
      </c>
      <c r="G525" s="487">
        <v>3.4432816965107998E-3</v>
      </c>
      <c r="H525" s="8">
        <v>1.5111438866171599E-2</v>
      </c>
      <c r="I525" s="8">
        <v>0.72967191589501501</v>
      </c>
      <c r="J525" s="8">
        <v>0.130006898663101</v>
      </c>
      <c r="K525" s="8">
        <v>5.3998396879486304E-3</v>
      </c>
      <c r="L525" s="8">
        <v>2.0532769480455701E-3</v>
      </c>
      <c r="M525" s="8">
        <v>7.2740112265562203E-3</v>
      </c>
      <c r="N525" s="8">
        <v>2.5760021522735601E-3</v>
      </c>
      <c r="O525" s="8">
        <v>3.4601584189161899E-2</v>
      </c>
      <c r="P525" s="9">
        <v>4.8380679746573001E-2</v>
      </c>
      <c r="Q525" s="570">
        <v>5.6439964772039396E-3</v>
      </c>
    </row>
    <row r="526" spans="2:17" ht="15.75" x14ac:dyDescent="0.25">
      <c r="B526" s="6">
        <v>2047</v>
      </c>
      <c r="C526" s="7">
        <v>2045</v>
      </c>
      <c r="D526" s="484" t="s">
        <v>4355</v>
      </c>
      <c r="E526" s="488">
        <v>0.11814825884627506</v>
      </c>
      <c r="F526" s="489">
        <v>0.15603088760261416</v>
      </c>
      <c r="G526" s="487">
        <v>6.9772144290750999E-3</v>
      </c>
      <c r="H526" s="8">
        <v>1.5267277764067701E-2</v>
      </c>
      <c r="I526" s="8">
        <v>0.59945507432515099</v>
      </c>
      <c r="J526" s="8">
        <v>0.12695686951483401</v>
      </c>
      <c r="K526" s="8">
        <v>4.9648944858103798E-3</v>
      </c>
      <c r="L526" s="8">
        <v>2.0749227917231899E-3</v>
      </c>
      <c r="M526" s="8">
        <v>5.2913103134028397E-3</v>
      </c>
      <c r="N526" s="8">
        <v>2.5325924716744601E-3</v>
      </c>
      <c r="O526" s="8">
        <v>4.3814083372081702E-2</v>
      </c>
      <c r="P526" s="9">
        <v>4.7614932980804797E-2</v>
      </c>
      <c r="Q526" s="570">
        <v>5.1893849830657399E-3</v>
      </c>
    </row>
    <row r="527" spans="2:17" ht="15.75" x14ac:dyDescent="0.25">
      <c r="B527" s="6">
        <v>2047</v>
      </c>
      <c r="C527" s="7">
        <v>2046</v>
      </c>
      <c r="D527" s="484" t="s">
        <v>4356</v>
      </c>
      <c r="E527" s="488">
        <v>0.14719409431261388</v>
      </c>
      <c r="F527" s="489">
        <v>0.14084720861787423</v>
      </c>
      <c r="G527" s="487">
        <v>2.2260059987665899E-3</v>
      </c>
      <c r="H527" s="8">
        <v>1.27818242385593E-2</v>
      </c>
      <c r="I527" s="8">
        <v>0.78773612464184495</v>
      </c>
      <c r="J527" s="8">
        <v>9.4511792783489396E-2</v>
      </c>
      <c r="K527" s="8">
        <v>5.6370096196976796E-3</v>
      </c>
      <c r="L527" s="8">
        <v>1.7988958215553099E-3</v>
      </c>
      <c r="M527" s="8">
        <v>8.2165641237717992E-3</v>
      </c>
      <c r="N527" s="8">
        <v>2.4323366456766001E-3</v>
      </c>
      <c r="O527" s="8">
        <v>3.0143457060111199E-2</v>
      </c>
      <c r="P527" s="9">
        <v>4.58464202102025E-2</v>
      </c>
      <c r="Q527" s="570">
        <v>5.8918901808406804E-3</v>
      </c>
    </row>
    <row r="528" spans="2:17" ht="15.75" x14ac:dyDescent="0.25">
      <c r="B528" s="6">
        <v>2047</v>
      </c>
      <c r="C528" s="7">
        <v>2047</v>
      </c>
      <c r="D528" s="484" t="s">
        <v>4357</v>
      </c>
      <c r="E528" s="488">
        <v>0.14344412498178949</v>
      </c>
      <c r="F528" s="489">
        <v>0.14544933542018562</v>
      </c>
      <c r="G528" s="487">
        <v>2.4425948344251099E-3</v>
      </c>
      <c r="H528" s="8">
        <v>1.35366118216308E-2</v>
      </c>
      <c r="I528" s="8">
        <v>0.76385728437591704</v>
      </c>
      <c r="J528" s="8">
        <v>8.1978132603743203E-2</v>
      </c>
      <c r="K528" s="8">
        <v>5.4825831227700598E-3</v>
      </c>
      <c r="L528" s="8">
        <v>2.0547707449275702E-3</v>
      </c>
      <c r="M528" s="8">
        <v>7.8183642627085593E-3</v>
      </c>
      <c r="N528" s="8">
        <v>2.4224472505737699E-3</v>
      </c>
      <c r="O528" s="8">
        <v>3.2053075724313901E-2</v>
      </c>
      <c r="P528" s="9">
        <v>4.5671971280588697E-2</v>
      </c>
      <c r="Q528" s="570">
        <v>5.7304812029794301E-3</v>
      </c>
    </row>
    <row r="529" spans="2:17" ht="15.75" x14ac:dyDescent="0.25">
      <c r="B529" s="6">
        <v>2048</v>
      </c>
      <c r="C529" s="7">
        <v>2034</v>
      </c>
      <c r="D529" s="484" t="s">
        <v>4388</v>
      </c>
      <c r="E529" s="488">
        <v>0.13258215275046772</v>
      </c>
      <c r="F529" s="489">
        <v>0.2017087506519129</v>
      </c>
      <c r="G529" s="487">
        <v>9.1333505118046496E-4</v>
      </c>
      <c r="H529" s="8">
        <v>2.2734455676446899E-2</v>
      </c>
      <c r="I529" s="8">
        <v>0.69579011997506701</v>
      </c>
      <c r="J529" s="8">
        <v>0.497996732259879</v>
      </c>
      <c r="K529" s="8">
        <v>5.02844603391804E-3</v>
      </c>
      <c r="L529" s="8">
        <v>2.2006740962970299E-3</v>
      </c>
      <c r="M529" s="8">
        <v>6.5589207243397897E-3</v>
      </c>
      <c r="N529" s="8">
        <v>3.0000018168034001E-3</v>
      </c>
      <c r="O529" s="8">
        <v>3.8421331181950999E-2</v>
      </c>
      <c r="P529" s="9">
        <v>5.5860033828879302E-2</v>
      </c>
      <c r="Q529" s="570">
        <v>5.255810050173E-3</v>
      </c>
    </row>
    <row r="530" spans="2:17" ht="15.75" x14ac:dyDescent="0.25">
      <c r="B530" s="6">
        <v>2048</v>
      </c>
      <c r="C530" s="7">
        <v>2035</v>
      </c>
      <c r="D530" s="484" t="s">
        <v>4389</v>
      </c>
      <c r="E530" s="488">
        <v>0.13938419858229409</v>
      </c>
      <c r="F530" s="489">
        <v>0.20149758293660203</v>
      </c>
      <c r="G530" s="487">
        <v>9.9004097460232698E-4</v>
      </c>
      <c r="H530" s="8">
        <v>2.2778837741970599E-2</v>
      </c>
      <c r="I530" s="8">
        <v>0.73872055618980004</v>
      </c>
      <c r="J530" s="8">
        <v>0.45713938937672099</v>
      </c>
      <c r="K530" s="8">
        <v>5.3015099233866799E-3</v>
      </c>
      <c r="L530" s="8">
        <v>2.1979220095438498E-3</v>
      </c>
      <c r="M530" s="8">
        <v>7.3073520183716198E-3</v>
      </c>
      <c r="N530" s="8">
        <v>3.0000018168034001E-3</v>
      </c>
      <c r="O530" s="8">
        <v>3.4754017841195001E-2</v>
      </c>
      <c r="P530" s="9">
        <v>5.5860033828879302E-2</v>
      </c>
      <c r="Q530" s="570">
        <v>5.5412206770203603E-3</v>
      </c>
    </row>
    <row r="531" spans="2:17" ht="15.75" x14ac:dyDescent="0.25">
      <c r="B531" s="6">
        <v>2048</v>
      </c>
      <c r="C531" s="7">
        <v>2036</v>
      </c>
      <c r="D531" s="484" t="s">
        <v>4390</v>
      </c>
      <c r="E531" s="488">
        <v>0.12171469320699414</v>
      </c>
      <c r="F531" s="489">
        <v>0.20174915352537717</v>
      </c>
      <c r="G531" s="487">
        <v>7.9051800646037795E-4</v>
      </c>
      <c r="H531" s="8">
        <v>2.2711458154356299E-2</v>
      </c>
      <c r="I531" s="8">
        <v>0.62700851875658203</v>
      </c>
      <c r="J531" s="8">
        <v>0.44230630013710198</v>
      </c>
      <c r="K531" s="8">
        <v>4.6076924418551003E-3</v>
      </c>
      <c r="L531" s="8">
        <v>2.1997365064592E-3</v>
      </c>
      <c r="M531" s="8">
        <v>5.3655720053423098E-3</v>
      </c>
      <c r="N531" s="8">
        <v>3.0000018168034001E-3</v>
      </c>
      <c r="O531" s="8">
        <v>4.4268739905038601E-2</v>
      </c>
      <c r="P531" s="9">
        <v>5.5860033828879302E-2</v>
      </c>
      <c r="Q531" s="570">
        <v>4.8160318477433999E-3</v>
      </c>
    </row>
    <row r="532" spans="2:17" ht="15.75" x14ac:dyDescent="0.25">
      <c r="B532" s="6">
        <v>2048</v>
      </c>
      <c r="C532" s="7">
        <v>2037</v>
      </c>
      <c r="D532" s="484" t="s">
        <v>4391</v>
      </c>
      <c r="E532" s="488">
        <v>0.13019368280925175</v>
      </c>
      <c r="F532" s="489">
        <v>0.20166316002313944</v>
      </c>
      <c r="G532" s="487">
        <v>8.8644461264750197E-4</v>
      </c>
      <c r="H532" s="8">
        <v>2.2749211080435299E-2</v>
      </c>
      <c r="I532" s="8">
        <v>0.68077600888161405</v>
      </c>
      <c r="J532" s="8">
        <v>0.40705112667412402</v>
      </c>
      <c r="K532" s="8">
        <v>4.92647444088248E-3</v>
      </c>
      <c r="L532" s="8">
        <v>2.1997245111956901E-3</v>
      </c>
      <c r="M532" s="8">
        <v>6.2951980209484401E-3</v>
      </c>
      <c r="N532" s="8">
        <v>3.0000018168034001E-3</v>
      </c>
      <c r="O532" s="8">
        <v>3.97135724285686E-2</v>
      </c>
      <c r="P532" s="9">
        <v>5.5860033828879302E-2</v>
      </c>
      <c r="Q532" s="570">
        <v>5.14922775419262E-3</v>
      </c>
    </row>
    <row r="533" spans="2:17" ht="15.75" x14ac:dyDescent="0.25">
      <c r="B533" s="6">
        <v>2048</v>
      </c>
      <c r="C533" s="7">
        <v>2038</v>
      </c>
      <c r="D533" s="484" t="s">
        <v>4392</v>
      </c>
      <c r="E533" s="488">
        <v>0.12921149718672673</v>
      </c>
      <c r="F533" s="489">
        <v>0.18754446862763113</v>
      </c>
      <c r="G533" s="487">
        <v>1.06309949113935E-2</v>
      </c>
      <c r="H533" s="8">
        <v>2.0198359950967699E-2</v>
      </c>
      <c r="I533" s="8">
        <v>0.67158905884326403</v>
      </c>
      <c r="J533" s="8">
        <v>0.34579885488383699</v>
      </c>
      <c r="K533" s="8">
        <v>6.0501516251015297E-3</v>
      </c>
      <c r="L533" s="8">
        <v>2.1514985729670201E-3</v>
      </c>
      <c r="M533" s="8">
        <v>6.5644518818385802E-3</v>
      </c>
      <c r="N533" s="8">
        <v>2.8592392578963301E-3</v>
      </c>
      <c r="O533" s="8">
        <v>3.7332662357219798E-2</v>
      </c>
      <c r="P533" s="9">
        <v>5.33769822897587E-2</v>
      </c>
      <c r="Q533" s="570">
        <v>6.3237126344383998E-3</v>
      </c>
    </row>
    <row r="534" spans="2:17" ht="15.75" x14ac:dyDescent="0.25">
      <c r="B534" s="6">
        <v>2048</v>
      </c>
      <c r="C534" s="7">
        <v>2039</v>
      </c>
      <c r="D534" s="484" t="s">
        <v>4393</v>
      </c>
      <c r="E534" s="488">
        <v>0.13245423191808509</v>
      </c>
      <c r="F534" s="489">
        <v>0.16470429069873682</v>
      </c>
      <c r="G534" s="487">
        <v>2.7994718284854499E-3</v>
      </c>
      <c r="H534" s="8">
        <v>1.62363146669347E-2</v>
      </c>
      <c r="I534" s="8">
        <v>0.69455769213474905</v>
      </c>
      <c r="J534" s="8">
        <v>0.25093970350776501</v>
      </c>
      <c r="K534" s="8">
        <v>5.2224320837505498E-3</v>
      </c>
      <c r="L534" s="8">
        <v>1.9715876798032102E-3</v>
      </c>
      <c r="M534" s="8">
        <v>6.6175968151172496E-3</v>
      </c>
      <c r="N534" s="8">
        <v>2.65294089549916E-3</v>
      </c>
      <c r="O534" s="8">
        <v>3.7921913826497497E-2</v>
      </c>
      <c r="P534" s="9">
        <v>4.9737879177072598E-2</v>
      </c>
      <c r="Q534" s="570">
        <v>5.4585672883785998E-3</v>
      </c>
    </row>
    <row r="535" spans="2:17" ht="15.75" x14ac:dyDescent="0.25">
      <c r="B535" s="6">
        <v>2048</v>
      </c>
      <c r="C535" s="7">
        <v>2040</v>
      </c>
      <c r="D535" s="484" t="s">
        <v>4394</v>
      </c>
      <c r="E535" s="488">
        <v>0.14690606418343907</v>
      </c>
      <c r="F535" s="489">
        <v>0.17731531963965816</v>
      </c>
      <c r="G535" s="487">
        <v>2.9199656315024901E-3</v>
      </c>
      <c r="H535" s="8">
        <v>1.8367788783272901E-2</v>
      </c>
      <c r="I535" s="8">
        <v>0.78588065575404398</v>
      </c>
      <c r="J535" s="8">
        <v>0.27653538742849898</v>
      </c>
      <c r="K535" s="8">
        <v>5.7774010127823903E-3</v>
      </c>
      <c r="L535" s="8">
        <v>2.1025068486051398E-3</v>
      </c>
      <c r="M535" s="8">
        <v>8.2057570059609897E-3</v>
      </c>
      <c r="N535" s="8">
        <v>2.75807991194265E-3</v>
      </c>
      <c r="O535" s="8">
        <v>3.0140799424391101E-2</v>
      </c>
      <c r="P535" s="9">
        <v>5.1592531427135699E-2</v>
      </c>
      <c r="Q535" s="570">
        <v>6.0386294497431102E-3</v>
      </c>
    </row>
    <row r="536" spans="2:17" ht="15.75" x14ac:dyDescent="0.25">
      <c r="B536" s="6">
        <v>2048</v>
      </c>
      <c r="C536" s="7">
        <v>2041</v>
      </c>
      <c r="D536" s="484" t="s">
        <v>4395</v>
      </c>
      <c r="E536" s="488">
        <v>0.13059318680233939</v>
      </c>
      <c r="F536" s="489">
        <v>0.16234047153896439</v>
      </c>
      <c r="G536" s="487">
        <v>9.1444482653109203E-3</v>
      </c>
      <c r="H536" s="8">
        <v>1.58030487727953E-2</v>
      </c>
      <c r="I536" s="8">
        <v>0.68030320441011705</v>
      </c>
      <c r="J536" s="8">
        <v>0.29173361366162298</v>
      </c>
      <c r="K536" s="8">
        <v>5.7847332271255001E-3</v>
      </c>
      <c r="L536" s="8">
        <v>1.9662474639579801E-3</v>
      </c>
      <c r="M536" s="8">
        <v>6.6795095467754298E-3</v>
      </c>
      <c r="N536" s="8">
        <v>2.6277354214106E-3</v>
      </c>
      <c r="O536" s="8">
        <v>3.6869789485783198E-2</v>
      </c>
      <c r="P536" s="9">
        <v>4.9293254614150302E-2</v>
      </c>
      <c r="Q536" s="570">
        <v>6.0462931942825903E-3</v>
      </c>
    </row>
    <row r="537" spans="2:17" ht="15.75" x14ac:dyDescent="0.25">
      <c r="B537" s="6">
        <v>2048</v>
      </c>
      <c r="C537" s="7">
        <v>2042</v>
      </c>
      <c r="D537" s="484" t="s">
        <v>4396</v>
      </c>
      <c r="E537" s="488">
        <v>0.14384955791605086</v>
      </c>
      <c r="F537" s="489">
        <v>0.15362997826134911</v>
      </c>
      <c r="G537" s="487">
        <v>4.7781352236250397E-3</v>
      </c>
      <c r="H537" s="8">
        <v>1.44156870676861E-2</v>
      </c>
      <c r="I537" s="8">
        <v>0.764567149347534</v>
      </c>
      <c r="J537" s="8">
        <v>0.41519333247886803</v>
      </c>
      <c r="K537" s="8">
        <v>5.8810160567928796E-3</v>
      </c>
      <c r="L537" s="8">
        <v>1.81174958120177E-3</v>
      </c>
      <c r="M537" s="8">
        <v>7.9690854335281308E-3</v>
      </c>
      <c r="N537" s="8">
        <v>2.5694481042147599E-3</v>
      </c>
      <c r="O537" s="8">
        <v>3.1066611307480799E-2</v>
      </c>
      <c r="P537" s="9">
        <v>4.8265066338815797E-2</v>
      </c>
      <c r="Q537" s="570">
        <v>6.1469295062588003E-3</v>
      </c>
    </row>
    <row r="538" spans="2:17" ht="15.75" x14ac:dyDescent="0.25">
      <c r="B538" s="6">
        <v>2048</v>
      </c>
      <c r="C538" s="7">
        <v>2043</v>
      </c>
      <c r="D538" s="484" t="s">
        <v>4397</v>
      </c>
      <c r="E538" s="488">
        <v>0.14129514319861447</v>
      </c>
      <c r="F538" s="489">
        <v>0.16982795529880843</v>
      </c>
      <c r="G538" s="487">
        <v>6.4659316080129302E-3</v>
      </c>
      <c r="H538" s="8">
        <v>1.7056872554733E-2</v>
      </c>
      <c r="I538" s="8">
        <v>0.74882920615342097</v>
      </c>
      <c r="J538" s="8">
        <v>0.59236641478379004</v>
      </c>
      <c r="K538" s="8">
        <v>5.8279494998651803E-3</v>
      </c>
      <c r="L538" s="8">
        <v>2.0806975717670398E-3</v>
      </c>
      <c r="M538" s="8">
        <v>7.7480922216020898E-3</v>
      </c>
      <c r="N538" s="8">
        <v>2.6815687066257601E-3</v>
      </c>
      <c r="O538" s="8">
        <v>3.1930392705422403E-2</v>
      </c>
      <c r="P538" s="9">
        <v>5.0242873765345697E-2</v>
      </c>
      <c r="Q538" s="570">
        <v>6.0914635151061904E-3</v>
      </c>
    </row>
    <row r="539" spans="2:17" ht="15.75" x14ac:dyDescent="0.25">
      <c r="B539" s="6">
        <v>2048</v>
      </c>
      <c r="C539" s="7">
        <v>2044</v>
      </c>
      <c r="D539" s="484" t="s">
        <v>4398</v>
      </c>
      <c r="E539" s="488">
        <v>0.13809924739369436</v>
      </c>
      <c r="F539" s="489">
        <v>0.15960379777572317</v>
      </c>
      <c r="G539" s="487">
        <v>3.50803480801384E-3</v>
      </c>
      <c r="H539" s="8">
        <v>1.51105233294032E-2</v>
      </c>
      <c r="I539" s="8">
        <v>0.72973758252084697</v>
      </c>
      <c r="J539" s="8">
        <v>0.15211157415691301</v>
      </c>
      <c r="K539" s="8">
        <v>5.4272570006773302E-3</v>
      </c>
      <c r="L539" s="8">
        <v>2.0532769480455701E-3</v>
      </c>
      <c r="M539" s="8">
        <v>7.2740112265562203E-3</v>
      </c>
      <c r="N539" s="8">
        <v>2.5760021522735601E-3</v>
      </c>
      <c r="O539" s="8">
        <v>3.4601584189161899E-2</v>
      </c>
      <c r="P539" s="9">
        <v>4.8380679746573001E-2</v>
      </c>
      <c r="Q539" s="570">
        <v>5.6726534791516998E-3</v>
      </c>
    </row>
    <row r="540" spans="2:17" ht="15.75" x14ac:dyDescent="0.25">
      <c r="B540" s="6">
        <v>2048</v>
      </c>
      <c r="C540" s="7">
        <v>2045</v>
      </c>
      <c r="D540" s="484" t="s">
        <v>4399</v>
      </c>
      <c r="E540" s="488">
        <v>0.11814825884627506</v>
      </c>
      <c r="F540" s="489">
        <v>0.15602828351430456</v>
      </c>
      <c r="G540" s="487">
        <v>7.1533428397677302E-3</v>
      </c>
      <c r="H540" s="8">
        <v>1.4451143826292701E-2</v>
      </c>
      <c r="I540" s="8">
        <v>0.59963361158413597</v>
      </c>
      <c r="J540" s="8">
        <v>0.134178212270258</v>
      </c>
      <c r="K540" s="8">
        <v>5.0394129247691103E-3</v>
      </c>
      <c r="L540" s="8">
        <v>2.0749227917231899E-3</v>
      </c>
      <c r="M540" s="8">
        <v>5.2913103134028501E-3</v>
      </c>
      <c r="N540" s="8">
        <v>2.5325924716744601E-3</v>
      </c>
      <c r="O540" s="8">
        <v>4.3814083372081702E-2</v>
      </c>
      <c r="P540" s="9">
        <v>4.7614932980804797E-2</v>
      </c>
      <c r="Q540" s="570">
        <v>5.2672728151635104E-3</v>
      </c>
    </row>
    <row r="541" spans="2:17" ht="15.75" x14ac:dyDescent="0.25">
      <c r="B541" s="6">
        <v>2048</v>
      </c>
      <c r="C541" s="7">
        <v>2046</v>
      </c>
      <c r="D541" s="484" t="s">
        <v>4400</v>
      </c>
      <c r="E541" s="488">
        <v>0.14719409431261388</v>
      </c>
      <c r="F541" s="489">
        <v>0.14084999715556257</v>
      </c>
      <c r="G541" s="487">
        <v>2.2609788328974501E-3</v>
      </c>
      <c r="H541" s="8">
        <v>1.27818329602567E-2</v>
      </c>
      <c r="I541" s="8">
        <v>0.787771576630792</v>
      </c>
      <c r="J541" s="8">
        <v>0.10883275305934299</v>
      </c>
      <c r="K541" s="8">
        <v>5.6518070736690596E-3</v>
      </c>
      <c r="L541" s="8">
        <v>1.7988958215553099E-3</v>
      </c>
      <c r="M541" s="8">
        <v>8.2165641237717992E-3</v>
      </c>
      <c r="N541" s="8">
        <v>2.4323366456766001E-3</v>
      </c>
      <c r="O541" s="8">
        <v>3.0143457060111199E-2</v>
      </c>
      <c r="P541" s="9">
        <v>4.58464202102025E-2</v>
      </c>
      <c r="Q541" s="570">
        <v>5.9073567100179298E-3</v>
      </c>
    </row>
    <row r="542" spans="2:17" ht="15.75" x14ac:dyDescent="0.25">
      <c r="B542" s="6">
        <v>2048</v>
      </c>
      <c r="C542" s="7">
        <v>2047</v>
      </c>
      <c r="D542" s="484" t="s">
        <v>4401</v>
      </c>
      <c r="E542" s="488">
        <v>0.14344412498178949</v>
      </c>
      <c r="F542" s="489">
        <v>0.14545197700834397</v>
      </c>
      <c r="G542" s="487">
        <v>2.48880793055696E-3</v>
      </c>
      <c r="H542" s="8">
        <v>1.35366118492324E-2</v>
      </c>
      <c r="I542" s="8">
        <v>0.76390414824280894</v>
      </c>
      <c r="J542" s="8">
        <v>9.4676584212858295E-2</v>
      </c>
      <c r="K542" s="8">
        <v>5.5021499283608704E-3</v>
      </c>
      <c r="L542" s="8">
        <v>2.0547707449275702E-3</v>
      </c>
      <c r="M542" s="8">
        <v>7.8183642627085593E-3</v>
      </c>
      <c r="N542" s="8">
        <v>2.4224472505737699E-3</v>
      </c>
      <c r="O542" s="8">
        <v>3.2053075724313901E-2</v>
      </c>
      <c r="P542" s="9">
        <v>4.5671971280588697E-2</v>
      </c>
      <c r="Q542" s="570">
        <v>5.7509327326926403E-3</v>
      </c>
    </row>
    <row r="543" spans="2:17" ht="15.75" x14ac:dyDescent="0.25">
      <c r="B543" s="6">
        <v>2048</v>
      </c>
      <c r="C543" s="7">
        <v>2048</v>
      </c>
      <c r="D543" s="484" t="s">
        <v>4402</v>
      </c>
      <c r="E543" s="488">
        <v>0.14488857523654561</v>
      </c>
      <c r="F543" s="489">
        <v>0.17979765500597367</v>
      </c>
      <c r="G543" s="487">
        <v>1.6936667889921001E-3</v>
      </c>
      <c r="H543" s="8">
        <v>1.91251880927748E-2</v>
      </c>
      <c r="I543" s="8">
        <v>0.77348768647697597</v>
      </c>
      <c r="J543" s="8">
        <v>0.120448480781217</v>
      </c>
      <c r="K543" s="8">
        <v>5.5104421958967796E-3</v>
      </c>
      <c r="L543" s="8">
        <v>2.1166042815650098E-3</v>
      </c>
      <c r="M543" s="8">
        <v>7.9390040439076097E-3</v>
      </c>
      <c r="N543" s="8">
        <v>2.7803150676783302E-3</v>
      </c>
      <c r="O543" s="8">
        <v>3.15691291764588E-2</v>
      </c>
      <c r="P543" s="9">
        <v>5.1984759574313102E-2</v>
      </c>
      <c r="Q543" s="570">
        <v>5.75959993977014E-3</v>
      </c>
    </row>
    <row r="544" spans="2:17" ht="15.75" x14ac:dyDescent="0.25">
      <c r="B544" s="6">
        <v>2049</v>
      </c>
      <c r="C544" s="7">
        <v>2035</v>
      </c>
      <c r="D544" s="484" t="s">
        <v>4433</v>
      </c>
      <c r="E544" s="488">
        <v>0.13938419858229409</v>
      </c>
      <c r="F544" s="489">
        <v>0.20150360393491981</v>
      </c>
      <c r="G544" s="487">
        <v>9.9004097460232698E-4</v>
      </c>
      <c r="H544" s="8">
        <v>2.2778837741970599E-2</v>
      </c>
      <c r="I544" s="8">
        <v>0.73872055618980004</v>
      </c>
      <c r="J544" s="8">
        <v>0.49262684303534598</v>
      </c>
      <c r="K544" s="8">
        <v>5.3015099233866799E-3</v>
      </c>
      <c r="L544" s="8">
        <v>2.1979220095438498E-3</v>
      </c>
      <c r="M544" s="8">
        <v>7.3073520183716103E-3</v>
      </c>
      <c r="N544" s="8">
        <v>3.0000018168034001E-3</v>
      </c>
      <c r="O544" s="8">
        <v>3.4754017841195001E-2</v>
      </c>
      <c r="P544" s="9">
        <v>5.5860033828879302E-2</v>
      </c>
      <c r="Q544" s="570">
        <v>5.5412206770203499E-3</v>
      </c>
    </row>
    <row r="545" spans="2:17" ht="15.75" x14ac:dyDescent="0.25">
      <c r="B545" s="6">
        <v>2049</v>
      </c>
      <c r="C545" s="7">
        <v>2036</v>
      </c>
      <c r="D545" s="484" t="s">
        <v>4434</v>
      </c>
      <c r="E545" s="488">
        <v>0.12171469320699414</v>
      </c>
      <c r="F545" s="489">
        <v>0.20175276951864363</v>
      </c>
      <c r="G545" s="487">
        <v>7.9051800646037795E-4</v>
      </c>
      <c r="H545" s="8">
        <v>2.2711458154356299E-2</v>
      </c>
      <c r="I545" s="8">
        <v>0.62700851875658203</v>
      </c>
      <c r="J545" s="8">
        <v>0.46319521764681498</v>
      </c>
      <c r="K545" s="8">
        <v>4.6076924418551003E-3</v>
      </c>
      <c r="L545" s="8">
        <v>2.1997365064592E-3</v>
      </c>
      <c r="M545" s="8">
        <v>5.3655720053423098E-3</v>
      </c>
      <c r="N545" s="8">
        <v>3.0000018168034001E-3</v>
      </c>
      <c r="O545" s="8">
        <v>4.4268739905038601E-2</v>
      </c>
      <c r="P545" s="9">
        <v>5.5860033828879302E-2</v>
      </c>
      <c r="Q545" s="570">
        <v>4.8160318477433999E-3</v>
      </c>
    </row>
    <row r="546" spans="2:17" ht="15.75" x14ac:dyDescent="0.25">
      <c r="B546" s="6">
        <v>2049</v>
      </c>
      <c r="C546" s="7">
        <v>2037</v>
      </c>
      <c r="D546" s="484" t="s">
        <v>4435</v>
      </c>
      <c r="E546" s="488">
        <v>0.13019368280925175</v>
      </c>
      <c r="F546" s="489">
        <v>0.20166876792954735</v>
      </c>
      <c r="G546" s="487">
        <v>8.8644461264750197E-4</v>
      </c>
      <c r="H546" s="8">
        <v>2.2749211080435299E-2</v>
      </c>
      <c r="I546" s="8">
        <v>0.68077600888161405</v>
      </c>
      <c r="J546" s="8">
        <v>0.43978874029016002</v>
      </c>
      <c r="K546" s="8">
        <v>4.92647444088248E-3</v>
      </c>
      <c r="L546" s="8">
        <v>2.1997245111956901E-3</v>
      </c>
      <c r="M546" s="8">
        <v>6.2951980209484401E-3</v>
      </c>
      <c r="N546" s="8">
        <v>3.0000018168034001E-3</v>
      </c>
      <c r="O546" s="8">
        <v>3.97135724285686E-2</v>
      </c>
      <c r="P546" s="9">
        <v>5.5860033828879302E-2</v>
      </c>
      <c r="Q546" s="570">
        <v>5.14922775419262E-3</v>
      </c>
    </row>
    <row r="547" spans="2:17" ht="15.75" x14ac:dyDescent="0.25">
      <c r="B547" s="6">
        <v>2049</v>
      </c>
      <c r="C547" s="7">
        <v>2038</v>
      </c>
      <c r="D547" s="484" t="s">
        <v>4436</v>
      </c>
      <c r="E547" s="488">
        <v>0.13696102593990669</v>
      </c>
      <c r="F547" s="489">
        <v>0.20120000580850758</v>
      </c>
      <c r="G547" s="487">
        <v>9.6270798842172699E-4</v>
      </c>
      <c r="H547" s="8">
        <v>2.2693433234471198E-2</v>
      </c>
      <c r="I547" s="8">
        <v>0.72345428965472602</v>
      </c>
      <c r="J547" s="8">
        <v>0.405020621147757</v>
      </c>
      <c r="K547" s="8">
        <v>5.2050553201301699E-3</v>
      </c>
      <c r="L547" s="8">
        <v>2.19231480558436E-3</v>
      </c>
      <c r="M547" s="8">
        <v>7.0403014492470004E-3</v>
      </c>
      <c r="N547" s="8">
        <v>3.0000018168034001E-3</v>
      </c>
      <c r="O547" s="8">
        <v>3.6062565629905702E-2</v>
      </c>
      <c r="P547" s="9">
        <v>5.5860033828879302E-2</v>
      </c>
      <c r="Q547" s="570">
        <v>5.4404048246155497E-3</v>
      </c>
    </row>
    <row r="548" spans="2:17" ht="15.75" x14ac:dyDescent="0.25">
      <c r="B548" s="6">
        <v>2049</v>
      </c>
      <c r="C548" s="7">
        <v>2039</v>
      </c>
      <c r="D548" s="484" t="s">
        <v>4437</v>
      </c>
      <c r="E548" s="488">
        <v>0.13245423191808509</v>
      </c>
      <c r="F548" s="489">
        <v>0.16470772576331738</v>
      </c>
      <c r="G548" s="487">
        <v>2.8304385076329398E-3</v>
      </c>
      <c r="H548" s="8">
        <v>1.6213302000000301E-2</v>
      </c>
      <c r="I548" s="8">
        <v>0.69458908008220799</v>
      </c>
      <c r="J548" s="8">
        <v>0.27136073647446701</v>
      </c>
      <c r="K548" s="8">
        <v>5.2355324820028398E-3</v>
      </c>
      <c r="L548" s="8">
        <v>1.9715876798032102E-3</v>
      </c>
      <c r="M548" s="8">
        <v>6.6175968151172401E-3</v>
      </c>
      <c r="N548" s="8">
        <v>2.65294089549916E-3</v>
      </c>
      <c r="O548" s="8">
        <v>3.7921913826497497E-2</v>
      </c>
      <c r="P548" s="9">
        <v>4.9737879177072598E-2</v>
      </c>
      <c r="Q548" s="570">
        <v>5.4722600285077097E-3</v>
      </c>
    </row>
    <row r="549" spans="2:17" ht="15.75" x14ac:dyDescent="0.25">
      <c r="B549" s="6">
        <v>2049</v>
      </c>
      <c r="C549" s="7">
        <v>2040</v>
      </c>
      <c r="D549" s="484" t="s">
        <v>4438</v>
      </c>
      <c r="E549" s="488">
        <v>0.14690606418343907</v>
      </c>
      <c r="F549" s="489">
        <v>0.17731682338586366</v>
      </c>
      <c r="G549" s="487">
        <v>2.9528500855352498E-3</v>
      </c>
      <c r="H549" s="8">
        <v>1.83315874797772E-2</v>
      </c>
      <c r="I549" s="8">
        <v>0.78591400249827903</v>
      </c>
      <c r="J549" s="8">
        <v>0.285975648203251</v>
      </c>
      <c r="K549" s="8">
        <v>5.7913233948545702E-3</v>
      </c>
      <c r="L549" s="8">
        <v>2.1025068486051398E-3</v>
      </c>
      <c r="M549" s="8">
        <v>8.2057570059609793E-3</v>
      </c>
      <c r="N549" s="8">
        <v>2.75807991194265E-3</v>
      </c>
      <c r="O549" s="8">
        <v>3.0140799424391101E-2</v>
      </c>
      <c r="P549" s="9">
        <v>5.1592531427135699E-2</v>
      </c>
      <c r="Q549" s="570">
        <v>6.0531813401529296E-3</v>
      </c>
    </row>
    <row r="550" spans="2:17" ht="15.75" x14ac:dyDescent="0.25">
      <c r="B550" s="6">
        <v>2049</v>
      </c>
      <c r="C550" s="7">
        <v>2041</v>
      </c>
      <c r="D550" s="484" t="s">
        <v>4439</v>
      </c>
      <c r="E550" s="488">
        <v>0.13059318680233939</v>
      </c>
      <c r="F550" s="489">
        <v>0.16234294646354444</v>
      </c>
      <c r="G550" s="487">
        <v>9.3038999276130394E-3</v>
      </c>
      <c r="H550" s="8">
        <v>1.5728370179452101E-2</v>
      </c>
      <c r="I550" s="8">
        <v>0.68046480016838096</v>
      </c>
      <c r="J550" s="8">
        <v>0.31603192389555002</v>
      </c>
      <c r="K550" s="8">
        <v>5.8521669949443602E-3</v>
      </c>
      <c r="L550" s="8">
        <v>1.9662474639579801E-3</v>
      </c>
      <c r="M550" s="8">
        <v>6.6795095467754298E-3</v>
      </c>
      <c r="N550" s="8">
        <v>2.6277354214106E-3</v>
      </c>
      <c r="O550" s="8">
        <v>3.6869789485783198E-2</v>
      </c>
      <c r="P550" s="9">
        <v>4.9293254614150302E-2</v>
      </c>
      <c r="Q550" s="570">
        <v>6.1167760178493097E-3</v>
      </c>
    </row>
    <row r="551" spans="2:17" ht="15.75" x14ac:dyDescent="0.25">
      <c r="B551" s="6">
        <v>2049</v>
      </c>
      <c r="C551" s="7">
        <v>2042</v>
      </c>
      <c r="D551" s="484" t="s">
        <v>4440</v>
      </c>
      <c r="E551" s="488">
        <v>0.14384955791605086</v>
      </c>
      <c r="F551" s="489">
        <v>0.15363173263226118</v>
      </c>
      <c r="G551" s="487">
        <v>4.85625123394684E-3</v>
      </c>
      <c r="H551" s="8">
        <v>1.4330727638494301E-2</v>
      </c>
      <c r="I551" s="8">
        <v>0.76464635764813804</v>
      </c>
      <c r="J551" s="8">
        <v>0.45554089845191997</v>
      </c>
      <c r="K551" s="8">
        <v>5.9140838229135503E-3</v>
      </c>
      <c r="L551" s="8">
        <v>1.81174958120177E-3</v>
      </c>
      <c r="M551" s="8">
        <v>7.9690854335281308E-3</v>
      </c>
      <c r="N551" s="8">
        <v>2.5694481042147599E-3</v>
      </c>
      <c r="O551" s="8">
        <v>3.1066611307480799E-2</v>
      </c>
      <c r="P551" s="9">
        <v>4.8265066338815797E-2</v>
      </c>
      <c r="Q551" s="570">
        <v>6.1814924500274097E-3</v>
      </c>
    </row>
    <row r="552" spans="2:17" ht="15.75" x14ac:dyDescent="0.25">
      <c r="B552" s="6">
        <v>2049</v>
      </c>
      <c r="C552" s="7">
        <v>2043</v>
      </c>
      <c r="D552" s="484" t="s">
        <v>4441</v>
      </c>
      <c r="E552" s="488">
        <v>0.14129514319861447</v>
      </c>
      <c r="F552" s="489">
        <v>0.16983065587893184</v>
      </c>
      <c r="G552" s="487">
        <v>6.5890063505790498E-3</v>
      </c>
      <c r="H552" s="8">
        <v>1.6991211925247E-2</v>
      </c>
      <c r="I552" s="8">
        <v>0.74895401642215698</v>
      </c>
      <c r="J552" s="8">
        <v>0.66618432655179505</v>
      </c>
      <c r="K552" s="8">
        <v>5.8800599269545999E-3</v>
      </c>
      <c r="L552" s="8">
        <v>2.0806975717670398E-3</v>
      </c>
      <c r="M552" s="8">
        <v>7.7480922216020898E-3</v>
      </c>
      <c r="N552" s="8">
        <v>2.6815687066257502E-3</v>
      </c>
      <c r="O552" s="8">
        <v>3.1930392705422403E-2</v>
      </c>
      <c r="P552" s="9">
        <v>5.0242873765345697E-2</v>
      </c>
      <c r="Q552" s="570">
        <v>6.1459301444720003E-3</v>
      </c>
    </row>
    <row r="553" spans="2:17" ht="15.75" x14ac:dyDescent="0.25">
      <c r="B553" s="6">
        <v>2049</v>
      </c>
      <c r="C553" s="7">
        <v>2044</v>
      </c>
      <c r="D553" s="484" t="s">
        <v>4442</v>
      </c>
      <c r="E553" s="488">
        <v>0.13809924739369436</v>
      </c>
      <c r="F553" s="489">
        <v>0.15960575950590791</v>
      </c>
      <c r="G553" s="487">
        <v>3.5696774112163798E-3</v>
      </c>
      <c r="H553" s="8">
        <v>1.5108716788836501E-2</v>
      </c>
      <c r="I553" s="8">
        <v>0.729800095110819</v>
      </c>
      <c r="J553" s="8">
        <v>0.161995587340097</v>
      </c>
      <c r="K553" s="8">
        <v>5.4533574427963298E-3</v>
      </c>
      <c r="L553" s="8">
        <v>2.0532769480455701E-3</v>
      </c>
      <c r="M553" s="8">
        <v>7.2740112265562203E-3</v>
      </c>
      <c r="N553" s="8">
        <v>2.5760021522735601E-3</v>
      </c>
      <c r="O553" s="8">
        <v>3.4601584189161899E-2</v>
      </c>
      <c r="P553" s="9">
        <v>4.8380679746573001E-2</v>
      </c>
      <c r="Q553" s="570">
        <v>5.6999340674443299E-3</v>
      </c>
    </row>
    <row r="554" spans="2:17" ht="15.75" x14ac:dyDescent="0.25">
      <c r="B554" s="6">
        <v>2049</v>
      </c>
      <c r="C554" s="7">
        <v>2045</v>
      </c>
      <c r="D554" s="484" t="s">
        <v>4443</v>
      </c>
      <c r="E554" s="488">
        <v>0.11814825884627506</v>
      </c>
      <c r="F554" s="489">
        <v>0.1560320360269048</v>
      </c>
      <c r="G554" s="487">
        <v>7.3213980486063999E-3</v>
      </c>
      <c r="H554" s="8">
        <v>1.44512264138058E-2</v>
      </c>
      <c r="I554" s="8">
        <v>0.59980396651929702</v>
      </c>
      <c r="J554" s="8">
        <v>0.15486664085913701</v>
      </c>
      <c r="K554" s="8">
        <v>5.1105162277906404E-3</v>
      </c>
      <c r="L554" s="8">
        <v>2.0749227917231899E-3</v>
      </c>
      <c r="M554" s="8">
        <v>5.2913103134028501E-3</v>
      </c>
      <c r="N554" s="8">
        <v>2.5325924716744601E-3</v>
      </c>
      <c r="O554" s="8">
        <v>4.38140833720818E-2</v>
      </c>
      <c r="P554" s="9">
        <v>4.7614932980804797E-2</v>
      </c>
      <c r="Q554" s="570">
        <v>5.3415910940314299E-3</v>
      </c>
    </row>
    <row r="555" spans="2:17" ht="15.75" x14ac:dyDescent="0.25">
      <c r="B555" s="6">
        <v>2049</v>
      </c>
      <c r="C555" s="7">
        <v>2046</v>
      </c>
      <c r="D555" s="484" t="s">
        <v>4444</v>
      </c>
      <c r="E555" s="488">
        <v>0.14719409431261388</v>
      </c>
      <c r="F555" s="489">
        <v>0.14084659168338418</v>
      </c>
      <c r="G555" s="487">
        <v>2.2944187756221701E-3</v>
      </c>
      <c r="H555" s="8">
        <v>1.2018345285983801E-2</v>
      </c>
      <c r="I555" s="8">
        <v>0.78780547506321597</v>
      </c>
      <c r="J555" s="8">
        <v>0.11348425532746299</v>
      </c>
      <c r="K555" s="8">
        <v>5.6659560867482603E-3</v>
      </c>
      <c r="L555" s="8">
        <v>1.7988958215553099E-3</v>
      </c>
      <c r="M555" s="8">
        <v>8.2165641237717992E-3</v>
      </c>
      <c r="N555" s="8">
        <v>2.4323366456766001E-3</v>
      </c>
      <c r="O555" s="8">
        <v>3.0143457060111199E-2</v>
      </c>
      <c r="P555" s="9">
        <v>4.58464202102025E-2</v>
      </c>
      <c r="Q555" s="570">
        <v>5.9221454786832503E-3</v>
      </c>
    </row>
    <row r="556" spans="2:17" ht="15.75" x14ac:dyDescent="0.25">
      <c r="B556" s="6">
        <v>2049</v>
      </c>
      <c r="C556" s="7">
        <v>2047</v>
      </c>
      <c r="D556" s="484" t="s">
        <v>4445</v>
      </c>
      <c r="E556" s="488">
        <v>0.14344412498178949</v>
      </c>
      <c r="F556" s="489">
        <v>0.14545481670796653</v>
      </c>
      <c r="G556" s="487">
        <v>2.5330803596843999E-3</v>
      </c>
      <c r="H556" s="8">
        <v>1.3536611355700501E-2</v>
      </c>
      <c r="I556" s="8">
        <v>0.76394904468761404</v>
      </c>
      <c r="J556" s="8">
        <v>0.108682933610252</v>
      </c>
      <c r="K556" s="8">
        <v>5.5208952912973903E-3</v>
      </c>
      <c r="L556" s="8">
        <v>2.0547707449275702E-3</v>
      </c>
      <c r="M556" s="8">
        <v>7.8183642627085593E-3</v>
      </c>
      <c r="N556" s="8">
        <v>2.4224472505737699E-3</v>
      </c>
      <c r="O556" s="8">
        <v>3.2053075724313901E-2</v>
      </c>
      <c r="P556" s="9">
        <v>4.5671971280588697E-2</v>
      </c>
      <c r="Q556" s="570">
        <v>5.7705256777598399E-3</v>
      </c>
    </row>
    <row r="557" spans="2:17" ht="15.75" x14ac:dyDescent="0.25">
      <c r="B557" s="6">
        <v>2049</v>
      </c>
      <c r="C557" s="7">
        <v>2048</v>
      </c>
      <c r="D557" s="484" t="s">
        <v>4446</v>
      </c>
      <c r="E557" s="488">
        <v>0.14488857523654561</v>
      </c>
      <c r="F557" s="489">
        <v>0.17980145643489567</v>
      </c>
      <c r="G557" s="487">
        <v>1.7147326815980201E-3</v>
      </c>
      <c r="H557" s="8">
        <v>1.9125188102456801E-2</v>
      </c>
      <c r="I557" s="8">
        <v>0.77350904904541495</v>
      </c>
      <c r="J557" s="8">
        <v>0.14305373620012901</v>
      </c>
      <c r="K557" s="8">
        <v>5.5193616016126299E-3</v>
      </c>
      <c r="L557" s="8">
        <v>2.1166042815650098E-3</v>
      </c>
      <c r="M557" s="8">
        <v>7.9390040439076097E-3</v>
      </c>
      <c r="N557" s="8">
        <v>2.7803150676783302E-3</v>
      </c>
      <c r="O557" s="8">
        <v>3.15691291764588E-2</v>
      </c>
      <c r="P557" s="9">
        <v>5.1984759574313102E-2</v>
      </c>
      <c r="Q557" s="570">
        <v>5.7689226414331801E-3</v>
      </c>
    </row>
    <row r="558" spans="2:17" ht="15.75" x14ac:dyDescent="0.25">
      <c r="B558" s="6">
        <v>2049</v>
      </c>
      <c r="C558" s="7">
        <v>2049</v>
      </c>
      <c r="D558" s="484" t="s">
        <v>4447</v>
      </c>
      <c r="E558" s="488">
        <v>0.1225173577276512</v>
      </c>
      <c r="F558" s="489">
        <v>0.16815495945552023</v>
      </c>
      <c r="G558" s="487">
        <v>1.09171820506864E-2</v>
      </c>
      <c r="H558" s="8">
        <v>1.7242789062084599E-2</v>
      </c>
      <c r="I558" s="8">
        <v>0.62561124281828195</v>
      </c>
      <c r="J558" s="8">
        <v>0.107257879786337</v>
      </c>
      <c r="K558" s="8">
        <v>5.0175685042560302E-3</v>
      </c>
      <c r="L558" s="8">
        <v>2.0893447395913898E-3</v>
      </c>
      <c r="M558" s="8">
        <v>5.9480379251420001E-3</v>
      </c>
      <c r="N558" s="8">
        <v>2.6603032940988101E-3</v>
      </c>
      <c r="O558" s="8">
        <v>4.0018102268547101E-2</v>
      </c>
      <c r="P558" s="9">
        <v>4.9867751888370303E-2</v>
      </c>
      <c r="Q558" s="570">
        <v>5.244440686888E-3</v>
      </c>
    </row>
    <row r="559" spans="2:17" ht="15.75" x14ac:dyDescent="0.25">
      <c r="B559" s="6">
        <v>2050</v>
      </c>
      <c r="C559" s="7">
        <v>2036</v>
      </c>
      <c r="D559" s="484" t="s">
        <v>4478</v>
      </c>
      <c r="E559" s="488">
        <v>0.12171469320699414</v>
      </c>
      <c r="F559" s="489">
        <v>0.20175899398110966</v>
      </c>
      <c r="G559" s="487">
        <v>7.9051800646037795E-4</v>
      </c>
      <c r="H559" s="8">
        <v>2.2711458154356299E-2</v>
      </c>
      <c r="I559" s="8">
        <v>0.62700851875658203</v>
      </c>
      <c r="J559" s="8">
        <v>0.49915278158272802</v>
      </c>
      <c r="K559" s="8">
        <v>4.6076924418551003E-3</v>
      </c>
      <c r="L559" s="8">
        <v>2.1997365064592E-3</v>
      </c>
      <c r="M559" s="8">
        <v>5.3655720053423098E-3</v>
      </c>
      <c r="N559" s="8">
        <v>3.0000018168034001E-3</v>
      </c>
      <c r="O559" s="8">
        <v>4.4268739905038601E-2</v>
      </c>
      <c r="P559" s="9">
        <v>5.5860033828879302E-2</v>
      </c>
      <c r="Q559" s="570">
        <v>4.8160318477433999E-3</v>
      </c>
    </row>
    <row r="560" spans="2:17" ht="15.75" x14ac:dyDescent="0.25">
      <c r="B560" s="6">
        <v>2050</v>
      </c>
      <c r="C560" s="7">
        <v>2037</v>
      </c>
      <c r="D560" s="484" t="s">
        <v>4479</v>
      </c>
      <c r="E560" s="488">
        <v>0.13019368280925175</v>
      </c>
      <c r="F560" s="489">
        <v>0.20167232580388922</v>
      </c>
      <c r="G560" s="487">
        <v>8.8644461264750099E-4</v>
      </c>
      <c r="H560" s="8">
        <v>2.2749211080435299E-2</v>
      </c>
      <c r="I560" s="8">
        <v>0.68077600888161405</v>
      </c>
      <c r="J560" s="8">
        <v>0.46055876033005999</v>
      </c>
      <c r="K560" s="8">
        <v>4.92647444088248E-3</v>
      </c>
      <c r="L560" s="8">
        <v>2.1997245111956901E-3</v>
      </c>
      <c r="M560" s="8">
        <v>6.2951980209484401E-3</v>
      </c>
      <c r="N560" s="8">
        <v>3.0000018168034001E-3</v>
      </c>
      <c r="O560" s="8">
        <v>3.97135724285686E-2</v>
      </c>
      <c r="P560" s="9">
        <v>5.5860033828879302E-2</v>
      </c>
      <c r="Q560" s="570">
        <v>5.14922775419262E-3</v>
      </c>
    </row>
    <row r="561" spans="2:17" ht="15.75" x14ac:dyDescent="0.25">
      <c r="B561" s="6">
        <v>2050</v>
      </c>
      <c r="C561" s="7">
        <v>2038</v>
      </c>
      <c r="D561" s="484" t="s">
        <v>4480</v>
      </c>
      <c r="E561" s="488">
        <v>0.13696102593990669</v>
      </c>
      <c r="F561" s="489">
        <v>0.20120548696299445</v>
      </c>
      <c r="G561" s="487">
        <v>9.6270798842172797E-4</v>
      </c>
      <c r="H561" s="8">
        <v>2.2693433234471198E-2</v>
      </c>
      <c r="I561" s="8">
        <v>0.72345428965472602</v>
      </c>
      <c r="J561" s="8">
        <v>0.43759492872921502</v>
      </c>
      <c r="K561" s="8">
        <v>5.2050553201301699E-3</v>
      </c>
      <c r="L561" s="8">
        <v>2.19231480558436E-3</v>
      </c>
      <c r="M561" s="8">
        <v>7.0403014492470004E-3</v>
      </c>
      <c r="N561" s="8">
        <v>3.0000018168034001E-3</v>
      </c>
      <c r="O561" s="8">
        <v>3.6062565629905702E-2</v>
      </c>
      <c r="P561" s="9">
        <v>5.5860033828879302E-2</v>
      </c>
      <c r="Q561" s="570">
        <v>5.4404048246155497E-3</v>
      </c>
    </row>
    <row r="562" spans="2:17" ht="15.75" x14ac:dyDescent="0.25">
      <c r="B562" s="6">
        <v>2050</v>
      </c>
      <c r="C562" s="7">
        <v>2039</v>
      </c>
      <c r="D562" s="484" t="s">
        <v>4481</v>
      </c>
      <c r="E562" s="488">
        <v>0.13396398136375279</v>
      </c>
      <c r="F562" s="489">
        <v>0.20160983571368354</v>
      </c>
      <c r="G562" s="487">
        <v>9.2912044058446699E-4</v>
      </c>
      <c r="H562" s="8">
        <v>2.2751202052966098E-2</v>
      </c>
      <c r="I562" s="8">
        <v>0.70470707068982497</v>
      </c>
      <c r="J562" s="8">
        <v>0.40633982537151803</v>
      </c>
      <c r="K562" s="8">
        <v>5.0664432679832696E-3</v>
      </c>
      <c r="L562" s="8">
        <v>2.1996471895068901E-3</v>
      </c>
      <c r="M562" s="8">
        <v>6.7082456490877903E-3</v>
      </c>
      <c r="N562" s="8">
        <v>3.0000018168034001E-3</v>
      </c>
      <c r="O562" s="8">
        <v>3.76896390506858E-2</v>
      </c>
      <c r="P562" s="9">
        <v>5.5860033828879302E-2</v>
      </c>
      <c r="Q562" s="570">
        <v>5.2955253505524401E-3</v>
      </c>
    </row>
    <row r="563" spans="2:17" ht="15.75" x14ac:dyDescent="0.25">
      <c r="B563" s="6">
        <v>2050</v>
      </c>
      <c r="C563" s="7">
        <v>2040</v>
      </c>
      <c r="D563" s="484" t="s">
        <v>4482</v>
      </c>
      <c r="E563" s="488">
        <v>0.14690606418343907</v>
      </c>
      <c r="F563" s="489">
        <v>0.17732121476395526</v>
      </c>
      <c r="G563" s="487">
        <v>2.98365585367211E-3</v>
      </c>
      <c r="H563" s="8">
        <v>1.8365314819349401E-2</v>
      </c>
      <c r="I563" s="8">
        <v>0.78594524135375798</v>
      </c>
      <c r="J563" s="8">
        <v>0.30991806371168901</v>
      </c>
      <c r="K563" s="8">
        <v>5.8043657303059404E-3</v>
      </c>
      <c r="L563" s="8">
        <v>2.1025068486051398E-3</v>
      </c>
      <c r="M563" s="8">
        <v>8.2057570059609897E-3</v>
      </c>
      <c r="N563" s="8">
        <v>2.75807991194265E-3</v>
      </c>
      <c r="O563" s="8">
        <v>3.0140799424391101E-2</v>
      </c>
      <c r="P563" s="9">
        <v>5.1592531427135699E-2</v>
      </c>
      <c r="Q563" s="570">
        <v>6.0668133921389098E-3</v>
      </c>
    </row>
    <row r="564" spans="2:17" ht="15.75" x14ac:dyDescent="0.25">
      <c r="B564" s="6">
        <v>2050</v>
      </c>
      <c r="C564" s="7">
        <v>2041</v>
      </c>
      <c r="D564" s="484" t="s">
        <v>4483</v>
      </c>
      <c r="E564" s="488">
        <v>0.13059318680233939</v>
      </c>
      <c r="F564" s="489">
        <v>0.16234476827271177</v>
      </c>
      <c r="G564" s="487">
        <v>9.4538715014439896E-3</v>
      </c>
      <c r="H564" s="8">
        <v>1.5776065845030499E-2</v>
      </c>
      <c r="I564" s="8">
        <v>0.68061678854123198</v>
      </c>
      <c r="J564" s="8">
        <v>0.33137516443152798</v>
      </c>
      <c r="K564" s="8">
        <v>5.9155916328611198E-3</v>
      </c>
      <c r="L564" s="8">
        <v>1.9662474639579801E-3</v>
      </c>
      <c r="M564" s="8">
        <v>6.6795095467754298E-3</v>
      </c>
      <c r="N564" s="8">
        <v>2.6277354214106E-3</v>
      </c>
      <c r="O564" s="8">
        <v>3.6869789485783198E-2</v>
      </c>
      <c r="P564" s="9">
        <v>4.9293254614150302E-2</v>
      </c>
      <c r="Q564" s="570">
        <v>6.1830684364500002E-3</v>
      </c>
    </row>
    <row r="565" spans="2:17" ht="15.75" x14ac:dyDescent="0.25">
      <c r="B565" s="6">
        <v>2050</v>
      </c>
      <c r="C565" s="7">
        <v>2042</v>
      </c>
      <c r="D565" s="484" t="s">
        <v>4484</v>
      </c>
      <c r="E565" s="488">
        <v>0.14384955791605086</v>
      </c>
      <c r="F565" s="489">
        <v>0.15363481962676998</v>
      </c>
      <c r="G565" s="487">
        <v>4.9299834706419497E-3</v>
      </c>
      <c r="H565" s="8">
        <v>1.4370263175721E-2</v>
      </c>
      <c r="I565" s="8">
        <v>0.76472112102064504</v>
      </c>
      <c r="J565" s="8">
        <v>0.49728125117071897</v>
      </c>
      <c r="K565" s="8">
        <v>5.9452959396389801E-3</v>
      </c>
      <c r="L565" s="8">
        <v>1.81174958120177E-3</v>
      </c>
      <c r="M565" s="8">
        <v>7.9690854335281308E-3</v>
      </c>
      <c r="N565" s="8">
        <v>2.5694481042147599E-3</v>
      </c>
      <c r="O565" s="8">
        <v>3.1066611307480799E-2</v>
      </c>
      <c r="P565" s="9">
        <v>4.8265066338815797E-2</v>
      </c>
      <c r="Q565" s="570">
        <v>6.2141158401694497E-3</v>
      </c>
    </row>
    <row r="566" spans="2:17" ht="15.75" x14ac:dyDescent="0.25">
      <c r="B566" s="6">
        <v>2050</v>
      </c>
      <c r="C566" s="7">
        <v>2043</v>
      </c>
      <c r="D566" s="484" t="s">
        <v>4485</v>
      </c>
      <c r="E566" s="488">
        <v>0.14129514319861475</v>
      </c>
      <c r="F566" s="489">
        <v>0.16983368211084332</v>
      </c>
      <c r="G566" s="487">
        <v>6.7055411521014198E-3</v>
      </c>
      <c r="H566" s="8">
        <v>1.7015231245369501E-2</v>
      </c>
      <c r="I566" s="8">
        <v>0.74907219486863696</v>
      </c>
      <c r="J566" s="8">
        <v>0.73600173761951204</v>
      </c>
      <c r="K566" s="8">
        <v>5.9294014758834498E-3</v>
      </c>
      <c r="L566" s="8">
        <v>2.0806975717670398E-3</v>
      </c>
      <c r="M566" s="8">
        <v>7.7480922216020898E-3</v>
      </c>
      <c r="N566" s="8">
        <v>2.6815687066257502E-3</v>
      </c>
      <c r="O566" s="8">
        <v>3.1930392705422403E-2</v>
      </c>
      <c r="P566" s="9">
        <v>5.0242873765345697E-2</v>
      </c>
      <c r="Q566" s="570">
        <v>6.1975026992935403E-3</v>
      </c>
    </row>
    <row r="567" spans="2:17" ht="15.75" x14ac:dyDescent="0.25">
      <c r="B567" s="6">
        <v>2050</v>
      </c>
      <c r="C567" s="7">
        <v>2044</v>
      </c>
      <c r="D567" s="484" t="s">
        <v>4486</v>
      </c>
      <c r="E567" s="488">
        <v>0.13809924739369436</v>
      </c>
      <c r="F567" s="489">
        <v>0.15960856819576982</v>
      </c>
      <c r="G567" s="487">
        <v>3.6282096340759002E-3</v>
      </c>
      <c r="H567" s="8">
        <v>1.51056146188966E-2</v>
      </c>
      <c r="I567" s="8">
        <v>0.72985945366698202</v>
      </c>
      <c r="J567" s="8">
        <v>0.176951195194269</v>
      </c>
      <c r="K567" s="8">
        <v>5.4781410143056397E-3</v>
      </c>
      <c r="L567" s="8">
        <v>2.0532769480455701E-3</v>
      </c>
      <c r="M567" s="8">
        <v>7.2740112265562203E-3</v>
      </c>
      <c r="N567" s="8">
        <v>2.5760021522735601E-3</v>
      </c>
      <c r="O567" s="8">
        <v>3.4601584189161899E-2</v>
      </c>
      <c r="P567" s="9">
        <v>4.8380679746573001E-2</v>
      </c>
      <c r="Q567" s="570">
        <v>5.7258382420818099E-3</v>
      </c>
    </row>
    <row r="568" spans="2:17" ht="15.75" x14ac:dyDescent="0.25">
      <c r="B568" s="6">
        <v>2050</v>
      </c>
      <c r="C568" s="7">
        <v>2045</v>
      </c>
      <c r="D568" s="484" t="s">
        <v>4487</v>
      </c>
      <c r="E568" s="488">
        <v>0.11814825884627506</v>
      </c>
      <c r="F568" s="489">
        <v>0.15603388132637258</v>
      </c>
      <c r="G568" s="487">
        <v>7.4813804851890098E-3</v>
      </c>
      <c r="H568" s="8">
        <v>1.4451376348152601E-2</v>
      </c>
      <c r="I568" s="8">
        <v>0.59996613913097796</v>
      </c>
      <c r="J568" s="8">
        <v>0.16426068220614901</v>
      </c>
      <c r="K568" s="8">
        <v>5.1782043948749596E-3</v>
      </c>
      <c r="L568" s="8">
        <v>2.0749227917231899E-3</v>
      </c>
      <c r="M568" s="8">
        <v>5.2913103134028501E-3</v>
      </c>
      <c r="N568" s="8">
        <v>2.5325924716744601E-3</v>
      </c>
      <c r="O568" s="8">
        <v>4.38140833720818E-2</v>
      </c>
      <c r="P568" s="9">
        <v>4.7614932980804797E-2</v>
      </c>
      <c r="Q568" s="570">
        <v>5.4123398196695097E-3</v>
      </c>
    </row>
    <row r="569" spans="2:17" ht="15.75" x14ac:dyDescent="0.25">
      <c r="B569" s="6">
        <v>2050</v>
      </c>
      <c r="C569" s="7">
        <v>2046</v>
      </c>
      <c r="D569" s="484" t="s">
        <v>4488</v>
      </c>
      <c r="E569" s="488">
        <v>0.14719409431261388</v>
      </c>
      <c r="F569" s="489">
        <v>0.14084969843479386</v>
      </c>
      <c r="G569" s="487">
        <v>2.32632593095307E-3</v>
      </c>
      <c r="H569" s="8">
        <v>1.2018381309299201E-2</v>
      </c>
      <c r="I569" s="8">
        <v>0.78783781993783897</v>
      </c>
      <c r="J569" s="8">
        <v>0.130378871526173</v>
      </c>
      <c r="K569" s="8">
        <v>5.6794566589352703E-3</v>
      </c>
      <c r="L569" s="8">
        <v>1.7988958215553099E-3</v>
      </c>
      <c r="M569" s="8">
        <v>8.2165641237717905E-3</v>
      </c>
      <c r="N569" s="8">
        <v>2.4323366456766001E-3</v>
      </c>
      <c r="O569" s="8">
        <v>3.0143457060111199E-2</v>
      </c>
      <c r="P569" s="9">
        <v>4.58464202102025E-2</v>
      </c>
      <c r="Q569" s="570">
        <v>5.93625648683665E-3</v>
      </c>
    </row>
    <row r="570" spans="2:17" ht="15.75" x14ac:dyDescent="0.25">
      <c r="B570" s="6">
        <v>2050</v>
      </c>
      <c r="C570" s="7">
        <v>2047</v>
      </c>
      <c r="D570" s="484" t="s">
        <v>4489</v>
      </c>
      <c r="E570" s="488">
        <v>0.14344412498178949</v>
      </c>
      <c r="F570" s="489">
        <v>0.14544990907343483</v>
      </c>
      <c r="G570" s="487">
        <v>2.5754122876249798E-3</v>
      </c>
      <c r="H570" s="8">
        <v>1.25194204378075E-2</v>
      </c>
      <c r="I570" s="8">
        <v>0.76399197370642002</v>
      </c>
      <c r="J570" s="8">
        <v>0.112638802849752</v>
      </c>
      <c r="K570" s="8">
        <v>5.5388192115796301E-3</v>
      </c>
      <c r="L570" s="8">
        <v>2.0547707449275602E-3</v>
      </c>
      <c r="M570" s="8">
        <v>7.8183642627085593E-3</v>
      </c>
      <c r="N570" s="8">
        <v>2.4224472505737699E-3</v>
      </c>
      <c r="O570" s="8">
        <v>3.2053075724313901E-2</v>
      </c>
      <c r="P570" s="9">
        <v>4.5671971280588697E-2</v>
      </c>
      <c r="Q570" s="570">
        <v>5.7892600381810296E-3</v>
      </c>
    </row>
    <row r="571" spans="2:17" ht="15.75" x14ac:dyDescent="0.25">
      <c r="B571" s="6">
        <v>2050</v>
      </c>
      <c r="C571" s="7">
        <v>2048</v>
      </c>
      <c r="D571" s="484" t="s">
        <v>4490</v>
      </c>
      <c r="E571" s="488">
        <v>0.1448885752365458</v>
      </c>
      <c r="F571" s="489">
        <v>0.17980567286759563</v>
      </c>
      <c r="G571" s="487">
        <v>1.73491393573301E-3</v>
      </c>
      <c r="H571" s="8">
        <v>1.9125187929336301E-2</v>
      </c>
      <c r="I571" s="8">
        <v>0.77352951477815102</v>
      </c>
      <c r="J571" s="8">
        <v>0.16812678072564899</v>
      </c>
      <c r="K571" s="8">
        <v>5.52790655784198E-3</v>
      </c>
      <c r="L571" s="8">
        <v>2.1166042815650098E-3</v>
      </c>
      <c r="M571" s="8">
        <v>7.9390040439076097E-3</v>
      </c>
      <c r="N571" s="8">
        <v>2.7803150676783302E-3</v>
      </c>
      <c r="O571" s="8">
        <v>3.15691291764588E-2</v>
      </c>
      <c r="P571" s="9">
        <v>5.1984759574313102E-2</v>
      </c>
      <c r="Q571" s="570">
        <v>5.77785396266555E-3</v>
      </c>
    </row>
    <row r="572" spans="2:17" ht="15.75" x14ac:dyDescent="0.25">
      <c r="B572" s="6">
        <v>2050</v>
      </c>
      <c r="C572" s="7">
        <v>2049</v>
      </c>
      <c r="D572" s="484" t="s">
        <v>4491</v>
      </c>
      <c r="E572" s="488">
        <v>0.1225173577276512</v>
      </c>
      <c r="F572" s="489">
        <v>0.16815817546947504</v>
      </c>
      <c r="G572" s="487">
        <v>1.12496713507226E-2</v>
      </c>
      <c r="H572" s="8">
        <v>1.7242789077615599E-2</v>
      </c>
      <c r="I572" s="8">
        <v>0.62594678402683501</v>
      </c>
      <c r="J572" s="8">
        <v>0.12631262848777999</v>
      </c>
      <c r="K572" s="8">
        <v>5.1571218976307802E-3</v>
      </c>
      <c r="L572" s="8">
        <v>2.0893447395913898E-3</v>
      </c>
      <c r="M572" s="8">
        <v>5.9480379251420001E-3</v>
      </c>
      <c r="N572" s="8">
        <v>2.6603032940988101E-3</v>
      </c>
      <c r="O572" s="8">
        <v>4.0018102268547101E-2</v>
      </c>
      <c r="P572" s="9">
        <v>4.98677518883704E-2</v>
      </c>
      <c r="Q572" s="570">
        <v>5.3903040654521596E-3</v>
      </c>
    </row>
    <row r="573" spans="2:17" ht="16.5" thickBot="1" x14ac:dyDescent="0.3">
      <c r="B573" s="10">
        <v>2050</v>
      </c>
      <c r="C573" s="11">
        <v>2050</v>
      </c>
      <c r="D573" s="490" t="s">
        <v>4492</v>
      </c>
      <c r="E573" s="491">
        <v>0.13031806892533077</v>
      </c>
      <c r="F573" s="492">
        <v>0.16469505494306402</v>
      </c>
      <c r="G573" s="493">
        <v>7.59370212793064E-3</v>
      </c>
      <c r="H573" s="494">
        <v>1.6733280294324301E-2</v>
      </c>
      <c r="I573" s="494">
        <v>0.67702602253111099</v>
      </c>
      <c r="J573" s="494">
        <v>0.104865214162918</v>
      </c>
      <c r="K573" s="494">
        <v>5.2032552484007101E-3</v>
      </c>
      <c r="L573" s="495">
        <v>1.97731298412465E-3</v>
      </c>
      <c r="M573" s="494">
        <v>6.64473879491175E-3</v>
      </c>
      <c r="N573" s="495">
        <v>2.6518084073731399E-3</v>
      </c>
      <c r="O573" s="494">
        <v>3.7062408250810197E-2</v>
      </c>
      <c r="P573" s="495">
        <v>4.97179020865295E-2</v>
      </c>
      <c r="Q573" s="571">
        <v>5.43852336163019E-3</v>
      </c>
    </row>
  </sheetData>
  <sheetProtection algorithmName="SHA-512" hashValue="T5hNilqVyncGNjUX1RQXncb8mnttmcJmejpedvSTFPDw6ki5YUZSNbR+GvdcYdp3BooVg9TuyhdbRd/tXRDIog==" saltValue="WpEPYwc/jfoNM/1ifYRhNA==" spinCount="100000" sheet="1" objects="1" scenarios="1"/>
  <hyperlinks>
    <hyperlink ref="B23" r:id="rId1" tooltip="Link to EMFAC 2017"/>
  </hyperlinks>
  <pageMargins left="0.7" right="0.7" top="0.98479166666666662" bottom="0.75" header="0.3" footer="0.3"/>
  <pageSetup scale="65" fitToHeight="0" orientation="portrait" r:id="rId2"/>
  <headerFooter>
    <oddFooter>&amp;L&amp;"Avenir LT Std 55 Roman,Regular"&amp;12&amp;K000000FINAL November 1, 2019&amp;C&amp;"Avenir LT Std 55 Roman,Regular"&amp;12Page &amp;P of &amp;N&amp;R&amp;"Avenir LT Std 55 Roman,Regular"&amp;12&amp;K000000&amp;A</oddFooter>
  </headerFooter>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Q1646"/>
  <sheetViews>
    <sheetView showGridLines="0" zoomScaleNormal="100" workbookViewId="0"/>
  </sheetViews>
  <sheetFormatPr defaultRowHeight="15" x14ac:dyDescent="0.25"/>
  <cols>
    <col min="1" max="1" width="2.42578125" style="71" customWidth="1"/>
    <col min="2" max="2" width="11.28515625" style="71" customWidth="1"/>
    <col min="3" max="3" width="11" style="71" bestFit="1" customWidth="1"/>
    <col min="4" max="6" width="15.7109375" style="71" customWidth="1"/>
    <col min="7" max="7" width="11.42578125" style="71" customWidth="1"/>
    <col min="8" max="8" width="9.85546875" style="71" customWidth="1"/>
    <col min="9" max="9" width="12.5703125" style="71" customWidth="1"/>
    <col min="10" max="10" width="11.5703125" style="71" customWidth="1"/>
    <col min="11" max="11" width="11.42578125" style="71" customWidth="1"/>
    <col min="12" max="16" width="9.140625" style="71"/>
    <col min="17" max="17" width="20.85546875" style="71" bestFit="1" customWidth="1"/>
    <col min="18" max="16384" width="9.140625" style="71"/>
  </cols>
  <sheetData>
    <row r="2" spans="2:17" ht="18.75" x14ac:dyDescent="0.3">
      <c r="H2" s="72"/>
    </row>
    <row r="3" spans="2:17" ht="18.75" x14ac:dyDescent="0.3">
      <c r="H3" s="73"/>
    </row>
    <row r="4" spans="2:17" ht="18.75" x14ac:dyDescent="0.3">
      <c r="H4" s="74"/>
    </row>
    <row r="7" spans="2:17" ht="15.75" thickBot="1" x14ac:dyDescent="0.3"/>
    <row r="8" spans="2:17" ht="15.95" customHeight="1" x14ac:dyDescent="0.25">
      <c r="B8" s="899" t="s">
        <v>517</v>
      </c>
      <c r="C8" s="900"/>
      <c r="D8" s="900"/>
      <c r="E8" s="900"/>
      <c r="F8" s="900"/>
      <c r="G8" s="900"/>
      <c r="H8" s="900"/>
      <c r="I8" s="900"/>
      <c r="J8" s="900"/>
      <c r="K8" s="900"/>
      <c r="L8" s="900"/>
      <c r="M8" s="900"/>
      <c r="N8" s="900"/>
      <c r="O8" s="900"/>
      <c r="P8" s="900"/>
      <c r="Q8" s="901"/>
    </row>
    <row r="9" spans="2:17" ht="15.95" customHeight="1" x14ac:dyDescent="0.25">
      <c r="B9" s="161" t="s">
        <v>182</v>
      </c>
      <c r="C9" s="162"/>
      <c r="D9" s="162"/>
      <c r="E9" s="162"/>
      <c r="F9" s="162"/>
      <c r="G9" s="162"/>
      <c r="H9" s="162"/>
      <c r="I9" s="162"/>
      <c r="J9" s="162"/>
      <c r="K9" s="162"/>
      <c r="L9" s="162"/>
      <c r="M9" s="162"/>
      <c r="N9" s="162"/>
      <c r="O9" s="162"/>
      <c r="P9" s="162"/>
      <c r="Q9" s="163"/>
    </row>
    <row r="10" spans="2:17" ht="15.75" x14ac:dyDescent="0.25">
      <c r="B10" s="149" t="s">
        <v>4591</v>
      </c>
      <c r="C10" s="64"/>
      <c r="D10" s="64"/>
      <c r="E10" s="64"/>
      <c r="F10" s="64"/>
      <c r="G10" s="64"/>
      <c r="H10" s="64"/>
      <c r="I10" s="64"/>
      <c r="J10" s="64"/>
      <c r="K10" s="64"/>
      <c r="L10" s="64"/>
      <c r="M10" s="64"/>
      <c r="N10" s="64"/>
      <c r="O10" s="64"/>
      <c r="P10" s="64"/>
      <c r="Q10" s="148"/>
    </row>
    <row r="11" spans="2:17" ht="15.75" x14ac:dyDescent="0.25">
      <c r="B11" s="149" t="s">
        <v>506</v>
      </c>
      <c r="C11" s="64"/>
      <c r="D11" s="64"/>
      <c r="E11" s="64"/>
      <c r="F11" s="64"/>
      <c r="G11" s="64"/>
      <c r="H11" s="64"/>
      <c r="I11" s="64"/>
      <c r="J11" s="64"/>
      <c r="K11" s="64"/>
      <c r="L11" s="64"/>
      <c r="M11" s="64"/>
      <c r="N11" s="64"/>
      <c r="O11" s="64"/>
      <c r="P11" s="64"/>
      <c r="Q11" s="148"/>
    </row>
    <row r="12" spans="2:17" ht="15.75" x14ac:dyDescent="0.25">
      <c r="B12" s="149" t="s">
        <v>184</v>
      </c>
      <c r="C12" s="64"/>
      <c r="D12" s="64"/>
      <c r="E12" s="64"/>
      <c r="F12" s="64"/>
      <c r="G12" s="64"/>
      <c r="H12" s="64"/>
      <c r="I12" s="64"/>
      <c r="J12" s="64"/>
      <c r="K12" s="64"/>
      <c r="L12" s="64"/>
      <c r="M12" s="64"/>
      <c r="N12" s="64"/>
      <c r="O12" s="64"/>
      <c r="P12" s="64"/>
      <c r="Q12" s="148"/>
    </row>
    <row r="13" spans="2:17" ht="18" customHeight="1" x14ac:dyDescent="0.25">
      <c r="B13" s="911" t="s">
        <v>5085</v>
      </c>
      <c r="C13" s="909"/>
      <c r="D13" s="909"/>
      <c r="E13" s="909"/>
      <c r="F13" s="909"/>
      <c r="G13" s="909"/>
      <c r="H13" s="909"/>
      <c r="I13" s="909"/>
      <c r="J13" s="909"/>
      <c r="K13" s="909"/>
      <c r="L13" s="909"/>
      <c r="M13" s="909"/>
      <c r="N13" s="909"/>
      <c r="O13" s="909"/>
      <c r="P13" s="909"/>
      <c r="Q13" s="910"/>
    </row>
    <row r="14" spans="2:17" ht="15.75" x14ac:dyDescent="0.25">
      <c r="B14" s="911" t="s">
        <v>5084</v>
      </c>
      <c r="C14" s="909"/>
      <c r="D14" s="909"/>
      <c r="E14" s="909"/>
      <c r="F14" s="909"/>
      <c r="G14" s="909"/>
      <c r="H14" s="909"/>
      <c r="I14" s="909"/>
      <c r="J14" s="909"/>
      <c r="K14" s="909"/>
      <c r="L14" s="909"/>
      <c r="M14" s="909"/>
      <c r="N14" s="909"/>
      <c r="O14" s="909"/>
      <c r="P14" s="909"/>
      <c r="Q14" s="910"/>
    </row>
    <row r="15" spans="2:17" ht="15.75" x14ac:dyDescent="0.25">
      <c r="B15" s="149" t="s">
        <v>185</v>
      </c>
      <c r="C15" s="64"/>
      <c r="D15" s="64"/>
      <c r="E15" s="64"/>
      <c r="F15" s="64"/>
      <c r="G15" s="64"/>
      <c r="H15" s="64"/>
      <c r="I15" s="64"/>
      <c r="J15" s="64"/>
      <c r="K15" s="64"/>
      <c r="L15" s="64"/>
      <c r="M15" s="64"/>
      <c r="N15" s="64"/>
      <c r="O15" s="64"/>
      <c r="P15" s="64"/>
      <c r="Q15" s="148"/>
    </row>
    <row r="16" spans="2:17" ht="15.75" x14ac:dyDescent="0.25">
      <c r="B16" s="149" t="s">
        <v>4758</v>
      </c>
      <c r="C16" s="64"/>
      <c r="D16" s="64"/>
      <c r="E16" s="64"/>
      <c r="F16" s="64"/>
      <c r="G16" s="64"/>
      <c r="H16" s="64"/>
      <c r="I16" s="64"/>
      <c r="J16" s="64"/>
      <c r="K16" s="64"/>
      <c r="L16" s="64"/>
      <c r="M16" s="64"/>
      <c r="N16" s="64"/>
      <c r="O16" s="64"/>
      <c r="P16" s="64"/>
      <c r="Q16" s="148"/>
    </row>
    <row r="17" spans="2:17" ht="15.75" x14ac:dyDescent="0.25">
      <c r="B17" s="149" t="s">
        <v>186</v>
      </c>
      <c r="C17" s="64"/>
      <c r="D17" s="64"/>
      <c r="E17" s="64"/>
      <c r="F17" s="64"/>
      <c r="G17" s="64"/>
      <c r="H17" s="64"/>
      <c r="I17" s="64"/>
      <c r="J17" s="64"/>
      <c r="K17" s="64"/>
      <c r="L17" s="64"/>
      <c r="M17" s="64"/>
      <c r="N17" s="64"/>
      <c r="O17" s="64"/>
      <c r="P17" s="64"/>
      <c r="Q17" s="148"/>
    </row>
    <row r="18" spans="2:17" ht="15.75" x14ac:dyDescent="0.25">
      <c r="B18" s="149" t="s">
        <v>187</v>
      </c>
      <c r="C18" s="64"/>
      <c r="D18" s="64"/>
      <c r="E18" s="64"/>
      <c r="F18" s="64"/>
      <c r="G18" s="64"/>
      <c r="H18" s="64"/>
      <c r="I18" s="64"/>
      <c r="J18" s="64"/>
      <c r="K18" s="64"/>
      <c r="L18" s="64"/>
      <c r="M18" s="64"/>
      <c r="N18" s="64"/>
      <c r="O18" s="64"/>
      <c r="P18" s="64"/>
      <c r="Q18" s="148"/>
    </row>
    <row r="19" spans="2:17" ht="15.75" x14ac:dyDescent="0.25">
      <c r="B19" s="149" t="s">
        <v>188</v>
      </c>
      <c r="C19" s="64"/>
      <c r="D19" s="64"/>
      <c r="E19" s="64"/>
      <c r="F19" s="64"/>
      <c r="G19" s="64"/>
      <c r="H19" s="64"/>
      <c r="I19" s="64"/>
      <c r="J19" s="64"/>
      <c r="K19" s="64"/>
      <c r="L19" s="64"/>
      <c r="M19" s="64"/>
      <c r="N19" s="64"/>
      <c r="O19" s="64"/>
      <c r="P19" s="64"/>
      <c r="Q19" s="148"/>
    </row>
    <row r="20" spans="2:17" ht="15.75" x14ac:dyDescent="0.25">
      <c r="B20" s="149" t="s">
        <v>507</v>
      </c>
      <c r="C20" s="64"/>
      <c r="D20" s="64"/>
      <c r="E20" s="64"/>
      <c r="F20" s="64"/>
      <c r="G20" s="64"/>
      <c r="H20" s="64"/>
      <c r="I20" s="64"/>
      <c r="J20" s="64"/>
      <c r="K20" s="64"/>
      <c r="L20" s="64"/>
      <c r="M20" s="64"/>
      <c r="N20" s="64"/>
      <c r="O20" s="64"/>
      <c r="P20" s="64"/>
      <c r="Q20" s="148"/>
    </row>
    <row r="21" spans="2:17" ht="15.75" x14ac:dyDescent="0.25">
      <c r="B21" s="149" t="s">
        <v>332</v>
      </c>
      <c r="C21" s="64"/>
      <c r="D21" s="64"/>
      <c r="E21" s="64"/>
      <c r="F21" s="64"/>
      <c r="G21" s="64"/>
      <c r="H21" s="64"/>
      <c r="I21" s="64"/>
      <c r="J21" s="64"/>
      <c r="K21" s="64"/>
      <c r="L21" s="64"/>
      <c r="M21" s="64"/>
      <c r="N21" s="64"/>
      <c r="O21" s="64"/>
      <c r="P21" s="64"/>
      <c r="Q21" s="148"/>
    </row>
    <row r="22" spans="2:17" ht="15.75" customHeight="1" x14ac:dyDescent="0.25">
      <c r="B22" s="905" t="s">
        <v>190</v>
      </c>
      <c r="C22" s="27"/>
      <c r="D22" s="27"/>
      <c r="E22" s="27"/>
      <c r="F22" s="27"/>
      <c r="G22" s="27"/>
      <c r="H22" s="27"/>
      <c r="I22" s="27"/>
      <c r="J22" s="64"/>
      <c r="K22" s="64"/>
      <c r="L22" s="64"/>
      <c r="M22" s="64"/>
      <c r="N22" s="64"/>
      <c r="O22" s="64"/>
      <c r="P22" s="64"/>
      <c r="Q22" s="148"/>
    </row>
    <row r="23" spans="2:17" ht="15.75" customHeight="1" thickBot="1" x14ac:dyDescent="0.3">
      <c r="B23" s="164" t="s">
        <v>4590</v>
      </c>
      <c r="C23" s="165"/>
      <c r="D23" s="159"/>
      <c r="E23" s="159"/>
      <c r="F23" s="159"/>
      <c r="G23" s="159"/>
      <c r="H23" s="159"/>
      <c r="I23" s="159"/>
      <c r="J23" s="159"/>
      <c r="K23" s="159"/>
      <c r="L23" s="159"/>
      <c r="M23" s="159"/>
      <c r="N23" s="159"/>
      <c r="O23" s="159"/>
      <c r="P23" s="159"/>
      <c r="Q23" s="160"/>
    </row>
    <row r="24" spans="2:17" ht="15.75" x14ac:dyDescent="0.25">
      <c r="B24" s="166"/>
      <c r="C24" s="18"/>
      <c r="D24" s="17"/>
      <c r="E24" s="17"/>
      <c r="F24" s="17"/>
      <c r="G24" s="17"/>
      <c r="H24" s="17"/>
      <c r="I24" s="17"/>
      <c r="J24" s="17"/>
      <c r="K24" s="17"/>
    </row>
    <row r="25" spans="2:17" ht="15.75" x14ac:dyDescent="0.25">
      <c r="B25" s="904" t="s">
        <v>4755</v>
      </c>
      <c r="C25" s="904"/>
      <c r="D25" s="904"/>
      <c r="E25" s="904"/>
      <c r="F25" s="904"/>
      <c r="G25" s="904"/>
      <c r="H25" s="904"/>
      <c r="I25" s="904"/>
      <c r="J25" s="904"/>
      <c r="K25" s="904"/>
      <c r="L25" s="904"/>
      <c r="M25" s="700"/>
      <c r="N25" s="700"/>
      <c r="O25" s="700"/>
      <c r="P25" s="700"/>
      <c r="Q25" s="700"/>
    </row>
    <row r="26" spans="2:17" ht="16.5" thickBot="1" x14ac:dyDescent="0.3">
      <c r="B26" s="17"/>
      <c r="C26" s="17"/>
      <c r="D26" s="17"/>
      <c r="E26" s="17"/>
      <c r="F26" s="17"/>
      <c r="G26" s="17"/>
      <c r="H26" s="17"/>
      <c r="I26" s="17"/>
      <c r="J26" s="17"/>
      <c r="K26" s="17"/>
      <c r="L26" s="17"/>
      <c r="M26" s="17"/>
      <c r="N26" s="17"/>
      <c r="O26" s="17"/>
      <c r="P26" s="17"/>
      <c r="Q26" s="17"/>
    </row>
    <row r="27" spans="2:17" ht="16.5" thickBot="1" x14ac:dyDescent="0.3">
      <c r="B27" s="17"/>
      <c r="C27" s="17"/>
      <c r="D27" s="17"/>
      <c r="E27" s="17"/>
      <c r="F27" s="17"/>
      <c r="G27" s="899" t="s">
        <v>484</v>
      </c>
      <c r="H27" s="900"/>
      <c r="I27" s="900"/>
      <c r="J27" s="900"/>
      <c r="K27" s="900"/>
      <c r="L27" s="900"/>
      <c r="M27" s="900"/>
      <c r="N27" s="900"/>
      <c r="O27" s="900"/>
      <c r="P27" s="901"/>
      <c r="Q27" s="167" t="s">
        <v>518</v>
      </c>
    </row>
    <row r="28" spans="2:17" ht="36.75" customHeight="1" thickBot="1" x14ac:dyDescent="0.3">
      <c r="B28" s="64"/>
      <c r="C28" s="64"/>
      <c r="D28" s="64"/>
      <c r="E28" s="902" t="s">
        <v>4592</v>
      </c>
      <c r="F28" s="903"/>
      <c r="G28" s="926" t="s">
        <v>508</v>
      </c>
      <c r="H28" s="914"/>
      <c r="I28" s="914" t="s">
        <v>4546</v>
      </c>
      <c r="J28" s="914"/>
      <c r="K28" s="914" t="s">
        <v>4547</v>
      </c>
      <c r="L28" s="915"/>
      <c r="M28" s="914" t="s">
        <v>4681</v>
      </c>
      <c r="N28" s="915"/>
      <c r="O28" s="914" t="s">
        <v>4682</v>
      </c>
      <c r="P28" s="915"/>
      <c r="Q28" s="168" t="s">
        <v>4548</v>
      </c>
    </row>
    <row r="29" spans="2:17" ht="16.5" thickBot="1" x14ac:dyDescent="0.3">
      <c r="B29" s="169" t="s">
        <v>192</v>
      </c>
      <c r="C29" s="170" t="s">
        <v>512</v>
      </c>
      <c r="D29" s="171" t="s">
        <v>516</v>
      </c>
      <c r="E29" s="452" t="s">
        <v>155</v>
      </c>
      <c r="F29" s="450" t="s">
        <v>514</v>
      </c>
      <c r="G29" s="172" t="s">
        <v>155</v>
      </c>
      <c r="H29" s="173" t="s">
        <v>514</v>
      </c>
      <c r="I29" s="173" t="s">
        <v>155</v>
      </c>
      <c r="J29" s="173" t="s">
        <v>514</v>
      </c>
      <c r="K29" s="173" t="s">
        <v>155</v>
      </c>
      <c r="L29" s="174" t="s">
        <v>514</v>
      </c>
      <c r="M29" s="173" t="s">
        <v>155</v>
      </c>
      <c r="N29" s="174" t="s">
        <v>514</v>
      </c>
      <c r="O29" s="173" t="s">
        <v>155</v>
      </c>
      <c r="P29" s="174" t="s">
        <v>514</v>
      </c>
      <c r="Q29" s="175" t="s">
        <v>155</v>
      </c>
    </row>
    <row r="30" spans="2:17" ht="15.75" x14ac:dyDescent="0.25">
      <c r="B30" s="451">
        <v>2015</v>
      </c>
      <c r="C30" s="453">
        <v>1971</v>
      </c>
      <c r="D30" s="454" t="s">
        <v>4593</v>
      </c>
      <c r="E30" s="455">
        <v>5.754677298683792E-2</v>
      </c>
      <c r="F30" s="456">
        <v>0.10858149249679427</v>
      </c>
      <c r="G30" s="457">
        <v>0.91661108503488808</v>
      </c>
      <c r="H30" s="458">
        <v>6.471711287649792</v>
      </c>
      <c r="I30" s="458">
        <v>3.5437204069474788</v>
      </c>
      <c r="J30" s="458">
        <v>5.0589171362417185</v>
      </c>
      <c r="K30" s="458">
        <v>0.59739313585575371</v>
      </c>
      <c r="L30" s="459">
        <v>5.2395824727578394E-2</v>
      </c>
      <c r="M30" s="458">
        <v>2.3367880392973187E-3</v>
      </c>
      <c r="N30" s="459">
        <v>2.0000005732018801E-3</v>
      </c>
      <c r="O30" s="458">
        <v>2.1478759312248217E-2</v>
      </c>
      <c r="P30" s="459">
        <v>2.3186014709734585E-2</v>
      </c>
      <c r="Q30" s="460">
        <v>0.6244046025663712</v>
      </c>
    </row>
    <row r="31" spans="2:17" ht="15.75" x14ac:dyDescent="0.25">
      <c r="B31" s="176">
        <v>2015</v>
      </c>
      <c r="C31" s="177">
        <v>1972</v>
      </c>
      <c r="D31" s="178" t="s">
        <v>4594</v>
      </c>
      <c r="E31" s="461">
        <v>5.8395999053323031E-2</v>
      </c>
      <c r="F31" s="462">
        <v>0.10575375089656702</v>
      </c>
      <c r="G31" s="316">
        <v>0.93587244686369364</v>
      </c>
      <c r="H31" s="317">
        <v>6.5100157360876869</v>
      </c>
      <c r="I31" s="317">
        <v>3.3279928369143663</v>
      </c>
      <c r="J31" s="317">
        <v>5.1883280229486965</v>
      </c>
      <c r="K31" s="317">
        <v>0.61122673129570537</v>
      </c>
      <c r="L31" s="318">
        <v>5.2897474671529728E-2</v>
      </c>
      <c r="M31" s="317">
        <v>2.3093715958432777E-3</v>
      </c>
      <c r="N31" s="318">
        <v>2.000000573201874E-3</v>
      </c>
      <c r="O31" s="317">
        <v>2.1012405609094977E-2</v>
      </c>
      <c r="P31" s="318">
        <v>2.2501447781558784E-2</v>
      </c>
      <c r="Q31" s="319">
        <v>0.6388636918064472</v>
      </c>
    </row>
    <row r="32" spans="2:17" ht="15.75" x14ac:dyDescent="0.25">
      <c r="B32" s="176">
        <v>2015</v>
      </c>
      <c r="C32" s="177">
        <v>1973</v>
      </c>
      <c r="D32" s="178" t="s">
        <v>4595</v>
      </c>
      <c r="E32" s="461">
        <v>5.9059084364228749E-2</v>
      </c>
      <c r="F32" s="462">
        <v>0.10390442025229621</v>
      </c>
      <c r="G32" s="316">
        <v>0.94730157388220715</v>
      </c>
      <c r="H32" s="317">
        <v>6.4617788233276707</v>
      </c>
      <c r="I32" s="317">
        <v>3.4433489114474112</v>
      </c>
      <c r="J32" s="317">
        <v>5.2578584862225934</v>
      </c>
      <c r="K32" s="317">
        <v>0.61897302572144874</v>
      </c>
      <c r="L32" s="318">
        <v>5.3128927954477302E-2</v>
      </c>
      <c r="M32" s="317">
        <v>2.3357050547582357E-3</v>
      </c>
      <c r="N32" s="318">
        <v>2.0000005732018805E-3</v>
      </c>
      <c r="O32" s="317">
        <v>2.1460337745238412E-2</v>
      </c>
      <c r="P32" s="318">
        <v>2.2143968531033505E-2</v>
      </c>
      <c r="Q32" s="319">
        <v>0.64696023929245039</v>
      </c>
    </row>
    <row r="33" spans="2:17" ht="15.75" x14ac:dyDescent="0.25">
      <c r="B33" s="176">
        <v>2015</v>
      </c>
      <c r="C33" s="177">
        <v>1974</v>
      </c>
      <c r="D33" s="178" t="s">
        <v>4596</v>
      </c>
      <c r="E33" s="461">
        <v>5.9439298961515979E-2</v>
      </c>
      <c r="F33" s="462">
        <v>9.632347393515317E-2</v>
      </c>
      <c r="G33" s="316">
        <v>0.91673706602751759</v>
      </c>
      <c r="H33" s="317">
        <v>6.1663784020202259</v>
      </c>
      <c r="I33" s="317">
        <v>3.058969217601061</v>
      </c>
      <c r="J33" s="317">
        <v>5.4477559474084218</v>
      </c>
      <c r="K33" s="317">
        <v>0.60892303879888876</v>
      </c>
      <c r="L33" s="318">
        <v>5.463342471942615E-2</v>
      </c>
      <c r="M33" s="317">
        <v>2.2462886558359129E-3</v>
      </c>
      <c r="N33" s="318">
        <v>2.0000005732018801E-3</v>
      </c>
      <c r="O33" s="317">
        <v>1.9939364799569696E-2</v>
      </c>
      <c r="P33" s="318">
        <v>2.0324382864967544E-2</v>
      </c>
      <c r="Q33" s="319">
        <v>0.63645583655740878</v>
      </c>
    </row>
    <row r="34" spans="2:17" ht="15.75" x14ac:dyDescent="0.25">
      <c r="B34" s="176">
        <v>2015</v>
      </c>
      <c r="C34" s="177">
        <v>1975</v>
      </c>
      <c r="D34" s="178" t="s">
        <v>4597</v>
      </c>
      <c r="E34" s="461">
        <v>5.8023765643681051E-2</v>
      </c>
      <c r="F34" s="462">
        <v>9.4011642092072426E-2</v>
      </c>
      <c r="G34" s="316">
        <v>0.94784148124930856</v>
      </c>
      <c r="H34" s="317">
        <v>6.1920991042083937</v>
      </c>
      <c r="I34" s="317">
        <v>3.8027268889409309</v>
      </c>
      <c r="J34" s="317">
        <v>5.4802438307838415</v>
      </c>
      <c r="K34" s="317">
        <v>0.61177049938883532</v>
      </c>
      <c r="L34" s="318">
        <v>5.5103432391044545E-2</v>
      </c>
      <c r="M34" s="317">
        <v>2.4045607213665984E-3</v>
      </c>
      <c r="N34" s="318">
        <v>2.0000005732018801E-3</v>
      </c>
      <c r="O34" s="317">
        <v>2.2631572634246668E-2</v>
      </c>
      <c r="P34" s="318">
        <v>1.979877226654312E-2</v>
      </c>
      <c r="Q34" s="319">
        <v>0.63943204667981335</v>
      </c>
    </row>
    <row r="35" spans="2:17" ht="15.75" x14ac:dyDescent="0.25">
      <c r="B35" s="176">
        <v>2015</v>
      </c>
      <c r="C35" s="177">
        <v>1976</v>
      </c>
      <c r="D35" s="178" t="s">
        <v>4598</v>
      </c>
      <c r="E35" s="461">
        <v>5.6986768602392587E-2</v>
      </c>
      <c r="F35" s="462">
        <v>0.12979874216175008</v>
      </c>
      <c r="G35" s="316">
        <v>0.54046280821358084</v>
      </c>
      <c r="H35" s="317">
        <v>7.9285861453263529</v>
      </c>
      <c r="I35" s="317">
        <v>3.314017888952375</v>
      </c>
      <c r="J35" s="317">
        <v>10.362137364401958</v>
      </c>
      <c r="K35" s="317">
        <v>0.38214834669469822</v>
      </c>
      <c r="L35" s="318">
        <v>5.5468560079131694E-2</v>
      </c>
      <c r="M35" s="317">
        <v>2.4169302030587736E-3</v>
      </c>
      <c r="N35" s="318">
        <v>2.0000005732018801E-3</v>
      </c>
      <c r="O35" s="317">
        <v>2.2841977517830563E-2</v>
      </c>
      <c r="P35" s="318">
        <v>1.900438522565014E-2</v>
      </c>
      <c r="Q35" s="319">
        <v>0.39942739917405945</v>
      </c>
    </row>
    <row r="36" spans="2:17" ht="15.75" x14ac:dyDescent="0.25">
      <c r="B36" s="176">
        <v>2015</v>
      </c>
      <c r="C36" s="177">
        <v>1977</v>
      </c>
      <c r="D36" s="178" t="s">
        <v>4599</v>
      </c>
      <c r="E36" s="461">
        <v>5.7892148131492814E-2</v>
      </c>
      <c r="F36" s="462">
        <v>0.12608564462601071</v>
      </c>
      <c r="G36" s="316">
        <v>0.5797616653296408</v>
      </c>
      <c r="H36" s="317">
        <v>7.8192297353220832</v>
      </c>
      <c r="I36" s="317">
        <v>3.1499900492078163</v>
      </c>
      <c r="J36" s="317">
        <v>11.005916173233363</v>
      </c>
      <c r="K36" s="317">
        <v>0.40907394975584344</v>
      </c>
      <c r="L36" s="318">
        <v>5.1703802694260427E-2</v>
      </c>
      <c r="M36" s="317">
        <v>2.370540888251772E-3</v>
      </c>
      <c r="N36" s="318">
        <v>2.0000005732018801E-3</v>
      </c>
      <c r="O36" s="317">
        <v>2.205289527296346E-2</v>
      </c>
      <c r="P36" s="318">
        <v>1.8173582785674703E-2</v>
      </c>
      <c r="Q36" s="319">
        <v>0.42757045852503528</v>
      </c>
    </row>
    <row r="37" spans="2:17" ht="15.75" x14ac:dyDescent="0.25">
      <c r="B37" s="176">
        <v>2015</v>
      </c>
      <c r="C37" s="177">
        <v>1978</v>
      </c>
      <c r="D37" s="178" t="s">
        <v>4600</v>
      </c>
      <c r="E37" s="461">
        <v>5.801655751480999E-2</v>
      </c>
      <c r="F37" s="462">
        <v>0.10353684961345629</v>
      </c>
      <c r="G37" s="316">
        <v>0.6344420715532777</v>
      </c>
      <c r="H37" s="317">
        <v>1.7900545296105066</v>
      </c>
      <c r="I37" s="317">
        <v>2.8574712159034248</v>
      </c>
      <c r="J37" s="317">
        <v>4.4899369304060404</v>
      </c>
      <c r="K37" s="317">
        <v>0.44592753989752548</v>
      </c>
      <c r="L37" s="318">
        <v>4.5060242661068277E-2</v>
      </c>
      <c r="M37" s="317">
        <v>2.2729529352272944E-3</v>
      </c>
      <c r="N37" s="318">
        <v>2.0000005732018801E-3</v>
      </c>
      <c r="O37" s="317">
        <v>2.0392924192017096E-2</v>
      </c>
      <c r="P37" s="318">
        <v>1.9215506820975631E-2</v>
      </c>
      <c r="Q37" s="319">
        <v>0.4660904044775403</v>
      </c>
    </row>
    <row r="38" spans="2:17" ht="15.75" x14ac:dyDescent="0.25">
      <c r="B38" s="176">
        <v>2015</v>
      </c>
      <c r="C38" s="177">
        <v>1979</v>
      </c>
      <c r="D38" s="178" t="s">
        <v>4601</v>
      </c>
      <c r="E38" s="461">
        <v>5.7902653595339297E-2</v>
      </c>
      <c r="F38" s="462">
        <v>0.10361819021638455</v>
      </c>
      <c r="G38" s="316">
        <v>0.49503800065276227</v>
      </c>
      <c r="H38" s="317">
        <v>1.791845170942743</v>
      </c>
      <c r="I38" s="317">
        <v>3.5515675755139822</v>
      </c>
      <c r="J38" s="317">
        <v>4.4213865378918351</v>
      </c>
      <c r="K38" s="317">
        <v>0.35209701802011834</v>
      </c>
      <c r="L38" s="318">
        <v>4.4627806138563118E-2</v>
      </c>
      <c r="M38" s="317">
        <v>2.5124623508086053E-3</v>
      </c>
      <c r="N38" s="318">
        <v>2.0000005732018801E-3</v>
      </c>
      <c r="O38" s="317">
        <v>2.4466979351055199E-2</v>
      </c>
      <c r="P38" s="318">
        <v>1.9436142652370762E-2</v>
      </c>
      <c r="Q38" s="319">
        <v>0.3680172827676102</v>
      </c>
    </row>
    <row r="39" spans="2:17" ht="15.75" x14ac:dyDescent="0.25">
      <c r="B39" s="176">
        <v>2015</v>
      </c>
      <c r="C39" s="177">
        <v>1980</v>
      </c>
      <c r="D39" s="178" t="s">
        <v>4602</v>
      </c>
      <c r="E39" s="461">
        <v>5.7703446874423796E-2</v>
      </c>
      <c r="F39" s="462">
        <v>0.10929093730049269</v>
      </c>
      <c r="G39" s="316">
        <v>0.31955266296479129</v>
      </c>
      <c r="H39" s="317">
        <v>2.130684808529216</v>
      </c>
      <c r="I39" s="317">
        <v>2.5482189145285346</v>
      </c>
      <c r="J39" s="317">
        <v>4.3686885582061947</v>
      </c>
      <c r="K39" s="317">
        <v>0.2536243532013942</v>
      </c>
      <c r="L39" s="318">
        <v>3.6953044493859083E-2</v>
      </c>
      <c r="M39" s="317">
        <v>2.2260463239900646E-3</v>
      </c>
      <c r="N39" s="318">
        <v>2.0000005732018801E-3</v>
      </c>
      <c r="O39" s="317">
        <v>1.9595042734871816E-2</v>
      </c>
      <c r="P39" s="318">
        <v>2.2916208152770939E-2</v>
      </c>
      <c r="Q39" s="319">
        <v>0.26509212101176149</v>
      </c>
    </row>
    <row r="40" spans="2:17" ht="15.75" x14ac:dyDescent="0.25">
      <c r="B40" s="176">
        <v>2015</v>
      </c>
      <c r="C40" s="177">
        <v>1981</v>
      </c>
      <c r="D40" s="178" t="s">
        <v>4603</v>
      </c>
      <c r="E40" s="461">
        <v>5.8383166023758364E-2</v>
      </c>
      <c r="F40" s="462">
        <v>0.1053671203818775</v>
      </c>
      <c r="G40" s="316">
        <v>0.32501381058001488</v>
      </c>
      <c r="H40" s="317">
        <v>2.0851388696913715</v>
      </c>
      <c r="I40" s="317">
        <v>2.5736129013174658</v>
      </c>
      <c r="J40" s="317">
        <v>3.605303096416939</v>
      </c>
      <c r="K40" s="317">
        <v>0.25793670338685121</v>
      </c>
      <c r="L40" s="318">
        <v>1.7752685253363598E-2</v>
      </c>
      <c r="M40" s="317">
        <v>2.2435131217544923E-3</v>
      </c>
      <c r="N40" s="318">
        <v>2.0000005732018801E-3</v>
      </c>
      <c r="O40" s="317">
        <v>1.9892152964844735E-2</v>
      </c>
      <c r="P40" s="318">
        <v>2.524061989540884E-2</v>
      </c>
      <c r="Q40" s="319">
        <v>0.26959945653683526</v>
      </c>
    </row>
    <row r="41" spans="2:17" ht="15.75" x14ac:dyDescent="0.25">
      <c r="B41" s="176">
        <v>2015</v>
      </c>
      <c r="C41" s="177">
        <v>1982</v>
      </c>
      <c r="D41" s="178" t="s">
        <v>4604</v>
      </c>
      <c r="E41" s="461">
        <v>5.695158398282401E-2</v>
      </c>
      <c r="F41" s="462">
        <v>0.10313500158617049</v>
      </c>
      <c r="G41" s="316">
        <v>0.27949502713214819</v>
      </c>
      <c r="H41" s="317">
        <v>2.0006961922451851</v>
      </c>
      <c r="I41" s="317">
        <v>3.5856410780639862</v>
      </c>
      <c r="J41" s="317">
        <v>3.5369467469839551</v>
      </c>
      <c r="K41" s="317">
        <v>0.21834538920595889</v>
      </c>
      <c r="L41" s="318">
        <v>1.7898433473880114E-2</v>
      </c>
      <c r="M41" s="317">
        <v>2.5277193099846446E-3</v>
      </c>
      <c r="N41" s="318">
        <v>2.0000005732018801E-3</v>
      </c>
      <c r="O41" s="317">
        <v>2.4726500226639629E-2</v>
      </c>
      <c r="P41" s="318">
        <v>2.4453256124371221E-2</v>
      </c>
      <c r="Q41" s="319">
        <v>0.22821799881253768</v>
      </c>
    </row>
    <row r="42" spans="2:17" ht="15.75" x14ac:dyDescent="0.25">
      <c r="B42" s="176">
        <v>2015</v>
      </c>
      <c r="C42" s="177">
        <v>1983</v>
      </c>
      <c r="D42" s="178" t="s">
        <v>4605</v>
      </c>
      <c r="E42" s="461">
        <v>5.7125232024752809E-2</v>
      </c>
      <c r="F42" s="462">
        <v>9.9357908884734045E-2</v>
      </c>
      <c r="G42" s="316">
        <v>0.21958941647185004</v>
      </c>
      <c r="H42" s="317">
        <v>1.738224962742893</v>
      </c>
      <c r="I42" s="317">
        <v>3.8928922523402312</v>
      </c>
      <c r="J42" s="317">
        <v>3.0765831315707124</v>
      </c>
      <c r="K42" s="317">
        <v>0.1993185702597404</v>
      </c>
      <c r="L42" s="318">
        <v>1.7646179738083304E-2</v>
      </c>
      <c r="M42" s="317">
        <v>2.6638623933956875E-3</v>
      </c>
      <c r="N42" s="318">
        <v>2.0000005732018801E-3</v>
      </c>
      <c r="O42" s="317">
        <v>2.7042294075461468E-2</v>
      </c>
      <c r="P42" s="318">
        <v>2.3239287715253552E-2</v>
      </c>
      <c r="Q42" s="319">
        <v>0.20833087154383015</v>
      </c>
    </row>
    <row r="43" spans="2:17" ht="15.75" x14ac:dyDescent="0.25">
      <c r="B43" s="176">
        <v>2015</v>
      </c>
      <c r="C43" s="177">
        <v>1984</v>
      </c>
      <c r="D43" s="178" t="s">
        <v>4606</v>
      </c>
      <c r="E43" s="461">
        <v>5.6382926129669247E-2</v>
      </c>
      <c r="F43" s="462">
        <v>0.10029775547752418</v>
      </c>
      <c r="G43" s="316">
        <v>0.25120362646959793</v>
      </c>
      <c r="H43" s="317">
        <v>1.4791720804747477</v>
      </c>
      <c r="I43" s="317">
        <v>4.3726522252987836</v>
      </c>
      <c r="J43" s="317">
        <v>3.5484649087935241</v>
      </c>
      <c r="K43" s="317">
        <v>0.18084616737983902</v>
      </c>
      <c r="L43" s="318">
        <v>1.8207000764404211E-2</v>
      </c>
      <c r="M43" s="317">
        <v>2.8130808935795592E-3</v>
      </c>
      <c r="N43" s="318">
        <v>2.0000005732018801E-3</v>
      </c>
      <c r="O43" s="317">
        <v>2.9580500763589125E-2</v>
      </c>
      <c r="P43" s="318">
        <v>2.3231973962249169E-2</v>
      </c>
      <c r="Q43" s="319">
        <v>0.18902322857577308</v>
      </c>
    </row>
    <row r="44" spans="2:17" ht="15.75" x14ac:dyDescent="0.25">
      <c r="B44" s="176">
        <v>2015</v>
      </c>
      <c r="C44" s="177">
        <v>1985</v>
      </c>
      <c r="D44" s="178" t="s">
        <v>4607</v>
      </c>
      <c r="E44" s="461">
        <v>5.7061226065788472E-2</v>
      </c>
      <c r="F44" s="462">
        <v>9.7638529491523324E-2</v>
      </c>
      <c r="G44" s="316">
        <v>0.24298667458341922</v>
      </c>
      <c r="H44" s="317">
        <v>1.1116540688102419</v>
      </c>
      <c r="I44" s="317">
        <v>4.6897053575475596</v>
      </c>
      <c r="J44" s="317">
        <v>2.9641386307156647</v>
      </c>
      <c r="K44" s="317">
        <v>0.17867461007663801</v>
      </c>
      <c r="L44" s="318">
        <v>1.6979309437660114E-2</v>
      </c>
      <c r="M44" s="317">
        <v>2.90097758831035E-3</v>
      </c>
      <c r="N44" s="318">
        <v>2.0000005732018801E-3</v>
      </c>
      <c r="O44" s="317">
        <v>3.1075623540959874E-2</v>
      </c>
      <c r="P44" s="318">
        <v>2.3307693081855253E-2</v>
      </c>
      <c r="Q44" s="319">
        <v>0.18675348308746403</v>
      </c>
    </row>
    <row r="45" spans="2:17" ht="15.75" x14ac:dyDescent="0.25">
      <c r="B45" s="176">
        <v>2015</v>
      </c>
      <c r="C45" s="177">
        <v>1986</v>
      </c>
      <c r="D45" s="178" t="s">
        <v>4608</v>
      </c>
      <c r="E45" s="461">
        <v>5.7481441268314566E-2</v>
      </c>
      <c r="F45" s="462">
        <v>9.2298500802995426E-2</v>
      </c>
      <c r="G45" s="316">
        <v>0.23940932024283013</v>
      </c>
      <c r="H45" s="317">
        <v>1.0592121111585924</v>
      </c>
      <c r="I45" s="317">
        <v>4.8463687500160635</v>
      </c>
      <c r="J45" s="317">
        <v>2.7755033765297128</v>
      </c>
      <c r="K45" s="317">
        <v>0.17801106093826305</v>
      </c>
      <c r="L45" s="318">
        <v>1.7145446687685913E-2</v>
      </c>
      <c r="M45" s="317">
        <v>2.9462961606606559E-3</v>
      </c>
      <c r="N45" s="318">
        <v>2.0000005732018801E-3</v>
      </c>
      <c r="O45" s="317">
        <v>3.1846492456638592E-2</v>
      </c>
      <c r="P45" s="318">
        <v>2.2672906902078686E-2</v>
      </c>
      <c r="Q45" s="319">
        <v>0.18605993120150685</v>
      </c>
    </row>
    <row r="46" spans="2:17" ht="15.75" x14ac:dyDescent="0.25">
      <c r="B46" s="176">
        <v>2015</v>
      </c>
      <c r="C46" s="177">
        <v>1987</v>
      </c>
      <c r="D46" s="178" t="s">
        <v>4609</v>
      </c>
      <c r="E46" s="461">
        <v>5.7471419707260787E-2</v>
      </c>
      <c r="F46" s="462">
        <v>8.8926763909154105E-2</v>
      </c>
      <c r="G46" s="316">
        <v>0.29325079230774259</v>
      </c>
      <c r="H46" s="317">
        <v>0.98063753592964109</v>
      </c>
      <c r="I46" s="317">
        <v>5.0444827831753196</v>
      </c>
      <c r="J46" s="317">
        <v>2.6715901428813158</v>
      </c>
      <c r="K46" s="317">
        <v>0.19911525923067036</v>
      </c>
      <c r="L46" s="318">
        <v>1.7393851627077725E-2</v>
      </c>
      <c r="M46" s="317">
        <v>2.971197720051355E-3</v>
      </c>
      <c r="N46" s="318">
        <v>2.0000005732018801E-3</v>
      </c>
      <c r="O46" s="317">
        <v>3.227006798187438E-2</v>
      </c>
      <c r="P46" s="318">
        <v>2.1678869198908438E-2</v>
      </c>
      <c r="Q46" s="319">
        <v>0.20811836769220352</v>
      </c>
    </row>
    <row r="47" spans="2:17" ht="15.75" x14ac:dyDescent="0.25">
      <c r="B47" s="176">
        <v>2015</v>
      </c>
      <c r="C47" s="177">
        <v>1988</v>
      </c>
      <c r="D47" s="178" t="s">
        <v>4610</v>
      </c>
      <c r="E47" s="461">
        <v>5.7272475052288545E-2</v>
      </c>
      <c r="F47" s="462">
        <v>8.7047979721457391E-2</v>
      </c>
      <c r="G47" s="316">
        <v>0.29029724597465245</v>
      </c>
      <c r="H47" s="317">
        <v>0.49580260816585298</v>
      </c>
      <c r="I47" s="317">
        <v>5.0949659019302747</v>
      </c>
      <c r="J47" s="317">
        <v>1.8919372838308497</v>
      </c>
      <c r="K47" s="317">
        <v>0.19727347322628441</v>
      </c>
      <c r="L47" s="318">
        <v>1.6841618122624396E-2</v>
      </c>
      <c r="M47" s="317">
        <v>2.979631358402352E-3</v>
      </c>
      <c r="N47" s="318">
        <v>2.0000005732018805E-3</v>
      </c>
      <c r="O47" s="317">
        <v>3.241352417022484E-2</v>
      </c>
      <c r="P47" s="318">
        <v>2.1944631829356191E-2</v>
      </c>
      <c r="Q47" s="319">
        <v>0.20619330429750421</v>
      </c>
    </row>
    <row r="48" spans="2:17" ht="15.75" x14ac:dyDescent="0.25">
      <c r="B48" s="176">
        <v>2015</v>
      </c>
      <c r="C48" s="177">
        <v>1989</v>
      </c>
      <c r="D48" s="178" t="s">
        <v>4611</v>
      </c>
      <c r="E48" s="461">
        <v>5.7490103549100197E-2</v>
      </c>
      <c r="F48" s="462">
        <v>8.9428756939393561E-2</v>
      </c>
      <c r="G48" s="316">
        <v>0.2923320305729723</v>
      </c>
      <c r="H48" s="317">
        <v>0.49429887564849501</v>
      </c>
      <c r="I48" s="317">
        <v>5.110920142907549</v>
      </c>
      <c r="J48" s="317">
        <v>1.8873629198192563</v>
      </c>
      <c r="K48" s="317">
        <v>0.19879399034883641</v>
      </c>
      <c r="L48" s="318">
        <v>1.662317263676218E-2</v>
      </c>
      <c r="M48" s="317">
        <v>2.9855195903889025E-3</v>
      </c>
      <c r="N48" s="318">
        <v>2.0000005732018805E-3</v>
      </c>
      <c r="O48" s="317">
        <v>3.251368299631606E-2</v>
      </c>
      <c r="P48" s="318">
        <v>2.2788729933106856E-2</v>
      </c>
      <c r="Q48" s="319">
        <v>0.20778257245714427</v>
      </c>
    </row>
    <row r="49" spans="2:17" ht="15.75" x14ac:dyDescent="0.25">
      <c r="B49" s="176">
        <v>2015</v>
      </c>
      <c r="C49" s="177">
        <v>1990</v>
      </c>
      <c r="D49" s="178" t="s">
        <v>4612</v>
      </c>
      <c r="E49" s="461">
        <v>5.7916395054077287E-2</v>
      </c>
      <c r="F49" s="462">
        <v>8.7165549633806932E-2</v>
      </c>
      <c r="G49" s="316">
        <v>0.29663763091127821</v>
      </c>
      <c r="H49" s="317">
        <v>0.49641242745025099</v>
      </c>
      <c r="I49" s="317">
        <v>5.0660921761276496</v>
      </c>
      <c r="J49" s="317">
        <v>1.8801556510155726</v>
      </c>
      <c r="K49" s="317">
        <v>0.20174428952472676</v>
      </c>
      <c r="L49" s="318">
        <v>1.6896329168994997E-2</v>
      </c>
      <c r="M49" s="317">
        <v>2.9866977622344188E-3</v>
      </c>
      <c r="N49" s="318">
        <v>2.0000005732018801E-3</v>
      </c>
      <c r="O49" s="317">
        <v>3.2533723699408296E-2</v>
      </c>
      <c r="P49" s="318">
        <v>2.1947120554413776E-2</v>
      </c>
      <c r="Q49" s="319">
        <v>0.21086627107000924</v>
      </c>
    </row>
    <row r="50" spans="2:17" ht="15.75" x14ac:dyDescent="0.25">
      <c r="B50" s="176">
        <v>2015</v>
      </c>
      <c r="C50" s="177">
        <v>1991</v>
      </c>
      <c r="D50" s="178" t="s">
        <v>4613</v>
      </c>
      <c r="E50" s="461">
        <v>5.7835250736672707E-2</v>
      </c>
      <c r="F50" s="462">
        <v>8.4868670832273618E-2</v>
      </c>
      <c r="G50" s="316">
        <v>0.37932433504283497</v>
      </c>
      <c r="H50" s="317">
        <v>0.51694368606661056</v>
      </c>
      <c r="I50" s="317">
        <v>8.9112824759039189</v>
      </c>
      <c r="J50" s="317">
        <v>2.2987475481642181</v>
      </c>
      <c r="K50" s="317">
        <v>5.6552333981232515E-2</v>
      </c>
      <c r="L50" s="318">
        <v>9.5281260793251485E-3</v>
      </c>
      <c r="M50" s="317">
        <v>2.9826821496102265E-3</v>
      </c>
      <c r="N50" s="318">
        <v>2.0000005732018797E-3</v>
      </c>
      <c r="O50" s="317">
        <v>3.2465418128670771E-2</v>
      </c>
      <c r="P50" s="318">
        <v>2.1066748601097286E-2</v>
      </c>
      <c r="Q50" s="319">
        <v>5.9109379576598453E-2</v>
      </c>
    </row>
    <row r="51" spans="2:17" ht="15.75" x14ac:dyDescent="0.25">
      <c r="B51" s="176">
        <v>2015</v>
      </c>
      <c r="C51" s="177">
        <v>1992</v>
      </c>
      <c r="D51" s="178" t="s">
        <v>4614</v>
      </c>
      <c r="E51" s="461">
        <v>5.7903083662642227E-2</v>
      </c>
      <c r="F51" s="462">
        <v>8.2030168462541714E-2</v>
      </c>
      <c r="G51" s="316">
        <v>0.37998737213141592</v>
      </c>
      <c r="H51" s="317">
        <v>0.51561829626275502</v>
      </c>
      <c r="I51" s="317">
        <v>8.8850245959399672</v>
      </c>
      <c r="J51" s="317">
        <v>2.2316544100126303</v>
      </c>
      <c r="K51" s="317">
        <v>5.6912752020141066E-2</v>
      </c>
      <c r="L51" s="318">
        <v>9.6628069400767295E-3</v>
      </c>
      <c r="M51" s="317">
        <v>2.9812449885123346E-3</v>
      </c>
      <c r="N51" s="318">
        <v>2.0000005732018801E-3</v>
      </c>
      <c r="O51" s="317">
        <v>3.2440972018395652E-2</v>
      </c>
      <c r="P51" s="318">
        <v>2.0096483985515112E-2</v>
      </c>
      <c r="Q51" s="319">
        <v>5.9486094119894938E-2</v>
      </c>
    </row>
    <row r="52" spans="2:17" ht="15.75" x14ac:dyDescent="0.25">
      <c r="B52" s="176">
        <v>2015</v>
      </c>
      <c r="C52" s="177">
        <v>1993</v>
      </c>
      <c r="D52" s="178" t="s">
        <v>4615</v>
      </c>
      <c r="E52" s="461">
        <v>5.7661732562460502E-2</v>
      </c>
      <c r="F52" s="462">
        <v>7.279178681425845E-2</v>
      </c>
      <c r="G52" s="316">
        <v>0.37120363575509402</v>
      </c>
      <c r="H52" s="317">
        <v>0.51443438308163392</v>
      </c>
      <c r="I52" s="317">
        <v>8.8593478875133425</v>
      </c>
      <c r="J52" s="317">
        <v>2.1719942892199913</v>
      </c>
      <c r="K52" s="317">
        <v>5.3688624725186616E-2</v>
      </c>
      <c r="L52" s="318">
        <v>9.8065311634450945E-3</v>
      </c>
      <c r="M52" s="317">
        <v>2.9753652880860444E-3</v>
      </c>
      <c r="N52" s="318">
        <v>2.0000005732018723E-3</v>
      </c>
      <c r="O52" s="317">
        <v>3.2340958314144443E-2</v>
      </c>
      <c r="P52" s="318">
        <v>1.9522160953083952E-2</v>
      </c>
      <c r="Q52" s="319">
        <v>5.6116186095515726E-2</v>
      </c>
    </row>
    <row r="53" spans="2:17" ht="15.75" x14ac:dyDescent="0.25">
      <c r="B53" s="176">
        <v>2015</v>
      </c>
      <c r="C53" s="177">
        <v>1994</v>
      </c>
      <c r="D53" s="178" t="s">
        <v>4616</v>
      </c>
      <c r="E53" s="461">
        <v>5.7439768977713135E-2</v>
      </c>
      <c r="F53" s="462">
        <v>6.9482275740005553E-2</v>
      </c>
      <c r="G53" s="316">
        <v>0.36384277227100237</v>
      </c>
      <c r="H53" s="317">
        <v>0.50736392391797613</v>
      </c>
      <c r="I53" s="317">
        <v>8.8197487789100411</v>
      </c>
      <c r="J53" s="317">
        <v>2.1004785291755574</v>
      </c>
      <c r="K53" s="317">
        <v>5.3562784717292707E-2</v>
      </c>
      <c r="L53" s="318">
        <v>9.9202542517582357E-3</v>
      </c>
      <c r="M53" s="317">
        <v>2.9670449075177466E-3</v>
      </c>
      <c r="N53" s="318">
        <v>2.0000005732018801E-3</v>
      </c>
      <c r="O53" s="317">
        <v>3.2199428640677701E-2</v>
      </c>
      <c r="P53" s="318">
        <v>1.8584993011950802E-2</v>
      </c>
      <c r="Q53" s="319">
        <v>5.5984656160871733E-2</v>
      </c>
    </row>
    <row r="54" spans="2:17" ht="15.75" x14ac:dyDescent="0.25">
      <c r="B54" s="176">
        <v>2015</v>
      </c>
      <c r="C54" s="177">
        <v>1995</v>
      </c>
      <c r="D54" s="178" t="s">
        <v>4617</v>
      </c>
      <c r="E54" s="461">
        <v>5.7078903138244264E-2</v>
      </c>
      <c r="F54" s="462">
        <v>7.0701483084789782E-2</v>
      </c>
      <c r="G54" s="316">
        <v>0.35696780152378638</v>
      </c>
      <c r="H54" s="317">
        <v>0.37965294955719764</v>
      </c>
      <c r="I54" s="317">
        <v>8.92934562308956</v>
      </c>
      <c r="J54" s="317">
        <v>1.6549212201519963</v>
      </c>
      <c r="K54" s="317">
        <v>5.2491123851096659E-2</v>
      </c>
      <c r="L54" s="318">
        <v>9.2613427730596134E-3</v>
      </c>
      <c r="M54" s="317">
        <v>2.9724247413647799E-3</v>
      </c>
      <c r="N54" s="318">
        <v>2.0000005732018801E-3</v>
      </c>
      <c r="O54" s="317">
        <v>3.2290939614415738E-2</v>
      </c>
      <c r="P54" s="318">
        <v>1.9189660867184773E-2</v>
      </c>
      <c r="Q54" s="319">
        <v>5.486453954573093E-2</v>
      </c>
    </row>
    <row r="55" spans="2:17" ht="15.75" x14ac:dyDescent="0.25">
      <c r="B55" s="176">
        <v>2015</v>
      </c>
      <c r="C55" s="177">
        <v>1996</v>
      </c>
      <c r="D55" s="178" t="s">
        <v>4618</v>
      </c>
      <c r="E55" s="461">
        <v>5.7218151894224349E-2</v>
      </c>
      <c r="F55" s="462">
        <v>7.0194260074122064E-2</v>
      </c>
      <c r="G55" s="316">
        <v>0.35492095050142952</v>
      </c>
      <c r="H55" s="317">
        <v>0.1408249066789786</v>
      </c>
      <c r="I55" s="317">
        <v>8.8835893565417638</v>
      </c>
      <c r="J55" s="317">
        <v>1.0427116466679009</v>
      </c>
      <c r="K55" s="317">
        <v>5.2387860146734917E-2</v>
      </c>
      <c r="L55" s="318">
        <v>2.8062803797490521E-3</v>
      </c>
      <c r="M55" s="317">
        <v>2.9715024199606912E-3</v>
      </c>
      <c r="N55" s="318">
        <v>2.0000005732018801E-3</v>
      </c>
      <c r="O55" s="317">
        <v>3.2275250927332182E-2</v>
      </c>
      <c r="P55" s="318">
        <v>1.938212104075121E-2</v>
      </c>
      <c r="Q55" s="319">
        <v>5.4756606714883818E-2</v>
      </c>
    </row>
    <row r="56" spans="2:17" ht="15.75" x14ac:dyDescent="0.25">
      <c r="B56" s="176">
        <v>2015</v>
      </c>
      <c r="C56" s="177">
        <v>1997</v>
      </c>
      <c r="D56" s="178" t="s">
        <v>4619</v>
      </c>
      <c r="E56" s="461">
        <v>5.7376895150670869E-2</v>
      </c>
      <c r="F56" s="462">
        <v>6.8243891506544266E-2</v>
      </c>
      <c r="G56" s="316">
        <v>0.3531107636129327</v>
      </c>
      <c r="H56" s="317">
        <v>0.14452841745544845</v>
      </c>
      <c r="I56" s="317">
        <v>8.9071673095038104</v>
      </c>
      <c r="J56" s="317">
        <v>1.0675152730608164</v>
      </c>
      <c r="K56" s="317">
        <v>5.2083825655044144E-2</v>
      </c>
      <c r="L56" s="318">
        <v>2.8272898592421715E-3</v>
      </c>
      <c r="M56" s="317">
        <v>2.9780474248778856E-3</v>
      </c>
      <c r="N56" s="318">
        <v>2.0000005732018801E-3</v>
      </c>
      <c r="O56" s="317">
        <v>3.2386581460973667E-2</v>
      </c>
      <c r="P56" s="318">
        <v>1.8829452627490299E-2</v>
      </c>
      <c r="Q56" s="319">
        <v>5.4438825132611814E-2</v>
      </c>
    </row>
    <row r="57" spans="2:17" ht="15.75" x14ac:dyDescent="0.25">
      <c r="B57" s="176">
        <v>2015</v>
      </c>
      <c r="C57" s="177">
        <v>1998</v>
      </c>
      <c r="D57" s="178" t="s">
        <v>4620</v>
      </c>
      <c r="E57" s="461">
        <v>5.7291941947349448E-2</v>
      </c>
      <c r="F57" s="462">
        <v>6.535092000138229E-2</v>
      </c>
      <c r="G57" s="316">
        <v>0.34636764157562033</v>
      </c>
      <c r="H57" s="317">
        <v>0.13121606991982521</v>
      </c>
      <c r="I57" s="317">
        <v>8.8784892843189631</v>
      </c>
      <c r="J57" s="317">
        <v>0.9330254461819828</v>
      </c>
      <c r="K57" s="317">
        <v>5.1409064466418221E-2</v>
      </c>
      <c r="L57" s="318">
        <v>2.867671741826134E-3</v>
      </c>
      <c r="M57" s="317">
        <v>2.9759065640659788E-3</v>
      </c>
      <c r="N57" s="318">
        <v>2.0000005732018801E-3</v>
      </c>
      <c r="O57" s="317">
        <v>3.2350165418563129E-2</v>
      </c>
      <c r="P57" s="318">
        <v>1.7998563502190316E-2</v>
      </c>
      <c r="Q57" s="319">
        <v>5.3733554237244713E-2</v>
      </c>
    </row>
    <row r="58" spans="2:17" ht="15.75" x14ac:dyDescent="0.25">
      <c r="B58" s="176">
        <v>2015</v>
      </c>
      <c r="C58" s="177">
        <v>1999</v>
      </c>
      <c r="D58" s="178" t="s">
        <v>4621</v>
      </c>
      <c r="E58" s="461">
        <v>5.7441211612748788E-2</v>
      </c>
      <c r="F58" s="462">
        <v>6.5598313946693659E-2</v>
      </c>
      <c r="G58" s="316">
        <v>0.34384870039701082</v>
      </c>
      <c r="H58" s="317">
        <v>0.11307894695262943</v>
      </c>
      <c r="I58" s="317">
        <v>8.9997707461049892</v>
      </c>
      <c r="J58" s="317">
        <v>0.77000094835335664</v>
      </c>
      <c r="K58" s="317">
        <v>5.0693965203906524E-2</v>
      </c>
      <c r="L58" s="318">
        <v>2.8781587270254655E-3</v>
      </c>
      <c r="M58" s="317">
        <v>2.9924216879365522E-3</v>
      </c>
      <c r="N58" s="318">
        <v>2.0000005732018805E-3</v>
      </c>
      <c r="O58" s="317">
        <v>3.2631087675601585E-2</v>
      </c>
      <c r="P58" s="318">
        <v>1.8088844755389199E-2</v>
      </c>
      <c r="Q58" s="319">
        <v>5.29861213592882E-2</v>
      </c>
    </row>
    <row r="59" spans="2:17" ht="15.75" x14ac:dyDescent="0.25">
      <c r="B59" s="176">
        <v>2015</v>
      </c>
      <c r="C59" s="177">
        <v>2000</v>
      </c>
      <c r="D59" s="178" t="s">
        <v>4622</v>
      </c>
      <c r="E59" s="461">
        <v>5.728763149816625E-2</v>
      </c>
      <c r="F59" s="462">
        <v>7.1782145851532447E-2</v>
      </c>
      <c r="G59" s="316">
        <v>0.33525655772826884</v>
      </c>
      <c r="H59" s="317">
        <v>9.4394082280260944E-2</v>
      </c>
      <c r="I59" s="317">
        <v>9.0476445022675129</v>
      </c>
      <c r="J59" s="317">
        <v>0.60845760782190783</v>
      </c>
      <c r="K59" s="317">
        <v>4.9575319345420837E-2</v>
      </c>
      <c r="L59" s="318">
        <v>2.8765503610479952E-3</v>
      </c>
      <c r="M59" s="317">
        <v>2.9969550348714884E-3</v>
      </c>
      <c r="N59" s="318">
        <v>2.0000005732018797E-3</v>
      </c>
      <c r="O59" s="317">
        <v>3.2708199906964844E-2</v>
      </c>
      <c r="P59" s="318">
        <v>1.8253378086735512E-2</v>
      </c>
      <c r="Q59" s="319">
        <v>5.1816895298999265E-2</v>
      </c>
    </row>
    <row r="60" spans="2:17" ht="15.75" x14ac:dyDescent="0.25">
      <c r="B60" s="176">
        <v>2015</v>
      </c>
      <c r="C60" s="177">
        <v>2001</v>
      </c>
      <c r="D60" s="178" t="s">
        <v>4623</v>
      </c>
      <c r="E60" s="461">
        <v>5.7407511593343508E-2</v>
      </c>
      <c r="F60" s="462">
        <v>7.0716956999327632E-2</v>
      </c>
      <c r="G60" s="316">
        <v>0.32829394743294732</v>
      </c>
      <c r="H60" s="317">
        <v>7.7970379943758161E-2</v>
      </c>
      <c r="I60" s="317">
        <v>8.9794302925088694</v>
      </c>
      <c r="J60" s="317">
        <v>0.45915381835826774</v>
      </c>
      <c r="K60" s="317">
        <v>4.9019078855152547E-2</v>
      </c>
      <c r="L60" s="318">
        <v>2.8979781021146386E-3</v>
      </c>
      <c r="M60" s="317">
        <v>2.994236006611503E-3</v>
      </c>
      <c r="N60" s="318">
        <v>2.0000005732018801E-3</v>
      </c>
      <c r="O60" s="317">
        <v>3.2661949236262491E-2</v>
      </c>
      <c r="P60" s="318">
        <v>1.7907444778146549E-2</v>
      </c>
      <c r="Q60" s="319">
        <v>5.1235504082041659E-2</v>
      </c>
    </row>
    <row r="61" spans="2:17" ht="15.75" x14ac:dyDescent="0.25">
      <c r="B61" s="176">
        <v>2015</v>
      </c>
      <c r="C61" s="177">
        <v>2002</v>
      </c>
      <c r="D61" s="178" t="s">
        <v>4624</v>
      </c>
      <c r="E61" s="461">
        <v>5.7201980970271182E-2</v>
      </c>
      <c r="F61" s="462">
        <v>6.9048625018953744E-2</v>
      </c>
      <c r="G61" s="316">
        <v>0.25647955945265488</v>
      </c>
      <c r="H61" s="317">
        <v>7.6119015562026202E-2</v>
      </c>
      <c r="I61" s="317">
        <v>6.9565903549593475</v>
      </c>
      <c r="J61" s="317">
        <v>0.44177117691209805</v>
      </c>
      <c r="K61" s="317">
        <v>5.0162919290833337E-2</v>
      </c>
      <c r="L61" s="318">
        <v>2.9239408027851824E-3</v>
      </c>
      <c r="M61" s="317">
        <v>2.995363036270713E-3</v>
      </c>
      <c r="N61" s="318">
        <v>2.0000005732018801E-3</v>
      </c>
      <c r="O61" s="317">
        <v>3.2681120010765646E-2</v>
      </c>
      <c r="P61" s="318">
        <v>1.7369252068503246E-2</v>
      </c>
      <c r="Q61" s="319">
        <v>5.2431063906507265E-2</v>
      </c>
    </row>
    <row r="62" spans="2:17" ht="15.75" x14ac:dyDescent="0.25">
      <c r="B62" s="176">
        <v>2015</v>
      </c>
      <c r="C62" s="177">
        <v>2003</v>
      </c>
      <c r="D62" s="178" t="s">
        <v>4625</v>
      </c>
      <c r="E62" s="461">
        <v>5.6996235475484519E-2</v>
      </c>
      <c r="F62" s="462">
        <v>6.9894236004591839E-2</v>
      </c>
      <c r="G62" s="316">
        <v>0.24885925590223892</v>
      </c>
      <c r="H62" s="317">
        <v>6.148290716423508E-2</v>
      </c>
      <c r="I62" s="317">
        <v>6.9551661030097307</v>
      </c>
      <c r="J62" s="317">
        <v>0.37451828708393831</v>
      </c>
      <c r="K62" s="317">
        <v>4.9186340610870516E-2</v>
      </c>
      <c r="L62" s="318">
        <v>2.9108829145692095E-3</v>
      </c>
      <c r="M62" s="317">
        <v>2.9936607099980716E-3</v>
      </c>
      <c r="N62" s="318">
        <v>2.0000005732018801E-3</v>
      </c>
      <c r="O62" s="317">
        <v>3.2652163440868034E-2</v>
      </c>
      <c r="P62" s="318">
        <v>1.7682846898011927E-2</v>
      </c>
      <c r="Q62" s="319">
        <v>5.1410328672140189E-2</v>
      </c>
    </row>
    <row r="63" spans="2:17" ht="15.75" x14ac:dyDescent="0.25">
      <c r="B63" s="176">
        <v>2015</v>
      </c>
      <c r="C63" s="177">
        <v>2004</v>
      </c>
      <c r="D63" s="178" t="s">
        <v>4626</v>
      </c>
      <c r="E63" s="461">
        <v>5.6872372647862213E-2</v>
      </c>
      <c r="F63" s="462">
        <v>7.0049746525464834E-2</v>
      </c>
      <c r="G63" s="316">
        <v>0.20013251741365551</v>
      </c>
      <c r="H63" s="317">
        <v>1.7259842509152551E-2</v>
      </c>
      <c r="I63" s="317">
        <v>5.7832373378515589</v>
      </c>
      <c r="J63" s="317">
        <v>9.9939507106354644E-2</v>
      </c>
      <c r="K63" s="317">
        <v>4.8249893507319418E-2</v>
      </c>
      <c r="L63" s="318">
        <v>1.9445609821198186E-4</v>
      </c>
      <c r="M63" s="317">
        <v>2.989133366253558E-3</v>
      </c>
      <c r="N63" s="318">
        <v>2.0000005732018797E-3</v>
      </c>
      <c r="O63" s="317">
        <v>3.2575153323773851E-2</v>
      </c>
      <c r="P63" s="318">
        <v>1.7381157811985643E-2</v>
      </c>
      <c r="Q63" s="319">
        <v>5.043153958598888E-2</v>
      </c>
    </row>
    <row r="64" spans="2:17" ht="15.75" x14ac:dyDescent="0.25">
      <c r="B64" s="176">
        <v>2015</v>
      </c>
      <c r="C64" s="177">
        <v>2005</v>
      </c>
      <c r="D64" s="178" t="s">
        <v>4627</v>
      </c>
      <c r="E64" s="461">
        <v>5.6643985301023839E-2</v>
      </c>
      <c r="F64" s="462">
        <v>6.6946233332622285E-2</v>
      </c>
      <c r="G64" s="316">
        <v>0.19266070947024702</v>
      </c>
      <c r="H64" s="317">
        <v>1.5272305671871043E-2</v>
      </c>
      <c r="I64" s="317">
        <v>5.758180160928065</v>
      </c>
      <c r="J64" s="317">
        <v>8.0760402533044798E-2</v>
      </c>
      <c r="K64" s="317">
        <v>4.7229573940277672E-2</v>
      </c>
      <c r="L64" s="318">
        <v>1.9502087787088738E-4</v>
      </c>
      <c r="M64" s="317">
        <v>2.9815258427527236E-3</v>
      </c>
      <c r="N64" s="318">
        <v>2.0000005732018801E-3</v>
      </c>
      <c r="O64" s="317">
        <v>3.2445749349024659E-2</v>
      </c>
      <c r="P64" s="318">
        <v>1.6842275828426369E-2</v>
      </c>
      <c r="Q64" s="319">
        <v>4.9365085695726625E-2</v>
      </c>
    </row>
    <row r="65" spans="2:17" ht="15.75" x14ac:dyDescent="0.25">
      <c r="B65" s="176">
        <v>2015</v>
      </c>
      <c r="C65" s="177">
        <v>2006</v>
      </c>
      <c r="D65" s="178" t="s">
        <v>4628</v>
      </c>
      <c r="E65" s="461">
        <v>5.6529012807098843E-2</v>
      </c>
      <c r="F65" s="462">
        <v>6.8906839453291846E-2</v>
      </c>
      <c r="G65" s="316">
        <v>0.18585347370627253</v>
      </c>
      <c r="H65" s="317">
        <v>5.6906163682181642E-3</v>
      </c>
      <c r="I65" s="317">
        <v>5.7165979159542868</v>
      </c>
      <c r="J65" s="317">
        <v>3.9494364515610385E-2</v>
      </c>
      <c r="K65" s="317">
        <v>4.639919207154633E-2</v>
      </c>
      <c r="L65" s="318">
        <v>1.9217632764615075E-4</v>
      </c>
      <c r="M65" s="317">
        <v>2.9737014990902353E-3</v>
      </c>
      <c r="N65" s="318">
        <v>2.0000005732018801E-3</v>
      </c>
      <c r="O65" s="317">
        <v>3.2312657263325724E-2</v>
      </c>
      <c r="P65" s="318">
        <v>1.817484380885245E-2</v>
      </c>
      <c r="Q65" s="319">
        <v>4.8497157643656245E-2</v>
      </c>
    </row>
    <row r="66" spans="2:17" ht="15.75" x14ac:dyDescent="0.25">
      <c r="B66" s="176">
        <v>2015</v>
      </c>
      <c r="C66" s="177">
        <v>2007</v>
      </c>
      <c r="D66" s="178" t="s">
        <v>4629</v>
      </c>
      <c r="E66" s="461">
        <v>5.6295331902345681E-2</v>
      </c>
      <c r="F66" s="462">
        <v>6.542682855511614E-2</v>
      </c>
      <c r="G66" s="316">
        <v>0.13133940782505771</v>
      </c>
      <c r="H66" s="317">
        <v>7.7446960793689235E-3</v>
      </c>
      <c r="I66" s="317">
        <v>2.8372573560743168</v>
      </c>
      <c r="J66" s="317">
        <v>3.9303842715344331E-2</v>
      </c>
      <c r="K66" s="317">
        <v>2.8781137938122908E-2</v>
      </c>
      <c r="L66" s="318">
        <v>1.9491634346388903E-4</v>
      </c>
      <c r="M66" s="317">
        <v>2.9404247713190543E-3</v>
      </c>
      <c r="N66" s="318">
        <v>2.0000005732018805E-3</v>
      </c>
      <c r="O66" s="317">
        <v>3.1746620123937946E-2</v>
      </c>
      <c r="P66" s="318">
        <v>1.7017774826831578E-2</v>
      </c>
      <c r="Q66" s="319">
        <v>3.0082493281276712E-2</v>
      </c>
    </row>
    <row r="67" spans="2:17" ht="15.75" x14ac:dyDescent="0.25">
      <c r="B67" s="176">
        <v>2015</v>
      </c>
      <c r="C67" s="177">
        <v>2008</v>
      </c>
      <c r="D67" s="178" t="s">
        <v>4630</v>
      </c>
      <c r="E67" s="461">
        <v>5.6341416820563615E-2</v>
      </c>
      <c r="F67" s="462">
        <v>6.3751459261972621E-2</v>
      </c>
      <c r="G67" s="316">
        <v>0.12979249560644968</v>
      </c>
      <c r="H67" s="317">
        <v>7.5310974768736808E-3</v>
      </c>
      <c r="I67" s="317">
        <v>2.8837239202439933</v>
      </c>
      <c r="J67" s="317">
        <v>3.3849479371126583E-2</v>
      </c>
      <c r="K67" s="317">
        <v>2.8350080783488402E-2</v>
      </c>
      <c r="L67" s="318">
        <v>2.2281974289505954E-4</v>
      </c>
      <c r="M67" s="317">
        <v>2.9610037558164977E-3</v>
      </c>
      <c r="N67" s="318">
        <v>2.0000005732018801E-3</v>
      </c>
      <c r="O67" s="317">
        <v>3.2096668650239461E-2</v>
      </c>
      <c r="P67" s="318">
        <v>1.6996332436886547E-2</v>
      </c>
      <c r="Q67" s="319">
        <v>2.9631945634897482E-2</v>
      </c>
    </row>
    <row r="68" spans="2:17" ht="15.75" x14ac:dyDescent="0.25">
      <c r="B68" s="176">
        <v>2015</v>
      </c>
      <c r="C68" s="177">
        <v>2009</v>
      </c>
      <c r="D68" s="178" t="s">
        <v>4631</v>
      </c>
      <c r="E68" s="461">
        <v>5.5060818731065941E-2</v>
      </c>
      <c r="F68" s="462">
        <v>5.8933770952194924E-2</v>
      </c>
      <c r="G68" s="316">
        <v>0.11111653482527008</v>
      </c>
      <c r="H68" s="317">
        <v>7.41920608607201E-3</v>
      </c>
      <c r="I68" s="317">
        <v>2.4325649668357987</v>
      </c>
      <c r="J68" s="317">
        <v>2.8768822326300549E-2</v>
      </c>
      <c r="K68" s="317">
        <v>2.4164058786056698E-2</v>
      </c>
      <c r="L68" s="318">
        <v>2.516935071052251E-4</v>
      </c>
      <c r="M68" s="317">
        <v>2.8170295509234084E-3</v>
      </c>
      <c r="N68" s="318">
        <v>2.0000005732018801E-3</v>
      </c>
      <c r="O68" s="317">
        <v>2.9647667425008007E-2</v>
      </c>
      <c r="P68" s="318">
        <v>1.6504984922297159E-2</v>
      </c>
      <c r="Q68" s="319">
        <v>2.5256650297939453E-2</v>
      </c>
    </row>
    <row r="69" spans="2:17" ht="15.75" x14ac:dyDescent="0.25">
      <c r="B69" s="176">
        <v>2015</v>
      </c>
      <c r="C69" s="177">
        <v>2010</v>
      </c>
      <c r="D69" s="178" t="s">
        <v>4632</v>
      </c>
      <c r="E69" s="461">
        <v>5.3248474331502947E-2</v>
      </c>
      <c r="F69" s="462">
        <v>5.743056743190466E-2</v>
      </c>
      <c r="G69" s="316">
        <v>6.5579223536830683E-2</v>
      </c>
      <c r="H69" s="317">
        <v>6.1589067967283999E-3</v>
      </c>
      <c r="I69" s="317">
        <v>0.14142250726314631</v>
      </c>
      <c r="J69" s="317">
        <v>2.5963577547189542E-2</v>
      </c>
      <c r="K69" s="317">
        <v>9.3962327072199623E-3</v>
      </c>
      <c r="L69" s="318">
        <v>3.06901282534024E-4</v>
      </c>
      <c r="M69" s="317">
        <v>2.6761296430452583E-3</v>
      </c>
      <c r="N69" s="318">
        <v>2.0000005732018801E-3</v>
      </c>
      <c r="O69" s="317">
        <v>2.7250959992000667E-2</v>
      </c>
      <c r="P69" s="318">
        <v>1.6247771057736376E-2</v>
      </c>
      <c r="Q69" s="319">
        <v>9.8210886550753138E-3</v>
      </c>
    </row>
    <row r="70" spans="2:17" ht="15.75" x14ac:dyDescent="0.25">
      <c r="B70" s="176">
        <v>2015</v>
      </c>
      <c r="C70" s="177">
        <v>2011</v>
      </c>
      <c r="D70" s="178" t="s">
        <v>4633</v>
      </c>
      <c r="E70" s="461">
        <v>5.3096594657730783E-2</v>
      </c>
      <c r="F70" s="462">
        <v>5.5981548405813521E-2</v>
      </c>
      <c r="G70" s="316">
        <v>6.6008790140540896E-2</v>
      </c>
      <c r="H70" s="317">
        <v>6.2226991711163415E-3</v>
      </c>
      <c r="I70" s="317">
        <v>0.13916516966383544</v>
      </c>
      <c r="J70" s="317">
        <v>2.5930723247716985E-2</v>
      </c>
      <c r="K70" s="317">
        <v>8.6931372141739946E-3</v>
      </c>
      <c r="L70" s="318">
        <v>4.1670570208595617E-4</v>
      </c>
      <c r="M70" s="317">
        <v>2.7071491918269196E-3</v>
      </c>
      <c r="N70" s="318">
        <v>2.0000005732018797E-3</v>
      </c>
      <c r="O70" s="317">
        <v>2.7778602516776645E-2</v>
      </c>
      <c r="P70" s="318">
        <v>1.6323568183063832E-2</v>
      </c>
      <c r="Q70" s="319">
        <v>9.0862023037738635E-3</v>
      </c>
    </row>
    <row r="71" spans="2:17" ht="15.75" x14ac:dyDescent="0.25">
      <c r="B71" s="176">
        <v>2015</v>
      </c>
      <c r="C71" s="177">
        <v>2012</v>
      </c>
      <c r="D71" s="178" t="s">
        <v>4634</v>
      </c>
      <c r="E71" s="461">
        <v>5.0704616689932938E-2</v>
      </c>
      <c r="F71" s="462">
        <v>5.5659211361756063E-2</v>
      </c>
      <c r="G71" s="316">
        <v>5.3300681969832918E-2</v>
      </c>
      <c r="H71" s="317">
        <v>5.6954633012977623E-3</v>
      </c>
      <c r="I71" s="317">
        <v>0.10998583164729676</v>
      </c>
      <c r="J71" s="317">
        <v>2.5186628642929931E-2</v>
      </c>
      <c r="K71" s="317">
        <v>6.7996151540644081E-3</v>
      </c>
      <c r="L71" s="318">
        <v>6.0658115886593378E-4</v>
      </c>
      <c r="M71" s="317">
        <v>2.5552422689548507E-3</v>
      </c>
      <c r="N71" s="318">
        <v>2.0000005732018797E-3</v>
      </c>
      <c r="O71" s="317">
        <v>2.519466575872284E-2</v>
      </c>
      <c r="P71" s="318">
        <v>1.6621073199295629E-2</v>
      </c>
      <c r="Q71" s="319">
        <v>7.1070635784858324E-3</v>
      </c>
    </row>
    <row r="72" spans="2:17" ht="15.75" x14ac:dyDescent="0.25">
      <c r="B72" s="176">
        <v>2015</v>
      </c>
      <c r="C72" s="177">
        <v>2013</v>
      </c>
      <c r="D72" s="178" t="s">
        <v>4635</v>
      </c>
      <c r="E72" s="461">
        <v>5.27256802128339E-2</v>
      </c>
      <c r="F72" s="462">
        <v>5.4508675490233728E-2</v>
      </c>
      <c r="G72" s="316">
        <v>6.4388026359763373E-2</v>
      </c>
      <c r="H72" s="317">
        <v>6.4489522645387268E-3</v>
      </c>
      <c r="I72" s="317">
        <v>0.12761902897025657</v>
      </c>
      <c r="J72" s="317">
        <v>2.7176233888084163E-2</v>
      </c>
      <c r="K72" s="317">
        <v>6.8103200702575341E-3</v>
      </c>
      <c r="L72" s="318">
        <v>9.0838574849298184E-4</v>
      </c>
      <c r="M72" s="317">
        <v>2.7297355130508822E-3</v>
      </c>
      <c r="N72" s="318">
        <v>2.0000005732018801E-3</v>
      </c>
      <c r="O72" s="317">
        <v>2.816279584079634E-2</v>
      </c>
      <c r="P72" s="318">
        <v>1.674410625433654E-2</v>
      </c>
      <c r="Q72" s="319">
        <v>7.1182525234868479E-3</v>
      </c>
    </row>
    <row r="73" spans="2:17" ht="15.75" x14ac:dyDescent="0.25">
      <c r="B73" s="176">
        <v>2015</v>
      </c>
      <c r="C73" s="177">
        <v>2014</v>
      </c>
      <c r="D73" s="178" t="s">
        <v>4636</v>
      </c>
      <c r="E73" s="461">
        <v>4.9901982194059079E-2</v>
      </c>
      <c r="F73" s="462">
        <v>5.2371525594648013E-2</v>
      </c>
      <c r="G73" s="316">
        <v>5.3041246539561708E-2</v>
      </c>
      <c r="H73" s="317">
        <v>6.2912551169787938E-3</v>
      </c>
      <c r="I73" s="317">
        <v>0.10301525641316589</v>
      </c>
      <c r="J73" s="317">
        <v>2.6010489585539483E-2</v>
      </c>
      <c r="K73" s="317">
        <v>5.2157821877814384E-3</v>
      </c>
      <c r="L73" s="318">
        <v>1.2782175905945048E-3</v>
      </c>
      <c r="M73" s="317">
        <v>2.6055550637264576E-3</v>
      </c>
      <c r="N73" s="318">
        <v>2.0000005732018801E-3</v>
      </c>
      <c r="O73" s="317">
        <v>2.6050486397787877E-2</v>
      </c>
      <c r="P73" s="318">
        <v>1.62527773338071E-2</v>
      </c>
      <c r="Q73" s="319">
        <v>5.451616713622238E-3</v>
      </c>
    </row>
    <row r="74" spans="2:17" ht="15.75" x14ac:dyDescent="0.25">
      <c r="B74" s="176">
        <v>2015</v>
      </c>
      <c r="C74" s="177">
        <v>2015</v>
      </c>
      <c r="D74" s="178" t="s">
        <v>4637</v>
      </c>
      <c r="E74" s="461">
        <v>4.8739753739783218E-2</v>
      </c>
      <c r="F74" s="462">
        <v>5.3014467408841019E-2</v>
      </c>
      <c r="G74" s="316">
        <v>4.8877828628153576E-2</v>
      </c>
      <c r="H74" s="317">
        <v>6.1310316622629835E-3</v>
      </c>
      <c r="I74" s="317">
        <v>9.2007685839182909E-2</v>
      </c>
      <c r="J74" s="317">
        <v>2.6506256197098378E-2</v>
      </c>
      <c r="K74" s="317">
        <v>4.1249679379332148E-3</v>
      </c>
      <c r="L74" s="318">
        <v>1.61025577447185E-3</v>
      </c>
      <c r="M74" s="317">
        <v>2.5772171549357597E-3</v>
      </c>
      <c r="N74" s="318">
        <v>2.0000005732018801E-3</v>
      </c>
      <c r="O74" s="317">
        <v>2.5568458569258098E-2</v>
      </c>
      <c r="P74" s="318">
        <v>1.6755514044530774E-2</v>
      </c>
      <c r="Q74" s="319">
        <v>4.311480683812422E-3</v>
      </c>
    </row>
    <row r="75" spans="2:17" ht="15.75" x14ac:dyDescent="0.25">
      <c r="B75" s="176">
        <v>2016</v>
      </c>
      <c r="C75" s="177">
        <v>1974</v>
      </c>
      <c r="D75" s="178" t="s">
        <v>4638</v>
      </c>
      <c r="E75" s="461">
        <v>5.8577418424353128E-2</v>
      </c>
      <c r="F75" s="462">
        <v>9.6459720280397995E-2</v>
      </c>
      <c r="G75" s="316">
        <v>0.87527083860893706</v>
      </c>
      <c r="H75" s="317">
        <v>6.2457213643163438</v>
      </c>
      <c r="I75" s="317">
        <v>2.6804793143295793</v>
      </c>
      <c r="J75" s="317">
        <v>5.4434586173375816</v>
      </c>
      <c r="K75" s="317">
        <v>0.58795755157301821</v>
      </c>
      <c r="L75" s="318">
        <v>5.4705066883558223E-2</v>
      </c>
      <c r="M75" s="317">
        <v>2.167658420030041E-3</v>
      </c>
      <c r="N75" s="318">
        <v>2.0000005732018801E-3</v>
      </c>
      <c r="O75" s="317">
        <v>1.860186448851182E-2</v>
      </c>
      <c r="P75" s="318">
        <v>2.0317811561035622E-2</v>
      </c>
      <c r="Q75" s="319">
        <v>0.61454238303215547</v>
      </c>
    </row>
    <row r="76" spans="2:17" ht="15.75" x14ac:dyDescent="0.25">
      <c r="B76" s="176">
        <v>2016</v>
      </c>
      <c r="C76" s="177">
        <v>1975</v>
      </c>
      <c r="D76" s="178" t="s">
        <v>4639</v>
      </c>
      <c r="E76" s="461">
        <v>5.4657993242044151E-2</v>
      </c>
      <c r="F76" s="462">
        <v>9.4472264683825691E-2</v>
      </c>
      <c r="G76" s="316">
        <v>0.8702216625127932</v>
      </c>
      <c r="H76" s="317">
        <v>6.2565263278069736</v>
      </c>
      <c r="I76" s="317">
        <v>4.5162254906577566</v>
      </c>
      <c r="J76" s="317">
        <v>5.4958770231931133</v>
      </c>
      <c r="K76" s="317">
        <v>0.55563608834759382</v>
      </c>
      <c r="L76" s="318">
        <v>5.5028171657236662E-2</v>
      </c>
      <c r="M76" s="317">
        <v>2.5113799378992802E-3</v>
      </c>
      <c r="N76" s="318">
        <v>2.0000005732018801E-3</v>
      </c>
      <c r="O76" s="317">
        <v>2.4448567507467586E-2</v>
      </c>
      <c r="P76" s="318">
        <v>1.9901886000257885E-2</v>
      </c>
      <c r="Q76" s="319">
        <v>0.58075948666404686</v>
      </c>
    </row>
    <row r="77" spans="2:17" ht="15.75" x14ac:dyDescent="0.25">
      <c r="B77" s="176">
        <v>2016</v>
      </c>
      <c r="C77" s="177">
        <v>1976</v>
      </c>
      <c r="D77" s="178" t="s">
        <v>4640</v>
      </c>
      <c r="E77" s="461">
        <v>5.8103943390802298E-2</v>
      </c>
      <c r="F77" s="462">
        <v>0.12986395886002486</v>
      </c>
      <c r="G77" s="316">
        <v>0.69653550300804623</v>
      </c>
      <c r="H77" s="317">
        <v>7.9107454175177248</v>
      </c>
      <c r="I77" s="317">
        <v>2.4944111038775878</v>
      </c>
      <c r="J77" s="317">
        <v>10.29509582739205</v>
      </c>
      <c r="K77" s="317">
        <v>0.48786890617165274</v>
      </c>
      <c r="L77" s="318">
        <v>5.5458705838125573E-2</v>
      </c>
      <c r="M77" s="317">
        <v>2.164905301102216E-3</v>
      </c>
      <c r="N77" s="318">
        <v>2.0000005732018801E-3</v>
      </c>
      <c r="O77" s="317">
        <v>1.8555033935549511E-2</v>
      </c>
      <c r="P77" s="318">
        <v>1.9098044900020088E-2</v>
      </c>
      <c r="Q77" s="319">
        <v>0.50992817322252659</v>
      </c>
    </row>
    <row r="78" spans="2:17" ht="15.75" x14ac:dyDescent="0.25">
      <c r="B78" s="176">
        <v>2016</v>
      </c>
      <c r="C78" s="177">
        <v>1977</v>
      </c>
      <c r="D78" s="178" t="s">
        <v>4641</v>
      </c>
      <c r="E78" s="461">
        <v>5.7293912700726007E-2</v>
      </c>
      <c r="F78" s="462">
        <v>0.12588594609125123</v>
      </c>
      <c r="G78" s="316">
        <v>0.65151149759451332</v>
      </c>
      <c r="H78" s="317">
        <v>7.8420333523778698</v>
      </c>
      <c r="I78" s="317">
        <v>2.7250525289123719</v>
      </c>
      <c r="J78" s="317">
        <v>11.032715313289177</v>
      </c>
      <c r="K78" s="317">
        <v>0.45705301585613667</v>
      </c>
      <c r="L78" s="318">
        <v>5.1891119989729395E-2</v>
      </c>
      <c r="M78" s="317">
        <v>2.2203034354168808E-3</v>
      </c>
      <c r="N78" s="318">
        <v>2.0000005732018801E-3</v>
      </c>
      <c r="O78" s="317">
        <v>1.9497356200241966E-2</v>
      </c>
      <c r="P78" s="318">
        <v>1.8097068363089049E-2</v>
      </c>
      <c r="Q78" s="319">
        <v>0.47771892509043079</v>
      </c>
    </row>
    <row r="79" spans="2:17" ht="15.75" x14ac:dyDescent="0.25">
      <c r="B79" s="176">
        <v>2016</v>
      </c>
      <c r="C79" s="177">
        <v>1978</v>
      </c>
      <c r="D79" s="178" t="s">
        <v>4642</v>
      </c>
      <c r="E79" s="461">
        <v>5.8156341284193946E-2</v>
      </c>
      <c r="F79" s="462">
        <v>0.10353392873329494</v>
      </c>
      <c r="G79" s="316">
        <v>0.70004225532366249</v>
      </c>
      <c r="H79" s="317">
        <v>1.7912719506957764</v>
      </c>
      <c r="I79" s="317">
        <v>2.5138757940749361</v>
      </c>
      <c r="J79" s="317">
        <v>4.4857540966103642</v>
      </c>
      <c r="K79" s="317">
        <v>0.49011673895108093</v>
      </c>
      <c r="L79" s="318">
        <v>4.5105600070972578E-2</v>
      </c>
      <c r="M79" s="317">
        <v>2.1542284294757672E-3</v>
      </c>
      <c r="N79" s="318">
        <v>2.0000005732018805E-3</v>
      </c>
      <c r="O79" s="317">
        <v>1.8373420349183617E-2</v>
      </c>
      <c r="P79" s="318">
        <v>1.9214602882224822E-2</v>
      </c>
      <c r="Q79" s="319">
        <v>0.51227764302563084</v>
      </c>
    </row>
    <row r="80" spans="2:17" ht="15.75" x14ac:dyDescent="0.25">
      <c r="B80" s="176">
        <v>2016</v>
      </c>
      <c r="C80" s="177">
        <v>1979</v>
      </c>
      <c r="D80" s="178" t="s">
        <v>4643</v>
      </c>
      <c r="E80" s="461">
        <v>5.7770550781903414E-2</v>
      </c>
      <c r="F80" s="462">
        <v>0.10349529473608547</v>
      </c>
      <c r="G80" s="316">
        <v>0.67485712125197905</v>
      </c>
      <c r="H80" s="317">
        <v>1.7890596916883368</v>
      </c>
      <c r="I80" s="317">
        <v>2.546204060573896</v>
      </c>
      <c r="J80" s="317">
        <v>4.4201734649604827</v>
      </c>
      <c r="K80" s="317">
        <v>0.47317456234089916</v>
      </c>
      <c r="L80" s="318">
        <v>4.4783466793885909E-2</v>
      </c>
      <c r="M80" s="317">
        <v>2.1789864492417106E-3</v>
      </c>
      <c r="N80" s="318">
        <v>2.0000005732018801E-3</v>
      </c>
      <c r="O80" s="317">
        <v>1.8794554265402316E-2</v>
      </c>
      <c r="P80" s="318">
        <v>1.9374566632626558E-2</v>
      </c>
      <c r="Q80" s="319">
        <v>0.49456941636893142</v>
      </c>
    </row>
    <row r="81" spans="2:17" ht="15.75" x14ac:dyDescent="0.25">
      <c r="B81" s="176">
        <v>2016</v>
      </c>
      <c r="C81" s="177">
        <v>1980</v>
      </c>
      <c r="D81" s="178" t="s">
        <v>4644</v>
      </c>
      <c r="E81" s="461">
        <v>5.7551339359427349E-2</v>
      </c>
      <c r="F81" s="462">
        <v>0.10888924780096135</v>
      </c>
      <c r="G81" s="316">
        <v>0.32459031932108567</v>
      </c>
      <c r="H81" s="317">
        <v>2.1192924179149504</v>
      </c>
      <c r="I81" s="317">
        <v>2.3789777685887805</v>
      </c>
      <c r="J81" s="317">
        <v>4.3729190642179825</v>
      </c>
      <c r="K81" s="317">
        <v>0.25833626420099287</v>
      </c>
      <c r="L81" s="318">
        <v>3.731658965061764E-2</v>
      </c>
      <c r="M81" s="317">
        <v>2.1708940117895932E-3</v>
      </c>
      <c r="N81" s="318">
        <v>2.0000005732018801E-3</v>
      </c>
      <c r="O81" s="317">
        <v>1.8656901904341799E-2</v>
      </c>
      <c r="P81" s="318">
        <v>2.2743975923159094E-2</v>
      </c>
      <c r="Q81" s="319">
        <v>0.2700170837179679</v>
      </c>
    </row>
    <row r="82" spans="2:17" ht="15.75" x14ac:dyDescent="0.25">
      <c r="B82" s="176">
        <v>2016</v>
      </c>
      <c r="C82" s="177">
        <v>1981</v>
      </c>
      <c r="D82" s="178" t="s">
        <v>4645</v>
      </c>
      <c r="E82" s="461">
        <v>5.8306154518170117E-2</v>
      </c>
      <c r="F82" s="462">
        <v>0.10567585433132334</v>
      </c>
      <c r="G82" s="316">
        <v>0.31720749758599964</v>
      </c>
      <c r="H82" s="317">
        <v>2.0915715509122168</v>
      </c>
      <c r="I82" s="317">
        <v>2.7882622492930125</v>
      </c>
      <c r="J82" s="317">
        <v>3.6149832414380692</v>
      </c>
      <c r="K82" s="317">
        <v>0.2510950249905578</v>
      </c>
      <c r="L82" s="318">
        <v>1.7700776668701988E-2</v>
      </c>
      <c r="M82" s="317">
        <v>2.3043013189142517E-3</v>
      </c>
      <c r="N82" s="318">
        <v>2.0000005732018801E-3</v>
      </c>
      <c r="O82" s="317">
        <v>2.0926160198532238E-2</v>
      </c>
      <c r="P82" s="318">
        <v>2.5380122231417949E-2</v>
      </c>
      <c r="Q82" s="319">
        <v>0.26244842780295957</v>
      </c>
    </row>
    <row r="83" spans="2:17" ht="15.75" x14ac:dyDescent="0.25">
      <c r="B83" s="176">
        <v>2016</v>
      </c>
      <c r="C83" s="177">
        <v>1982</v>
      </c>
      <c r="D83" s="178" t="s">
        <v>4646</v>
      </c>
      <c r="E83" s="461">
        <v>5.7010064051742797E-2</v>
      </c>
      <c r="F83" s="462">
        <v>0.10343279527242927</v>
      </c>
      <c r="G83" s="316">
        <v>0.282701947888991</v>
      </c>
      <c r="H83" s="317">
        <v>2.0082577945191269</v>
      </c>
      <c r="I83" s="317">
        <v>3.4985006308052546</v>
      </c>
      <c r="J83" s="317">
        <v>3.5455944945862496</v>
      </c>
      <c r="K83" s="317">
        <v>0.22116101792409398</v>
      </c>
      <c r="L83" s="318">
        <v>1.7875092611921967E-2</v>
      </c>
      <c r="M83" s="317">
        <v>2.5034295902736981E-3</v>
      </c>
      <c r="N83" s="318">
        <v>2.0000005732018801E-3</v>
      </c>
      <c r="O83" s="317">
        <v>2.4313332094356432E-2</v>
      </c>
      <c r="P83" s="318">
        <v>2.456655718649196E-2</v>
      </c>
      <c r="Q83" s="319">
        <v>0.23116093776713945</v>
      </c>
    </row>
    <row r="84" spans="2:17" ht="15.75" x14ac:dyDescent="0.25">
      <c r="B84" s="176">
        <v>2016</v>
      </c>
      <c r="C84" s="177">
        <v>1983</v>
      </c>
      <c r="D84" s="178" t="s">
        <v>4647</v>
      </c>
      <c r="E84" s="461">
        <v>5.713820522889633E-2</v>
      </c>
      <c r="F84" s="462">
        <v>9.9652241858037144E-2</v>
      </c>
      <c r="G84" s="316">
        <v>0.21911250365140883</v>
      </c>
      <c r="H84" s="317">
        <v>1.7468660121079427</v>
      </c>
      <c r="I84" s="317">
        <v>3.8198057397397815</v>
      </c>
      <c r="J84" s="317">
        <v>3.0866552357252868</v>
      </c>
      <c r="K84" s="317">
        <v>0.20089241159116558</v>
      </c>
      <c r="L84" s="318">
        <v>1.764648665105786E-2</v>
      </c>
      <c r="M84" s="317">
        <v>2.6450153295551285E-3</v>
      </c>
      <c r="N84" s="318">
        <v>2.0000005732018801E-3</v>
      </c>
      <c r="O84" s="317">
        <v>2.6721705519533564E-2</v>
      </c>
      <c r="P84" s="318">
        <v>2.3345956438838474E-2</v>
      </c>
      <c r="Q84" s="319">
        <v>0.20997587499644396</v>
      </c>
    </row>
    <row r="85" spans="2:17" ht="15.75" x14ac:dyDescent="0.25">
      <c r="B85" s="176">
        <v>2016</v>
      </c>
      <c r="C85" s="177">
        <v>1984</v>
      </c>
      <c r="D85" s="178" t="s">
        <v>4648</v>
      </c>
      <c r="E85" s="461">
        <v>5.6325968718657318E-2</v>
      </c>
      <c r="F85" s="462">
        <v>0.10031332356685788</v>
      </c>
      <c r="G85" s="316">
        <v>0.25195483414629294</v>
      </c>
      <c r="H85" s="317">
        <v>1.4797438176217119</v>
      </c>
      <c r="I85" s="317">
        <v>4.3411424253722357</v>
      </c>
      <c r="J85" s="317">
        <v>3.5454678649946287</v>
      </c>
      <c r="K85" s="317">
        <v>0.18101242719973834</v>
      </c>
      <c r="L85" s="318">
        <v>1.8222178040575358E-2</v>
      </c>
      <c r="M85" s="317">
        <v>2.8047052457706614E-3</v>
      </c>
      <c r="N85" s="318">
        <v>2.0000005732018801E-3</v>
      </c>
      <c r="O85" s="317">
        <v>2.9438030994359786E-2</v>
      </c>
      <c r="P85" s="318">
        <v>2.3226562554811297E-2</v>
      </c>
      <c r="Q85" s="319">
        <v>0.18919700592696109</v>
      </c>
    </row>
    <row r="86" spans="2:17" ht="15.75" x14ac:dyDescent="0.25">
      <c r="B86" s="176">
        <v>2016</v>
      </c>
      <c r="C86" s="177">
        <v>1985</v>
      </c>
      <c r="D86" s="178" t="s">
        <v>4649</v>
      </c>
      <c r="E86" s="461">
        <v>5.7047630288055665E-2</v>
      </c>
      <c r="F86" s="462">
        <v>9.763017074288198E-2</v>
      </c>
      <c r="G86" s="316">
        <v>0.24334756606687225</v>
      </c>
      <c r="H86" s="317">
        <v>1.1110383506642147</v>
      </c>
      <c r="I86" s="317">
        <v>4.6790069588223071</v>
      </c>
      <c r="J86" s="317">
        <v>2.9646909122930829</v>
      </c>
      <c r="K86" s="317">
        <v>0.17880267301210132</v>
      </c>
      <c r="L86" s="318">
        <v>1.6990010602240781E-2</v>
      </c>
      <c r="M86" s="317">
        <v>2.8977272637763581E-3</v>
      </c>
      <c r="N86" s="318">
        <v>2.0000005732018805E-3</v>
      </c>
      <c r="O86" s="317">
        <v>3.102033552063669E-2</v>
      </c>
      <c r="P86" s="318">
        <v>2.3304239926206342E-2</v>
      </c>
      <c r="Q86" s="319">
        <v>0.18688733646059871</v>
      </c>
    </row>
    <row r="87" spans="2:17" ht="15.75" x14ac:dyDescent="0.25">
      <c r="B87" s="176">
        <v>2016</v>
      </c>
      <c r="C87" s="177">
        <v>1986</v>
      </c>
      <c r="D87" s="178" t="s">
        <v>4650</v>
      </c>
      <c r="E87" s="461">
        <v>5.7456173950449822E-2</v>
      </c>
      <c r="F87" s="462">
        <v>9.2373051056250252E-2</v>
      </c>
      <c r="G87" s="316">
        <v>0.24021178067509058</v>
      </c>
      <c r="H87" s="317">
        <v>1.0607228514001505</v>
      </c>
      <c r="I87" s="317">
        <v>4.8186107315704652</v>
      </c>
      <c r="J87" s="317">
        <v>2.7820135210124204</v>
      </c>
      <c r="K87" s="317">
        <v>0.17831169065915009</v>
      </c>
      <c r="L87" s="318">
        <v>1.7137739384586039E-2</v>
      </c>
      <c r="M87" s="317">
        <v>2.9397141631578726E-3</v>
      </c>
      <c r="N87" s="318">
        <v>2.0000005732018801E-3</v>
      </c>
      <c r="O87" s="317">
        <v>3.1734532679116252E-2</v>
      </c>
      <c r="P87" s="318">
        <v>2.2715668904486185E-2</v>
      </c>
      <c r="Q87" s="319">
        <v>0.18637415406434832</v>
      </c>
    </row>
    <row r="88" spans="2:17" ht="15.75" x14ac:dyDescent="0.25">
      <c r="B88" s="176">
        <v>2016</v>
      </c>
      <c r="C88" s="177">
        <v>1987</v>
      </c>
      <c r="D88" s="178" t="s">
        <v>4651</v>
      </c>
      <c r="E88" s="461">
        <v>5.7530862913419432E-2</v>
      </c>
      <c r="F88" s="462">
        <v>8.8747208146844794E-2</v>
      </c>
      <c r="G88" s="316">
        <v>0.29415858321307925</v>
      </c>
      <c r="H88" s="317">
        <v>0.97665434956917974</v>
      </c>
      <c r="I88" s="317">
        <v>5.0245761341361446</v>
      </c>
      <c r="J88" s="317">
        <v>2.6639225522577581</v>
      </c>
      <c r="K88" s="317">
        <v>0.19967543589656239</v>
      </c>
      <c r="L88" s="318">
        <v>1.7413058128065418E-2</v>
      </c>
      <c r="M88" s="317">
        <v>2.9684108263685473E-3</v>
      </c>
      <c r="N88" s="318">
        <v>2.0000005732018805E-3</v>
      </c>
      <c r="O88" s="317">
        <v>3.2222662920329818E-2</v>
      </c>
      <c r="P88" s="318">
        <v>2.1625565243287022E-2</v>
      </c>
      <c r="Q88" s="319">
        <v>0.20870387306118085</v>
      </c>
    </row>
    <row r="89" spans="2:17" ht="15.75" x14ac:dyDescent="0.25">
      <c r="B89" s="176">
        <v>2016</v>
      </c>
      <c r="C89" s="177">
        <v>1988</v>
      </c>
      <c r="D89" s="178" t="s">
        <v>4652</v>
      </c>
      <c r="E89" s="461">
        <v>5.7325448367121203E-2</v>
      </c>
      <c r="F89" s="462">
        <v>8.7357801374625552E-2</v>
      </c>
      <c r="G89" s="316">
        <v>0.29082652334638787</v>
      </c>
      <c r="H89" s="317">
        <v>0.49626119648804973</v>
      </c>
      <c r="I89" s="317">
        <v>5.0909009656207118</v>
      </c>
      <c r="J89" s="317">
        <v>1.8910472347914693</v>
      </c>
      <c r="K89" s="317">
        <v>0.1976290206029559</v>
      </c>
      <c r="L89" s="318">
        <v>1.684935620788449E-2</v>
      </c>
      <c r="M89" s="317">
        <v>2.9795122007099484E-3</v>
      </c>
      <c r="N89" s="318">
        <v>2.0000005732018805E-3</v>
      </c>
      <c r="O89" s="317">
        <v>3.2411497297877054E-2</v>
      </c>
      <c r="P89" s="318">
        <v>2.2035349034022201E-2</v>
      </c>
      <c r="Q89" s="319">
        <v>0.20656492794883105</v>
      </c>
    </row>
    <row r="90" spans="2:17" ht="15.75" x14ac:dyDescent="0.25">
      <c r="B90" s="176">
        <v>2016</v>
      </c>
      <c r="C90" s="177">
        <v>1989</v>
      </c>
      <c r="D90" s="178" t="s">
        <v>4653</v>
      </c>
      <c r="E90" s="461">
        <v>5.7486313468978374E-2</v>
      </c>
      <c r="F90" s="462">
        <v>8.9737089571182926E-2</v>
      </c>
      <c r="G90" s="316">
        <v>0.29217409665305888</v>
      </c>
      <c r="H90" s="317">
        <v>0.49432431679201699</v>
      </c>
      <c r="I90" s="317">
        <v>5.1149573328063465</v>
      </c>
      <c r="J90" s="317">
        <v>1.8856398762854349</v>
      </c>
      <c r="K90" s="317">
        <v>0.19870079303850466</v>
      </c>
      <c r="L90" s="318">
        <v>1.6619733330139802E-2</v>
      </c>
      <c r="M90" s="317">
        <v>2.9862845743692055E-3</v>
      </c>
      <c r="N90" s="318">
        <v>2.0000005732018801E-3</v>
      </c>
      <c r="O90" s="317">
        <v>3.2526695373821017E-2</v>
      </c>
      <c r="P90" s="318">
        <v>2.288882421780563E-2</v>
      </c>
      <c r="Q90" s="319">
        <v>0.20768516117799524</v>
      </c>
    </row>
    <row r="91" spans="2:17" ht="15.75" x14ac:dyDescent="0.25">
      <c r="B91" s="176">
        <v>2016</v>
      </c>
      <c r="C91" s="177">
        <v>1990</v>
      </c>
      <c r="D91" s="178" t="s">
        <v>4654</v>
      </c>
      <c r="E91" s="461">
        <v>5.7962021318874797E-2</v>
      </c>
      <c r="F91" s="462">
        <v>8.7518343691817796E-2</v>
      </c>
      <c r="G91" s="316">
        <v>0.29705258178590743</v>
      </c>
      <c r="H91" s="317">
        <v>0.49638571268091369</v>
      </c>
      <c r="I91" s="317">
        <v>5.0627670814769905</v>
      </c>
      <c r="J91" s="317">
        <v>1.8787710357804468</v>
      </c>
      <c r="K91" s="317">
        <v>0.20202282985464318</v>
      </c>
      <c r="L91" s="318">
        <v>1.6890591163424409E-2</v>
      </c>
      <c r="M91" s="317">
        <v>2.9866852135969494E-3</v>
      </c>
      <c r="N91" s="318">
        <v>2.0000005732018801E-3</v>
      </c>
      <c r="O91" s="317">
        <v>3.2533510247084944E-2</v>
      </c>
      <c r="P91" s="318">
        <v>2.2062265937184137E-2</v>
      </c>
      <c r="Q91" s="319">
        <v>0.21115740575764036</v>
      </c>
    </row>
    <row r="92" spans="2:17" ht="15.75" x14ac:dyDescent="0.25">
      <c r="B92" s="176">
        <v>2016</v>
      </c>
      <c r="C92" s="177">
        <v>1991</v>
      </c>
      <c r="D92" s="178" t="s">
        <v>4655</v>
      </c>
      <c r="E92" s="461">
        <v>5.7858794647938715E-2</v>
      </c>
      <c r="F92" s="462">
        <v>8.5127969633809045E-2</v>
      </c>
      <c r="G92" s="316">
        <v>0.37951129323345756</v>
      </c>
      <c r="H92" s="317">
        <v>0.51803098432436812</v>
      </c>
      <c r="I92" s="317">
        <v>8.9176986283864803</v>
      </c>
      <c r="J92" s="317">
        <v>2.3043728588921635</v>
      </c>
      <c r="K92" s="317">
        <v>5.6400026733630954E-2</v>
      </c>
      <c r="L92" s="318">
        <v>9.5233719617723971E-3</v>
      </c>
      <c r="M92" s="317">
        <v>2.9838206497210997E-3</v>
      </c>
      <c r="N92" s="318">
        <v>2.0000005732018801E-3</v>
      </c>
      <c r="O92" s="317">
        <v>3.2484784015556739E-2</v>
      </c>
      <c r="P92" s="318">
        <v>2.1153850273728517E-2</v>
      </c>
      <c r="Q92" s="319">
        <v>5.8950185671113785E-2</v>
      </c>
    </row>
    <row r="93" spans="2:17" ht="15.75" x14ac:dyDescent="0.25">
      <c r="B93" s="176">
        <v>2016</v>
      </c>
      <c r="C93" s="177">
        <v>1992</v>
      </c>
      <c r="D93" s="178" t="s">
        <v>4656</v>
      </c>
      <c r="E93" s="461">
        <v>5.7835314171276318E-2</v>
      </c>
      <c r="F93" s="462">
        <v>8.217219341557952E-2</v>
      </c>
      <c r="G93" s="316">
        <v>0.37998336965657603</v>
      </c>
      <c r="H93" s="317">
        <v>0.51848117654903048</v>
      </c>
      <c r="I93" s="317">
        <v>8.8233827839742514</v>
      </c>
      <c r="J93" s="317">
        <v>2.2355312266250444</v>
      </c>
      <c r="K93" s="317">
        <v>5.819478084970555E-2</v>
      </c>
      <c r="L93" s="318">
        <v>9.6569862872880573E-3</v>
      </c>
      <c r="M93" s="317">
        <v>2.9728844475134931E-3</v>
      </c>
      <c r="N93" s="318">
        <v>2.0000005732018801E-3</v>
      </c>
      <c r="O93" s="317">
        <v>3.2298759216005342E-2</v>
      </c>
      <c r="P93" s="318">
        <v>2.0147794095036246E-2</v>
      </c>
      <c r="Q93" s="319">
        <v>6.0826090604213748E-2</v>
      </c>
    </row>
    <row r="94" spans="2:17" ht="15.75" x14ac:dyDescent="0.25">
      <c r="B94" s="176">
        <v>2016</v>
      </c>
      <c r="C94" s="177">
        <v>1993</v>
      </c>
      <c r="D94" s="178" t="s">
        <v>4657</v>
      </c>
      <c r="E94" s="461">
        <v>5.7687871873436457E-2</v>
      </c>
      <c r="F94" s="462">
        <v>7.3175522607954457E-2</v>
      </c>
      <c r="G94" s="316">
        <v>0.37302985750604417</v>
      </c>
      <c r="H94" s="317">
        <v>0.51988784860760018</v>
      </c>
      <c r="I94" s="317">
        <v>8.8757391579311999</v>
      </c>
      <c r="J94" s="317">
        <v>2.1813937074761944</v>
      </c>
      <c r="K94" s="317">
        <v>5.3807578108655683E-2</v>
      </c>
      <c r="L94" s="318">
        <v>9.8044517834847602E-3</v>
      </c>
      <c r="M94" s="317">
        <v>2.9769788318999768E-3</v>
      </c>
      <c r="N94" s="318">
        <v>2.0000005732018801E-3</v>
      </c>
      <c r="O94" s="317">
        <v>3.2368404694419435E-2</v>
      </c>
      <c r="P94" s="318">
        <v>1.9624173452671166E-2</v>
      </c>
      <c r="Q94" s="319">
        <v>5.6240518023137419E-2</v>
      </c>
    </row>
    <row r="95" spans="2:17" ht="15.75" x14ac:dyDescent="0.25">
      <c r="B95" s="176">
        <v>2016</v>
      </c>
      <c r="C95" s="177">
        <v>1994</v>
      </c>
      <c r="D95" s="178" t="s">
        <v>4658</v>
      </c>
      <c r="E95" s="461">
        <v>5.7404120550212455E-2</v>
      </c>
      <c r="F95" s="462">
        <v>6.9774804775016713E-2</v>
      </c>
      <c r="G95" s="316">
        <v>0.36538593797935515</v>
      </c>
      <c r="H95" s="317">
        <v>0.51545691656341985</v>
      </c>
      <c r="I95" s="317">
        <v>8.8099754018048326</v>
      </c>
      <c r="J95" s="317">
        <v>2.1101734188983934</v>
      </c>
      <c r="K95" s="317">
        <v>5.3777916054116956E-2</v>
      </c>
      <c r="L95" s="318">
        <v>9.9216750242645483E-3</v>
      </c>
      <c r="M95" s="317">
        <v>2.9646773020081804E-3</v>
      </c>
      <c r="N95" s="318">
        <v>2.0000005732018801E-3</v>
      </c>
      <c r="O95" s="317">
        <v>3.215915567096015E-2</v>
      </c>
      <c r="P95" s="318">
        <v>1.8656397409431088E-2</v>
      </c>
      <c r="Q95" s="319">
        <v>5.6209514782115944E-2</v>
      </c>
    </row>
    <row r="96" spans="2:17" ht="15.75" x14ac:dyDescent="0.25">
      <c r="B96" s="176">
        <v>2016</v>
      </c>
      <c r="C96" s="177">
        <v>1995</v>
      </c>
      <c r="D96" s="178" t="s">
        <v>4659</v>
      </c>
      <c r="E96" s="461">
        <v>5.7118713939177605E-2</v>
      </c>
      <c r="F96" s="462">
        <v>7.0992997112429748E-2</v>
      </c>
      <c r="G96" s="316">
        <v>0.36043183339562418</v>
      </c>
      <c r="H96" s="317">
        <v>0.38695535868603603</v>
      </c>
      <c r="I96" s="317">
        <v>8.924715777606675</v>
      </c>
      <c r="J96" s="317">
        <v>1.661751503932259</v>
      </c>
      <c r="K96" s="317">
        <v>5.2888233321905093E-2</v>
      </c>
      <c r="L96" s="318">
        <v>9.2434159805779396E-3</v>
      </c>
      <c r="M96" s="317">
        <v>2.9718714952672318E-3</v>
      </c>
      <c r="N96" s="318">
        <v>2.0000005732018801E-3</v>
      </c>
      <c r="O96" s="317">
        <v>3.2281528898296448E-2</v>
      </c>
      <c r="P96" s="318">
        <v>1.9264284244865024E-2</v>
      </c>
      <c r="Q96" s="319">
        <v>5.5279604544662075E-2</v>
      </c>
    </row>
    <row r="97" spans="2:17" ht="15.75" x14ac:dyDescent="0.25">
      <c r="B97" s="176">
        <v>2016</v>
      </c>
      <c r="C97" s="177">
        <v>1996</v>
      </c>
      <c r="D97" s="178" t="s">
        <v>4660</v>
      </c>
      <c r="E97" s="461">
        <v>5.7246564571483319E-2</v>
      </c>
      <c r="F97" s="462">
        <v>7.0471718043367049E-2</v>
      </c>
      <c r="G97" s="316">
        <v>0.35957694754795666</v>
      </c>
      <c r="H97" s="317">
        <v>0.14066427834568809</v>
      </c>
      <c r="I97" s="317">
        <v>8.9151912944689009</v>
      </c>
      <c r="J97" s="317">
        <v>1.0393901976205675</v>
      </c>
      <c r="K97" s="317">
        <v>5.2784530864646406E-2</v>
      </c>
      <c r="L97" s="318">
        <v>2.8056039921330366E-3</v>
      </c>
      <c r="M97" s="317">
        <v>2.9743818057794027E-3</v>
      </c>
      <c r="N97" s="318">
        <v>2.0000005732018801E-3</v>
      </c>
      <c r="O97" s="317">
        <v>3.2324229280108474E-2</v>
      </c>
      <c r="P97" s="318">
        <v>1.9456030777826448E-2</v>
      </c>
      <c r="Q97" s="319">
        <v>5.5171213122459047E-2</v>
      </c>
    </row>
    <row r="98" spans="2:17" ht="15.75" x14ac:dyDescent="0.25">
      <c r="B98" s="176">
        <v>2016</v>
      </c>
      <c r="C98" s="177">
        <v>1997</v>
      </c>
      <c r="D98" s="178" t="s">
        <v>4661</v>
      </c>
      <c r="E98" s="461">
        <v>5.7397217855445902E-2</v>
      </c>
      <c r="F98" s="462">
        <v>6.8451260238614461E-2</v>
      </c>
      <c r="G98" s="316">
        <v>0.35823782624464162</v>
      </c>
      <c r="H98" s="317">
        <v>0.14479229248537204</v>
      </c>
      <c r="I98" s="317">
        <v>8.921546580473068</v>
      </c>
      <c r="J98" s="317">
        <v>1.065909018275532</v>
      </c>
      <c r="K98" s="317">
        <v>5.2586284259355201E-2</v>
      </c>
      <c r="L98" s="318">
        <v>2.8271597646587899E-3</v>
      </c>
      <c r="M98" s="317">
        <v>2.9789524654547663E-3</v>
      </c>
      <c r="N98" s="318">
        <v>2.0000005732018801E-3</v>
      </c>
      <c r="O98" s="317">
        <v>3.2401976201186407E-2</v>
      </c>
      <c r="P98" s="318">
        <v>1.8879021092788134E-2</v>
      </c>
      <c r="Q98" s="319">
        <v>5.4964002685382853E-2</v>
      </c>
    </row>
    <row r="99" spans="2:17" ht="15.75" x14ac:dyDescent="0.25">
      <c r="B99" s="176">
        <v>2016</v>
      </c>
      <c r="C99" s="177">
        <v>1998</v>
      </c>
      <c r="D99" s="178" t="s">
        <v>4662</v>
      </c>
      <c r="E99" s="461">
        <v>5.7270543588548717E-2</v>
      </c>
      <c r="F99" s="462">
        <v>6.5551107140004311E-2</v>
      </c>
      <c r="G99" s="316">
        <v>0.35154579818020076</v>
      </c>
      <c r="H99" s="317">
        <v>0.13195179927637357</v>
      </c>
      <c r="I99" s="317">
        <v>8.889321391001733</v>
      </c>
      <c r="J99" s="317">
        <v>0.93283202793527886</v>
      </c>
      <c r="K99" s="317">
        <v>5.1951570804639129E-2</v>
      </c>
      <c r="L99" s="318">
        <v>2.8676004106410651E-3</v>
      </c>
      <c r="M99" s="317">
        <v>2.9752812739915159E-3</v>
      </c>
      <c r="N99" s="318">
        <v>2.0000005732018801E-3</v>
      </c>
      <c r="O99" s="317">
        <v>3.2339529234396515E-2</v>
      </c>
      <c r="P99" s="318">
        <v>1.8047265492882256E-2</v>
      </c>
      <c r="Q99" s="319">
        <v>5.4300590304743726E-2</v>
      </c>
    </row>
    <row r="100" spans="2:17" ht="15.75" x14ac:dyDescent="0.25">
      <c r="B100" s="176">
        <v>2016</v>
      </c>
      <c r="C100" s="177">
        <v>1999</v>
      </c>
      <c r="D100" s="178" t="s">
        <v>4663</v>
      </c>
      <c r="E100" s="461">
        <v>5.7438742307160423E-2</v>
      </c>
      <c r="F100" s="462">
        <v>6.5833551793234843E-2</v>
      </c>
      <c r="G100" s="316">
        <v>0.35031803032906206</v>
      </c>
      <c r="H100" s="317">
        <v>0.1140517267809167</v>
      </c>
      <c r="I100" s="317">
        <v>9.0164204379858806</v>
      </c>
      <c r="J100" s="317">
        <v>0.77054390159060127</v>
      </c>
      <c r="K100" s="317">
        <v>5.1353264223983223E-2</v>
      </c>
      <c r="L100" s="318">
        <v>2.8769424874194979E-3</v>
      </c>
      <c r="M100" s="317">
        <v>2.9925272638455552E-3</v>
      </c>
      <c r="N100" s="318">
        <v>2.0000005732018801E-3</v>
      </c>
      <c r="O100" s="317">
        <v>3.2632883521813719E-2</v>
      </c>
      <c r="P100" s="318">
        <v>1.8150754166016907E-2</v>
      </c>
      <c r="Q100" s="319">
        <v>5.3675230955456746E-2</v>
      </c>
    </row>
    <row r="101" spans="2:17" ht="15.75" x14ac:dyDescent="0.25">
      <c r="B101" s="176">
        <v>2016</v>
      </c>
      <c r="C101" s="177">
        <v>2000</v>
      </c>
      <c r="D101" s="178" t="s">
        <v>4664</v>
      </c>
      <c r="E101" s="461">
        <v>5.730261549493456E-2</v>
      </c>
      <c r="F101" s="462">
        <v>7.1904674198216445E-2</v>
      </c>
      <c r="G101" s="316">
        <v>0.34280305102963859</v>
      </c>
      <c r="H101" s="317">
        <v>9.5807685694978356E-2</v>
      </c>
      <c r="I101" s="317">
        <v>9.0656185574953962</v>
      </c>
      <c r="J101" s="317">
        <v>0.61069900656201426</v>
      </c>
      <c r="K101" s="317">
        <v>5.0346406471003489E-2</v>
      </c>
      <c r="L101" s="318">
        <v>2.8761569947430825E-3</v>
      </c>
      <c r="M101" s="317">
        <v>2.9973265576411058E-3</v>
      </c>
      <c r="N101" s="318">
        <v>2.0000005732018805E-3</v>
      </c>
      <c r="O101" s="317">
        <v>3.2714519509276035E-2</v>
      </c>
      <c r="P101" s="318">
        <v>1.8287064664777853E-2</v>
      </c>
      <c r="Q101" s="319">
        <v>5.2622847562752324E-2</v>
      </c>
    </row>
    <row r="102" spans="2:17" ht="15.75" x14ac:dyDescent="0.25">
      <c r="B102" s="176">
        <v>2016</v>
      </c>
      <c r="C102" s="177">
        <v>2001</v>
      </c>
      <c r="D102" s="178" t="s">
        <v>4665</v>
      </c>
      <c r="E102" s="461">
        <v>5.7373792361500357E-2</v>
      </c>
      <c r="F102" s="462">
        <v>7.0768858433916171E-2</v>
      </c>
      <c r="G102" s="316">
        <v>0.335707811621139</v>
      </c>
      <c r="H102" s="317">
        <v>7.9675062572138924E-2</v>
      </c>
      <c r="I102" s="317">
        <v>8.9758789924103581</v>
      </c>
      <c r="J102" s="317">
        <v>0.46225433738129507</v>
      </c>
      <c r="K102" s="317">
        <v>4.9874846138407293E-2</v>
      </c>
      <c r="L102" s="318">
        <v>2.8986052997518239E-3</v>
      </c>
      <c r="M102" s="317">
        <v>2.9909465893466053E-3</v>
      </c>
      <c r="N102" s="318">
        <v>2.0000005732018801E-3</v>
      </c>
      <c r="O102" s="317">
        <v>3.2605996248586594E-2</v>
      </c>
      <c r="P102" s="318">
        <v>1.7915360068346139E-2</v>
      </c>
      <c r="Q102" s="319">
        <v>5.2129965364434067E-2</v>
      </c>
    </row>
    <row r="103" spans="2:17" ht="15.75" x14ac:dyDescent="0.25">
      <c r="B103" s="176">
        <v>2016</v>
      </c>
      <c r="C103" s="177">
        <v>2002</v>
      </c>
      <c r="D103" s="178" t="s">
        <v>4666</v>
      </c>
      <c r="E103" s="461">
        <v>5.720742430575794E-2</v>
      </c>
      <c r="F103" s="462">
        <v>6.915675086618428E-2</v>
      </c>
      <c r="G103" s="316">
        <v>0.26176838185590146</v>
      </c>
      <c r="H103" s="317">
        <v>7.7911484963114591E-2</v>
      </c>
      <c r="I103" s="317">
        <v>6.9721887644179752</v>
      </c>
      <c r="J103" s="317">
        <v>0.44461215817175459</v>
      </c>
      <c r="K103" s="317">
        <v>5.0759689415683623E-2</v>
      </c>
      <c r="L103" s="318">
        <v>2.9245124348371925E-3</v>
      </c>
      <c r="M103" s="317">
        <v>2.9958914608121138E-3</v>
      </c>
      <c r="N103" s="318">
        <v>2.0000005732018801E-3</v>
      </c>
      <c r="O103" s="317">
        <v>3.2690108512215051E-2</v>
      </c>
      <c r="P103" s="318">
        <v>1.7392488941296837E-2</v>
      </c>
      <c r="Q103" s="319">
        <v>5.3054817328275002E-2</v>
      </c>
    </row>
    <row r="104" spans="2:17" ht="15.75" x14ac:dyDescent="0.25">
      <c r="B104" s="176">
        <v>2016</v>
      </c>
      <c r="C104" s="177">
        <v>2003</v>
      </c>
      <c r="D104" s="178" t="s">
        <v>4667</v>
      </c>
      <c r="E104" s="461">
        <v>5.6979093421200479E-2</v>
      </c>
      <c r="F104" s="462">
        <v>6.9984797305248952E-2</v>
      </c>
      <c r="G104" s="316">
        <v>0.25414953982905358</v>
      </c>
      <c r="H104" s="317">
        <v>6.2883768458245684E-2</v>
      </c>
      <c r="I104" s="317">
        <v>6.9524847293226877</v>
      </c>
      <c r="J104" s="317">
        <v>0.37710719418221084</v>
      </c>
      <c r="K104" s="317">
        <v>4.9863079506149835E-2</v>
      </c>
      <c r="L104" s="318">
        <v>2.9111877257644754E-3</v>
      </c>
      <c r="M104" s="317">
        <v>2.9908969073654322E-3</v>
      </c>
      <c r="N104" s="318">
        <v>2.0000005732018801E-3</v>
      </c>
      <c r="O104" s="317">
        <v>3.2605151158086841E-2</v>
      </c>
      <c r="P104" s="318">
        <v>1.7700100874986521E-2</v>
      </c>
      <c r="Q104" s="319">
        <v>5.2117666697279623E-2</v>
      </c>
    </row>
    <row r="105" spans="2:17" ht="15.75" x14ac:dyDescent="0.25">
      <c r="B105" s="176">
        <v>2016</v>
      </c>
      <c r="C105" s="177">
        <v>2004</v>
      </c>
      <c r="D105" s="178" t="s">
        <v>4668</v>
      </c>
      <c r="E105" s="461">
        <v>5.6890653592408587E-2</v>
      </c>
      <c r="F105" s="462">
        <v>7.0118144280144623E-2</v>
      </c>
      <c r="G105" s="316">
        <v>0.20513035700707366</v>
      </c>
      <c r="H105" s="317">
        <v>1.7450691912162274E-2</v>
      </c>
      <c r="I105" s="317">
        <v>5.7859795458650707</v>
      </c>
      <c r="J105" s="317">
        <v>0.10157772427517024</v>
      </c>
      <c r="K105" s="317">
        <v>4.8996700470593312E-2</v>
      </c>
      <c r="L105" s="318">
        <v>1.9449246631616233E-4</v>
      </c>
      <c r="M105" s="317">
        <v>2.9874331151061658E-3</v>
      </c>
      <c r="N105" s="318">
        <v>2.0000005732018801E-3</v>
      </c>
      <c r="O105" s="317">
        <v>3.2546232051756711E-2</v>
      </c>
      <c r="P105" s="318">
        <v>1.7394412781974067E-2</v>
      </c>
      <c r="Q105" s="319">
        <v>5.1212113846235321E-2</v>
      </c>
    </row>
    <row r="106" spans="2:17" ht="15.75" x14ac:dyDescent="0.25">
      <c r="B106" s="176">
        <v>2016</v>
      </c>
      <c r="C106" s="177">
        <v>2005</v>
      </c>
      <c r="D106" s="178" t="s">
        <v>4669</v>
      </c>
      <c r="E106" s="461">
        <v>5.662562286164579E-2</v>
      </c>
      <c r="F106" s="462">
        <v>6.6989865126381623E-2</v>
      </c>
      <c r="G106" s="316">
        <v>0.19749077809361662</v>
      </c>
      <c r="H106" s="317">
        <v>1.5426827680697273E-2</v>
      </c>
      <c r="I106" s="317">
        <v>5.7510775231033939</v>
      </c>
      <c r="J106" s="317">
        <v>8.2200128632663738E-2</v>
      </c>
      <c r="K106" s="317">
        <v>4.7998335205176955E-2</v>
      </c>
      <c r="L106" s="318">
        <v>1.9510257573762866E-4</v>
      </c>
      <c r="M106" s="317">
        <v>2.976697131828963E-3</v>
      </c>
      <c r="N106" s="318">
        <v>2.0000005732018801E-3</v>
      </c>
      <c r="O106" s="317">
        <v>3.2363612976211494E-2</v>
      </c>
      <c r="P106" s="318">
        <v>1.6847802973752588E-2</v>
      </c>
      <c r="Q106" s="319">
        <v>5.0168606933697027E-2</v>
      </c>
    </row>
    <row r="107" spans="2:17" ht="15.75" x14ac:dyDescent="0.25">
      <c r="B107" s="176">
        <v>2016</v>
      </c>
      <c r="C107" s="177">
        <v>2006</v>
      </c>
      <c r="D107" s="178" t="s">
        <v>4670</v>
      </c>
      <c r="E107" s="461">
        <v>5.6556262006923964E-2</v>
      </c>
      <c r="F107" s="462">
        <v>6.9067822078712662E-2</v>
      </c>
      <c r="G107" s="316">
        <v>0.19176702422226133</v>
      </c>
      <c r="H107" s="317">
        <v>5.7225921736046024E-3</v>
      </c>
      <c r="I107" s="317">
        <v>5.7311622919839165</v>
      </c>
      <c r="J107" s="317">
        <v>4.1234694617844396E-2</v>
      </c>
      <c r="K107" s="317">
        <v>4.7221161903702208E-2</v>
      </c>
      <c r="L107" s="318">
        <v>1.921086356121794E-4</v>
      </c>
      <c r="M107" s="317">
        <v>2.9745677158001561E-3</v>
      </c>
      <c r="N107" s="318">
        <v>2.0000005732018801E-3</v>
      </c>
      <c r="O107" s="317">
        <v>3.2327391609561495E-2</v>
      </c>
      <c r="P107" s="318">
        <v>1.8217566813068516E-2</v>
      </c>
      <c r="Q107" s="319">
        <v>4.9356293304185103E-2</v>
      </c>
    </row>
    <row r="108" spans="2:17" ht="15.75" x14ac:dyDescent="0.25">
      <c r="B108" s="176">
        <v>2016</v>
      </c>
      <c r="C108" s="177">
        <v>2007</v>
      </c>
      <c r="D108" s="178" t="s">
        <v>4671</v>
      </c>
      <c r="E108" s="461">
        <v>5.6311026033148498E-2</v>
      </c>
      <c r="F108" s="462">
        <v>6.5583207162167673E-2</v>
      </c>
      <c r="G108" s="316">
        <v>0.13536817679201693</v>
      </c>
      <c r="H108" s="317">
        <v>7.8472799039428914E-3</v>
      </c>
      <c r="I108" s="317">
        <v>2.8553219151358857</v>
      </c>
      <c r="J108" s="317">
        <v>4.0885267026036579E-2</v>
      </c>
      <c r="K108" s="317">
        <v>2.9720784254924106E-2</v>
      </c>
      <c r="L108" s="318">
        <v>1.9486916383794589E-4</v>
      </c>
      <c r="M108" s="317">
        <v>2.9427968553229302E-3</v>
      </c>
      <c r="N108" s="318">
        <v>2.0000005732018805E-3</v>
      </c>
      <c r="O108" s="317">
        <v>3.1786969272843871E-2</v>
      </c>
      <c r="P108" s="318">
        <v>1.7057924873341641E-2</v>
      </c>
      <c r="Q108" s="319">
        <v>3.1064626234904916E-2</v>
      </c>
    </row>
    <row r="109" spans="2:17" ht="15.75" x14ac:dyDescent="0.25">
      <c r="B109" s="176">
        <v>2016</v>
      </c>
      <c r="C109" s="177">
        <v>2008</v>
      </c>
      <c r="D109" s="178" t="s">
        <v>4672</v>
      </c>
      <c r="E109" s="461">
        <v>5.6337502565676711E-2</v>
      </c>
      <c r="F109" s="462">
        <v>6.3927497976426995E-2</v>
      </c>
      <c r="G109" s="316">
        <v>0.13363092371573337</v>
      </c>
      <c r="H109" s="317">
        <v>7.627869366553788E-3</v>
      </c>
      <c r="I109" s="317">
        <v>2.8867616212778011</v>
      </c>
      <c r="J109" s="317">
        <v>3.4947616468053645E-2</v>
      </c>
      <c r="K109" s="317">
        <v>2.9247437747707387E-2</v>
      </c>
      <c r="L109" s="318">
        <v>2.2266084716600449E-4</v>
      </c>
      <c r="M109" s="317">
        <v>2.9582127476204183E-3</v>
      </c>
      <c r="N109" s="318">
        <v>2.0000005732018801E-3</v>
      </c>
      <c r="O109" s="317">
        <v>3.2049193600824144E-2</v>
      </c>
      <c r="P109" s="318">
        <v>1.7048301580466649E-2</v>
      </c>
      <c r="Q109" s="319">
        <v>3.0569877099075882E-2</v>
      </c>
    </row>
    <row r="110" spans="2:17" ht="15.75" x14ac:dyDescent="0.25">
      <c r="B110" s="176">
        <v>2016</v>
      </c>
      <c r="C110" s="177">
        <v>2009</v>
      </c>
      <c r="D110" s="178" t="s">
        <v>4673</v>
      </c>
      <c r="E110" s="461">
        <v>5.4973454347658941E-2</v>
      </c>
      <c r="F110" s="462">
        <v>5.9048155588739694E-2</v>
      </c>
      <c r="G110" s="316">
        <v>0.11399086310362588</v>
      </c>
      <c r="H110" s="317">
        <v>7.5029959528029938E-3</v>
      </c>
      <c r="I110" s="317">
        <v>2.423902447497813</v>
      </c>
      <c r="J110" s="317">
        <v>2.9233654593569421E-2</v>
      </c>
      <c r="K110" s="317">
        <v>2.4883449109668557E-2</v>
      </c>
      <c r="L110" s="318">
        <v>2.5146912852611536E-4</v>
      </c>
      <c r="M110" s="317">
        <v>2.8104214113992762E-3</v>
      </c>
      <c r="N110" s="318">
        <v>2.0000005732018805E-3</v>
      </c>
      <c r="O110" s="317">
        <v>2.9535262971702517E-2</v>
      </c>
      <c r="P110" s="318">
        <v>1.6539571478524927E-2</v>
      </c>
      <c r="Q110" s="319">
        <v>2.6008568259737675E-2</v>
      </c>
    </row>
    <row r="111" spans="2:17" ht="15.75" x14ac:dyDescent="0.25">
      <c r="B111" s="176">
        <v>2016</v>
      </c>
      <c r="C111" s="177">
        <v>2010</v>
      </c>
      <c r="D111" s="178" t="s">
        <v>4674</v>
      </c>
      <c r="E111" s="461">
        <v>5.3377581152822887E-2</v>
      </c>
      <c r="F111" s="462">
        <v>5.7496276436258507E-2</v>
      </c>
      <c r="G111" s="316">
        <v>6.8170762302733154E-2</v>
      </c>
      <c r="H111" s="317">
        <v>6.2738631371276575E-3</v>
      </c>
      <c r="I111" s="317">
        <v>0.14974982286980495</v>
      </c>
      <c r="J111" s="317">
        <v>2.6491769993178579E-2</v>
      </c>
      <c r="K111" s="317">
        <v>1.0350856430567832E-2</v>
      </c>
      <c r="L111" s="318">
        <v>3.0696918169590564E-4</v>
      </c>
      <c r="M111" s="317">
        <v>2.6846112754544036E-3</v>
      </c>
      <c r="N111" s="318">
        <v>2.0000005732018801E-3</v>
      </c>
      <c r="O111" s="317">
        <v>2.7395232559280232E-2</v>
      </c>
      <c r="P111" s="318">
        <v>1.6259024648519867E-2</v>
      </c>
      <c r="Q111" s="319">
        <v>1.0818876227113E-2</v>
      </c>
    </row>
    <row r="112" spans="2:17" ht="15.75" x14ac:dyDescent="0.25">
      <c r="B112" s="176">
        <v>2016</v>
      </c>
      <c r="C112" s="177">
        <v>2011</v>
      </c>
      <c r="D112" s="178" t="s">
        <v>4675</v>
      </c>
      <c r="E112" s="461">
        <v>5.3040808914773099E-2</v>
      </c>
      <c r="F112" s="462">
        <v>5.6102431778471441E-2</v>
      </c>
      <c r="G112" s="316">
        <v>6.7337156300384726E-2</v>
      </c>
      <c r="H112" s="317">
        <v>6.3319191223736304E-3</v>
      </c>
      <c r="I112" s="317">
        <v>0.14547781190827672</v>
      </c>
      <c r="J112" s="317">
        <v>2.6426820966869765E-2</v>
      </c>
      <c r="K112" s="317">
        <v>9.5950043861110276E-3</v>
      </c>
      <c r="L112" s="318">
        <v>4.1629483404988059E-4</v>
      </c>
      <c r="M112" s="317">
        <v>2.7035796857342964E-3</v>
      </c>
      <c r="N112" s="318">
        <v>2.0000005732018801E-3</v>
      </c>
      <c r="O112" s="317">
        <v>2.7717885218141208E-2</v>
      </c>
      <c r="P112" s="318">
        <v>1.6358428480624871E-2</v>
      </c>
      <c r="Q112" s="319">
        <v>1.0028847907249625E-2</v>
      </c>
    </row>
    <row r="113" spans="2:17" ht="15.75" x14ac:dyDescent="0.25">
      <c r="B113" s="176">
        <v>2016</v>
      </c>
      <c r="C113" s="177">
        <v>2012</v>
      </c>
      <c r="D113" s="178" t="s">
        <v>4676</v>
      </c>
      <c r="E113" s="461">
        <v>5.0756345627405997E-2</v>
      </c>
      <c r="F113" s="462">
        <v>5.5851769489277878E-2</v>
      </c>
      <c r="G113" s="316">
        <v>5.5025743655974638E-2</v>
      </c>
      <c r="H113" s="317">
        <v>5.7891327665403128E-3</v>
      </c>
      <c r="I113" s="317">
        <v>0.11656886092150778</v>
      </c>
      <c r="J113" s="317">
        <v>2.5632936539756714E-2</v>
      </c>
      <c r="K113" s="317">
        <v>7.6555675700129928E-3</v>
      </c>
      <c r="L113" s="318">
        <v>6.0541755250738156E-4</v>
      </c>
      <c r="M113" s="317">
        <v>2.5614604104813601E-3</v>
      </c>
      <c r="N113" s="318">
        <v>2.0000005732018797E-3</v>
      </c>
      <c r="O113" s="317">
        <v>2.5300436346088764E-2</v>
      </c>
      <c r="P113" s="318">
        <v>1.667554369752125E-2</v>
      </c>
      <c r="Q113" s="319">
        <v>8.0017183644510558E-3</v>
      </c>
    </row>
    <row r="114" spans="2:17" ht="15.75" x14ac:dyDescent="0.25">
      <c r="B114" s="176">
        <v>2016</v>
      </c>
      <c r="C114" s="177">
        <v>2013</v>
      </c>
      <c r="D114" s="178" t="s">
        <v>4677</v>
      </c>
      <c r="E114" s="461">
        <v>5.2861970414194652E-2</v>
      </c>
      <c r="F114" s="462">
        <v>5.4541431172224819E-2</v>
      </c>
      <c r="G114" s="316">
        <v>6.6970161432152966E-2</v>
      </c>
      <c r="H114" s="317">
        <v>6.5176868747035535E-3</v>
      </c>
      <c r="I114" s="317">
        <v>0.13697162733856688</v>
      </c>
      <c r="J114" s="317">
        <v>2.7218697293808644E-2</v>
      </c>
      <c r="K114" s="317">
        <v>7.9238027984062064E-3</v>
      </c>
      <c r="L114" s="318">
        <v>9.0522614628772127E-4</v>
      </c>
      <c r="M114" s="317">
        <v>2.7399985797190679E-3</v>
      </c>
      <c r="N114" s="318">
        <v>2.0000005732018797E-3</v>
      </c>
      <c r="O114" s="317">
        <v>2.8337370604822176E-2</v>
      </c>
      <c r="P114" s="318">
        <v>1.6759266203572324E-2</v>
      </c>
      <c r="Q114" s="319">
        <v>8.2820819995959756E-3</v>
      </c>
    </row>
    <row r="115" spans="2:17" ht="15.75" x14ac:dyDescent="0.25">
      <c r="B115" s="176">
        <v>2016</v>
      </c>
      <c r="C115" s="177">
        <v>2014</v>
      </c>
      <c r="D115" s="178" t="s">
        <v>4678</v>
      </c>
      <c r="E115" s="461">
        <v>5.0061830926231614E-2</v>
      </c>
      <c r="F115" s="462">
        <v>5.273223649992196E-2</v>
      </c>
      <c r="G115" s="316">
        <v>5.5719971927473681E-2</v>
      </c>
      <c r="H115" s="317">
        <v>6.4282438925308428E-3</v>
      </c>
      <c r="I115" s="317">
        <v>0.11159783857111488</v>
      </c>
      <c r="J115" s="317">
        <v>2.645861878211983E-2</v>
      </c>
      <c r="K115" s="317">
        <v>6.2292306685730256E-3</v>
      </c>
      <c r="L115" s="318">
        <v>1.2718413752753966E-3</v>
      </c>
      <c r="M115" s="317">
        <v>2.6157377578231336E-3</v>
      </c>
      <c r="N115" s="318">
        <v>2.0000005732018801E-3</v>
      </c>
      <c r="O115" s="317">
        <v>2.6223694024372333E-2</v>
      </c>
      <c r="P115" s="318">
        <v>1.636128188707325E-2</v>
      </c>
      <c r="Q115" s="319">
        <v>6.5108888376041877E-3</v>
      </c>
    </row>
    <row r="116" spans="2:17" ht="15.75" x14ac:dyDescent="0.25">
      <c r="B116" s="176">
        <v>2016</v>
      </c>
      <c r="C116" s="177">
        <v>2015</v>
      </c>
      <c r="D116" s="178" t="s">
        <v>4679</v>
      </c>
      <c r="E116" s="461">
        <v>4.8978357577066901E-2</v>
      </c>
      <c r="F116" s="462">
        <v>5.4456976432598753E-2</v>
      </c>
      <c r="G116" s="316">
        <v>5.1583748292009957E-2</v>
      </c>
      <c r="H116" s="317">
        <v>6.3877468972982571E-3</v>
      </c>
      <c r="I116" s="317">
        <v>0.10087109544938011</v>
      </c>
      <c r="J116" s="317">
        <v>2.8256795233686818E-2</v>
      </c>
      <c r="K116" s="317">
        <v>5.1474652857041951E-3</v>
      </c>
      <c r="L116" s="318">
        <v>1.5856089766109612E-3</v>
      </c>
      <c r="M116" s="317">
        <v>2.5951832479601139E-3</v>
      </c>
      <c r="N116" s="318">
        <v>2.0000005732018801E-3</v>
      </c>
      <c r="O116" s="317">
        <v>2.5874061811602359E-2</v>
      </c>
      <c r="P116" s="318">
        <v>1.7192625445835667E-2</v>
      </c>
      <c r="Q116" s="319">
        <v>5.3802108243848267E-3</v>
      </c>
    </row>
    <row r="117" spans="2:17" ht="15.75" x14ac:dyDescent="0.25">
      <c r="B117" s="176">
        <v>2016</v>
      </c>
      <c r="C117" s="177">
        <v>2016</v>
      </c>
      <c r="D117" s="178" t="s">
        <v>4680</v>
      </c>
      <c r="E117" s="461">
        <v>4.9820122634464857E-2</v>
      </c>
      <c r="F117" s="462">
        <v>5.4178827043339269E-2</v>
      </c>
      <c r="G117" s="316">
        <v>6.1635097369973128E-2</v>
      </c>
      <c r="H117" s="317">
        <v>6.1786201111728037E-3</v>
      </c>
      <c r="I117" s="317">
        <v>0.1004882236871478</v>
      </c>
      <c r="J117" s="317">
        <v>2.7528160464399598E-2</v>
      </c>
      <c r="K117" s="317">
        <v>4.6177064965528562E-3</v>
      </c>
      <c r="L117" s="318">
        <v>1.8373060591552871E-3</v>
      </c>
      <c r="M117" s="317">
        <v>2.7734716335642983E-3</v>
      </c>
      <c r="N117" s="318">
        <v>2.0000005732018801E-3</v>
      </c>
      <c r="O117" s="317">
        <v>2.8906747250729545E-2</v>
      </c>
      <c r="P117" s="318">
        <v>1.7669030801559679E-2</v>
      </c>
      <c r="Q117" s="319">
        <v>4.8264986935578728E-3</v>
      </c>
    </row>
    <row r="118" spans="2:17" ht="15.75" x14ac:dyDescent="0.25">
      <c r="B118" s="176">
        <v>2017</v>
      </c>
      <c r="C118" s="177">
        <v>1974</v>
      </c>
      <c r="D118" s="178" t="s">
        <v>2964</v>
      </c>
      <c r="E118" s="461">
        <v>5.8612856348330938E-2</v>
      </c>
      <c r="F118" s="462">
        <v>9.6627624668554221E-2</v>
      </c>
      <c r="G118" s="316">
        <v>0.8735030518090936</v>
      </c>
      <c r="H118" s="317">
        <v>6.3287493952865947</v>
      </c>
      <c r="I118" s="317">
        <v>2.6543863416157576</v>
      </c>
      <c r="J118" s="317">
        <v>5.4003219119711101</v>
      </c>
      <c r="K118" s="317">
        <v>0.58756625304294252</v>
      </c>
      <c r="L118" s="318">
        <v>5.4751036519930511E-2</v>
      </c>
      <c r="M118" s="317">
        <v>2.1616007674649372E-3</v>
      </c>
      <c r="N118" s="318">
        <v>2.0000005732018801E-3</v>
      </c>
      <c r="O118" s="317">
        <v>1.84988238183794E-2</v>
      </c>
      <c r="P118" s="318">
        <v>2.0317811561035622E-2</v>
      </c>
      <c r="Q118" s="319">
        <v>0.61413339171891135</v>
      </c>
    </row>
    <row r="119" spans="2:17" ht="15.75" x14ac:dyDescent="0.25">
      <c r="B119" s="176">
        <v>2017</v>
      </c>
      <c r="C119" s="177">
        <v>1975</v>
      </c>
      <c r="D119" s="178" t="s">
        <v>2965</v>
      </c>
      <c r="E119" s="461">
        <v>5.4919313942265638E-2</v>
      </c>
      <c r="F119" s="462">
        <v>9.4649678362150394E-2</v>
      </c>
      <c r="G119" s="316">
        <v>0.86089033079069055</v>
      </c>
      <c r="H119" s="317">
        <v>6.3364895304042435</v>
      </c>
      <c r="I119" s="317">
        <v>4.2599473862740709</v>
      </c>
      <c r="J119" s="317">
        <v>5.492635502246924</v>
      </c>
      <c r="K119" s="317">
        <v>0.55437056613749358</v>
      </c>
      <c r="L119" s="318">
        <v>5.5076320123017962E-2</v>
      </c>
      <c r="M119" s="317">
        <v>2.4595951596708345E-3</v>
      </c>
      <c r="N119" s="318">
        <v>2.0000005732018801E-3</v>
      </c>
      <c r="O119" s="317">
        <v>2.3567708429801718E-2</v>
      </c>
      <c r="P119" s="318">
        <v>1.9901886000257885E-2</v>
      </c>
      <c r="Q119" s="319">
        <v>0.57943674315527738</v>
      </c>
    </row>
    <row r="120" spans="2:17" ht="15.75" x14ac:dyDescent="0.25">
      <c r="B120" s="176">
        <v>2017</v>
      </c>
      <c r="C120" s="177">
        <v>1976</v>
      </c>
      <c r="D120" s="178" t="s">
        <v>2966</v>
      </c>
      <c r="E120" s="461">
        <v>5.8152499773911452E-2</v>
      </c>
      <c r="F120" s="462">
        <v>0.12996530207698981</v>
      </c>
      <c r="G120" s="316">
        <v>0.70538353025165124</v>
      </c>
      <c r="H120" s="317">
        <v>7.9187454116451841</v>
      </c>
      <c r="I120" s="317">
        <v>2.446871677027223</v>
      </c>
      <c r="J120" s="317">
        <v>10.286849846396057</v>
      </c>
      <c r="K120" s="317">
        <v>0.49385601771805265</v>
      </c>
      <c r="L120" s="318">
        <v>5.5513464825186036E-2</v>
      </c>
      <c r="M120" s="317">
        <v>2.1501210569628312E-3</v>
      </c>
      <c r="N120" s="318">
        <v>2.0000005732018805E-3</v>
      </c>
      <c r="O120" s="317">
        <v>1.8303553942738578E-2</v>
      </c>
      <c r="P120" s="318">
        <v>1.9098449879552712E-2</v>
      </c>
      <c r="Q120" s="319">
        <v>0.51618599538564092</v>
      </c>
    </row>
    <row r="121" spans="2:17" ht="15.75" x14ac:dyDescent="0.25">
      <c r="B121" s="176">
        <v>2017</v>
      </c>
      <c r="C121" s="177">
        <v>1977</v>
      </c>
      <c r="D121" s="178" t="s">
        <v>2967</v>
      </c>
      <c r="E121" s="461">
        <v>5.7423793494340125E-2</v>
      </c>
      <c r="F121" s="462">
        <v>0.12597212873035074</v>
      </c>
      <c r="G121" s="316">
        <v>0.67464852517074625</v>
      </c>
      <c r="H121" s="317">
        <v>7.8471407965814457</v>
      </c>
      <c r="I121" s="317">
        <v>2.597228117577318</v>
      </c>
      <c r="J121" s="317">
        <v>11.015756897200852</v>
      </c>
      <c r="K121" s="317">
        <v>0.47271458892436308</v>
      </c>
      <c r="L121" s="318">
        <v>5.192637566349579E-2</v>
      </c>
      <c r="M121" s="317">
        <v>2.1810024591260176E-3</v>
      </c>
      <c r="N121" s="318">
        <v>2.0000005732018801E-3</v>
      </c>
      <c r="O121" s="317">
        <v>1.8828846593534385E-2</v>
      </c>
      <c r="P121" s="318">
        <v>1.8109728707137604E-2</v>
      </c>
      <c r="Q121" s="319">
        <v>0.49408864499560207</v>
      </c>
    </row>
    <row r="122" spans="2:17" ht="15.75" x14ac:dyDescent="0.25">
      <c r="B122" s="176">
        <v>2017</v>
      </c>
      <c r="C122" s="177">
        <v>1978</v>
      </c>
      <c r="D122" s="178" t="s">
        <v>2968</v>
      </c>
      <c r="E122" s="461">
        <v>5.821073395024718E-2</v>
      </c>
      <c r="F122" s="462">
        <v>0.10373195864466009</v>
      </c>
      <c r="G122" s="316">
        <v>0.70662514716533464</v>
      </c>
      <c r="H122" s="317">
        <v>1.7963567918550873</v>
      </c>
      <c r="I122" s="317">
        <v>2.479400259572397</v>
      </c>
      <c r="J122" s="317">
        <v>4.4831450350522069</v>
      </c>
      <c r="K122" s="317">
        <v>0.49457941710151232</v>
      </c>
      <c r="L122" s="318">
        <v>4.5068490874765998E-2</v>
      </c>
      <c r="M122" s="317">
        <v>2.1437422858077357E-3</v>
      </c>
      <c r="N122" s="318">
        <v>2.0000005732018801E-3</v>
      </c>
      <c r="O122" s="317">
        <v>1.8195051045390404E-2</v>
      </c>
      <c r="P122" s="318">
        <v>1.9252528891756653E-2</v>
      </c>
      <c r="Q122" s="319">
        <v>0.51694210367918292</v>
      </c>
    </row>
    <row r="123" spans="2:17" ht="15.75" x14ac:dyDescent="0.25">
      <c r="B123" s="176">
        <v>2017</v>
      </c>
      <c r="C123" s="177">
        <v>1979</v>
      </c>
      <c r="D123" s="178" t="s">
        <v>2969</v>
      </c>
      <c r="E123" s="461">
        <v>5.7740561347293114E-2</v>
      </c>
      <c r="F123" s="462">
        <v>0.10365696771349808</v>
      </c>
      <c r="G123" s="316">
        <v>0.68718018082048427</v>
      </c>
      <c r="H123" s="317">
        <v>1.7922881092754257</v>
      </c>
      <c r="I123" s="317">
        <v>2.4815874919821894</v>
      </c>
      <c r="J123" s="317">
        <v>4.4185845873059701</v>
      </c>
      <c r="K123" s="317">
        <v>0.48145047052585754</v>
      </c>
      <c r="L123" s="318">
        <v>4.4797888310387127E-2</v>
      </c>
      <c r="M123" s="317">
        <v>2.1562148051808266E-3</v>
      </c>
      <c r="N123" s="318">
        <v>2.0000005732018805E-3</v>
      </c>
      <c r="O123" s="317">
        <v>1.8407208599926679E-2</v>
      </c>
      <c r="P123" s="318">
        <v>1.9387771425557112E-2</v>
      </c>
      <c r="Q123" s="319">
        <v>0.50321952439821427</v>
      </c>
    </row>
    <row r="124" spans="2:17" ht="15.75" x14ac:dyDescent="0.25">
      <c r="B124" s="176">
        <v>2017</v>
      </c>
      <c r="C124" s="177">
        <v>1980</v>
      </c>
      <c r="D124" s="178" t="s">
        <v>2970</v>
      </c>
      <c r="E124" s="461">
        <v>5.7584024149884463E-2</v>
      </c>
      <c r="F124" s="462">
        <v>0.10891942384440795</v>
      </c>
      <c r="G124" s="316">
        <v>0.32584637769068336</v>
      </c>
      <c r="H124" s="317">
        <v>2.1188488342625411</v>
      </c>
      <c r="I124" s="317">
        <v>2.3483401218559212</v>
      </c>
      <c r="J124" s="317">
        <v>4.3732576308834785</v>
      </c>
      <c r="K124" s="317">
        <v>0.25942747458416693</v>
      </c>
      <c r="L124" s="318">
        <v>3.7561792158253733E-2</v>
      </c>
      <c r="M124" s="317">
        <v>2.1624654527186362E-3</v>
      </c>
      <c r="N124" s="318">
        <v>2.0000005732018801E-3</v>
      </c>
      <c r="O124" s="317">
        <v>1.8513532114544817E-2</v>
      </c>
      <c r="P124" s="318">
        <v>2.2650254472876784E-2</v>
      </c>
      <c r="Q124" s="319">
        <v>0.27115763379249425</v>
      </c>
    </row>
    <row r="125" spans="2:17" ht="15.75" x14ac:dyDescent="0.25">
      <c r="B125" s="176">
        <v>2017</v>
      </c>
      <c r="C125" s="177">
        <v>1981</v>
      </c>
      <c r="D125" s="178" t="s">
        <v>2971</v>
      </c>
      <c r="E125" s="461">
        <v>5.8417484167501962E-2</v>
      </c>
      <c r="F125" s="462">
        <v>0.10554266671876572</v>
      </c>
      <c r="G125" s="316">
        <v>0.32086007729428773</v>
      </c>
      <c r="H125" s="317">
        <v>2.0876678896506675</v>
      </c>
      <c r="I125" s="317">
        <v>2.7046262930093214</v>
      </c>
      <c r="J125" s="317">
        <v>3.6079951690757568</v>
      </c>
      <c r="K125" s="317">
        <v>0.25426429151920116</v>
      </c>
      <c r="L125" s="318">
        <v>1.7751632469971766E-2</v>
      </c>
      <c r="M125" s="317">
        <v>2.2805550462147383E-3</v>
      </c>
      <c r="N125" s="318">
        <v>2.0000005732018797E-3</v>
      </c>
      <c r="O125" s="317">
        <v>2.0522236099913518E-2</v>
      </c>
      <c r="P125" s="318">
        <v>2.5281412540995044E-2</v>
      </c>
      <c r="Q125" s="319">
        <v>0.26576099450061602</v>
      </c>
    </row>
    <row r="126" spans="2:17" ht="15.75" x14ac:dyDescent="0.25">
      <c r="B126" s="176">
        <v>2017</v>
      </c>
      <c r="C126" s="177">
        <v>1982</v>
      </c>
      <c r="D126" s="178" t="s">
        <v>2972</v>
      </c>
      <c r="E126" s="461">
        <v>5.704321702872877E-2</v>
      </c>
      <c r="F126" s="462">
        <v>0.10339632673844344</v>
      </c>
      <c r="G126" s="316">
        <v>0.2838170021914273</v>
      </c>
      <c r="H126" s="317">
        <v>2.0070990134807105</v>
      </c>
      <c r="I126" s="317">
        <v>3.4706683452129345</v>
      </c>
      <c r="J126" s="317">
        <v>3.5396478467387498</v>
      </c>
      <c r="K126" s="317">
        <v>0.22213483381578655</v>
      </c>
      <c r="L126" s="318">
        <v>1.7925440034503918E-2</v>
      </c>
      <c r="M126" s="317">
        <v>2.4956732174992004E-3</v>
      </c>
      <c r="N126" s="318">
        <v>2.0000005732018801E-3</v>
      </c>
      <c r="O126" s="317">
        <v>2.4181396193462223E-2</v>
      </c>
      <c r="P126" s="318">
        <v>2.4492910435874458E-2</v>
      </c>
      <c r="Q126" s="319">
        <v>0.23217878529220989</v>
      </c>
    </row>
    <row r="127" spans="2:17" ht="15.75" x14ac:dyDescent="0.25">
      <c r="B127" s="176">
        <v>2017</v>
      </c>
      <c r="C127" s="177">
        <v>1983</v>
      </c>
      <c r="D127" s="178" t="s">
        <v>2973</v>
      </c>
      <c r="E127" s="461">
        <v>5.7138172933144465E-2</v>
      </c>
      <c r="F127" s="462">
        <v>9.9622076013899372E-2</v>
      </c>
      <c r="G127" s="316">
        <v>0.21847533618862833</v>
      </c>
      <c r="H127" s="317">
        <v>1.744223547200106</v>
      </c>
      <c r="I127" s="317">
        <v>3.7389937941558173</v>
      </c>
      <c r="J127" s="317">
        <v>3.0798559017273721</v>
      </c>
      <c r="K127" s="317">
        <v>0.20271801999616681</v>
      </c>
      <c r="L127" s="318">
        <v>1.7685107677054755E-2</v>
      </c>
      <c r="M127" s="317">
        <v>2.6224448198121308E-3</v>
      </c>
      <c r="N127" s="318">
        <v>2.0000005732018801E-3</v>
      </c>
      <c r="O127" s="317">
        <v>2.6337781148805112E-2</v>
      </c>
      <c r="P127" s="318">
        <v>2.3287827682270459E-2</v>
      </c>
      <c r="Q127" s="319">
        <v>0.21188402931250222</v>
      </c>
    </row>
    <row r="128" spans="2:17" ht="15.75" x14ac:dyDescent="0.25">
      <c r="B128" s="176">
        <v>2017</v>
      </c>
      <c r="C128" s="177">
        <v>1984</v>
      </c>
      <c r="D128" s="178" t="s">
        <v>2974</v>
      </c>
      <c r="E128" s="461">
        <v>5.6316209498218112E-2</v>
      </c>
      <c r="F128" s="462">
        <v>0.10048668676559844</v>
      </c>
      <c r="G128" s="316">
        <v>0.25275932725897193</v>
      </c>
      <c r="H128" s="317">
        <v>1.4824496713457129</v>
      </c>
      <c r="I128" s="317">
        <v>4.3165162048502532</v>
      </c>
      <c r="J128" s="317">
        <v>3.544650482259077</v>
      </c>
      <c r="K128" s="317">
        <v>0.18133471314806451</v>
      </c>
      <c r="L128" s="318">
        <v>1.8243632325597111E-2</v>
      </c>
      <c r="M128" s="317">
        <v>2.798619416990584E-3</v>
      </c>
      <c r="N128" s="318">
        <v>2.0000005732018801E-3</v>
      </c>
      <c r="O128" s="317">
        <v>2.9334511046810653E-2</v>
      </c>
      <c r="P128" s="318">
        <v>2.3237452588975326E-2</v>
      </c>
      <c r="Q128" s="319">
        <v>0.1895338642157485</v>
      </c>
    </row>
    <row r="129" spans="2:17" ht="15.75" x14ac:dyDescent="0.25">
      <c r="B129" s="176">
        <v>2017</v>
      </c>
      <c r="C129" s="177">
        <v>1985</v>
      </c>
      <c r="D129" s="178" t="s">
        <v>2975</v>
      </c>
      <c r="E129" s="461">
        <v>5.705975440978317E-2</v>
      </c>
      <c r="F129" s="462">
        <v>9.7569252580818527E-2</v>
      </c>
      <c r="G129" s="316">
        <v>0.24370683749963967</v>
      </c>
      <c r="H129" s="317">
        <v>1.1079636044286989</v>
      </c>
      <c r="I129" s="317">
        <v>4.6686466643209403</v>
      </c>
      <c r="J129" s="317">
        <v>2.9561927621325492</v>
      </c>
      <c r="K129" s="317">
        <v>0.17896418730590763</v>
      </c>
      <c r="L129" s="318">
        <v>1.7034734446588155E-2</v>
      </c>
      <c r="M129" s="317">
        <v>2.895408028146999E-3</v>
      </c>
      <c r="N129" s="318">
        <v>2.0000005732018801E-3</v>
      </c>
      <c r="O129" s="317">
        <v>3.0980885322581281E-2</v>
      </c>
      <c r="P129" s="318">
        <v>2.3241677588309254E-2</v>
      </c>
      <c r="Q129" s="319">
        <v>0.18705615371406151</v>
      </c>
    </row>
    <row r="130" spans="2:17" ht="15.75" x14ac:dyDescent="0.25">
      <c r="B130" s="176">
        <v>2017</v>
      </c>
      <c r="C130" s="177">
        <v>1986</v>
      </c>
      <c r="D130" s="178" t="s">
        <v>2976</v>
      </c>
      <c r="E130" s="461">
        <v>5.7467568549785124E-2</v>
      </c>
      <c r="F130" s="462">
        <v>9.2486447754262499E-2</v>
      </c>
      <c r="G130" s="316">
        <v>0.24052654343725627</v>
      </c>
      <c r="H130" s="317">
        <v>1.0623232256744488</v>
      </c>
      <c r="I130" s="317">
        <v>4.8090854865873229</v>
      </c>
      <c r="J130" s="317">
        <v>2.7807005632056896</v>
      </c>
      <c r="K130" s="317">
        <v>0.1784498582489483</v>
      </c>
      <c r="L130" s="318">
        <v>1.7170149032393184E-2</v>
      </c>
      <c r="M130" s="317">
        <v>2.9375744405505753E-3</v>
      </c>
      <c r="N130" s="318">
        <v>2.0000005732018801E-3</v>
      </c>
      <c r="O130" s="317">
        <v>3.1698135997566122E-2</v>
      </c>
      <c r="P130" s="318">
        <v>2.2710607814364042E-2</v>
      </c>
      <c r="Q130" s="319">
        <v>0.18651856897944744</v>
      </c>
    </row>
    <row r="131" spans="2:17" ht="15.75" x14ac:dyDescent="0.25">
      <c r="B131" s="176">
        <v>2017</v>
      </c>
      <c r="C131" s="177">
        <v>1987</v>
      </c>
      <c r="D131" s="178" t="s">
        <v>2977</v>
      </c>
      <c r="E131" s="461">
        <v>5.7560153114383936E-2</v>
      </c>
      <c r="F131" s="462">
        <v>8.8850359241410548E-2</v>
      </c>
      <c r="G131" s="316">
        <v>0.29420094095843519</v>
      </c>
      <c r="H131" s="317">
        <v>0.97790675507720737</v>
      </c>
      <c r="I131" s="317">
        <v>5.0267098585760435</v>
      </c>
      <c r="J131" s="317">
        <v>2.6649929945111284</v>
      </c>
      <c r="K131" s="317">
        <v>0.19972355994214433</v>
      </c>
      <c r="L131" s="318">
        <v>1.743272290293776E-2</v>
      </c>
      <c r="M131" s="317">
        <v>2.9693426296269762E-3</v>
      </c>
      <c r="N131" s="318">
        <v>2.0000005732018801E-3</v>
      </c>
      <c r="O131" s="317">
        <v>3.2238512893755705E-2</v>
      </c>
      <c r="P131" s="318">
        <v>2.163269156874801E-2</v>
      </c>
      <c r="Q131" s="319">
        <v>0.20875417306255675</v>
      </c>
    </row>
    <row r="132" spans="2:17" ht="15.75" x14ac:dyDescent="0.25">
      <c r="B132" s="176">
        <v>2017</v>
      </c>
      <c r="C132" s="177">
        <v>1988</v>
      </c>
      <c r="D132" s="178" t="s">
        <v>2978</v>
      </c>
      <c r="E132" s="461">
        <v>5.735273671466358E-2</v>
      </c>
      <c r="F132" s="462">
        <v>8.7561172958788791E-2</v>
      </c>
      <c r="G132" s="316">
        <v>0.29086543659509639</v>
      </c>
      <c r="H132" s="317">
        <v>0.49703032937972358</v>
      </c>
      <c r="I132" s="317">
        <v>5.0925525677724242</v>
      </c>
      <c r="J132" s="317">
        <v>1.8916878262491819</v>
      </c>
      <c r="K132" s="317">
        <v>0.19767144243789819</v>
      </c>
      <c r="L132" s="318">
        <v>1.687523400787248E-2</v>
      </c>
      <c r="M132" s="317">
        <v>2.980280478000745E-3</v>
      </c>
      <c r="N132" s="318">
        <v>2.0000005732018797E-3</v>
      </c>
      <c r="O132" s="317">
        <v>3.2424565694593496E-2</v>
      </c>
      <c r="P132" s="318">
        <v>2.2070181518692729E-2</v>
      </c>
      <c r="Q132" s="319">
        <v>0.20660926791090481</v>
      </c>
    </row>
    <row r="133" spans="2:17" ht="15.75" x14ac:dyDescent="0.25">
      <c r="B133" s="176">
        <v>2017</v>
      </c>
      <c r="C133" s="177">
        <v>1989</v>
      </c>
      <c r="D133" s="178" t="s">
        <v>2979</v>
      </c>
      <c r="E133" s="461">
        <v>5.75202765772279E-2</v>
      </c>
      <c r="F133" s="462">
        <v>8.9903379196622626E-2</v>
      </c>
      <c r="G133" s="316">
        <v>0.29225382253567855</v>
      </c>
      <c r="H133" s="317">
        <v>0.49512435573335711</v>
      </c>
      <c r="I133" s="317">
        <v>5.1166954909662579</v>
      </c>
      <c r="J133" s="317">
        <v>1.8869620823800988</v>
      </c>
      <c r="K133" s="317">
        <v>0.19877495957520835</v>
      </c>
      <c r="L133" s="318">
        <v>1.6647952419100095E-2</v>
      </c>
      <c r="M133" s="317">
        <v>2.9872569787930147E-3</v>
      </c>
      <c r="N133" s="318">
        <v>2.0000005732018801E-3</v>
      </c>
      <c r="O133" s="317">
        <v>3.2543235973070003E-2</v>
      </c>
      <c r="P133" s="318">
        <v>2.290517482357483E-2</v>
      </c>
      <c r="Q133" s="319">
        <v>0.20776268119638064</v>
      </c>
    </row>
    <row r="134" spans="2:17" ht="15.75" x14ac:dyDescent="0.25">
      <c r="B134" s="176">
        <v>2017</v>
      </c>
      <c r="C134" s="177">
        <v>1990</v>
      </c>
      <c r="D134" s="178" t="s">
        <v>2980</v>
      </c>
      <c r="E134" s="461">
        <v>5.7986363563754258E-2</v>
      </c>
      <c r="F134" s="462">
        <v>8.7663364142751138E-2</v>
      </c>
      <c r="G134" s="316">
        <v>0.29714113556106575</v>
      </c>
      <c r="H134" s="317">
        <v>0.49705460922829875</v>
      </c>
      <c r="I134" s="317">
        <v>5.0617886833404997</v>
      </c>
      <c r="J134" s="317">
        <v>1.8794449637499133</v>
      </c>
      <c r="K134" s="317">
        <v>0.2020851878487338</v>
      </c>
      <c r="L134" s="318">
        <v>1.6915733882641507E-2</v>
      </c>
      <c r="M134" s="317">
        <v>2.9867924002190778E-3</v>
      </c>
      <c r="N134" s="318">
        <v>2.0000005732018801E-3</v>
      </c>
      <c r="O134" s="317">
        <v>3.2535333491527346E-2</v>
      </c>
      <c r="P134" s="318">
        <v>2.2082908753080173E-2</v>
      </c>
      <c r="Q134" s="319">
        <v>0.2112225833035139</v>
      </c>
    </row>
    <row r="135" spans="2:17" ht="15.75" x14ac:dyDescent="0.25">
      <c r="B135" s="176">
        <v>2017</v>
      </c>
      <c r="C135" s="177">
        <v>1991</v>
      </c>
      <c r="D135" s="178" t="s">
        <v>2981</v>
      </c>
      <c r="E135" s="461">
        <v>5.7887186435744288E-2</v>
      </c>
      <c r="F135" s="462">
        <v>8.5551914814650284E-2</v>
      </c>
      <c r="G135" s="316">
        <v>0.37967266625336538</v>
      </c>
      <c r="H135" s="317">
        <v>0.51872758063740443</v>
      </c>
      <c r="I135" s="317">
        <v>8.9193511083831822</v>
      </c>
      <c r="J135" s="317">
        <v>2.3124944405185603</v>
      </c>
      <c r="K135" s="317">
        <v>5.6331702464351215E-2</v>
      </c>
      <c r="L135" s="318">
        <v>9.526350027064966E-3</v>
      </c>
      <c r="M135" s="317">
        <v>2.9843989855667351E-3</v>
      </c>
      <c r="N135" s="318">
        <v>2.0000005732018801E-3</v>
      </c>
      <c r="O135" s="317">
        <v>3.2494621508290987E-2</v>
      </c>
      <c r="P135" s="318">
        <v>2.1272260792079608E-2</v>
      </c>
      <c r="Q135" s="319">
        <v>5.8878772081561649E-2</v>
      </c>
    </row>
    <row r="136" spans="2:17" ht="15.75" x14ac:dyDescent="0.25">
      <c r="B136" s="176">
        <v>2017</v>
      </c>
      <c r="C136" s="177">
        <v>1992</v>
      </c>
      <c r="D136" s="178" t="s">
        <v>2982</v>
      </c>
      <c r="E136" s="461">
        <v>5.7865214492723638E-2</v>
      </c>
      <c r="F136" s="462">
        <v>8.2562442889252921E-2</v>
      </c>
      <c r="G136" s="316">
        <v>0.38014722264926043</v>
      </c>
      <c r="H136" s="317">
        <v>0.52030191664257908</v>
      </c>
      <c r="I136" s="317">
        <v>8.8281419989971646</v>
      </c>
      <c r="J136" s="317">
        <v>2.2437372600909153</v>
      </c>
      <c r="K136" s="317">
        <v>5.80726181370739E-2</v>
      </c>
      <c r="L136" s="318">
        <v>9.6643534892976377E-3</v>
      </c>
      <c r="M136" s="317">
        <v>2.9738170116958094E-3</v>
      </c>
      <c r="N136" s="318">
        <v>2.0000005732018775E-3</v>
      </c>
      <c r="O136" s="317">
        <v>3.2314622132746551E-2</v>
      </c>
      <c r="P136" s="318">
        <v>2.0251986546732575E-2</v>
      </c>
      <c r="Q136" s="319">
        <v>6.0698404235805963E-2</v>
      </c>
    </row>
    <row r="137" spans="2:17" ht="15.75" x14ac:dyDescent="0.25">
      <c r="B137" s="176">
        <v>2017</v>
      </c>
      <c r="C137" s="177">
        <v>1993</v>
      </c>
      <c r="D137" s="178" t="s">
        <v>2983</v>
      </c>
      <c r="E137" s="461">
        <v>5.7723121366458942E-2</v>
      </c>
      <c r="F137" s="462">
        <v>7.3530257194975801E-2</v>
      </c>
      <c r="G137" s="316">
        <v>0.37403603591845602</v>
      </c>
      <c r="H137" s="317">
        <v>0.52376386188356583</v>
      </c>
      <c r="I137" s="317">
        <v>8.8816189144438606</v>
      </c>
      <c r="J137" s="317">
        <v>2.189037933950905</v>
      </c>
      <c r="K137" s="317">
        <v>5.3880083056376191E-2</v>
      </c>
      <c r="L137" s="318">
        <v>9.8138689073815986E-3</v>
      </c>
      <c r="M137" s="317">
        <v>2.9779086951193228E-3</v>
      </c>
      <c r="N137" s="318">
        <v>2.0000005732018801E-3</v>
      </c>
      <c r="O137" s="317">
        <v>3.2384221667780509E-2</v>
      </c>
      <c r="P137" s="318">
        <v>1.9704529285344774E-2</v>
      </c>
      <c r="Q137" s="319">
        <v>5.6316301322857962E-2</v>
      </c>
    </row>
    <row r="138" spans="2:17" ht="15.75" x14ac:dyDescent="0.25">
      <c r="B138" s="176">
        <v>2017</v>
      </c>
      <c r="C138" s="177">
        <v>1994</v>
      </c>
      <c r="D138" s="178" t="s">
        <v>2984</v>
      </c>
      <c r="E138" s="461">
        <v>5.7447648951626247E-2</v>
      </c>
      <c r="F138" s="462">
        <v>7.0042393459688546E-2</v>
      </c>
      <c r="G138" s="316">
        <v>0.36749430498902469</v>
      </c>
      <c r="H138" s="317">
        <v>0.52172558107021261</v>
      </c>
      <c r="I138" s="317">
        <v>8.8214554255746798</v>
      </c>
      <c r="J138" s="317">
        <v>2.1179804300239633</v>
      </c>
      <c r="K138" s="317">
        <v>5.3960343207589211E-2</v>
      </c>
      <c r="L138" s="318">
        <v>9.933906694734998E-3</v>
      </c>
      <c r="M138" s="317">
        <v>2.9662384669460534E-3</v>
      </c>
      <c r="N138" s="318">
        <v>2.0000005732018801E-3</v>
      </c>
      <c r="O138" s="317">
        <v>3.2185711086553201E-2</v>
      </c>
      <c r="P138" s="318">
        <v>1.8710204773836468E-2</v>
      </c>
      <c r="Q138" s="319">
        <v>5.6400190481959669E-2</v>
      </c>
    </row>
    <row r="139" spans="2:17" ht="15.75" x14ac:dyDescent="0.25">
      <c r="B139" s="176">
        <v>2017</v>
      </c>
      <c r="C139" s="177">
        <v>1995</v>
      </c>
      <c r="D139" s="178" t="s">
        <v>2985</v>
      </c>
      <c r="E139" s="461">
        <v>5.7158917402614237E-2</v>
      </c>
      <c r="F139" s="462">
        <v>7.1291602806393004E-2</v>
      </c>
      <c r="G139" s="316">
        <v>0.36325037446116271</v>
      </c>
      <c r="H139" s="317">
        <v>0.39317344761363987</v>
      </c>
      <c r="I139" s="317">
        <v>8.9351315347925979</v>
      </c>
      <c r="J139" s="317">
        <v>1.6672546714236873</v>
      </c>
      <c r="K139" s="317">
        <v>5.3153488257911427E-2</v>
      </c>
      <c r="L139" s="318">
        <v>9.2421457695617479E-3</v>
      </c>
      <c r="M139" s="317">
        <v>2.9730782841559163E-3</v>
      </c>
      <c r="N139" s="318">
        <v>2.0000005732018801E-3</v>
      </c>
      <c r="O139" s="317">
        <v>3.2302056377292963E-2</v>
      </c>
      <c r="P139" s="318">
        <v>1.9327241853111826E-2</v>
      </c>
      <c r="Q139" s="319">
        <v>5.5556853131823264E-2</v>
      </c>
    </row>
    <row r="140" spans="2:17" ht="15.75" x14ac:dyDescent="0.25">
      <c r="B140" s="176">
        <v>2017</v>
      </c>
      <c r="C140" s="177">
        <v>1996</v>
      </c>
      <c r="D140" s="178" t="s">
        <v>2986</v>
      </c>
      <c r="E140" s="461">
        <v>5.7284225565442194E-2</v>
      </c>
      <c r="F140" s="462">
        <v>7.0681040695620964E-2</v>
      </c>
      <c r="G140" s="316">
        <v>0.36315256035493615</v>
      </c>
      <c r="H140" s="317">
        <v>0.14083049363237796</v>
      </c>
      <c r="I140" s="317">
        <v>8.9244477300092075</v>
      </c>
      <c r="J140" s="317">
        <v>1.0379462821118599</v>
      </c>
      <c r="K140" s="317">
        <v>5.3138903506882232E-2</v>
      </c>
      <c r="L140" s="318">
        <v>2.8090395527173174E-3</v>
      </c>
      <c r="M140" s="317">
        <v>2.9752245253843053E-3</v>
      </c>
      <c r="N140" s="318">
        <v>2.0000005732018805E-3</v>
      </c>
      <c r="O140" s="317">
        <v>3.2338563940587858E-2</v>
      </c>
      <c r="P140" s="318">
        <v>1.9494524629772938E-2</v>
      </c>
      <c r="Q140" s="319">
        <v>5.5541608923071438E-2</v>
      </c>
    </row>
    <row r="141" spans="2:17" ht="15.75" x14ac:dyDescent="0.25">
      <c r="B141" s="176">
        <v>2017</v>
      </c>
      <c r="C141" s="177">
        <v>1997</v>
      </c>
      <c r="D141" s="178" t="s">
        <v>2987</v>
      </c>
      <c r="E141" s="461">
        <v>5.7434082230666234E-2</v>
      </c>
      <c r="F141" s="462">
        <v>6.8709829016540061E-2</v>
      </c>
      <c r="G141" s="316">
        <v>0.36264899238857207</v>
      </c>
      <c r="H141" s="317">
        <v>0.14501863262368028</v>
      </c>
      <c r="I141" s="317">
        <v>8.9322133136102639</v>
      </c>
      <c r="J141" s="317">
        <v>1.0638864745731902</v>
      </c>
      <c r="K141" s="317">
        <v>5.3028376271237444E-2</v>
      </c>
      <c r="L141" s="318">
        <v>2.8298377376100811E-3</v>
      </c>
      <c r="M141" s="317">
        <v>2.9797328168455393E-3</v>
      </c>
      <c r="N141" s="318">
        <v>2.0000005732018801E-3</v>
      </c>
      <c r="O141" s="317">
        <v>3.2415249978343448E-2</v>
      </c>
      <c r="P141" s="318">
        <v>1.8933926914082948E-2</v>
      </c>
      <c r="Q141" s="319">
        <v>5.542608413628812E-2</v>
      </c>
    </row>
    <row r="142" spans="2:17" ht="15.75" x14ac:dyDescent="0.25">
      <c r="B142" s="176">
        <v>2017</v>
      </c>
      <c r="C142" s="177">
        <v>1998</v>
      </c>
      <c r="D142" s="178" t="s">
        <v>2988</v>
      </c>
      <c r="E142" s="461">
        <v>5.7305184897791815E-2</v>
      </c>
      <c r="F142" s="462">
        <v>6.5731993299988509E-2</v>
      </c>
      <c r="G142" s="316">
        <v>0.35671213269842017</v>
      </c>
      <c r="H142" s="317">
        <v>0.13271834599800175</v>
      </c>
      <c r="I142" s="317">
        <v>8.9006177778619158</v>
      </c>
      <c r="J142" s="317">
        <v>0.93296610455029561</v>
      </c>
      <c r="K142" s="317">
        <v>5.2476382380384733E-2</v>
      </c>
      <c r="L142" s="318">
        <v>2.8705329775752489E-3</v>
      </c>
      <c r="M142" s="317">
        <v>2.9759011659484416E-3</v>
      </c>
      <c r="N142" s="318">
        <v>2.0000005732018801E-3</v>
      </c>
      <c r="O142" s="317">
        <v>3.2350073596583824E-2</v>
      </c>
      <c r="P142" s="318">
        <v>1.8079415357192697E-2</v>
      </c>
      <c r="Q142" s="319">
        <v>5.4849131531127693E-2</v>
      </c>
    </row>
    <row r="143" spans="2:17" ht="15.75" x14ac:dyDescent="0.25">
      <c r="B143" s="176">
        <v>2017</v>
      </c>
      <c r="C143" s="177">
        <v>1999</v>
      </c>
      <c r="D143" s="178" t="s">
        <v>2989</v>
      </c>
      <c r="E143" s="461">
        <v>5.7472767161162945E-2</v>
      </c>
      <c r="F143" s="462">
        <v>6.6112166538582484E-2</v>
      </c>
      <c r="G143" s="316">
        <v>0.35635624588719383</v>
      </c>
      <c r="H143" s="317">
        <v>0.11490700305598996</v>
      </c>
      <c r="I143" s="317">
        <v>9.0270529763542822</v>
      </c>
      <c r="J143" s="317">
        <v>0.77088310170728136</v>
      </c>
      <c r="K143" s="317">
        <v>5.1976308059989887E-2</v>
      </c>
      <c r="L143" s="318">
        <v>2.8785875253504296E-3</v>
      </c>
      <c r="M143" s="317">
        <v>2.9928723528983192E-3</v>
      </c>
      <c r="N143" s="318">
        <v>2.0000005732018801E-3</v>
      </c>
      <c r="O143" s="317">
        <v>3.2638753486601245E-2</v>
      </c>
      <c r="P143" s="318">
        <v>1.8211300151360892E-2</v>
      </c>
      <c r="Q143" s="319">
        <v>5.4326446069011471E-2</v>
      </c>
    </row>
    <row r="144" spans="2:17" ht="15.75" x14ac:dyDescent="0.25">
      <c r="B144" s="176">
        <v>2017</v>
      </c>
      <c r="C144" s="177">
        <v>2000</v>
      </c>
      <c r="D144" s="178" t="s">
        <v>2990</v>
      </c>
      <c r="E144" s="461">
        <v>5.7333803519232424E-2</v>
      </c>
      <c r="F144" s="462">
        <v>7.213198160177596E-2</v>
      </c>
      <c r="G144" s="316">
        <v>0.34959300378452862</v>
      </c>
      <c r="H144" s="317">
        <v>9.7010596039567965E-2</v>
      </c>
      <c r="I144" s="317">
        <v>9.076486306158003</v>
      </c>
      <c r="J144" s="317">
        <v>0.61242534977373642</v>
      </c>
      <c r="K144" s="317">
        <v>5.1053484883564836E-2</v>
      </c>
      <c r="L144" s="318">
        <v>2.878176771969851E-3</v>
      </c>
      <c r="M144" s="317">
        <v>2.9974270622321283E-3</v>
      </c>
      <c r="N144" s="318">
        <v>2.0000005732018801E-3</v>
      </c>
      <c r="O144" s="317">
        <v>3.2716229092369334E-2</v>
      </c>
      <c r="P144" s="318">
        <v>1.8337557706241601E-2</v>
      </c>
      <c r="Q144" s="319">
        <v>5.3361896923515624E-2</v>
      </c>
    </row>
    <row r="145" spans="2:17" ht="15.75" x14ac:dyDescent="0.25">
      <c r="B145" s="176">
        <v>2017</v>
      </c>
      <c r="C145" s="177">
        <v>2001</v>
      </c>
      <c r="D145" s="178" t="s">
        <v>2991</v>
      </c>
      <c r="E145" s="461">
        <v>5.7406117891027904E-2</v>
      </c>
      <c r="F145" s="462">
        <v>7.0929069121822785E-2</v>
      </c>
      <c r="G145" s="316">
        <v>0.34336533435881339</v>
      </c>
      <c r="H145" s="317">
        <v>8.1188507508497154E-2</v>
      </c>
      <c r="I145" s="317">
        <v>8.9899341865153932</v>
      </c>
      <c r="J145" s="317">
        <v>0.46499006842750307</v>
      </c>
      <c r="K145" s="317">
        <v>5.0666504659415725E-2</v>
      </c>
      <c r="L145" s="318">
        <v>2.9011725078336506E-3</v>
      </c>
      <c r="M145" s="317">
        <v>2.9912214346434372E-3</v>
      </c>
      <c r="N145" s="318">
        <v>2.0000005732018801E-3</v>
      </c>
      <c r="O145" s="317">
        <v>3.2610671367085696E-2</v>
      </c>
      <c r="P145" s="318">
        <v>1.7943921682076053E-2</v>
      </c>
      <c r="Q145" s="319">
        <v>5.2957419170829863E-2</v>
      </c>
    </row>
    <row r="146" spans="2:17" ht="15.75" x14ac:dyDescent="0.25">
      <c r="B146" s="176">
        <v>2017</v>
      </c>
      <c r="C146" s="177">
        <v>2002</v>
      </c>
      <c r="D146" s="178" t="s">
        <v>2992</v>
      </c>
      <c r="E146" s="461">
        <v>5.7238643909641639E-2</v>
      </c>
      <c r="F146" s="462">
        <v>6.9306837953329384E-2</v>
      </c>
      <c r="G146" s="316">
        <v>0.26671878346336642</v>
      </c>
      <c r="H146" s="317">
        <v>7.9572322671416423E-2</v>
      </c>
      <c r="I146" s="317">
        <v>6.9799031506228415</v>
      </c>
      <c r="J146" s="317">
        <v>0.44718284972116212</v>
      </c>
      <c r="K146" s="317">
        <v>5.13435680722924E-2</v>
      </c>
      <c r="L146" s="318">
        <v>2.9268740942290424E-3</v>
      </c>
      <c r="M146" s="317">
        <v>2.9959870301176673E-3</v>
      </c>
      <c r="N146" s="318">
        <v>2.0000005732018801E-3</v>
      </c>
      <c r="O146" s="317">
        <v>3.2691734146102353E-2</v>
      </c>
      <c r="P146" s="318">
        <v>1.7418016722229018E-2</v>
      </c>
      <c r="Q146" s="319">
        <v>5.3665096386812501E-2</v>
      </c>
    </row>
    <row r="147" spans="2:17" ht="15.75" x14ac:dyDescent="0.25">
      <c r="B147" s="176">
        <v>2017</v>
      </c>
      <c r="C147" s="177">
        <v>2003</v>
      </c>
      <c r="D147" s="178" t="s">
        <v>2993</v>
      </c>
      <c r="E147" s="461">
        <v>5.7010622183408959E-2</v>
      </c>
      <c r="F147" s="462">
        <v>7.0125085993480579E-2</v>
      </c>
      <c r="G147" s="316">
        <v>0.25953849113582822</v>
      </c>
      <c r="H147" s="317">
        <v>6.419486603878162E-2</v>
      </c>
      <c r="I147" s="317">
        <v>6.9621123168591597</v>
      </c>
      <c r="J147" s="317">
        <v>0.37949679573123496</v>
      </c>
      <c r="K147" s="317">
        <v>5.0494132774832182E-2</v>
      </c>
      <c r="L147" s="318">
        <v>2.9135909557923435E-3</v>
      </c>
      <c r="M147" s="317">
        <v>2.9911298874119689E-3</v>
      </c>
      <c r="N147" s="318">
        <v>2.0000005732018797E-3</v>
      </c>
      <c r="O147" s="317">
        <v>3.2609114148678425E-2</v>
      </c>
      <c r="P147" s="318">
        <v>1.7722310505363985E-2</v>
      </c>
      <c r="Q147" s="319">
        <v>5.2777253394514431E-2</v>
      </c>
    </row>
    <row r="148" spans="2:17" ht="15.75" x14ac:dyDescent="0.25">
      <c r="B148" s="176">
        <v>2017</v>
      </c>
      <c r="C148" s="177">
        <v>2004</v>
      </c>
      <c r="D148" s="178" t="s">
        <v>2994</v>
      </c>
      <c r="E148" s="461">
        <v>5.6919220802697755E-2</v>
      </c>
      <c r="F148" s="462">
        <v>7.0229625090960257E-2</v>
      </c>
      <c r="G148" s="316">
        <v>0.20992962606391519</v>
      </c>
      <c r="H148" s="317">
        <v>1.7608813190550698E-2</v>
      </c>
      <c r="I148" s="317">
        <v>5.7948486054845372</v>
      </c>
      <c r="J148" s="317">
        <v>0.1030850998652261</v>
      </c>
      <c r="K148" s="317">
        <v>4.9675456435152567E-2</v>
      </c>
      <c r="L148" s="318">
        <v>1.9466549897850479E-4</v>
      </c>
      <c r="M148" s="317">
        <v>2.9876380103362626E-3</v>
      </c>
      <c r="N148" s="318">
        <v>2.0000005732018801E-3</v>
      </c>
      <c r="O148" s="317">
        <v>3.2549717319620655E-2</v>
      </c>
      <c r="P148" s="318">
        <v>1.7410037015716851E-2</v>
      </c>
      <c r="Q148" s="319">
        <v>5.1921560143576899E-2</v>
      </c>
    </row>
    <row r="149" spans="2:17" ht="15.75" x14ac:dyDescent="0.25">
      <c r="B149" s="176">
        <v>2017</v>
      </c>
      <c r="C149" s="177">
        <v>2005</v>
      </c>
      <c r="D149" s="178" t="s">
        <v>2995</v>
      </c>
      <c r="E149" s="461">
        <v>5.6654905518952345E-2</v>
      </c>
      <c r="F149" s="462">
        <v>6.7080847970101831E-2</v>
      </c>
      <c r="G149" s="316">
        <v>0.20261341369946903</v>
      </c>
      <c r="H149" s="317">
        <v>1.5544744120847552E-2</v>
      </c>
      <c r="I149" s="317">
        <v>5.761815137764069</v>
      </c>
      <c r="J149" s="317">
        <v>8.3529287730424825E-2</v>
      </c>
      <c r="K149" s="317">
        <v>4.871733818537962E-2</v>
      </c>
      <c r="L149" s="318">
        <v>1.9528178398426415E-4</v>
      </c>
      <c r="M149" s="317">
        <v>2.9771401477520286E-3</v>
      </c>
      <c r="N149" s="318">
        <v>2.0000005732018801E-3</v>
      </c>
      <c r="O149" s="317">
        <v>3.2371148677062832E-2</v>
      </c>
      <c r="P149" s="318">
        <v>1.6856750363546655E-2</v>
      </c>
      <c r="Q149" s="319">
        <v>5.0920120038136008E-2</v>
      </c>
    </row>
    <row r="150" spans="2:17" ht="15.75" x14ac:dyDescent="0.25">
      <c r="B150" s="176">
        <v>2017</v>
      </c>
      <c r="C150" s="177">
        <v>2006</v>
      </c>
      <c r="D150" s="178" t="s">
        <v>2996</v>
      </c>
      <c r="E150" s="461">
        <v>5.6584184471392684E-2</v>
      </c>
      <c r="F150" s="462">
        <v>6.9223264557744663E-2</v>
      </c>
      <c r="G150" s="316">
        <v>0.19723382898193109</v>
      </c>
      <c r="H150" s="317">
        <v>5.7286005069133181E-3</v>
      </c>
      <c r="I150" s="317">
        <v>5.7422094617430375</v>
      </c>
      <c r="J150" s="317">
        <v>4.2877554191493354E-2</v>
      </c>
      <c r="K150" s="317">
        <v>4.7990853413056603E-2</v>
      </c>
      <c r="L150" s="318">
        <v>1.9222173777558619E-4</v>
      </c>
      <c r="M150" s="317">
        <v>2.9748510321435696E-3</v>
      </c>
      <c r="N150" s="318">
        <v>2.0000005732018801E-3</v>
      </c>
      <c r="O150" s="317">
        <v>3.2332210820562937E-2</v>
      </c>
      <c r="P150" s="318">
        <v>1.8248216560177152E-2</v>
      </c>
      <c r="Q150" s="319">
        <v>5.0160786848136941E-2</v>
      </c>
    </row>
    <row r="151" spans="2:17" ht="15.75" x14ac:dyDescent="0.25">
      <c r="B151" s="176">
        <v>2017</v>
      </c>
      <c r="C151" s="177">
        <v>2007</v>
      </c>
      <c r="D151" s="178" t="s">
        <v>2997</v>
      </c>
      <c r="E151" s="461">
        <v>5.6342667831159876E-2</v>
      </c>
      <c r="F151" s="462">
        <v>6.5676709747583398E-2</v>
      </c>
      <c r="G151" s="316">
        <v>0.13916327627142883</v>
      </c>
      <c r="H151" s="317">
        <v>7.9237791919850465E-3</v>
      </c>
      <c r="I151" s="317">
        <v>2.8668647290971294</v>
      </c>
      <c r="J151" s="317">
        <v>4.2183175428684452E-2</v>
      </c>
      <c r="K151" s="317">
        <v>3.0591560892180146E-2</v>
      </c>
      <c r="L151" s="318">
        <v>1.9499478803442717E-4</v>
      </c>
      <c r="M151" s="317">
        <v>2.9437394270584848E-3</v>
      </c>
      <c r="N151" s="318">
        <v>2.0000005732018805E-3</v>
      </c>
      <c r="O151" s="317">
        <v>3.1803002418065662E-2</v>
      </c>
      <c r="P151" s="318">
        <v>1.706921424660314E-2</v>
      </c>
      <c r="Q151" s="319">
        <v>3.197477552768356E-2</v>
      </c>
    </row>
    <row r="152" spans="2:17" ht="15.75" x14ac:dyDescent="0.25">
      <c r="B152" s="176">
        <v>2017</v>
      </c>
      <c r="C152" s="177">
        <v>2008</v>
      </c>
      <c r="D152" s="178" t="s">
        <v>2998</v>
      </c>
      <c r="E152" s="461">
        <v>5.6361825701249681E-2</v>
      </c>
      <c r="F152" s="462">
        <v>6.3982625579100755E-2</v>
      </c>
      <c r="G152" s="316">
        <v>0.13758746072036121</v>
      </c>
      <c r="H152" s="317">
        <v>7.7095208659300977E-3</v>
      </c>
      <c r="I152" s="317">
        <v>2.897325182982625</v>
      </c>
      <c r="J152" s="317">
        <v>3.5767236011078257E-2</v>
      </c>
      <c r="K152" s="317">
        <v>3.0162147752366253E-2</v>
      </c>
      <c r="L152" s="318">
        <v>2.2290400888590417E-4</v>
      </c>
      <c r="M152" s="317">
        <v>2.9584730416468631E-3</v>
      </c>
      <c r="N152" s="318">
        <v>2.0000005732018801E-3</v>
      </c>
      <c r="O152" s="317">
        <v>3.2053621202213965E-2</v>
      </c>
      <c r="P152" s="318">
        <v>1.7047828115297894E-2</v>
      </c>
      <c r="Q152" s="319">
        <v>3.1525946231179852E-2</v>
      </c>
    </row>
    <row r="153" spans="2:17" ht="15.75" x14ac:dyDescent="0.25">
      <c r="B153" s="176">
        <v>2017</v>
      </c>
      <c r="C153" s="177">
        <v>2009</v>
      </c>
      <c r="D153" s="178" t="s">
        <v>2999</v>
      </c>
      <c r="E153" s="461">
        <v>5.5016790293857663E-2</v>
      </c>
      <c r="F153" s="462">
        <v>5.9097083374153488E-2</v>
      </c>
      <c r="G153" s="316">
        <v>0.11793295998224723</v>
      </c>
      <c r="H153" s="317">
        <v>7.5856686434825418E-3</v>
      </c>
      <c r="I153" s="317">
        <v>2.4394661801811734</v>
      </c>
      <c r="J153" s="317">
        <v>2.9644270789820331E-2</v>
      </c>
      <c r="K153" s="317">
        <v>2.5797190011108515E-2</v>
      </c>
      <c r="L153" s="318">
        <v>2.5169181187399703E-4</v>
      </c>
      <c r="M153" s="317">
        <v>2.8126388077315168E-3</v>
      </c>
      <c r="N153" s="318">
        <v>2.0000005732018801E-3</v>
      </c>
      <c r="O153" s="317">
        <v>2.9572980883313928E-2</v>
      </c>
      <c r="P153" s="318">
        <v>1.6542399901287492E-2</v>
      </c>
      <c r="Q153" s="319">
        <v>2.696362447007554E-2</v>
      </c>
    </row>
    <row r="154" spans="2:17" ht="15.75" x14ac:dyDescent="0.25">
      <c r="B154" s="176">
        <v>2017</v>
      </c>
      <c r="C154" s="177">
        <v>2010</v>
      </c>
      <c r="D154" s="178" t="s">
        <v>3000</v>
      </c>
      <c r="E154" s="461">
        <v>5.3421523626398161E-2</v>
      </c>
      <c r="F154" s="462">
        <v>5.754291813253197E-2</v>
      </c>
      <c r="G154" s="316">
        <v>6.9947166865275551E-2</v>
      </c>
      <c r="H154" s="317">
        <v>6.3813476372462288E-3</v>
      </c>
      <c r="I154" s="317">
        <v>0.15645198152586975</v>
      </c>
      <c r="J154" s="317">
        <v>2.701351694039603E-2</v>
      </c>
      <c r="K154" s="317">
        <v>1.120385159050916E-2</v>
      </c>
      <c r="L154" s="318">
        <v>3.0719045296468864E-4</v>
      </c>
      <c r="M154" s="317">
        <v>2.6870173718125936E-3</v>
      </c>
      <c r="N154" s="318">
        <v>2.0000005732018801E-3</v>
      </c>
      <c r="O154" s="317">
        <v>2.743616025833305E-2</v>
      </c>
      <c r="P154" s="318">
        <v>1.6262355795965629E-2</v>
      </c>
      <c r="Q154" s="319">
        <v>1.1710440043076909E-2</v>
      </c>
    </row>
    <row r="155" spans="2:17" ht="15.75" x14ac:dyDescent="0.25">
      <c r="B155" s="176">
        <v>2017</v>
      </c>
      <c r="C155" s="177">
        <v>2011</v>
      </c>
      <c r="D155" s="178" t="s">
        <v>3001</v>
      </c>
      <c r="E155" s="461">
        <v>5.3099612976047803E-2</v>
      </c>
      <c r="F155" s="462">
        <v>5.6162879142811969E-2</v>
      </c>
      <c r="G155" s="316">
        <v>6.9269655199439922E-2</v>
      </c>
      <c r="H155" s="317">
        <v>6.4411144173547224E-3</v>
      </c>
      <c r="I155" s="317">
        <v>0.15278625657436876</v>
      </c>
      <c r="J155" s="317">
        <v>2.6929202460527775E-2</v>
      </c>
      <c r="K155" s="317">
        <v>1.0514958001854922E-2</v>
      </c>
      <c r="L155" s="318">
        <v>4.1645650322287076E-4</v>
      </c>
      <c r="M155" s="317">
        <v>2.7070645833005206E-3</v>
      </c>
      <c r="N155" s="318">
        <v>2.0000005732018801E-3</v>
      </c>
      <c r="O155" s="317">
        <v>2.7777163325742683E-2</v>
      </c>
      <c r="P155" s="318">
        <v>1.6366765266399037E-2</v>
      </c>
      <c r="Q155" s="319">
        <v>1.0990397743263703E-2</v>
      </c>
    </row>
    <row r="156" spans="2:17" ht="15.75" x14ac:dyDescent="0.25">
      <c r="B156" s="176">
        <v>2017</v>
      </c>
      <c r="C156" s="177">
        <v>2012</v>
      </c>
      <c r="D156" s="178" t="s">
        <v>3002</v>
      </c>
      <c r="E156" s="461">
        <v>5.076007450467919E-2</v>
      </c>
      <c r="F156" s="462">
        <v>5.586749170360833E-2</v>
      </c>
      <c r="G156" s="316">
        <v>5.6481401399779134E-2</v>
      </c>
      <c r="H156" s="317">
        <v>5.8889232566861453E-3</v>
      </c>
      <c r="I156" s="317">
        <v>0.12222648335818838</v>
      </c>
      <c r="J156" s="317">
        <v>2.609494754685281E-2</v>
      </c>
      <c r="K156" s="317">
        <v>8.4431551638344503E-3</v>
      </c>
      <c r="L156" s="318">
        <v>6.0578266297857527E-4</v>
      </c>
      <c r="M156" s="317">
        <v>2.5607891391542614E-3</v>
      </c>
      <c r="N156" s="318">
        <v>2.0000005732018797E-3</v>
      </c>
      <c r="O156" s="317">
        <v>2.5289018020814815E-2</v>
      </c>
      <c r="P156" s="318">
        <v>1.6670383121946845E-2</v>
      </c>
      <c r="Q156" s="319">
        <v>8.8249171743968909E-3</v>
      </c>
    </row>
    <row r="157" spans="2:17" ht="15.75" x14ac:dyDescent="0.25">
      <c r="B157" s="176">
        <v>2017</v>
      </c>
      <c r="C157" s="177">
        <v>2013</v>
      </c>
      <c r="D157" s="178" t="s">
        <v>3003</v>
      </c>
      <c r="E157" s="461">
        <v>5.2874807196592037E-2</v>
      </c>
      <c r="F157" s="462">
        <v>5.4560631812363314E-2</v>
      </c>
      <c r="G157" s="316">
        <v>6.8844146087266758E-2</v>
      </c>
      <c r="H157" s="317">
        <v>6.6128407960601822E-3</v>
      </c>
      <c r="I157" s="317">
        <v>0.14469993220045724</v>
      </c>
      <c r="J157" s="317">
        <v>2.7367786293502141E-2</v>
      </c>
      <c r="K157" s="317">
        <v>8.9438124197033387E-3</v>
      </c>
      <c r="L157" s="318">
        <v>9.0532696932125545E-4</v>
      </c>
      <c r="M157" s="317">
        <v>2.7397360145730589E-3</v>
      </c>
      <c r="N157" s="318">
        <v>2.0000005732018801E-3</v>
      </c>
      <c r="O157" s="317">
        <v>2.8332904371688606E-2</v>
      </c>
      <c r="P157" s="318">
        <v>1.675657681914848E-2</v>
      </c>
      <c r="Q157" s="319">
        <v>9.3482119297425628E-3</v>
      </c>
    </row>
    <row r="158" spans="2:17" ht="15.75" x14ac:dyDescent="0.25">
      <c r="B158" s="176">
        <v>2017</v>
      </c>
      <c r="C158" s="177">
        <v>2014</v>
      </c>
      <c r="D158" s="178" t="s">
        <v>3004</v>
      </c>
      <c r="E158" s="461">
        <v>5.0083743519365766E-2</v>
      </c>
      <c r="F158" s="462">
        <v>5.2763474586993667E-2</v>
      </c>
      <c r="G158" s="316">
        <v>5.7536378484717092E-2</v>
      </c>
      <c r="H158" s="317">
        <v>6.5365485526746592E-3</v>
      </c>
      <c r="I158" s="317">
        <v>0.1185959676273579</v>
      </c>
      <c r="J158" s="317">
        <v>2.6597356814201379E-2</v>
      </c>
      <c r="K158" s="317">
        <v>7.1653854060621473E-3</v>
      </c>
      <c r="L158" s="318">
        <v>1.2708308375650244E-3</v>
      </c>
      <c r="M158" s="317">
        <v>2.6166339448737827E-3</v>
      </c>
      <c r="N158" s="318">
        <v>2.0000005732018797E-3</v>
      </c>
      <c r="O158" s="317">
        <v>2.6238938166103867E-2</v>
      </c>
      <c r="P158" s="318">
        <v>1.6364759191489855E-2</v>
      </c>
      <c r="Q158" s="319">
        <v>7.4893723381974399E-3</v>
      </c>
    </row>
    <row r="159" spans="2:17" ht="15.75" x14ac:dyDescent="0.25">
      <c r="B159" s="176">
        <v>2017</v>
      </c>
      <c r="C159" s="177">
        <v>2015</v>
      </c>
      <c r="D159" s="178" t="s">
        <v>3005</v>
      </c>
      <c r="E159" s="461">
        <v>4.8972393455172174E-2</v>
      </c>
      <c r="F159" s="462">
        <v>5.4539070054452174E-2</v>
      </c>
      <c r="G159" s="316">
        <v>5.3252754633468187E-2</v>
      </c>
      <c r="H159" s="317">
        <v>6.4615928552828579E-3</v>
      </c>
      <c r="I159" s="317">
        <v>0.10758870463713352</v>
      </c>
      <c r="J159" s="317">
        <v>2.8083829698561203E-2</v>
      </c>
      <c r="K159" s="317">
        <v>6.084735185242311E-3</v>
      </c>
      <c r="L159" s="318">
        <v>1.585065098388766E-3</v>
      </c>
      <c r="M159" s="317">
        <v>2.5938336212772209E-3</v>
      </c>
      <c r="N159" s="318">
        <v>2.0000005732018801E-3</v>
      </c>
      <c r="O159" s="317">
        <v>2.5851104661726344E-2</v>
      </c>
      <c r="P159" s="318">
        <v>1.720477699717499E-2</v>
      </c>
      <c r="Q159" s="319">
        <v>6.3598599097064758E-3</v>
      </c>
    </row>
    <row r="160" spans="2:17" ht="15.75" x14ac:dyDescent="0.25">
      <c r="B160" s="176">
        <v>2017</v>
      </c>
      <c r="C160" s="177">
        <v>2016</v>
      </c>
      <c r="D160" s="178" t="s">
        <v>3006</v>
      </c>
      <c r="E160" s="461">
        <v>5.0092646295995656E-2</v>
      </c>
      <c r="F160" s="462">
        <v>5.5359964879105675E-2</v>
      </c>
      <c r="G160" s="316">
        <v>6.5073955445391227E-2</v>
      </c>
      <c r="H160" s="317">
        <v>6.4323547301973804E-3</v>
      </c>
      <c r="I160" s="317">
        <v>0.11040398670669001</v>
      </c>
      <c r="J160" s="317">
        <v>2.911916098119231E-2</v>
      </c>
      <c r="K160" s="317">
        <v>5.8817742104695526E-3</v>
      </c>
      <c r="L160" s="318">
        <v>1.8202372706942022E-3</v>
      </c>
      <c r="M160" s="317">
        <v>2.7916819924031062E-3</v>
      </c>
      <c r="N160" s="318">
        <v>2.0000005732018801E-3</v>
      </c>
      <c r="O160" s="317">
        <v>2.9216505454577667E-2</v>
      </c>
      <c r="P160" s="318">
        <v>1.8005749594441803E-2</v>
      </c>
      <c r="Q160" s="319">
        <v>6.1477219402804846E-3</v>
      </c>
    </row>
    <row r="161" spans="2:17" ht="15.75" x14ac:dyDescent="0.25">
      <c r="B161" s="176">
        <v>2017</v>
      </c>
      <c r="C161" s="177">
        <v>2017</v>
      </c>
      <c r="D161" s="178" t="s">
        <v>3007</v>
      </c>
      <c r="E161" s="461">
        <v>4.6007156907301151E-2</v>
      </c>
      <c r="F161" s="462">
        <v>4.9377369951831618E-2</v>
      </c>
      <c r="G161" s="316">
        <v>4.6374969228506098E-2</v>
      </c>
      <c r="H161" s="317">
        <v>5.9829954794088777E-3</v>
      </c>
      <c r="I161" s="317">
        <v>7.3088617617628887E-2</v>
      </c>
      <c r="J161" s="317">
        <v>2.5403345345590717E-2</v>
      </c>
      <c r="K161" s="317">
        <v>4.2145959992121156E-3</v>
      </c>
      <c r="L161" s="318">
        <v>2.0204168987493793E-3</v>
      </c>
      <c r="M161" s="317">
        <v>2.6793277601653725E-3</v>
      </c>
      <c r="N161" s="318">
        <v>2.0000005732018797E-3</v>
      </c>
      <c r="O161" s="317">
        <v>2.7305359964213807E-2</v>
      </c>
      <c r="P161" s="318">
        <v>1.6845916175581014E-2</v>
      </c>
      <c r="Q161" s="319">
        <v>4.4051613283037222E-3</v>
      </c>
    </row>
    <row r="162" spans="2:17" ht="15.75" x14ac:dyDescent="0.25">
      <c r="B162" s="176">
        <v>2018</v>
      </c>
      <c r="C162" s="177">
        <v>1974</v>
      </c>
      <c r="D162" s="178" t="s">
        <v>3008</v>
      </c>
      <c r="E162" s="461">
        <v>5.8584736723993142E-2</v>
      </c>
      <c r="F162" s="462">
        <v>9.6870227355653357E-2</v>
      </c>
      <c r="G162" s="316">
        <v>0.87160707661630465</v>
      </c>
      <c r="H162" s="317">
        <v>6.4177303346885166</v>
      </c>
      <c r="I162" s="317">
        <v>2.6372150990706054</v>
      </c>
      <c r="J162" s="317">
        <v>5.3074515159809907</v>
      </c>
      <c r="K162" s="317">
        <v>0.58680517397471044</v>
      </c>
      <c r="L162" s="318">
        <v>5.4775017066970917E-2</v>
      </c>
      <c r="M162" s="317">
        <v>2.1576673947497817E-3</v>
      </c>
      <c r="N162" s="318">
        <v>2.0000005732018801E-3</v>
      </c>
      <c r="O162" s="317">
        <v>1.8431917148494605E-2</v>
      </c>
      <c r="P162" s="318">
        <v>2.0317811561035622E-2</v>
      </c>
      <c r="Q162" s="319">
        <v>0.61333790003245225</v>
      </c>
    </row>
    <row r="163" spans="2:17" ht="15.75" x14ac:dyDescent="0.25">
      <c r="B163" s="176">
        <v>2018</v>
      </c>
      <c r="C163" s="177">
        <v>1975</v>
      </c>
      <c r="D163" s="178" t="s">
        <v>3009</v>
      </c>
      <c r="E163" s="461">
        <v>5.4990376535023817E-2</v>
      </c>
      <c r="F163" s="462">
        <v>9.4868298776295559E-2</v>
      </c>
      <c r="G163" s="316">
        <v>0.8596052294057176</v>
      </c>
      <c r="H163" s="317">
        <v>6.4198765655319079</v>
      </c>
      <c r="I163" s="317">
        <v>4.2073235877172568</v>
      </c>
      <c r="J163" s="317">
        <v>5.4465842268689499</v>
      </c>
      <c r="K163" s="317">
        <v>0.55462680899839001</v>
      </c>
      <c r="L163" s="318">
        <v>5.5101837348994286E-2</v>
      </c>
      <c r="M163" s="317">
        <v>2.4486754248393763E-3</v>
      </c>
      <c r="N163" s="318">
        <v>2.0000005732018801E-3</v>
      </c>
      <c r="O163" s="317">
        <v>2.3381963740318625E-2</v>
      </c>
      <c r="P163" s="318">
        <v>1.9901886000257885E-2</v>
      </c>
      <c r="Q163" s="319">
        <v>0.57970457218128302</v>
      </c>
    </row>
    <row r="164" spans="2:17" ht="15.75" x14ac:dyDescent="0.25">
      <c r="B164" s="176">
        <v>2018</v>
      </c>
      <c r="C164" s="177">
        <v>1976</v>
      </c>
      <c r="D164" s="178" t="s">
        <v>3010</v>
      </c>
      <c r="E164" s="461">
        <v>5.8218357044867337E-2</v>
      </c>
      <c r="F164" s="462">
        <v>0.13016291887743914</v>
      </c>
      <c r="G164" s="316">
        <v>0.7199668515134019</v>
      </c>
      <c r="H164" s="317">
        <v>7.9208969904172664</v>
      </c>
      <c r="I164" s="317">
        <v>2.3693102649564706</v>
      </c>
      <c r="J164" s="317">
        <v>10.280150096964226</v>
      </c>
      <c r="K164" s="317">
        <v>0.5037165922557546</v>
      </c>
      <c r="L164" s="318">
        <v>5.5537044656318195E-2</v>
      </c>
      <c r="M164" s="317">
        <v>2.1255214281262176E-3</v>
      </c>
      <c r="N164" s="318">
        <v>2.0000005732018805E-3</v>
      </c>
      <c r="O164" s="317">
        <v>1.7885114256227779E-2</v>
      </c>
      <c r="P164" s="318">
        <v>1.9098449879552695E-2</v>
      </c>
      <c r="Q164" s="319">
        <v>0.52649242134828578</v>
      </c>
    </row>
    <row r="165" spans="2:17" ht="15.75" x14ac:dyDescent="0.25">
      <c r="B165" s="176">
        <v>2018</v>
      </c>
      <c r="C165" s="177">
        <v>1977</v>
      </c>
      <c r="D165" s="178" t="s">
        <v>3011</v>
      </c>
      <c r="E165" s="461">
        <v>5.7460029350675401E-2</v>
      </c>
      <c r="F165" s="462">
        <v>0.12614622262899083</v>
      </c>
      <c r="G165" s="316">
        <v>0.6837463847274976</v>
      </c>
      <c r="H165" s="317">
        <v>7.8493049238653327</v>
      </c>
      <c r="I165" s="317">
        <v>2.5448530648618783</v>
      </c>
      <c r="J165" s="317">
        <v>11.008090112332848</v>
      </c>
      <c r="K165" s="317">
        <v>0.47886731031549634</v>
      </c>
      <c r="L165" s="318">
        <v>5.1950647575292178E-2</v>
      </c>
      <c r="M165" s="317">
        <v>2.1650620304798848E-3</v>
      </c>
      <c r="N165" s="318">
        <v>2.0000005732018801E-3</v>
      </c>
      <c r="O165" s="317">
        <v>1.8557699902263667E-2</v>
      </c>
      <c r="P165" s="318">
        <v>1.8110015083781798E-2</v>
      </c>
      <c r="Q165" s="319">
        <v>0.5005195651457458</v>
      </c>
    </row>
    <row r="166" spans="2:17" ht="15.75" x14ac:dyDescent="0.25">
      <c r="B166" s="176">
        <v>2018</v>
      </c>
      <c r="C166" s="177">
        <v>1978</v>
      </c>
      <c r="D166" s="178" t="s">
        <v>3012</v>
      </c>
      <c r="E166" s="461">
        <v>5.8310934831015654E-2</v>
      </c>
      <c r="F166" s="462">
        <v>0.10390947392052749</v>
      </c>
      <c r="G166" s="316">
        <v>0.72325844976814224</v>
      </c>
      <c r="H166" s="317">
        <v>1.7980095056289314</v>
      </c>
      <c r="I166" s="317">
        <v>2.388965515036674</v>
      </c>
      <c r="J166" s="317">
        <v>4.4789751908866942</v>
      </c>
      <c r="K166" s="317">
        <v>0.50583657786397895</v>
      </c>
      <c r="L166" s="318">
        <v>4.5062608710221642E-2</v>
      </c>
      <c r="M166" s="317">
        <v>2.1155795119733897E-3</v>
      </c>
      <c r="N166" s="318">
        <v>2.0000005732018801E-3</v>
      </c>
      <c r="O166" s="317">
        <v>1.7716002262468177E-2</v>
      </c>
      <c r="P166" s="318">
        <v>1.9268673306556159E-2</v>
      </c>
      <c r="Q166" s="319">
        <v>0.5287082632984178</v>
      </c>
    </row>
    <row r="167" spans="2:17" ht="15.75" x14ac:dyDescent="0.25">
      <c r="B167" s="176">
        <v>2018</v>
      </c>
      <c r="C167" s="177">
        <v>1979</v>
      </c>
      <c r="D167" s="178" t="s">
        <v>3013</v>
      </c>
      <c r="E167" s="461">
        <v>5.7726054678545184E-2</v>
      </c>
      <c r="F167" s="462">
        <v>0.10393253175309758</v>
      </c>
      <c r="G167" s="316">
        <v>0.69347799889836514</v>
      </c>
      <c r="H167" s="317">
        <v>1.7972198769020709</v>
      </c>
      <c r="I167" s="317">
        <v>2.4494746189001098</v>
      </c>
      <c r="J167" s="317">
        <v>4.4160386283426591</v>
      </c>
      <c r="K167" s="317">
        <v>0.48569548476385277</v>
      </c>
      <c r="L167" s="318">
        <v>4.4729214936418821E-2</v>
      </c>
      <c r="M167" s="317">
        <v>2.1456830452458529E-3</v>
      </c>
      <c r="N167" s="318">
        <v>2.0000005732018801E-3</v>
      </c>
      <c r="O167" s="317">
        <v>1.8228063363432776E-2</v>
      </c>
      <c r="P167" s="318">
        <v>1.9428277344316722E-2</v>
      </c>
      <c r="Q167" s="319">
        <v>0.50765647934308056</v>
      </c>
    </row>
    <row r="168" spans="2:17" ht="15.75" x14ac:dyDescent="0.25">
      <c r="B168" s="176">
        <v>2018</v>
      </c>
      <c r="C168" s="177">
        <v>1980</v>
      </c>
      <c r="D168" s="178" t="s">
        <v>3014</v>
      </c>
      <c r="E168" s="461">
        <v>5.7613028390970163E-2</v>
      </c>
      <c r="F168" s="462">
        <v>0.1091835694382161</v>
      </c>
      <c r="G168" s="316">
        <v>0.32853792824074607</v>
      </c>
      <c r="H168" s="317">
        <v>2.1230017040926192</v>
      </c>
      <c r="I168" s="317">
        <v>2.2742937116724051</v>
      </c>
      <c r="J168" s="317">
        <v>4.3710872754545189</v>
      </c>
      <c r="K168" s="317">
        <v>0.26179857396488376</v>
      </c>
      <c r="L168" s="318">
        <v>3.7537968723802398E-2</v>
      </c>
      <c r="M168" s="317">
        <v>2.1414655123283438E-3</v>
      </c>
      <c r="N168" s="318">
        <v>2.0000005732018797E-3</v>
      </c>
      <c r="O168" s="317">
        <v>1.8156323128505947E-2</v>
      </c>
      <c r="P168" s="318">
        <v>2.2671816303287833E-2</v>
      </c>
      <c r="Q168" s="319">
        <v>0.27363594376560957</v>
      </c>
    </row>
    <row r="169" spans="2:17" ht="15.75" x14ac:dyDescent="0.25">
      <c r="B169" s="176">
        <v>2018</v>
      </c>
      <c r="C169" s="177">
        <v>1981</v>
      </c>
      <c r="D169" s="178" t="s">
        <v>3015</v>
      </c>
      <c r="E169" s="461">
        <v>5.8483583128753701E-2</v>
      </c>
      <c r="F169" s="462">
        <v>0.10553505187308335</v>
      </c>
      <c r="G169" s="316">
        <v>0.32265247879549963</v>
      </c>
      <c r="H169" s="317">
        <v>2.086743319693082</v>
      </c>
      <c r="I169" s="317">
        <v>2.6653538803782926</v>
      </c>
      <c r="J169" s="317">
        <v>3.5996937791294008</v>
      </c>
      <c r="K169" s="317">
        <v>0.25581078184075112</v>
      </c>
      <c r="L169" s="318">
        <v>1.7813159399015548E-2</v>
      </c>
      <c r="M169" s="317">
        <v>2.2695101368080421E-3</v>
      </c>
      <c r="N169" s="318">
        <v>2.0000005732018801E-3</v>
      </c>
      <c r="O169" s="317">
        <v>2.0334362190905619E-2</v>
      </c>
      <c r="P169" s="318">
        <v>2.5181324479180575E-2</v>
      </c>
      <c r="Q169" s="319">
        <v>0.26737741025205697</v>
      </c>
    </row>
    <row r="170" spans="2:17" ht="15.75" x14ac:dyDescent="0.25">
      <c r="B170" s="176">
        <v>2018</v>
      </c>
      <c r="C170" s="177">
        <v>1982</v>
      </c>
      <c r="D170" s="178" t="s">
        <v>3016</v>
      </c>
      <c r="E170" s="461">
        <v>5.7080800808767727E-2</v>
      </c>
      <c r="F170" s="462">
        <v>0.10331276425842448</v>
      </c>
      <c r="G170" s="316">
        <v>0.28757693612497953</v>
      </c>
      <c r="H170" s="317">
        <v>2.0032593088681421</v>
      </c>
      <c r="I170" s="317">
        <v>3.3658941025266755</v>
      </c>
      <c r="J170" s="317">
        <v>3.5327954119824616</v>
      </c>
      <c r="K170" s="317">
        <v>0.225472269302262</v>
      </c>
      <c r="L170" s="318">
        <v>1.7969286188883934E-2</v>
      </c>
      <c r="M170" s="317">
        <v>2.4649933358327973E-3</v>
      </c>
      <c r="N170" s="318">
        <v>2.0000005732018801E-3</v>
      </c>
      <c r="O170" s="317">
        <v>2.3659531406316704E-2</v>
      </c>
      <c r="P170" s="318">
        <v>2.4395169616834852E-2</v>
      </c>
      <c r="Q170" s="319">
        <v>0.23566712480173355</v>
      </c>
    </row>
    <row r="171" spans="2:17" ht="15.75" x14ac:dyDescent="0.25">
      <c r="B171" s="176">
        <v>2018</v>
      </c>
      <c r="C171" s="177">
        <v>1983</v>
      </c>
      <c r="D171" s="178" t="s">
        <v>3017</v>
      </c>
      <c r="E171" s="461">
        <v>5.7158398949315521E-2</v>
      </c>
      <c r="F171" s="462">
        <v>9.9617228796886059E-2</v>
      </c>
      <c r="G171" s="316">
        <v>0.21834372159068266</v>
      </c>
      <c r="H171" s="317">
        <v>1.7411784131880417</v>
      </c>
      <c r="I171" s="317">
        <v>3.7106123183568687</v>
      </c>
      <c r="J171" s="317">
        <v>3.0705869949336888</v>
      </c>
      <c r="K171" s="317">
        <v>0.2034311913276772</v>
      </c>
      <c r="L171" s="318">
        <v>1.7730409137724678E-2</v>
      </c>
      <c r="M171" s="317">
        <v>2.6147035957075253E-3</v>
      </c>
      <c r="N171" s="318">
        <v>2.0000005732018801E-3</v>
      </c>
      <c r="O171" s="317">
        <v>2.6206102926785824E-2</v>
      </c>
      <c r="P171" s="318">
        <v>2.3208818067823895E-2</v>
      </c>
      <c r="Q171" s="319">
        <v>0.21262944708697307</v>
      </c>
    </row>
    <row r="172" spans="2:17" ht="15.75" x14ac:dyDescent="0.25">
      <c r="B172" s="176">
        <v>2018</v>
      </c>
      <c r="C172" s="177">
        <v>1984</v>
      </c>
      <c r="D172" s="178" t="s">
        <v>3018</v>
      </c>
      <c r="E172" s="461">
        <v>5.6252269698535681E-2</v>
      </c>
      <c r="F172" s="462">
        <v>0.10052174411716971</v>
      </c>
      <c r="G172" s="316">
        <v>0.25463550982870359</v>
      </c>
      <c r="H172" s="317">
        <v>1.4820085223914656</v>
      </c>
      <c r="I172" s="317">
        <v>4.255547347690098</v>
      </c>
      <c r="J172" s="317">
        <v>3.5399768947716201</v>
      </c>
      <c r="K172" s="317">
        <v>0.18201591808115752</v>
      </c>
      <c r="L172" s="318">
        <v>1.8276798243674799E-2</v>
      </c>
      <c r="M172" s="317">
        <v>2.7826987036782386E-3</v>
      </c>
      <c r="N172" s="318">
        <v>2.0000005732018801E-3</v>
      </c>
      <c r="O172" s="317">
        <v>2.9063699713367665E-2</v>
      </c>
      <c r="P172" s="318">
        <v>2.3178193779355517E-2</v>
      </c>
      <c r="Q172" s="319">
        <v>0.19024587021311271</v>
      </c>
    </row>
    <row r="173" spans="2:17" ht="15.75" x14ac:dyDescent="0.25">
      <c r="B173" s="176">
        <v>2018</v>
      </c>
      <c r="C173" s="177">
        <v>1985</v>
      </c>
      <c r="D173" s="178" t="s">
        <v>3019</v>
      </c>
      <c r="E173" s="461">
        <v>5.7065313086939067E-2</v>
      </c>
      <c r="F173" s="462">
        <v>9.7811281914919196E-2</v>
      </c>
      <c r="G173" s="316">
        <v>0.24419638120289369</v>
      </c>
      <c r="H173" s="317">
        <v>1.1115764645974961</v>
      </c>
      <c r="I173" s="317">
        <v>4.6532726599918774</v>
      </c>
      <c r="J173" s="317">
        <v>2.9570823518642855</v>
      </c>
      <c r="K173" s="317">
        <v>0.17915508969948202</v>
      </c>
      <c r="L173" s="318">
        <v>1.7061374070906708E-2</v>
      </c>
      <c r="M173" s="317">
        <v>2.891510308123096E-3</v>
      </c>
      <c r="N173" s="318">
        <v>2.0000005732018801E-3</v>
      </c>
      <c r="O173" s="317">
        <v>3.0914585104974687E-2</v>
      </c>
      <c r="P173" s="318">
        <v>2.3258659157669379E-2</v>
      </c>
      <c r="Q173" s="319">
        <v>0.18725568786675684</v>
      </c>
    </row>
    <row r="174" spans="2:17" ht="15.75" x14ac:dyDescent="0.25">
      <c r="B174" s="176">
        <v>2018</v>
      </c>
      <c r="C174" s="177">
        <v>1986</v>
      </c>
      <c r="D174" s="178" t="s">
        <v>3020</v>
      </c>
      <c r="E174" s="461">
        <v>5.7489161328910673E-2</v>
      </c>
      <c r="F174" s="462">
        <v>9.2442031071662684E-2</v>
      </c>
      <c r="G174" s="316">
        <v>0.24077059264724529</v>
      </c>
      <c r="H174" s="317">
        <v>1.0593324863783391</v>
      </c>
      <c r="I174" s="317">
        <v>4.802446372594952</v>
      </c>
      <c r="J174" s="317">
        <v>2.7726797177826747</v>
      </c>
      <c r="K174" s="317">
        <v>0.17856008347201233</v>
      </c>
      <c r="L174" s="318">
        <v>1.7210760333629491E-2</v>
      </c>
      <c r="M174" s="317">
        <v>2.9359877840251011E-3</v>
      </c>
      <c r="N174" s="318">
        <v>2.0000005732018801E-3</v>
      </c>
      <c r="O174" s="317">
        <v>3.1671146970067801E-2</v>
      </c>
      <c r="P174" s="318">
        <v>2.2647122731481759E-2</v>
      </c>
      <c r="Q174" s="319">
        <v>0.18663377809798171</v>
      </c>
    </row>
    <row r="175" spans="2:17" ht="15.75" x14ac:dyDescent="0.25">
      <c r="B175" s="176">
        <v>2018</v>
      </c>
      <c r="C175" s="177">
        <v>1987</v>
      </c>
      <c r="D175" s="178" t="s">
        <v>3021</v>
      </c>
      <c r="E175" s="461">
        <v>5.7585030456095879E-2</v>
      </c>
      <c r="F175" s="462">
        <v>8.8990992421540252E-2</v>
      </c>
      <c r="G175" s="316">
        <v>0.29434295632497348</v>
      </c>
      <c r="H175" s="317">
        <v>0.97926837793742949</v>
      </c>
      <c r="I175" s="317">
        <v>5.0215828391079524</v>
      </c>
      <c r="J175" s="317">
        <v>2.6635885166977453</v>
      </c>
      <c r="K175" s="317">
        <v>0.1997962993248624</v>
      </c>
      <c r="L175" s="318">
        <v>1.7459763422946705E-2</v>
      </c>
      <c r="M175" s="317">
        <v>2.9681959546038988E-3</v>
      </c>
      <c r="N175" s="318">
        <v>2.0000005732018801E-3</v>
      </c>
      <c r="O175" s="317">
        <v>3.2219007951613143E-2</v>
      </c>
      <c r="P175" s="318">
        <v>2.1626974313023465E-2</v>
      </c>
      <c r="Q175" s="319">
        <v>0.20883020139738501</v>
      </c>
    </row>
    <row r="176" spans="2:17" ht="15.75" x14ac:dyDescent="0.25">
      <c r="B176" s="176">
        <v>2018</v>
      </c>
      <c r="C176" s="177">
        <v>1988</v>
      </c>
      <c r="D176" s="178" t="s">
        <v>3022</v>
      </c>
      <c r="E176" s="461">
        <v>5.7389611835032404E-2</v>
      </c>
      <c r="F176" s="462">
        <v>8.7702930454077038E-2</v>
      </c>
      <c r="G176" s="316">
        <v>0.29093776051449577</v>
      </c>
      <c r="H176" s="317">
        <v>0.49741924554747124</v>
      </c>
      <c r="I176" s="317">
        <v>5.0939567438876976</v>
      </c>
      <c r="J176" s="317">
        <v>1.8919013372953215</v>
      </c>
      <c r="K176" s="317">
        <v>0.19773317830089818</v>
      </c>
      <c r="L176" s="318">
        <v>1.6888157509282548E-2</v>
      </c>
      <c r="M176" s="317">
        <v>2.9808681986200213E-3</v>
      </c>
      <c r="N176" s="318">
        <v>2.0000005732018805E-3</v>
      </c>
      <c r="O176" s="317">
        <v>3.2434562822327401E-2</v>
      </c>
      <c r="P176" s="318">
        <v>2.2082430259292036E-2</v>
      </c>
      <c r="Q176" s="319">
        <v>0.20667379519568208</v>
      </c>
    </row>
    <row r="177" spans="2:17" ht="15.75" x14ac:dyDescent="0.25">
      <c r="B177" s="176">
        <v>2018</v>
      </c>
      <c r="C177" s="177">
        <v>1989</v>
      </c>
      <c r="D177" s="178" t="s">
        <v>3023</v>
      </c>
      <c r="E177" s="461">
        <v>5.7556497946325072E-2</v>
      </c>
      <c r="F177" s="462">
        <v>9.0151950795289607E-2</v>
      </c>
      <c r="G177" s="316">
        <v>0.29233492939897765</v>
      </c>
      <c r="H177" s="317">
        <v>0.49585494956260845</v>
      </c>
      <c r="I177" s="317">
        <v>5.1177703836068433</v>
      </c>
      <c r="J177" s="317">
        <v>1.8873098170828386</v>
      </c>
      <c r="K177" s="317">
        <v>0.19884010083625678</v>
      </c>
      <c r="L177" s="318">
        <v>1.6670705985933142E-2</v>
      </c>
      <c r="M177" s="317">
        <v>2.9877515632738723E-3</v>
      </c>
      <c r="N177" s="318">
        <v>2.0000005732018801E-3</v>
      </c>
      <c r="O177" s="317">
        <v>3.2551648855089398E-2</v>
      </c>
      <c r="P177" s="318">
        <v>2.2940621264268678E-2</v>
      </c>
      <c r="Q177" s="319">
        <v>0.20783076785619259</v>
      </c>
    </row>
    <row r="178" spans="2:17" ht="15.75" x14ac:dyDescent="0.25">
      <c r="B178" s="176">
        <v>2018</v>
      </c>
      <c r="C178" s="177">
        <v>1990</v>
      </c>
      <c r="D178" s="178" t="s">
        <v>3024</v>
      </c>
      <c r="E178" s="461">
        <v>5.8021823154184519E-2</v>
      </c>
      <c r="F178" s="462">
        <v>8.785161750171458E-2</v>
      </c>
      <c r="G178" s="316">
        <v>0.29716772115516765</v>
      </c>
      <c r="H178" s="317">
        <v>0.49772005798394631</v>
      </c>
      <c r="I178" s="317">
        <v>5.0648798935210868</v>
      </c>
      <c r="J178" s="317">
        <v>1.8803001325406974</v>
      </c>
      <c r="K178" s="317">
        <v>0.20212383966228067</v>
      </c>
      <c r="L178" s="318">
        <v>1.6937245504941828E-2</v>
      </c>
      <c r="M178" s="317">
        <v>2.9877639835969045E-3</v>
      </c>
      <c r="N178" s="318">
        <v>2.0000005732018801E-3</v>
      </c>
      <c r="O178" s="317">
        <v>3.2551860124784185E-2</v>
      </c>
      <c r="P178" s="318">
        <v>2.2099224906235598E-2</v>
      </c>
      <c r="Q178" s="319">
        <v>0.21126298278055358</v>
      </c>
    </row>
    <row r="179" spans="2:17" ht="15.75" x14ac:dyDescent="0.25">
      <c r="B179" s="176">
        <v>2018</v>
      </c>
      <c r="C179" s="177">
        <v>1991</v>
      </c>
      <c r="D179" s="178" t="s">
        <v>3025</v>
      </c>
      <c r="E179" s="461">
        <v>5.7916903776920436E-2</v>
      </c>
      <c r="F179" s="462">
        <v>8.573013891063086E-2</v>
      </c>
      <c r="G179" s="316">
        <v>0.37977632136364931</v>
      </c>
      <c r="H179" s="317">
        <v>0.51947540662364844</v>
      </c>
      <c r="I179" s="317">
        <v>8.918447639618023</v>
      </c>
      <c r="J179" s="317">
        <v>2.3144685771811919</v>
      </c>
      <c r="K179" s="317">
        <v>5.6340110495809448E-2</v>
      </c>
      <c r="L179" s="318">
        <v>9.5384737872624362E-3</v>
      </c>
      <c r="M179" s="317">
        <v>2.9844376568520683E-3</v>
      </c>
      <c r="N179" s="318">
        <v>2.0000005732018801E-3</v>
      </c>
      <c r="O179" s="317">
        <v>3.2495279306854509E-2</v>
      </c>
      <c r="P179" s="318">
        <v>2.1292159584345199E-2</v>
      </c>
      <c r="Q179" s="319">
        <v>5.88875602868923E-2</v>
      </c>
    </row>
    <row r="180" spans="2:17" ht="15.75" x14ac:dyDescent="0.25">
      <c r="B180" s="176">
        <v>2018</v>
      </c>
      <c r="C180" s="177">
        <v>1992</v>
      </c>
      <c r="D180" s="178" t="s">
        <v>3026</v>
      </c>
      <c r="E180" s="461">
        <v>5.7900157400649591E-2</v>
      </c>
      <c r="F180" s="462">
        <v>8.2978407157235812E-2</v>
      </c>
      <c r="G180" s="316">
        <v>0.38028688202289451</v>
      </c>
      <c r="H180" s="317">
        <v>0.52101359607298736</v>
      </c>
      <c r="I180" s="317">
        <v>8.8341034255653792</v>
      </c>
      <c r="J180" s="317">
        <v>2.2508348602353987</v>
      </c>
      <c r="K180" s="317">
        <v>5.7949257913586003E-2</v>
      </c>
      <c r="L180" s="318">
        <v>9.6677771937950328E-3</v>
      </c>
      <c r="M180" s="317">
        <v>2.9747264739160388E-3</v>
      </c>
      <c r="N180" s="318">
        <v>2.0000005732018805E-3</v>
      </c>
      <c r="O180" s="317">
        <v>3.2330092085112651E-2</v>
      </c>
      <c r="P180" s="318">
        <v>2.0357250807330456E-2</v>
      </c>
      <c r="Q180" s="319">
        <v>6.0569466210414889E-2</v>
      </c>
    </row>
    <row r="181" spans="2:17" ht="15.75" x14ac:dyDescent="0.25">
      <c r="B181" s="176">
        <v>2018</v>
      </c>
      <c r="C181" s="177">
        <v>1993</v>
      </c>
      <c r="D181" s="178" t="s">
        <v>3027</v>
      </c>
      <c r="E181" s="461">
        <v>5.776011068077648E-2</v>
      </c>
      <c r="F181" s="462">
        <v>7.3977694260233762E-2</v>
      </c>
      <c r="G181" s="316">
        <v>0.37435386366945078</v>
      </c>
      <c r="H181" s="317">
        <v>0.5256108197190329</v>
      </c>
      <c r="I181" s="317">
        <v>8.8860681791076086</v>
      </c>
      <c r="J181" s="317">
        <v>2.1967323708706026</v>
      </c>
      <c r="K181" s="317">
        <v>5.3895921994828115E-2</v>
      </c>
      <c r="L181" s="318">
        <v>9.8199564221779969E-3</v>
      </c>
      <c r="M181" s="317">
        <v>2.9786699083444099E-3</v>
      </c>
      <c r="N181" s="318">
        <v>2.0000005732018801E-3</v>
      </c>
      <c r="O181" s="317">
        <v>3.2397169904739231E-2</v>
      </c>
      <c r="P181" s="318">
        <v>1.9802676304745234E-2</v>
      </c>
      <c r="Q181" s="319">
        <v>5.6332856427822445E-2</v>
      </c>
    </row>
    <row r="182" spans="2:17" ht="15.75" x14ac:dyDescent="0.25">
      <c r="B182" s="176">
        <v>2018</v>
      </c>
      <c r="C182" s="177">
        <v>1994</v>
      </c>
      <c r="D182" s="178" t="s">
        <v>3028</v>
      </c>
      <c r="E182" s="461">
        <v>5.749200282163363E-2</v>
      </c>
      <c r="F182" s="462">
        <v>7.0372133749616858E-2</v>
      </c>
      <c r="G182" s="316">
        <v>0.36867673549851515</v>
      </c>
      <c r="H182" s="317">
        <v>0.52583430040882251</v>
      </c>
      <c r="I182" s="317">
        <v>8.8316231909446525</v>
      </c>
      <c r="J182" s="317">
        <v>2.1248661390739745</v>
      </c>
      <c r="K182" s="317">
        <v>5.4050133432164658E-2</v>
      </c>
      <c r="L182" s="318">
        <v>9.9429229541068299E-3</v>
      </c>
      <c r="M182" s="317">
        <v>2.9676045902455443E-3</v>
      </c>
      <c r="N182" s="318">
        <v>2.0000005732018801E-3</v>
      </c>
      <c r="O182" s="317">
        <v>3.2208948843877538E-2</v>
      </c>
      <c r="P182" s="318">
        <v>1.8776859126887091E-2</v>
      </c>
      <c r="Q182" s="319">
        <v>5.6494040622052225E-2</v>
      </c>
    </row>
    <row r="183" spans="2:17" ht="15.75" x14ac:dyDescent="0.25">
      <c r="B183" s="176">
        <v>2018</v>
      </c>
      <c r="C183" s="177">
        <v>1995</v>
      </c>
      <c r="D183" s="178" t="s">
        <v>3029</v>
      </c>
      <c r="E183" s="461">
        <v>5.7201637271945889E-2</v>
      </c>
      <c r="F183" s="462">
        <v>7.1611461392038819E-2</v>
      </c>
      <c r="G183" s="316">
        <v>0.36520847418754543</v>
      </c>
      <c r="H183" s="317">
        <v>0.39765909036501507</v>
      </c>
      <c r="I183" s="317">
        <v>8.9458204823239953</v>
      </c>
      <c r="J183" s="317">
        <v>1.6712219802842081</v>
      </c>
      <c r="K183" s="317">
        <v>5.3327878089904926E-2</v>
      </c>
      <c r="L183" s="318">
        <v>9.2394277139706497E-3</v>
      </c>
      <c r="M183" s="317">
        <v>2.9742796498764094E-3</v>
      </c>
      <c r="N183" s="318">
        <v>2.0000005732018801E-3</v>
      </c>
      <c r="O183" s="317">
        <v>3.2322491608198556E-2</v>
      </c>
      <c r="P183" s="318">
        <v>1.9390298071207776E-2</v>
      </c>
      <c r="Q183" s="319">
        <v>5.5739128098176174E-2</v>
      </c>
    </row>
    <row r="184" spans="2:17" ht="15.75" x14ac:dyDescent="0.25">
      <c r="B184" s="176">
        <v>2018</v>
      </c>
      <c r="C184" s="177">
        <v>1996</v>
      </c>
      <c r="D184" s="178" t="s">
        <v>3030</v>
      </c>
      <c r="E184" s="461">
        <v>5.7325127462099973E-2</v>
      </c>
      <c r="F184" s="462">
        <v>7.1015550813577119E-2</v>
      </c>
      <c r="G184" s="316">
        <v>0.36589377145425411</v>
      </c>
      <c r="H184" s="317">
        <v>0.14068906883569882</v>
      </c>
      <c r="I184" s="317">
        <v>8.9356382364164766</v>
      </c>
      <c r="J184" s="317">
        <v>1.0349052179318425</v>
      </c>
      <c r="K184" s="317">
        <v>5.3399456549176702E-2</v>
      </c>
      <c r="L184" s="318">
        <v>2.8117905864328808E-3</v>
      </c>
      <c r="M184" s="317">
        <v>2.9762504696928898E-3</v>
      </c>
      <c r="N184" s="318">
        <v>2.0000005732018797E-3</v>
      </c>
      <c r="O184" s="317">
        <v>3.2356015253276894E-2</v>
      </c>
      <c r="P184" s="318">
        <v>1.9561239787151928E-2</v>
      </c>
      <c r="Q184" s="319">
        <v>5.5813943017751472E-2</v>
      </c>
    </row>
    <row r="185" spans="2:17" ht="15.75" x14ac:dyDescent="0.25">
      <c r="B185" s="176">
        <v>2018</v>
      </c>
      <c r="C185" s="177">
        <v>1997</v>
      </c>
      <c r="D185" s="178" t="s">
        <v>3031</v>
      </c>
      <c r="E185" s="461">
        <v>5.7470156971841574E-2</v>
      </c>
      <c r="F185" s="462">
        <v>6.8928318517379211E-2</v>
      </c>
      <c r="G185" s="316">
        <v>0.36613622985350125</v>
      </c>
      <c r="H185" s="317">
        <v>0.14531726102912632</v>
      </c>
      <c r="I185" s="317">
        <v>8.9427341267606106</v>
      </c>
      <c r="J185" s="317">
        <v>1.0626658193307117</v>
      </c>
      <c r="K185" s="317">
        <v>5.3374636160311267E-2</v>
      </c>
      <c r="L185" s="318">
        <v>2.8332116397493316E-3</v>
      </c>
      <c r="M185" s="317">
        <v>2.9804155839681721E-3</v>
      </c>
      <c r="N185" s="318">
        <v>2.0000005732018801E-3</v>
      </c>
      <c r="O185" s="317">
        <v>3.2426863847099439E-2</v>
      </c>
      <c r="P185" s="318">
        <v>1.8967778690711101E-2</v>
      </c>
      <c r="Q185" s="319">
        <v>5.5788000361040375E-2</v>
      </c>
    </row>
    <row r="186" spans="2:17" ht="15.75" x14ac:dyDescent="0.25">
      <c r="B186" s="176">
        <v>2018</v>
      </c>
      <c r="C186" s="177">
        <v>1998</v>
      </c>
      <c r="D186" s="178" t="s">
        <v>3032</v>
      </c>
      <c r="E186" s="461">
        <v>5.7342926049748978E-2</v>
      </c>
      <c r="F186" s="462">
        <v>6.5972722376187398E-2</v>
      </c>
      <c r="G186" s="316">
        <v>0.36104743564150288</v>
      </c>
      <c r="H186" s="317">
        <v>0.13326966562978221</v>
      </c>
      <c r="I186" s="317">
        <v>8.9137256070127435</v>
      </c>
      <c r="J186" s="317">
        <v>0.93228328803331018</v>
      </c>
      <c r="K186" s="317">
        <v>5.2907305699273259E-2</v>
      </c>
      <c r="L186" s="318">
        <v>2.8732854188492094E-3</v>
      </c>
      <c r="M186" s="317">
        <v>2.9767095762464261E-3</v>
      </c>
      <c r="N186" s="318">
        <v>2.0000005732018801E-3</v>
      </c>
      <c r="O186" s="317">
        <v>3.2363824655752549E-2</v>
      </c>
      <c r="P186" s="318">
        <v>1.8122059251781657E-2</v>
      </c>
      <c r="Q186" s="319">
        <v>5.5299539290302416E-2</v>
      </c>
    </row>
    <row r="187" spans="2:17" ht="15.75" x14ac:dyDescent="0.25">
      <c r="B187" s="176">
        <v>2018</v>
      </c>
      <c r="C187" s="177">
        <v>1999</v>
      </c>
      <c r="D187" s="178" t="s">
        <v>3033</v>
      </c>
      <c r="E187" s="461">
        <v>5.7503606795970538E-2</v>
      </c>
      <c r="F187" s="462">
        <v>6.6328753925444239E-2</v>
      </c>
      <c r="G187" s="316">
        <v>0.36142782975563398</v>
      </c>
      <c r="H187" s="317">
        <v>0.11575282309727117</v>
      </c>
      <c r="I187" s="317">
        <v>9.0375648541640174</v>
      </c>
      <c r="J187" s="317">
        <v>0.77148582933049004</v>
      </c>
      <c r="K187" s="317">
        <v>5.2499977015715023E-2</v>
      </c>
      <c r="L187" s="318">
        <v>2.8810962994562121E-3</v>
      </c>
      <c r="M187" s="317">
        <v>2.9930630770066812E-3</v>
      </c>
      <c r="N187" s="318">
        <v>2.0000005732018784E-3</v>
      </c>
      <c r="O187" s="317">
        <v>3.2641997703684478E-2</v>
      </c>
      <c r="P187" s="318">
        <v>1.8246358887536927E-2</v>
      </c>
      <c r="Q187" s="319">
        <v>5.487379301116798E-2</v>
      </c>
    </row>
    <row r="188" spans="2:17" ht="15.75" x14ac:dyDescent="0.25">
      <c r="B188" s="176">
        <v>2018</v>
      </c>
      <c r="C188" s="177">
        <v>2000</v>
      </c>
      <c r="D188" s="178" t="s">
        <v>3034</v>
      </c>
      <c r="E188" s="461">
        <v>5.7364378097605515E-2</v>
      </c>
      <c r="F188" s="462">
        <v>7.2423621592713774E-2</v>
      </c>
      <c r="G188" s="316">
        <v>0.35548114363941224</v>
      </c>
      <c r="H188" s="317">
        <v>9.7945702963209189E-2</v>
      </c>
      <c r="I188" s="317">
        <v>9.0883971070861183</v>
      </c>
      <c r="J188" s="317">
        <v>0.61356167058012856</v>
      </c>
      <c r="K188" s="317">
        <v>5.1663510149107188E-2</v>
      </c>
      <c r="L188" s="318">
        <v>2.8790609872389587E-3</v>
      </c>
      <c r="M188" s="317">
        <v>2.9975527363578845E-3</v>
      </c>
      <c r="N188" s="318">
        <v>2.0000005732018797E-3</v>
      </c>
      <c r="O188" s="317">
        <v>3.2718366809248445E-2</v>
      </c>
      <c r="P188" s="318">
        <v>1.8401154751127191E-2</v>
      </c>
      <c r="Q188" s="319">
        <v>5.3999504824618898E-2</v>
      </c>
    </row>
    <row r="189" spans="2:17" ht="15.75" x14ac:dyDescent="0.25">
      <c r="B189" s="176">
        <v>2018</v>
      </c>
      <c r="C189" s="177">
        <v>2001</v>
      </c>
      <c r="D189" s="178" t="s">
        <v>3035</v>
      </c>
      <c r="E189" s="461">
        <v>5.7437536103022602E-2</v>
      </c>
      <c r="F189" s="462">
        <v>7.1164136829695343E-2</v>
      </c>
      <c r="G189" s="316">
        <v>0.35012671030871428</v>
      </c>
      <c r="H189" s="317">
        <v>8.2484561049761221E-2</v>
      </c>
      <c r="I189" s="317">
        <v>9.0049100144548291</v>
      </c>
      <c r="J189" s="317">
        <v>0.46728936681409261</v>
      </c>
      <c r="K189" s="317">
        <v>5.1361475404197825E-2</v>
      </c>
      <c r="L189" s="318">
        <v>2.9031821366702825E-3</v>
      </c>
      <c r="M189" s="317">
        <v>2.9915224936802403E-3</v>
      </c>
      <c r="N189" s="318">
        <v>2.0000005732018801E-3</v>
      </c>
      <c r="O189" s="317">
        <v>3.261579238130171E-2</v>
      </c>
      <c r="P189" s="318">
        <v>1.7988834539426585E-2</v>
      </c>
      <c r="Q189" s="319">
        <v>5.3683813408804085E-2</v>
      </c>
    </row>
    <row r="190" spans="2:17" ht="15.75" x14ac:dyDescent="0.25">
      <c r="B190" s="176">
        <v>2018</v>
      </c>
      <c r="C190" s="177">
        <v>2002</v>
      </c>
      <c r="D190" s="178" t="s">
        <v>3036</v>
      </c>
      <c r="E190" s="461">
        <v>5.7268937022279372E-2</v>
      </c>
      <c r="F190" s="462">
        <v>6.9473468424570639E-2</v>
      </c>
      <c r="G190" s="316">
        <v>0.27113878629454286</v>
      </c>
      <c r="H190" s="317">
        <v>8.1083864785504264E-2</v>
      </c>
      <c r="I190" s="317">
        <v>6.9888138753272688</v>
      </c>
      <c r="J190" s="317">
        <v>0.44949167084396102</v>
      </c>
      <c r="K190" s="317">
        <v>5.1860776602825856E-2</v>
      </c>
      <c r="L190" s="318">
        <v>2.9291244046561835E-3</v>
      </c>
      <c r="M190" s="317">
        <v>2.996122023684618E-3</v>
      </c>
      <c r="N190" s="318">
        <v>2.0000005732018801E-3</v>
      </c>
      <c r="O190" s="317">
        <v>3.2694030386676176E-2</v>
      </c>
      <c r="P190" s="318">
        <v>1.7441439328696847E-2</v>
      </c>
      <c r="Q190" s="319">
        <v>5.4205690792017834E-2</v>
      </c>
    </row>
    <row r="191" spans="2:17" ht="15.75" x14ac:dyDescent="0.25">
      <c r="B191" s="176">
        <v>2018</v>
      </c>
      <c r="C191" s="177">
        <v>2003</v>
      </c>
      <c r="D191" s="178" t="s">
        <v>3037</v>
      </c>
      <c r="E191" s="461">
        <v>5.704206260290004E-2</v>
      </c>
      <c r="F191" s="462">
        <v>7.0309134947047394E-2</v>
      </c>
      <c r="G191" s="316">
        <v>0.26441103285052786</v>
      </c>
      <c r="H191" s="317">
        <v>6.5366564411784386E-2</v>
      </c>
      <c r="I191" s="317">
        <v>6.9723285231964978</v>
      </c>
      <c r="J191" s="317">
        <v>0.3816213835607542</v>
      </c>
      <c r="K191" s="317">
        <v>5.106296618906607E-2</v>
      </c>
      <c r="L191" s="318">
        <v>2.9151676348657483E-3</v>
      </c>
      <c r="M191" s="317">
        <v>2.9913309595795174E-3</v>
      </c>
      <c r="N191" s="318">
        <v>2.0000005732018801E-3</v>
      </c>
      <c r="O191" s="317">
        <v>3.2612534386248414E-2</v>
      </c>
      <c r="P191" s="318">
        <v>1.7752159671754735E-2</v>
      </c>
      <c r="Q191" s="319">
        <v>5.3371806931579134E-2</v>
      </c>
    </row>
    <row r="192" spans="2:17" ht="15.75" x14ac:dyDescent="0.25">
      <c r="B192" s="176">
        <v>2018</v>
      </c>
      <c r="C192" s="177">
        <v>2004</v>
      </c>
      <c r="D192" s="178" t="s">
        <v>3038</v>
      </c>
      <c r="E192" s="461">
        <v>5.6949731304641614E-2</v>
      </c>
      <c r="F192" s="462">
        <v>7.0370647484660528E-2</v>
      </c>
      <c r="G192" s="316">
        <v>0.21433675030290775</v>
      </c>
      <c r="H192" s="317">
        <v>1.7730633138874959E-2</v>
      </c>
      <c r="I192" s="317">
        <v>5.8047287175359497</v>
      </c>
      <c r="J192" s="317">
        <v>0.10449772268697166</v>
      </c>
      <c r="K192" s="317">
        <v>5.0295138275263267E-2</v>
      </c>
      <c r="L192" s="318">
        <v>1.9479035405486168E-4</v>
      </c>
      <c r="M192" s="317">
        <v>2.9879638372301062E-3</v>
      </c>
      <c r="N192" s="318">
        <v>2.0000005732018801E-3</v>
      </c>
      <c r="O192" s="317">
        <v>3.2555259635084932E-2</v>
      </c>
      <c r="P192" s="318">
        <v>1.7429319516999536E-2</v>
      </c>
      <c r="Q192" s="319">
        <v>5.2569261246700028E-2</v>
      </c>
    </row>
    <row r="193" spans="2:17" ht="15.75" x14ac:dyDescent="0.25">
      <c r="B193" s="176">
        <v>2018</v>
      </c>
      <c r="C193" s="177">
        <v>2005</v>
      </c>
      <c r="D193" s="178" t="s">
        <v>3039</v>
      </c>
      <c r="E193" s="461">
        <v>5.6685979312133546E-2</v>
      </c>
      <c r="F193" s="462">
        <v>6.719049695397511E-2</v>
      </c>
      <c r="G193" s="316">
        <v>0.20733801391304646</v>
      </c>
      <c r="H193" s="317">
        <v>1.5628373133348371E-2</v>
      </c>
      <c r="I193" s="317">
        <v>5.772663696908432</v>
      </c>
      <c r="J193" s="317">
        <v>8.4740039002557346E-2</v>
      </c>
      <c r="K193" s="317">
        <v>4.938109732800585E-2</v>
      </c>
      <c r="L193" s="318">
        <v>1.9543948209551487E-4</v>
      </c>
      <c r="M193" s="317">
        <v>2.9775061508509558E-3</v>
      </c>
      <c r="N193" s="318">
        <v>2.0000005732018801E-3</v>
      </c>
      <c r="O193" s="317">
        <v>3.2377374389775594E-2</v>
      </c>
      <c r="P193" s="318">
        <v>1.6866454558268597E-2</v>
      </c>
      <c r="Q193" s="319">
        <v>5.1613891423804188E-2</v>
      </c>
    </row>
    <row r="194" spans="2:17" ht="15.75" x14ac:dyDescent="0.25">
      <c r="B194" s="176">
        <v>2018</v>
      </c>
      <c r="C194" s="177">
        <v>2006</v>
      </c>
      <c r="D194" s="178" t="s">
        <v>3040</v>
      </c>
      <c r="E194" s="461">
        <v>5.6616070585976272E-2</v>
      </c>
      <c r="F194" s="462">
        <v>6.9371113787175989E-2</v>
      </c>
      <c r="G194" s="316">
        <v>0.20234091182455635</v>
      </c>
      <c r="H194" s="317">
        <v>5.7134198383527362E-3</v>
      </c>
      <c r="I194" s="317">
        <v>5.7543917241217057</v>
      </c>
      <c r="J194" s="317">
        <v>4.4454930506494905E-2</v>
      </c>
      <c r="K194" s="317">
        <v>4.8706147283003258E-2</v>
      </c>
      <c r="L194" s="318">
        <v>1.9233690964100272E-4</v>
      </c>
      <c r="M194" s="317">
        <v>2.9753289839568485E-3</v>
      </c>
      <c r="N194" s="318">
        <v>2.0000005732018797E-3</v>
      </c>
      <c r="O194" s="317">
        <v>3.2340340780906821E-2</v>
      </c>
      <c r="P194" s="318">
        <v>1.8269588956319097E-2</v>
      </c>
      <c r="Q194" s="319">
        <v>5.0908423132813067E-2</v>
      </c>
    </row>
    <row r="195" spans="2:17" ht="15.75" x14ac:dyDescent="0.25">
      <c r="B195" s="176">
        <v>2018</v>
      </c>
      <c r="C195" s="177">
        <v>2007</v>
      </c>
      <c r="D195" s="178" t="s">
        <v>3041</v>
      </c>
      <c r="E195" s="461">
        <v>5.6373954599876076E-2</v>
      </c>
      <c r="F195" s="462">
        <v>6.5809600269103791E-2</v>
      </c>
      <c r="G195" s="316">
        <v>0.14266486769313708</v>
      </c>
      <c r="H195" s="317">
        <v>7.9895372755173326E-3</v>
      </c>
      <c r="I195" s="317">
        <v>2.8773340455010725</v>
      </c>
      <c r="J195" s="317">
        <v>4.3525655792329331E-2</v>
      </c>
      <c r="K195" s="317">
        <v>3.1396498767006113E-2</v>
      </c>
      <c r="L195" s="318">
        <v>1.9514066386010117E-4</v>
      </c>
      <c r="M195" s="317">
        <v>2.9443465035972915E-3</v>
      </c>
      <c r="N195" s="318">
        <v>2.0000005732018801E-3</v>
      </c>
      <c r="O195" s="317">
        <v>3.1813328789990755E-2</v>
      </c>
      <c r="P195" s="318">
        <v>1.7086970534596568E-2</v>
      </c>
      <c r="Q195" s="319">
        <v>3.2816109121350259E-2</v>
      </c>
    </row>
    <row r="196" spans="2:17" ht="15.75" x14ac:dyDescent="0.25">
      <c r="B196" s="176">
        <v>2018</v>
      </c>
      <c r="C196" s="177">
        <v>2008</v>
      </c>
      <c r="D196" s="178" t="s">
        <v>3042</v>
      </c>
      <c r="E196" s="461">
        <v>5.6395434981142419E-2</v>
      </c>
      <c r="F196" s="462">
        <v>6.4088753630430345E-2</v>
      </c>
      <c r="G196" s="316">
        <v>0.141387719230949</v>
      </c>
      <c r="H196" s="317">
        <v>7.7791474438714927E-3</v>
      </c>
      <c r="I196" s="317">
        <v>2.9089306342967394</v>
      </c>
      <c r="J196" s="317">
        <v>3.6621762175663868E-2</v>
      </c>
      <c r="K196" s="317">
        <v>3.1036218746941419E-2</v>
      </c>
      <c r="L196" s="318">
        <v>2.2302088140466005E-4</v>
      </c>
      <c r="M196" s="317">
        <v>2.9591911836478256E-3</v>
      </c>
      <c r="N196" s="318">
        <v>2.0000005732018797E-3</v>
      </c>
      <c r="O196" s="317">
        <v>3.2065836797650342E-2</v>
      </c>
      <c r="P196" s="318">
        <v>1.7058457074541657E-2</v>
      </c>
      <c r="Q196" s="319">
        <v>3.2439538837497207E-2</v>
      </c>
    </row>
    <row r="197" spans="2:17" ht="15.75" x14ac:dyDescent="0.25">
      <c r="B197" s="176">
        <v>2018</v>
      </c>
      <c r="C197" s="177">
        <v>2009</v>
      </c>
      <c r="D197" s="178" t="s">
        <v>3043</v>
      </c>
      <c r="E197" s="461">
        <v>5.5051936929128055E-2</v>
      </c>
      <c r="F197" s="462">
        <v>5.9163396737536372E-2</v>
      </c>
      <c r="G197" s="316">
        <v>0.12155271623340033</v>
      </c>
      <c r="H197" s="317">
        <v>7.6627975024646106E-3</v>
      </c>
      <c r="I197" s="317">
        <v>2.4515581508605599</v>
      </c>
      <c r="J197" s="317">
        <v>3.0032667456369341E-2</v>
      </c>
      <c r="K197" s="317">
        <v>2.6637219664225241E-2</v>
      </c>
      <c r="L197" s="318">
        <v>2.519545534052082E-4</v>
      </c>
      <c r="M197" s="317">
        <v>2.8137765892150527E-3</v>
      </c>
      <c r="N197" s="318">
        <v>2.0000005732018801E-3</v>
      </c>
      <c r="O197" s="317">
        <v>2.9592334546348881E-2</v>
      </c>
      <c r="P197" s="318">
        <v>1.654184854089788E-2</v>
      </c>
      <c r="Q197" s="319">
        <v>2.7841636536529844E-2</v>
      </c>
    </row>
    <row r="198" spans="2:17" ht="15.75" x14ac:dyDescent="0.25">
      <c r="B198" s="176">
        <v>2018</v>
      </c>
      <c r="C198" s="177">
        <v>2010</v>
      </c>
      <c r="D198" s="178" t="s">
        <v>3044</v>
      </c>
      <c r="E198" s="461">
        <v>5.3475155388266284E-2</v>
      </c>
      <c r="F198" s="462">
        <v>5.7599191018033617E-2</v>
      </c>
      <c r="G198" s="316">
        <v>7.172462672467364E-2</v>
      </c>
      <c r="H198" s="317">
        <v>6.4822311624317501E-3</v>
      </c>
      <c r="I198" s="317">
        <v>0.16300178910393648</v>
      </c>
      <c r="J198" s="317">
        <v>2.7529307024864353E-2</v>
      </c>
      <c r="K198" s="317">
        <v>1.2023249501730865E-2</v>
      </c>
      <c r="L198" s="318">
        <v>3.0742713976460103E-4</v>
      </c>
      <c r="M198" s="317">
        <v>2.6902306393782002E-3</v>
      </c>
      <c r="N198" s="318">
        <v>2.0000005732018801E-3</v>
      </c>
      <c r="O198" s="317">
        <v>2.7490817939624011E-2</v>
      </c>
      <c r="P198" s="318">
        <v>1.6264148838928232E-2</v>
      </c>
      <c r="Q198" s="319">
        <v>1.2566887491819676E-2</v>
      </c>
    </row>
    <row r="199" spans="2:17" ht="15.75" x14ac:dyDescent="0.25">
      <c r="B199" s="176">
        <v>2018</v>
      </c>
      <c r="C199" s="177">
        <v>2011</v>
      </c>
      <c r="D199" s="178" t="s">
        <v>3045</v>
      </c>
      <c r="E199" s="461">
        <v>5.3144991145843958E-2</v>
      </c>
      <c r="F199" s="462">
        <v>5.6224153013103573E-2</v>
      </c>
      <c r="G199" s="316">
        <v>7.1044266100913397E-2</v>
      </c>
      <c r="H199" s="317">
        <v>6.5462318295868901E-3</v>
      </c>
      <c r="I199" s="317">
        <v>0.15957687575783652</v>
      </c>
      <c r="J199" s="317">
        <v>2.7445791160666217E-2</v>
      </c>
      <c r="K199" s="317">
        <v>1.1381506859537332E-2</v>
      </c>
      <c r="L199" s="318">
        <v>4.1670057957291477E-4</v>
      </c>
      <c r="M199" s="317">
        <v>2.7092271943261049E-3</v>
      </c>
      <c r="N199" s="318">
        <v>2.0000005732018801E-3</v>
      </c>
      <c r="O199" s="317">
        <v>2.7813949339287863E-2</v>
      </c>
      <c r="P199" s="318">
        <v>1.6370816453978587E-2</v>
      </c>
      <c r="Q199" s="319">
        <v>1.1896128095036892E-2</v>
      </c>
    </row>
    <row r="200" spans="2:17" ht="15.75" x14ac:dyDescent="0.25">
      <c r="B200" s="176">
        <v>2018</v>
      </c>
      <c r="C200" s="177">
        <v>2012</v>
      </c>
      <c r="D200" s="178" t="s">
        <v>3046</v>
      </c>
      <c r="E200" s="461">
        <v>5.0811325655945899E-2</v>
      </c>
      <c r="F200" s="462">
        <v>5.5952495174983963E-2</v>
      </c>
      <c r="G200" s="316">
        <v>5.8184830276334087E-2</v>
      </c>
      <c r="H200" s="317">
        <v>5.9955060205546164E-3</v>
      </c>
      <c r="I200" s="317">
        <v>0.12824991711444958</v>
      </c>
      <c r="J200" s="317">
        <v>2.6675705483895418E-2</v>
      </c>
      <c r="K200" s="317">
        <v>9.2239986689639647E-3</v>
      </c>
      <c r="L200" s="318">
        <v>6.0592893758047001E-4</v>
      </c>
      <c r="M200" s="317">
        <v>2.5638093969013774E-3</v>
      </c>
      <c r="N200" s="318">
        <v>2.0000005732018805E-3</v>
      </c>
      <c r="O200" s="317">
        <v>2.534039260509326E-2</v>
      </c>
      <c r="P200" s="318">
        <v>1.6681871132751831E-2</v>
      </c>
      <c r="Q200" s="319">
        <v>9.6410669578866435E-3</v>
      </c>
    </row>
    <row r="201" spans="2:17" ht="15.75" x14ac:dyDescent="0.25">
      <c r="B201" s="176">
        <v>2018</v>
      </c>
      <c r="C201" s="177">
        <v>2013</v>
      </c>
      <c r="D201" s="178" t="s">
        <v>3047</v>
      </c>
      <c r="E201" s="461">
        <v>5.2901129640822345E-2</v>
      </c>
      <c r="F201" s="462">
        <v>5.4587816559167383E-2</v>
      </c>
      <c r="G201" s="316">
        <v>7.070803174826977E-2</v>
      </c>
      <c r="H201" s="317">
        <v>6.7235872353645044E-3</v>
      </c>
      <c r="I201" s="317">
        <v>0.1521912573311856</v>
      </c>
      <c r="J201" s="317">
        <v>2.7665549699704584E-2</v>
      </c>
      <c r="K201" s="317">
        <v>9.9207994384692202E-3</v>
      </c>
      <c r="L201" s="318">
        <v>9.0576700457467823E-4</v>
      </c>
      <c r="M201" s="317">
        <v>2.7402152904663041E-3</v>
      </c>
      <c r="N201" s="318">
        <v>2.0000005732018801E-3</v>
      </c>
      <c r="O201" s="317">
        <v>2.834105685463266E-2</v>
      </c>
      <c r="P201" s="318">
        <v>1.6751761689990517E-2</v>
      </c>
      <c r="Q201" s="319">
        <v>1.036937396618136E-2</v>
      </c>
    </row>
    <row r="202" spans="2:17" ht="15.75" x14ac:dyDescent="0.25">
      <c r="B202" s="176">
        <v>2018</v>
      </c>
      <c r="C202" s="177">
        <v>2014</v>
      </c>
      <c r="D202" s="178" t="s">
        <v>3048</v>
      </c>
      <c r="E202" s="461">
        <v>5.0078923722697281E-2</v>
      </c>
      <c r="F202" s="462">
        <v>5.2795372267796646E-2</v>
      </c>
      <c r="G202" s="316">
        <v>5.9136736087770501E-2</v>
      </c>
      <c r="H202" s="317">
        <v>6.6522718512268411E-3</v>
      </c>
      <c r="I202" s="317">
        <v>0.12498155212536785</v>
      </c>
      <c r="J202" s="317">
        <v>2.6816219728065197E-2</v>
      </c>
      <c r="K202" s="317">
        <v>8.0465842569652883E-3</v>
      </c>
      <c r="L202" s="318">
        <v>1.2707054828617007E-3</v>
      </c>
      <c r="M202" s="317">
        <v>2.6153864799915525E-3</v>
      </c>
      <c r="N202" s="318">
        <v>2.0000005732018801E-3</v>
      </c>
      <c r="O202" s="317">
        <v>2.6217718788457134E-2</v>
      </c>
      <c r="P202" s="318">
        <v>1.6363689623543551E-2</v>
      </c>
      <c r="Q202" s="319">
        <v>8.4104150908764098E-3</v>
      </c>
    </row>
    <row r="203" spans="2:17" ht="15.75" x14ac:dyDescent="0.25">
      <c r="B203" s="176">
        <v>2018</v>
      </c>
      <c r="C203" s="177">
        <v>2015</v>
      </c>
      <c r="D203" s="178" t="s">
        <v>3049</v>
      </c>
      <c r="E203" s="461">
        <v>4.8974779746361725E-2</v>
      </c>
      <c r="F203" s="462">
        <v>5.4597487654963368E-2</v>
      </c>
      <c r="G203" s="316">
        <v>5.4924342376350223E-2</v>
      </c>
      <c r="H203" s="317">
        <v>6.516464797437266E-3</v>
      </c>
      <c r="I203" s="317">
        <v>0.11412023091996365</v>
      </c>
      <c r="J203" s="317">
        <v>2.7840797276647535E-2</v>
      </c>
      <c r="K203" s="317">
        <v>6.9835577204732362E-3</v>
      </c>
      <c r="L203" s="318">
        <v>1.5835623865683255E-3</v>
      </c>
      <c r="M203" s="317">
        <v>2.5934033097420399E-3</v>
      </c>
      <c r="N203" s="318">
        <v>2.0000005732018801E-3</v>
      </c>
      <c r="O203" s="317">
        <v>2.584378506251292E-2</v>
      </c>
      <c r="P203" s="318">
        <v>1.7210945273625024E-2</v>
      </c>
      <c r="Q203" s="319">
        <v>7.2993232115146208E-3</v>
      </c>
    </row>
    <row r="204" spans="2:17" ht="15.75" x14ac:dyDescent="0.25">
      <c r="B204" s="176">
        <v>2018</v>
      </c>
      <c r="C204" s="177">
        <v>2016</v>
      </c>
      <c r="D204" s="178" t="s">
        <v>3050</v>
      </c>
      <c r="E204" s="461">
        <v>5.0109499274640361E-2</v>
      </c>
      <c r="F204" s="462">
        <v>5.5501739601066129E-2</v>
      </c>
      <c r="G204" s="316">
        <v>6.7180857193764182E-2</v>
      </c>
      <c r="H204" s="317">
        <v>6.4554085344809865E-3</v>
      </c>
      <c r="I204" s="317">
        <v>0.11819361797540331</v>
      </c>
      <c r="J204" s="317">
        <v>2.8664381161130084E-2</v>
      </c>
      <c r="K204" s="317">
        <v>7.0478549148206057E-3</v>
      </c>
      <c r="L204" s="318">
        <v>1.8190843967696283E-3</v>
      </c>
      <c r="M204" s="317">
        <v>2.7912393741159162E-3</v>
      </c>
      <c r="N204" s="318">
        <v>2.0000005732018805E-3</v>
      </c>
      <c r="O204" s="317">
        <v>2.9208976517512562E-2</v>
      </c>
      <c r="P204" s="318">
        <v>1.8027807678545848E-2</v>
      </c>
      <c r="Q204" s="319">
        <v>7.366527639675797E-3</v>
      </c>
    </row>
    <row r="205" spans="2:17" ht="15.75" x14ac:dyDescent="0.25">
      <c r="B205" s="176">
        <v>2018</v>
      </c>
      <c r="C205" s="177">
        <v>2017</v>
      </c>
      <c r="D205" s="178" t="s">
        <v>3051</v>
      </c>
      <c r="E205" s="461">
        <v>4.6371510628083819E-2</v>
      </c>
      <c r="F205" s="462">
        <v>5.0130487285468164E-2</v>
      </c>
      <c r="G205" s="316">
        <v>4.9651899661254356E-2</v>
      </c>
      <c r="H205" s="317">
        <v>6.1914298531313408E-3</v>
      </c>
      <c r="I205" s="317">
        <v>8.0815925730698554E-2</v>
      </c>
      <c r="J205" s="317">
        <v>2.6444945259373517E-2</v>
      </c>
      <c r="K205" s="317">
        <v>5.3423643942408297E-3</v>
      </c>
      <c r="L205" s="318">
        <v>2.0043683952783498E-3</v>
      </c>
      <c r="M205" s="317">
        <v>2.7086733715587889E-3</v>
      </c>
      <c r="N205" s="318">
        <v>2.0000005732018801E-3</v>
      </c>
      <c r="O205" s="317">
        <v>2.7804528814015825E-2</v>
      </c>
      <c r="P205" s="318">
        <v>1.7063264419622495E-2</v>
      </c>
      <c r="Q205" s="319">
        <v>5.5839224057574995E-3</v>
      </c>
    </row>
    <row r="206" spans="2:17" ht="15.75" x14ac:dyDescent="0.25">
      <c r="B206" s="176">
        <v>2018</v>
      </c>
      <c r="C206" s="177">
        <v>2018</v>
      </c>
      <c r="D206" s="178" t="s">
        <v>3052</v>
      </c>
      <c r="E206" s="461">
        <v>4.3250258119161014E-2</v>
      </c>
      <c r="F206" s="462">
        <v>4.725342976411636E-2</v>
      </c>
      <c r="G206" s="316">
        <v>4.6438202821334915E-2</v>
      </c>
      <c r="H206" s="317">
        <v>5.7170788878679419E-3</v>
      </c>
      <c r="I206" s="317">
        <v>6.1293730982771431E-2</v>
      </c>
      <c r="J206" s="317">
        <v>2.4163518898350597E-2</v>
      </c>
      <c r="K206" s="317">
        <v>3.9887317006589646E-3</v>
      </c>
      <c r="L206" s="318">
        <v>2.1048831806068321E-3</v>
      </c>
      <c r="M206" s="317">
        <v>2.6793277601653721E-3</v>
      </c>
      <c r="N206" s="318">
        <v>2.0000005732018801E-3</v>
      </c>
      <c r="O206" s="317">
        <v>2.7305359964213807E-2</v>
      </c>
      <c r="P206" s="318">
        <v>1.6845916175581014E-2</v>
      </c>
      <c r="Q206" s="319">
        <v>4.1690844484279788E-3</v>
      </c>
    </row>
    <row r="207" spans="2:17" ht="15.75" x14ac:dyDescent="0.25">
      <c r="B207" s="176">
        <v>2019</v>
      </c>
      <c r="C207" s="177">
        <v>1975</v>
      </c>
      <c r="D207" s="178" t="s">
        <v>3053</v>
      </c>
      <c r="E207" s="461">
        <v>5.5114644613103468E-2</v>
      </c>
      <c r="F207" s="462">
        <v>9.4980210162065079E-2</v>
      </c>
      <c r="G207" s="316">
        <v>0.85967578305457115</v>
      </c>
      <c r="H207" s="317">
        <v>6.5016010478228328</v>
      </c>
      <c r="I207" s="317">
        <v>4.1813685168406156</v>
      </c>
      <c r="J207" s="317">
        <v>5.3460399088589963</v>
      </c>
      <c r="K207" s="317">
        <v>0.55567874770592784</v>
      </c>
      <c r="L207" s="318">
        <v>5.5024375748281638E-2</v>
      </c>
      <c r="M207" s="317">
        <v>2.4414336277895502E-3</v>
      </c>
      <c r="N207" s="318">
        <v>2.0000005732018801E-3</v>
      </c>
      <c r="O207" s="317">
        <v>2.325878077250107E-2</v>
      </c>
      <c r="P207" s="318">
        <v>1.9901886000257885E-2</v>
      </c>
      <c r="Q207" s="319">
        <v>0.58080407488926666</v>
      </c>
    </row>
    <row r="208" spans="2:17" ht="15.75" x14ac:dyDescent="0.25">
      <c r="B208" s="176">
        <v>2019</v>
      </c>
      <c r="C208" s="177">
        <v>1976</v>
      </c>
      <c r="D208" s="178" t="s">
        <v>3054</v>
      </c>
      <c r="E208" s="461">
        <v>5.8140483463057571E-2</v>
      </c>
      <c r="F208" s="462">
        <v>0.13026926326392627</v>
      </c>
      <c r="G208" s="316">
        <v>0.72131385368302958</v>
      </c>
      <c r="H208" s="317">
        <v>7.9087786720293041</v>
      </c>
      <c r="I208" s="317">
        <v>2.3565369020778832</v>
      </c>
      <c r="J208" s="317">
        <v>10.281401521275439</v>
      </c>
      <c r="K208" s="317">
        <v>0.50459383062547547</v>
      </c>
      <c r="L208" s="318">
        <v>5.5460841426972829E-2</v>
      </c>
      <c r="M208" s="317">
        <v>2.1207653358256491E-3</v>
      </c>
      <c r="N208" s="318">
        <v>2.0000005732018805E-3</v>
      </c>
      <c r="O208" s="317">
        <v>1.7804213126195113E-2</v>
      </c>
      <c r="P208" s="318">
        <v>1.9098449879552712E-2</v>
      </c>
      <c r="Q208" s="319">
        <v>0.52740932454439804</v>
      </c>
    </row>
    <row r="209" spans="2:17" ht="15.75" x14ac:dyDescent="0.25">
      <c r="B209" s="176">
        <v>2019</v>
      </c>
      <c r="C209" s="177">
        <v>1977</v>
      </c>
      <c r="D209" s="178" t="s">
        <v>3055</v>
      </c>
      <c r="E209" s="461">
        <v>5.7450043526829024E-2</v>
      </c>
      <c r="F209" s="462">
        <v>0.12622945746436551</v>
      </c>
      <c r="G209" s="316">
        <v>0.69786912884592844</v>
      </c>
      <c r="H209" s="317">
        <v>7.8373663482684268</v>
      </c>
      <c r="I209" s="317">
        <v>2.4598932289714579</v>
      </c>
      <c r="J209" s="317">
        <v>11.009021799731888</v>
      </c>
      <c r="K209" s="317">
        <v>0.48839316240140079</v>
      </c>
      <c r="L209" s="318">
        <v>5.1880956067988246E-2</v>
      </c>
      <c r="M209" s="317">
        <v>2.138412820641995E-3</v>
      </c>
      <c r="N209" s="318">
        <v>2.0000005732018801E-3</v>
      </c>
      <c r="O209" s="317">
        <v>1.8104396842921155E-2</v>
      </c>
      <c r="P209" s="318">
        <v>1.8110015083781794E-2</v>
      </c>
      <c r="Q209" s="319">
        <v>0.5104761339926317</v>
      </c>
    </row>
    <row r="210" spans="2:17" ht="15.75" x14ac:dyDescent="0.25">
      <c r="B210" s="176">
        <v>2019</v>
      </c>
      <c r="C210" s="177">
        <v>1978</v>
      </c>
      <c r="D210" s="178" t="s">
        <v>3056</v>
      </c>
      <c r="E210" s="461">
        <v>5.8300005573219273E-2</v>
      </c>
      <c r="F210" s="462">
        <v>0.10397830170411536</v>
      </c>
      <c r="G210" s="316">
        <v>0.72902174757833071</v>
      </c>
      <c r="H210" s="317">
        <v>1.7953605414165001</v>
      </c>
      <c r="I210" s="317">
        <v>2.3547101024691202</v>
      </c>
      <c r="J210" s="317">
        <v>4.4799999429806139</v>
      </c>
      <c r="K210" s="317">
        <v>0.5097217061526389</v>
      </c>
      <c r="L210" s="318">
        <v>4.4996997974314112E-2</v>
      </c>
      <c r="M210" s="317">
        <v>2.1046643034816556E-3</v>
      </c>
      <c r="N210" s="318">
        <v>2.0000005732018801E-3</v>
      </c>
      <c r="O210" s="317">
        <v>1.7530334566023788E-2</v>
      </c>
      <c r="P210" s="318">
        <v>1.9269099595733169E-2</v>
      </c>
      <c r="Q210" s="319">
        <v>0.53276905984828893</v>
      </c>
    </row>
    <row r="211" spans="2:17" ht="15.75" x14ac:dyDescent="0.25">
      <c r="B211" s="176">
        <v>2019</v>
      </c>
      <c r="C211" s="177">
        <v>1979</v>
      </c>
      <c r="D211" s="178" t="s">
        <v>3057</v>
      </c>
      <c r="E211" s="461">
        <v>5.765860315159315E-2</v>
      </c>
      <c r="F211" s="462">
        <v>0.10404012813805556</v>
      </c>
      <c r="G211" s="316">
        <v>0.70810567910814282</v>
      </c>
      <c r="H211" s="317">
        <v>1.7958089737778167</v>
      </c>
      <c r="I211" s="317">
        <v>2.3713313981804127</v>
      </c>
      <c r="J211" s="317">
        <v>4.4162152877723289</v>
      </c>
      <c r="K211" s="317">
        <v>0.49550833380979237</v>
      </c>
      <c r="L211" s="318">
        <v>4.4642650202541816E-2</v>
      </c>
      <c r="M211" s="317">
        <v>2.1178696882532084E-3</v>
      </c>
      <c r="N211" s="318">
        <v>2.0000005732018801E-3</v>
      </c>
      <c r="O211" s="317">
        <v>1.7754958160987891E-2</v>
      </c>
      <c r="P211" s="318">
        <v>1.944483331064344E-2</v>
      </c>
      <c r="Q211" s="319">
        <v>0.51791302187900534</v>
      </c>
    </row>
    <row r="212" spans="2:17" ht="15.75" x14ac:dyDescent="0.25">
      <c r="B212" s="176">
        <v>2019</v>
      </c>
      <c r="C212" s="177">
        <v>1980</v>
      </c>
      <c r="D212" s="178" t="s">
        <v>3058</v>
      </c>
      <c r="E212" s="461">
        <v>5.7574055207911631E-2</v>
      </c>
      <c r="F212" s="462">
        <v>0.10945693574227658</v>
      </c>
      <c r="G212" s="316">
        <v>0.32945103638273632</v>
      </c>
      <c r="H212" s="317">
        <v>2.1263564056971074</v>
      </c>
      <c r="I212" s="317">
        <v>2.2392318418074555</v>
      </c>
      <c r="J212" s="317">
        <v>4.3714570487260946</v>
      </c>
      <c r="K212" s="317">
        <v>0.26263708221077237</v>
      </c>
      <c r="L212" s="318">
        <v>3.7337126017481848E-2</v>
      </c>
      <c r="M212" s="317">
        <v>2.1311277024367555E-3</v>
      </c>
      <c r="N212" s="318">
        <v>2.0000005732018805E-3</v>
      </c>
      <c r="O212" s="317">
        <v>1.798047698225003E-2</v>
      </c>
      <c r="P212" s="318">
        <v>2.2744347085106066E-2</v>
      </c>
      <c r="Q212" s="319">
        <v>0.27451236563355214</v>
      </c>
    </row>
    <row r="213" spans="2:17" ht="15.75" x14ac:dyDescent="0.25">
      <c r="B213" s="176">
        <v>2019</v>
      </c>
      <c r="C213" s="177">
        <v>1981</v>
      </c>
      <c r="D213" s="178" t="s">
        <v>3059</v>
      </c>
      <c r="E213" s="461">
        <v>5.8518176254608471E-2</v>
      </c>
      <c r="F213" s="462">
        <v>0.10574673008636097</v>
      </c>
      <c r="G213" s="316">
        <v>0.32647818978409227</v>
      </c>
      <c r="H213" s="317">
        <v>2.0885340045557861</v>
      </c>
      <c r="I213" s="317">
        <v>2.5601297376682908</v>
      </c>
      <c r="J213" s="317">
        <v>3.6040767983856496</v>
      </c>
      <c r="K213" s="317">
        <v>0.25919223104058897</v>
      </c>
      <c r="L213" s="318">
        <v>1.780061266656191E-2</v>
      </c>
      <c r="M213" s="317">
        <v>2.2385120675665468E-3</v>
      </c>
      <c r="N213" s="318">
        <v>2.0000005732018801E-3</v>
      </c>
      <c r="O213" s="317">
        <v>1.9807085033107782E-2</v>
      </c>
      <c r="P213" s="318">
        <v>2.5204412922175921E-2</v>
      </c>
      <c r="Q213" s="319">
        <v>0.27091175357975333</v>
      </c>
    </row>
    <row r="214" spans="2:17" ht="15.75" x14ac:dyDescent="0.25">
      <c r="B214" s="176">
        <v>2019</v>
      </c>
      <c r="C214" s="177">
        <v>1982</v>
      </c>
      <c r="D214" s="178" t="s">
        <v>3060</v>
      </c>
      <c r="E214" s="461">
        <v>5.7067156968685383E-2</v>
      </c>
      <c r="F214" s="462">
        <v>0.10318770962518559</v>
      </c>
      <c r="G214" s="316">
        <v>0.28911487180160766</v>
      </c>
      <c r="H214" s="317">
        <v>1.9972504402130342</v>
      </c>
      <c r="I214" s="317">
        <v>3.3142689499277393</v>
      </c>
      <c r="J214" s="317">
        <v>3.5289029680800139</v>
      </c>
      <c r="K214" s="317">
        <v>0.22687549278770042</v>
      </c>
      <c r="L214" s="318">
        <v>1.7989715502116765E-2</v>
      </c>
      <c r="M214" s="317">
        <v>2.4491574785107059E-3</v>
      </c>
      <c r="N214" s="318">
        <v>2.0000005732018801E-3</v>
      </c>
      <c r="O214" s="317">
        <v>2.3390163473267923E-2</v>
      </c>
      <c r="P214" s="318">
        <v>2.4290741530078822E-2</v>
      </c>
      <c r="Q214" s="319">
        <v>0.23713379582647198</v>
      </c>
    </row>
    <row r="215" spans="2:17" ht="15.75" x14ac:dyDescent="0.25">
      <c r="B215" s="176">
        <v>2019</v>
      </c>
      <c r="C215" s="177">
        <v>1983</v>
      </c>
      <c r="D215" s="178" t="s">
        <v>3061</v>
      </c>
      <c r="E215" s="461">
        <v>5.7127842867730733E-2</v>
      </c>
      <c r="F215" s="462">
        <v>9.9456684538917761E-2</v>
      </c>
      <c r="G215" s="316">
        <v>0.21727300977087097</v>
      </c>
      <c r="H215" s="317">
        <v>1.7322035422145672</v>
      </c>
      <c r="I215" s="317">
        <v>3.6057651823677759</v>
      </c>
      <c r="J215" s="317">
        <v>3.0617297761546909</v>
      </c>
      <c r="K215" s="317">
        <v>0.20559471043340585</v>
      </c>
      <c r="L215" s="318">
        <v>1.7733765380362105E-2</v>
      </c>
      <c r="M215" s="317">
        <v>2.5848174054429094E-3</v>
      </c>
      <c r="N215" s="318">
        <v>2.0000005732018797E-3</v>
      </c>
      <c r="O215" s="317">
        <v>2.5697738830384707E-2</v>
      </c>
      <c r="P215" s="318">
        <v>2.3110452214484687E-2</v>
      </c>
      <c r="Q215" s="319">
        <v>0.21489079092618915</v>
      </c>
    </row>
    <row r="216" spans="2:17" ht="15.75" x14ac:dyDescent="0.25">
      <c r="B216" s="176">
        <v>2019</v>
      </c>
      <c r="C216" s="177">
        <v>1984</v>
      </c>
      <c r="D216" s="178" t="s">
        <v>3062</v>
      </c>
      <c r="E216" s="461">
        <v>5.6238277206278255E-2</v>
      </c>
      <c r="F216" s="462">
        <v>0.10045161373459616</v>
      </c>
      <c r="G216" s="316">
        <v>0.25511599124265388</v>
      </c>
      <c r="H216" s="317">
        <v>1.4788554295456071</v>
      </c>
      <c r="I216" s="317">
        <v>4.2361124582508696</v>
      </c>
      <c r="J216" s="317">
        <v>3.5377760398827811</v>
      </c>
      <c r="K216" s="317">
        <v>0.18214048110292569</v>
      </c>
      <c r="L216" s="318">
        <v>1.8290144370232034E-2</v>
      </c>
      <c r="M216" s="317">
        <v>2.777221019488043E-3</v>
      </c>
      <c r="N216" s="318">
        <v>2.0000005732018801E-3</v>
      </c>
      <c r="O216" s="317">
        <v>2.8970524305292438E-2</v>
      </c>
      <c r="P216" s="318">
        <v>2.3095739014980105E-2</v>
      </c>
      <c r="Q216" s="319">
        <v>0.19037606542198554</v>
      </c>
    </row>
    <row r="217" spans="2:17" ht="15.75" x14ac:dyDescent="0.25">
      <c r="B217" s="176">
        <v>2019</v>
      </c>
      <c r="C217" s="177">
        <v>1985</v>
      </c>
      <c r="D217" s="178" t="s">
        <v>3063</v>
      </c>
      <c r="E217" s="461">
        <v>5.7030241210067882E-2</v>
      </c>
      <c r="F217" s="462">
        <v>9.7762569547056796E-2</v>
      </c>
      <c r="G217" s="316">
        <v>0.2451745769945485</v>
      </c>
      <c r="H217" s="317">
        <v>1.1071505356581635</v>
      </c>
      <c r="I217" s="317">
        <v>4.6173699715515815</v>
      </c>
      <c r="J217" s="317">
        <v>2.9514547735304286</v>
      </c>
      <c r="K217" s="317">
        <v>0.17945108316322855</v>
      </c>
      <c r="L217" s="318">
        <v>1.7053621974416591E-2</v>
      </c>
      <c r="M217" s="317">
        <v>2.881676774233153E-3</v>
      </c>
      <c r="N217" s="318">
        <v>2.0000005732018801E-3</v>
      </c>
      <c r="O217" s="317">
        <v>3.0747316693506756E-2</v>
      </c>
      <c r="P217" s="318">
        <v>2.3206347128978226E-2</v>
      </c>
      <c r="Q217" s="319">
        <v>0.18756506484148197</v>
      </c>
    </row>
    <row r="218" spans="2:17" ht="15.75" x14ac:dyDescent="0.25">
      <c r="B218" s="176">
        <v>2019</v>
      </c>
      <c r="C218" s="177">
        <v>1986</v>
      </c>
      <c r="D218" s="178" t="s">
        <v>3064</v>
      </c>
      <c r="E218" s="461">
        <v>5.7504044052161259E-2</v>
      </c>
      <c r="F218" s="462">
        <v>9.2589431762555477E-2</v>
      </c>
      <c r="G218" s="316">
        <v>0.24098295378054818</v>
      </c>
      <c r="H218" s="317">
        <v>1.0601922266415829</v>
      </c>
      <c r="I218" s="317">
        <v>4.7941979177908687</v>
      </c>
      <c r="J218" s="317">
        <v>2.7739701157341563</v>
      </c>
      <c r="K218" s="317">
        <v>0.17861280771006061</v>
      </c>
      <c r="L218" s="318">
        <v>1.7199152684621598E-2</v>
      </c>
      <c r="M218" s="317">
        <v>2.93355624352551E-3</v>
      </c>
      <c r="N218" s="318">
        <v>2.0000005732018801E-3</v>
      </c>
      <c r="O218" s="317">
        <v>3.1629786466169749E-2</v>
      </c>
      <c r="P218" s="318">
        <v>2.2656319662239886E-2</v>
      </c>
      <c r="Q218" s="319">
        <v>0.18668888629211414</v>
      </c>
    </row>
    <row r="219" spans="2:17" ht="15.75" x14ac:dyDescent="0.25">
      <c r="B219" s="176">
        <v>2019</v>
      </c>
      <c r="C219" s="177">
        <v>1987</v>
      </c>
      <c r="D219" s="178" t="s">
        <v>3065</v>
      </c>
      <c r="E219" s="461">
        <v>5.7612873677198501E-2</v>
      </c>
      <c r="F219" s="462">
        <v>8.8899008296916673E-2</v>
      </c>
      <c r="G219" s="316">
        <v>0.29431609609023318</v>
      </c>
      <c r="H219" s="317">
        <v>0.97491038675222808</v>
      </c>
      <c r="I219" s="317">
        <v>5.0202545408121546</v>
      </c>
      <c r="J219" s="317">
        <v>2.657196295034264</v>
      </c>
      <c r="K219" s="317">
        <v>0.199764413355178</v>
      </c>
      <c r="L219" s="318">
        <v>1.7461429626747318E-2</v>
      </c>
      <c r="M219" s="317">
        <v>2.9674989959409918E-3</v>
      </c>
      <c r="N219" s="318">
        <v>2.0000005732018801E-3</v>
      </c>
      <c r="O219" s="317">
        <v>3.2207152684757108E-2</v>
      </c>
      <c r="P219" s="318">
        <v>2.1571283456909653E-2</v>
      </c>
      <c r="Q219" s="319">
        <v>0.2087968736856427</v>
      </c>
    </row>
    <row r="220" spans="2:17" ht="15.75" x14ac:dyDescent="0.25">
      <c r="B220" s="176">
        <v>2019</v>
      </c>
      <c r="C220" s="177">
        <v>1988</v>
      </c>
      <c r="D220" s="178" t="s">
        <v>3066</v>
      </c>
      <c r="E220" s="461">
        <v>5.7420322742162716E-2</v>
      </c>
      <c r="F220" s="462">
        <v>8.7783699892204317E-2</v>
      </c>
      <c r="G220" s="316">
        <v>0.29090604706169559</v>
      </c>
      <c r="H220" s="317">
        <v>0.4971033643550587</v>
      </c>
      <c r="I220" s="317">
        <v>5.0927350556197579</v>
      </c>
      <c r="J220" s="317">
        <v>1.8913454829310743</v>
      </c>
      <c r="K220" s="317">
        <v>0.19769657024736392</v>
      </c>
      <c r="L220" s="318">
        <v>1.6877053925298112E-2</v>
      </c>
      <c r="M220" s="317">
        <v>2.9801254073775637E-3</v>
      </c>
      <c r="N220" s="318">
        <v>2.0000005732018801E-3</v>
      </c>
      <c r="O220" s="317">
        <v>3.242192794329319E-2</v>
      </c>
      <c r="P220" s="318">
        <v>2.2080919662057153E-2</v>
      </c>
      <c r="Q220" s="319">
        <v>0.20663553188841252</v>
      </c>
    </row>
    <row r="221" spans="2:17" ht="15.75" x14ac:dyDescent="0.25">
      <c r="B221" s="176">
        <v>2019</v>
      </c>
      <c r="C221" s="177">
        <v>1989</v>
      </c>
      <c r="D221" s="178" t="s">
        <v>3067</v>
      </c>
      <c r="E221" s="461">
        <v>5.7592991685682757E-2</v>
      </c>
      <c r="F221" s="462">
        <v>9.0232492964168506E-2</v>
      </c>
      <c r="G221" s="316">
        <v>0.29226292439013107</v>
      </c>
      <c r="H221" s="317">
        <v>0.49510932709658739</v>
      </c>
      <c r="I221" s="317">
        <v>5.1204925986982106</v>
      </c>
      <c r="J221" s="317">
        <v>1.886218903295084</v>
      </c>
      <c r="K221" s="317">
        <v>0.19879890483958548</v>
      </c>
      <c r="L221" s="318">
        <v>1.6645540302825945E-2</v>
      </c>
      <c r="M221" s="317">
        <v>2.98811893840248E-3</v>
      </c>
      <c r="N221" s="318">
        <v>2.0000005732018801E-3</v>
      </c>
      <c r="O221" s="317">
        <v>3.2557897906027013E-2</v>
      </c>
      <c r="P221" s="318">
        <v>2.2951473524097668E-2</v>
      </c>
      <c r="Q221" s="319">
        <v>0.2077877091593561</v>
      </c>
    </row>
    <row r="222" spans="2:17" ht="15.75" x14ac:dyDescent="0.25">
      <c r="B222" s="176">
        <v>2019</v>
      </c>
      <c r="C222" s="177">
        <v>1990</v>
      </c>
      <c r="D222" s="178" t="s">
        <v>3068</v>
      </c>
      <c r="E222" s="461">
        <v>5.8055970853539203E-2</v>
      </c>
      <c r="F222" s="462">
        <v>8.802849254478351E-2</v>
      </c>
      <c r="G222" s="316">
        <v>0.2971041389901663</v>
      </c>
      <c r="H222" s="317">
        <v>0.49729909172683645</v>
      </c>
      <c r="I222" s="317">
        <v>5.0678017399660655</v>
      </c>
      <c r="J222" s="317">
        <v>1.8793686699352776</v>
      </c>
      <c r="K222" s="317">
        <v>0.20209176970821827</v>
      </c>
      <c r="L222" s="318">
        <v>1.6920934753575326E-2</v>
      </c>
      <c r="M222" s="317">
        <v>2.988269263153126E-3</v>
      </c>
      <c r="N222" s="318">
        <v>2.0000005732018801E-3</v>
      </c>
      <c r="O222" s="317">
        <v>3.256045493003551E-2</v>
      </c>
      <c r="P222" s="318">
        <v>2.2132919470410479E-2</v>
      </c>
      <c r="Q222" s="319">
        <v>0.21122946276547799</v>
      </c>
    </row>
    <row r="223" spans="2:17" ht="15.75" x14ac:dyDescent="0.25">
      <c r="B223" s="176">
        <v>2019</v>
      </c>
      <c r="C223" s="177">
        <v>1991</v>
      </c>
      <c r="D223" s="178" t="s">
        <v>3069</v>
      </c>
      <c r="E223" s="461">
        <v>5.7954889803616551E-2</v>
      </c>
      <c r="F223" s="462">
        <v>8.5860266775628566E-2</v>
      </c>
      <c r="G223" s="316">
        <v>0.37977889740428822</v>
      </c>
      <c r="H223" s="317">
        <v>0.51893228484220311</v>
      </c>
      <c r="I223" s="317">
        <v>8.9289006801899884</v>
      </c>
      <c r="J223" s="317">
        <v>2.3153447713008406</v>
      </c>
      <c r="K223" s="317">
        <v>5.6166085158541983E-2</v>
      </c>
      <c r="L223" s="318">
        <v>9.5255345796442879E-3</v>
      </c>
      <c r="M223" s="317">
        <v>2.9855116886787999E-3</v>
      </c>
      <c r="N223" s="318">
        <v>2.0000005732018801E-3</v>
      </c>
      <c r="O223" s="317">
        <v>3.2513548588227213E-2</v>
      </c>
      <c r="P223" s="318">
        <v>2.1309170376909201E-2</v>
      </c>
      <c r="Q223" s="319">
        <v>5.8705666296099607E-2</v>
      </c>
    </row>
    <row r="224" spans="2:17" ht="15.75" x14ac:dyDescent="0.25">
      <c r="B224" s="176">
        <v>2019</v>
      </c>
      <c r="C224" s="177">
        <v>1992</v>
      </c>
      <c r="D224" s="178" t="s">
        <v>3070</v>
      </c>
      <c r="E224" s="461">
        <v>5.7929824862079246E-2</v>
      </c>
      <c r="F224" s="462">
        <v>8.3083249719395361E-2</v>
      </c>
      <c r="G224" s="316">
        <v>0.3802461368927374</v>
      </c>
      <c r="H224" s="317">
        <v>0.52041498754240278</v>
      </c>
      <c r="I224" s="317">
        <v>8.8360902878160239</v>
      </c>
      <c r="J224" s="317">
        <v>2.2510048613891378</v>
      </c>
      <c r="K224" s="317">
        <v>5.7931962060940596E-2</v>
      </c>
      <c r="L224" s="318">
        <v>9.6551491507778416E-3</v>
      </c>
      <c r="M224" s="317">
        <v>2.9747762401506053E-3</v>
      </c>
      <c r="N224" s="318">
        <v>2.0000005732018801E-3</v>
      </c>
      <c r="O224" s="317">
        <v>3.2330938608762627E-2</v>
      </c>
      <c r="P224" s="318">
        <v>2.0374677551710046E-2</v>
      </c>
      <c r="Q224" s="319">
        <v>6.0551388316062021E-2</v>
      </c>
    </row>
    <row r="225" spans="2:17" ht="15.75" x14ac:dyDescent="0.25">
      <c r="B225" s="176">
        <v>2019</v>
      </c>
      <c r="C225" s="177">
        <v>1993</v>
      </c>
      <c r="D225" s="178" t="s">
        <v>3071</v>
      </c>
      <c r="E225" s="461">
        <v>5.7798414378223778E-2</v>
      </c>
      <c r="F225" s="462">
        <v>7.4366469758472095E-2</v>
      </c>
      <c r="G225" s="316">
        <v>0.37453915094668316</v>
      </c>
      <c r="H225" s="317">
        <v>0.52490080633924074</v>
      </c>
      <c r="I225" s="317">
        <v>8.8931176700178884</v>
      </c>
      <c r="J225" s="317">
        <v>2.2020310834354579</v>
      </c>
      <c r="K225" s="317">
        <v>5.3892460614058051E-2</v>
      </c>
      <c r="L225" s="318">
        <v>9.7975189620636664E-3</v>
      </c>
      <c r="M225" s="317">
        <v>2.979418878621241E-3</v>
      </c>
      <c r="N225" s="318">
        <v>2.0000005732018797E-3</v>
      </c>
      <c r="O225" s="317">
        <v>3.2409909889148138E-2</v>
      </c>
      <c r="P225" s="318">
        <v>1.9902240869832315E-2</v>
      </c>
      <c r="Q225" s="319">
        <v>5.6329238538773585E-2</v>
      </c>
    </row>
    <row r="226" spans="2:17" ht="15.75" x14ac:dyDescent="0.25">
      <c r="B226" s="176">
        <v>2019</v>
      </c>
      <c r="C226" s="177">
        <v>1994</v>
      </c>
      <c r="D226" s="178" t="s">
        <v>3072</v>
      </c>
      <c r="E226" s="461">
        <v>5.7535003125210898E-2</v>
      </c>
      <c r="F226" s="462">
        <v>7.0700957442229387E-2</v>
      </c>
      <c r="G226" s="316">
        <v>0.36897225124286248</v>
      </c>
      <c r="H226" s="317">
        <v>0.52633114727911334</v>
      </c>
      <c r="I226" s="317">
        <v>8.8411713360382667</v>
      </c>
      <c r="J226" s="317">
        <v>2.1299032463652812</v>
      </c>
      <c r="K226" s="317">
        <v>5.4047564283793162E-2</v>
      </c>
      <c r="L226" s="318">
        <v>9.9238835781725147E-3</v>
      </c>
      <c r="M226" s="317">
        <v>2.9687339684978551E-3</v>
      </c>
      <c r="N226" s="318">
        <v>2.0000005732018801E-3</v>
      </c>
      <c r="O226" s="317">
        <v>3.2228159567949353E-2</v>
      </c>
      <c r="P226" s="318">
        <v>1.8858450610927856E-2</v>
      </c>
      <c r="Q226" s="319">
        <v>5.6491355308191847E-2</v>
      </c>
    </row>
    <row r="227" spans="2:17" ht="15.75" x14ac:dyDescent="0.25">
      <c r="B227" s="176">
        <v>2019</v>
      </c>
      <c r="C227" s="177">
        <v>1995</v>
      </c>
      <c r="D227" s="178" t="s">
        <v>3073</v>
      </c>
      <c r="E227" s="461">
        <v>5.7244232798595945E-2</v>
      </c>
      <c r="F227" s="462">
        <v>7.1920513967772298E-2</v>
      </c>
      <c r="G227" s="316">
        <v>0.36613509338118222</v>
      </c>
      <c r="H227" s="317">
        <v>0.39912804302241151</v>
      </c>
      <c r="I227" s="317">
        <v>8.9569740133526885</v>
      </c>
      <c r="J227" s="317">
        <v>1.6725230106883255</v>
      </c>
      <c r="K227" s="317">
        <v>5.3391410869714793E-2</v>
      </c>
      <c r="L227" s="318">
        <v>9.2069349851987541E-3</v>
      </c>
      <c r="M227" s="317">
        <v>2.9753290775533523E-3</v>
      </c>
      <c r="N227" s="318">
        <v>2.0000005732018801E-3</v>
      </c>
      <c r="O227" s="317">
        <v>3.2340342372983354E-2</v>
      </c>
      <c r="P227" s="318">
        <v>1.9468466092243654E-2</v>
      </c>
      <c r="Q227" s="319">
        <v>5.5805533548366482E-2</v>
      </c>
    </row>
    <row r="228" spans="2:17" ht="15.75" x14ac:dyDescent="0.25">
      <c r="B228" s="176">
        <v>2019</v>
      </c>
      <c r="C228" s="177">
        <v>1996</v>
      </c>
      <c r="D228" s="178" t="s">
        <v>3074</v>
      </c>
      <c r="E228" s="461">
        <v>5.7366946606067927E-2</v>
      </c>
      <c r="F228" s="462">
        <v>7.1296232279600733E-2</v>
      </c>
      <c r="G228" s="316">
        <v>0.36764604949697527</v>
      </c>
      <c r="H228" s="317">
        <v>0.14007458049542837</v>
      </c>
      <c r="I228" s="317">
        <v>8.9480479181883226</v>
      </c>
      <c r="J228" s="317">
        <v>1.0312188507038016</v>
      </c>
      <c r="K228" s="317">
        <v>5.3550149915870135E-2</v>
      </c>
      <c r="L228" s="318">
        <v>2.807021359486649E-3</v>
      </c>
      <c r="M228" s="317">
        <v>2.9772587601102746E-3</v>
      </c>
      <c r="N228" s="318">
        <v>2.0000005732018801E-3</v>
      </c>
      <c r="O228" s="317">
        <v>3.2373166273276598E-2</v>
      </c>
      <c r="P228" s="318">
        <v>1.9628147751447503E-2</v>
      </c>
      <c r="Q228" s="319">
        <v>5.597145006979487E-2</v>
      </c>
    </row>
    <row r="229" spans="2:17" ht="15.75" x14ac:dyDescent="0.25">
      <c r="B229" s="176">
        <v>2019</v>
      </c>
      <c r="C229" s="177">
        <v>1997</v>
      </c>
      <c r="D229" s="178" t="s">
        <v>3075</v>
      </c>
      <c r="E229" s="461">
        <v>5.7509251751407295E-2</v>
      </c>
      <c r="F229" s="462">
        <v>6.9180333826804358E-2</v>
      </c>
      <c r="G229" s="316">
        <v>0.36868886359979341</v>
      </c>
      <c r="H229" s="317">
        <v>0.14490104023367517</v>
      </c>
      <c r="I229" s="317">
        <v>8.955545733530883</v>
      </c>
      <c r="J229" s="317">
        <v>1.0594747920857543</v>
      </c>
      <c r="K229" s="317">
        <v>5.3613675584512403E-2</v>
      </c>
      <c r="L229" s="318">
        <v>2.8285314910749819E-3</v>
      </c>
      <c r="M229" s="317">
        <v>2.9812402796314166E-3</v>
      </c>
      <c r="N229" s="318">
        <v>2.0000005732018797E-3</v>
      </c>
      <c r="O229" s="317">
        <v>3.2440891920331227E-2</v>
      </c>
      <c r="P229" s="318">
        <v>1.9026502404404406E-2</v>
      </c>
      <c r="Q229" s="319">
        <v>5.6037848087282204E-2</v>
      </c>
    </row>
    <row r="230" spans="2:17" ht="15.75" x14ac:dyDescent="0.25">
      <c r="B230" s="176">
        <v>2019</v>
      </c>
      <c r="C230" s="177">
        <v>1998</v>
      </c>
      <c r="D230" s="178" t="s">
        <v>3076</v>
      </c>
      <c r="E230" s="461">
        <v>5.7381117070785095E-2</v>
      </c>
      <c r="F230" s="462">
        <v>6.6110575822361781E-2</v>
      </c>
      <c r="G230" s="316">
        <v>0.36437285524791874</v>
      </c>
      <c r="H230" s="317">
        <v>0.1334396153591754</v>
      </c>
      <c r="I230" s="317">
        <v>8.9266397392444325</v>
      </c>
      <c r="J230" s="317">
        <v>0.93148125989129416</v>
      </c>
      <c r="K230" s="317">
        <v>5.3230778703028774E-2</v>
      </c>
      <c r="L230" s="318">
        <v>2.869213502532083E-3</v>
      </c>
      <c r="M230" s="317">
        <v>2.9773662256992349E-3</v>
      </c>
      <c r="N230" s="318">
        <v>2.0000005732018801E-3</v>
      </c>
      <c r="O230" s="317">
        <v>3.2374994262944823E-2</v>
      </c>
      <c r="P230" s="318">
        <v>1.8148048049070841E-2</v>
      </c>
      <c r="Q230" s="319">
        <v>5.5637638307897544E-2</v>
      </c>
    </row>
    <row r="231" spans="2:17" ht="15.75" x14ac:dyDescent="0.25">
      <c r="B231" s="176">
        <v>2019</v>
      </c>
      <c r="C231" s="177">
        <v>1999</v>
      </c>
      <c r="D231" s="178" t="s">
        <v>3077</v>
      </c>
      <c r="E231" s="461">
        <v>5.7537283868579744E-2</v>
      </c>
      <c r="F231" s="462">
        <v>6.6530829756965074E-2</v>
      </c>
      <c r="G231" s="316">
        <v>0.36553334537870924</v>
      </c>
      <c r="H231" s="317">
        <v>0.11606866458064355</v>
      </c>
      <c r="I231" s="317">
        <v>9.0494612215293095</v>
      </c>
      <c r="J231" s="317">
        <v>0.7709674831204637</v>
      </c>
      <c r="K231" s="317">
        <v>5.2916180642445E-2</v>
      </c>
      <c r="L231" s="318">
        <v>2.8760553109642606E-3</v>
      </c>
      <c r="M231" s="317">
        <v>2.9933071114492849E-3</v>
      </c>
      <c r="N231" s="318">
        <v>2.0000005732018801E-3</v>
      </c>
      <c r="O231" s="317">
        <v>3.2646148729553161E-2</v>
      </c>
      <c r="P231" s="318">
        <v>1.8292391689175253E-2</v>
      </c>
      <c r="Q231" s="319">
        <v>5.5308815519022503E-2</v>
      </c>
    </row>
    <row r="232" spans="2:17" ht="15.75" x14ac:dyDescent="0.25">
      <c r="B232" s="176">
        <v>2019</v>
      </c>
      <c r="C232" s="177">
        <v>2000</v>
      </c>
      <c r="D232" s="178" t="s">
        <v>3078</v>
      </c>
      <c r="E232" s="461">
        <v>5.739684224250359E-2</v>
      </c>
      <c r="F232" s="462">
        <v>7.2582194404175265E-2</v>
      </c>
      <c r="G232" s="316">
        <v>0.36036362068758204</v>
      </c>
      <c r="H232" s="317">
        <v>9.8602112401452099E-2</v>
      </c>
      <c r="I232" s="317">
        <v>9.1013465816132921</v>
      </c>
      <c r="J232" s="317">
        <v>0.61436572324780947</v>
      </c>
      <c r="K232" s="317">
        <v>5.2164549746962684E-2</v>
      </c>
      <c r="L232" s="318">
        <v>2.8739973968887728E-3</v>
      </c>
      <c r="M232" s="317">
        <v>2.9976247195338244E-3</v>
      </c>
      <c r="N232" s="318">
        <v>2.0000005732018801E-3</v>
      </c>
      <c r="O232" s="317">
        <v>3.2719591243071194E-2</v>
      </c>
      <c r="P232" s="318">
        <v>1.8437583474499818E-2</v>
      </c>
      <c r="Q232" s="319">
        <v>5.4523199209759177E-2</v>
      </c>
    </row>
    <row r="233" spans="2:17" ht="15.75" x14ac:dyDescent="0.25">
      <c r="B233" s="176">
        <v>2019</v>
      </c>
      <c r="C233" s="177">
        <v>2001</v>
      </c>
      <c r="D233" s="178" t="s">
        <v>3079</v>
      </c>
      <c r="E233" s="461">
        <v>5.7472596787456781E-2</v>
      </c>
      <c r="F233" s="462">
        <v>7.1381972416767081E-2</v>
      </c>
      <c r="G233" s="316">
        <v>0.35594191811820158</v>
      </c>
      <c r="H233" s="317">
        <v>8.3339082885821994E-2</v>
      </c>
      <c r="I233" s="317">
        <v>9.0214412889192808</v>
      </c>
      <c r="J233" s="317">
        <v>0.46885645798833009</v>
      </c>
      <c r="K233" s="317">
        <v>5.1950247469806796E-2</v>
      </c>
      <c r="L233" s="318">
        <v>2.8971268576840504E-3</v>
      </c>
      <c r="M233" s="317">
        <v>2.9919134573736621E-3</v>
      </c>
      <c r="N233" s="318">
        <v>2.0000005732018801E-3</v>
      </c>
      <c r="O233" s="317">
        <v>3.2622442673726819E-2</v>
      </c>
      <c r="P233" s="318">
        <v>1.8045443421872608E-2</v>
      </c>
      <c r="Q233" s="319">
        <v>5.4299207134582521E-2</v>
      </c>
    </row>
    <row r="234" spans="2:17" ht="15.75" x14ac:dyDescent="0.25">
      <c r="B234" s="176">
        <v>2019</v>
      </c>
      <c r="C234" s="177">
        <v>2002</v>
      </c>
      <c r="D234" s="178" t="s">
        <v>3080</v>
      </c>
      <c r="E234" s="461">
        <v>5.7302517767807017E-2</v>
      </c>
      <c r="F234" s="462">
        <v>6.9629489717642379E-2</v>
      </c>
      <c r="G234" s="316">
        <v>0.27495953995909689</v>
      </c>
      <c r="H234" s="317">
        <v>8.2186161134246857E-2</v>
      </c>
      <c r="I234" s="317">
        <v>6.9989956586764785</v>
      </c>
      <c r="J234" s="317">
        <v>0.45106249427075984</v>
      </c>
      <c r="K234" s="317">
        <v>5.2299445178087503E-2</v>
      </c>
      <c r="L234" s="318">
        <v>2.9239506348355186E-3</v>
      </c>
      <c r="M234" s="317">
        <v>2.9962692571255597E-3</v>
      </c>
      <c r="N234" s="318">
        <v>2.0000005732018801E-3</v>
      </c>
      <c r="O234" s="317">
        <v>3.2696534827506604E-2</v>
      </c>
      <c r="P234" s="318">
        <v>1.7477929334922118E-2</v>
      </c>
      <c r="Q234" s="319">
        <v>5.4664194013689785E-2</v>
      </c>
    </row>
    <row r="235" spans="2:17" ht="15.75" x14ac:dyDescent="0.25">
      <c r="B235" s="176">
        <v>2019</v>
      </c>
      <c r="C235" s="177">
        <v>2003</v>
      </c>
      <c r="D235" s="178" t="s">
        <v>3081</v>
      </c>
      <c r="E235" s="461">
        <v>5.7077229966909386E-2</v>
      </c>
      <c r="F235" s="462">
        <v>7.0434920587899866E-2</v>
      </c>
      <c r="G235" s="316">
        <v>0.26869021674986793</v>
      </c>
      <c r="H235" s="317">
        <v>6.627321460459773E-2</v>
      </c>
      <c r="I235" s="317">
        <v>6.98461053279705</v>
      </c>
      <c r="J235" s="317">
        <v>0.38328241427774629</v>
      </c>
      <c r="K235" s="317">
        <v>5.1550990510739469E-2</v>
      </c>
      <c r="L235" s="318">
        <v>2.9100953162663336E-3</v>
      </c>
      <c r="M235" s="317">
        <v>2.9916167419486539E-3</v>
      </c>
      <c r="N235" s="318">
        <v>2.0000005732018801E-3</v>
      </c>
      <c r="O235" s="317">
        <v>3.2617395544347429E-2</v>
      </c>
      <c r="P235" s="318">
        <v>1.7779308583610119E-2</v>
      </c>
      <c r="Q235" s="319">
        <v>5.3881897547502666E-2</v>
      </c>
    </row>
    <row r="236" spans="2:17" ht="15.75" x14ac:dyDescent="0.25">
      <c r="B236" s="176">
        <v>2019</v>
      </c>
      <c r="C236" s="177">
        <v>2004</v>
      </c>
      <c r="D236" s="178" t="s">
        <v>3082</v>
      </c>
      <c r="E236" s="461">
        <v>5.6983296727006923E-2</v>
      </c>
      <c r="F236" s="462">
        <v>7.0479694902888704E-2</v>
      </c>
      <c r="G236" s="316">
        <v>0.21823391492972508</v>
      </c>
      <c r="H236" s="317">
        <v>1.777922089482617E-2</v>
      </c>
      <c r="I236" s="317">
        <v>5.8157320318843899</v>
      </c>
      <c r="J236" s="317">
        <v>0.10577017818709564</v>
      </c>
      <c r="K236" s="317">
        <v>5.083339967530922E-2</v>
      </c>
      <c r="L236" s="318">
        <v>1.9443476400726021E-4</v>
      </c>
      <c r="M236" s="317">
        <v>2.9882440266456849E-3</v>
      </c>
      <c r="N236" s="318">
        <v>2.0000005732018801E-3</v>
      </c>
      <c r="O236" s="317">
        <v>3.2560025657043926E-2</v>
      </c>
      <c r="P236" s="318">
        <v>1.7455259607882839E-2</v>
      </c>
      <c r="Q236" s="319">
        <v>5.3131860438756548E-2</v>
      </c>
    </row>
    <row r="237" spans="2:17" ht="15.75" x14ac:dyDescent="0.25">
      <c r="B237" s="176">
        <v>2019</v>
      </c>
      <c r="C237" s="177">
        <v>2005</v>
      </c>
      <c r="D237" s="178" t="s">
        <v>3083</v>
      </c>
      <c r="E237" s="461">
        <v>5.6720987382779989E-2</v>
      </c>
      <c r="F237" s="462">
        <v>6.7256273018183113E-2</v>
      </c>
      <c r="G237" s="316">
        <v>0.21158750730498252</v>
      </c>
      <c r="H237" s="317">
        <v>1.564436555424837E-2</v>
      </c>
      <c r="I237" s="317">
        <v>5.7859768665625966</v>
      </c>
      <c r="J237" s="317">
        <v>8.5795780926504528E-2</v>
      </c>
      <c r="K237" s="317">
        <v>4.9961839577897897E-2</v>
      </c>
      <c r="L237" s="318">
        <v>1.9511164580545499E-4</v>
      </c>
      <c r="M237" s="317">
        <v>2.9780934823821037E-3</v>
      </c>
      <c r="N237" s="318">
        <v>2.0000005732018801E-3</v>
      </c>
      <c r="O237" s="317">
        <v>3.2387364899120419E-2</v>
      </c>
      <c r="P237" s="318">
        <v>1.6877939030378725E-2</v>
      </c>
      <c r="Q237" s="319">
        <v>5.2220892261230806E-2</v>
      </c>
    </row>
    <row r="238" spans="2:17" ht="15.75" x14ac:dyDescent="0.25">
      <c r="B238" s="176">
        <v>2019</v>
      </c>
      <c r="C238" s="177">
        <v>2006</v>
      </c>
      <c r="D238" s="178" t="s">
        <v>3084</v>
      </c>
      <c r="E238" s="461">
        <v>5.6650059078501958E-2</v>
      </c>
      <c r="F238" s="462">
        <v>6.9471865117627526E-2</v>
      </c>
      <c r="G238" s="316">
        <v>0.20693755010044196</v>
      </c>
      <c r="H238" s="317">
        <v>5.6731384817420199E-3</v>
      </c>
      <c r="I238" s="317">
        <v>5.7679132785826184</v>
      </c>
      <c r="J238" s="317">
        <v>4.6013018667650639E-2</v>
      </c>
      <c r="K238" s="317">
        <v>4.9338916638651253E-2</v>
      </c>
      <c r="L238" s="318">
        <v>1.9202100965159076E-4</v>
      </c>
      <c r="M238" s="317">
        <v>2.9757263729574155E-3</v>
      </c>
      <c r="N238" s="318">
        <v>2.0000005732018805E-3</v>
      </c>
      <c r="O238" s="317">
        <v>3.2347100367806469E-2</v>
      </c>
      <c r="P238" s="318">
        <v>1.8291758349732005E-2</v>
      </c>
      <c r="Q238" s="319">
        <v>5.1569803510851088E-2</v>
      </c>
    </row>
    <row r="239" spans="2:17" ht="15.75" x14ac:dyDescent="0.25">
      <c r="B239" s="176">
        <v>2019</v>
      </c>
      <c r="C239" s="177">
        <v>2007</v>
      </c>
      <c r="D239" s="178" t="s">
        <v>3085</v>
      </c>
      <c r="E239" s="461">
        <v>5.6409618638076219E-2</v>
      </c>
      <c r="F239" s="462">
        <v>6.5880293401322648E-2</v>
      </c>
      <c r="G239" s="316">
        <v>0.14591910472113534</v>
      </c>
      <c r="H239" s="317">
        <v>8.0194353670614924E-3</v>
      </c>
      <c r="I239" s="317">
        <v>2.8895800048739213</v>
      </c>
      <c r="J239" s="317">
        <v>4.4746607689803423E-2</v>
      </c>
      <c r="K239" s="317">
        <v>3.2137330211655185E-2</v>
      </c>
      <c r="L239" s="318">
        <v>1.9482881940943234E-4</v>
      </c>
      <c r="M239" s="317">
        <v>2.9453744233414862E-3</v>
      </c>
      <c r="N239" s="318">
        <v>2.0000005732018801E-3</v>
      </c>
      <c r="O239" s="317">
        <v>3.1830813704839506E-2</v>
      </c>
      <c r="P239" s="318">
        <v>1.7099381023960903E-2</v>
      </c>
      <c r="Q239" s="319">
        <v>3.3590437676535516E-2</v>
      </c>
    </row>
    <row r="240" spans="2:17" ht="15.75" x14ac:dyDescent="0.25">
      <c r="B240" s="176">
        <v>2019</v>
      </c>
      <c r="C240" s="177">
        <v>2008</v>
      </c>
      <c r="D240" s="178" t="s">
        <v>3086</v>
      </c>
      <c r="E240" s="461">
        <v>5.6430066868389868E-2</v>
      </c>
      <c r="F240" s="462">
        <v>6.4174827669414611E-2</v>
      </c>
      <c r="G240" s="316">
        <v>0.14484905416870836</v>
      </c>
      <c r="H240" s="317">
        <v>7.819959464214446E-3</v>
      </c>
      <c r="I240" s="317">
        <v>2.920262756730033</v>
      </c>
      <c r="J240" s="317">
        <v>3.745547487140452E-2</v>
      </c>
      <c r="K240" s="317">
        <v>3.1826134138597945E-2</v>
      </c>
      <c r="L240" s="318">
        <v>2.2267078044497301E-4</v>
      </c>
      <c r="M240" s="317">
        <v>2.9596536142505827E-3</v>
      </c>
      <c r="N240" s="318">
        <v>2.0000005732018801E-3</v>
      </c>
      <c r="O240" s="317">
        <v>3.2073702742203239E-2</v>
      </c>
      <c r="P240" s="318">
        <v>1.7075755202065258E-2</v>
      </c>
      <c r="Q240" s="319">
        <v>3.3265170697966681E-2</v>
      </c>
    </row>
    <row r="241" spans="2:17" ht="15.75" x14ac:dyDescent="0.25">
      <c r="B241" s="176">
        <v>2019</v>
      </c>
      <c r="C241" s="177">
        <v>2009</v>
      </c>
      <c r="D241" s="178" t="s">
        <v>3087</v>
      </c>
      <c r="E241" s="461">
        <v>5.5103518005112748E-2</v>
      </c>
      <c r="F241" s="462">
        <v>5.9211908396120415E-2</v>
      </c>
      <c r="G241" s="316">
        <v>0.1251978387612549</v>
      </c>
      <c r="H241" s="317">
        <v>7.7104923834755415E-3</v>
      </c>
      <c r="I241" s="317">
        <v>2.4703292085592738</v>
      </c>
      <c r="J241" s="317">
        <v>3.038050953622019E-2</v>
      </c>
      <c r="K241" s="317">
        <v>2.7471222377937542E-2</v>
      </c>
      <c r="L241" s="318">
        <v>2.5154543379750442E-4</v>
      </c>
      <c r="M241" s="317">
        <v>2.8170481617488846E-3</v>
      </c>
      <c r="N241" s="318">
        <v>2.0000005732018801E-3</v>
      </c>
      <c r="O241" s="317">
        <v>2.9647983995149362E-2</v>
      </c>
      <c r="P241" s="318">
        <v>1.654829645682885E-2</v>
      </c>
      <c r="Q241" s="319">
        <v>2.8713349152124E-2</v>
      </c>
    </row>
    <row r="242" spans="2:17" ht="15.75" x14ac:dyDescent="0.25">
      <c r="B242" s="176">
        <v>2019</v>
      </c>
      <c r="C242" s="177">
        <v>2010</v>
      </c>
      <c r="D242" s="178" t="s">
        <v>3088</v>
      </c>
      <c r="E242" s="461">
        <v>5.3504523571431921E-2</v>
      </c>
      <c r="F242" s="462">
        <v>5.7627643545531126E-2</v>
      </c>
      <c r="G242" s="316">
        <v>7.3277484802935944E-2</v>
      </c>
      <c r="H242" s="317">
        <v>6.5634270934693253E-3</v>
      </c>
      <c r="I242" s="317">
        <v>0.16881299887052345</v>
      </c>
      <c r="J242" s="317">
        <v>2.8013204222228964E-2</v>
      </c>
      <c r="K242" s="317">
        <v>1.2773376406328465E-2</v>
      </c>
      <c r="L242" s="318">
        <v>3.0710564207194006E-4</v>
      </c>
      <c r="M242" s="317">
        <v>2.6918630820454421E-3</v>
      </c>
      <c r="N242" s="318">
        <v>2.0000005732018801E-3</v>
      </c>
      <c r="O242" s="317">
        <v>2.7518585789393799E-2</v>
      </c>
      <c r="P242" s="318">
        <v>1.6263873687730235E-2</v>
      </c>
      <c r="Q242" s="319">
        <v>1.3350931806404344E-2</v>
      </c>
    </row>
    <row r="243" spans="2:17" ht="15.75" x14ac:dyDescent="0.25">
      <c r="B243" s="176">
        <v>2019</v>
      </c>
      <c r="C243" s="177">
        <v>2011</v>
      </c>
      <c r="D243" s="178" t="s">
        <v>3089</v>
      </c>
      <c r="E243" s="461">
        <v>5.3194716158654946E-2</v>
      </c>
      <c r="F243" s="462">
        <v>5.6247445642951754E-2</v>
      </c>
      <c r="G243" s="316">
        <v>7.2802066023868184E-2</v>
      </c>
      <c r="H243" s="317">
        <v>6.6305658216176018E-3</v>
      </c>
      <c r="I243" s="317">
        <v>0.16609074580036362</v>
      </c>
      <c r="J243" s="317">
        <v>2.7936738888646798E-2</v>
      </c>
      <c r="K243" s="317">
        <v>1.2204533087327727E-2</v>
      </c>
      <c r="L243" s="318">
        <v>4.1621675014731077E-4</v>
      </c>
      <c r="M243" s="317">
        <v>2.7121766128062339E-3</v>
      </c>
      <c r="N243" s="318">
        <v>2.0000005732018801E-3</v>
      </c>
      <c r="O243" s="317">
        <v>2.786411894763487E-2</v>
      </c>
      <c r="P243" s="318">
        <v>1.6372901555735328E-2</v>
      </c>
      <c r="Q243" s="319">
        <v>1.2756367916723198E-2</v>
      </c>
    </row>
    <row r="244" spans="2:17" ht="15.75" x14ac:dyDescent="0.25">
      <c r="B244" s="176">
        <v>2019</v>
      </c>
      <c r="C244" s="177">
        <v>2012</v>
      </c>
      <c r="D244" s="178" t="s">
        <v>3090</v>
      </c>
      <c r="E244" s="461">
        <v>5.0838449569143428E-2</v>
      </c>
      <c r="F244" s="462">
        <v>5.5985163712512928E-2</v>
      </c>
      <c r="G244" s="316">
        <v>5.9701676288533852E-2</v>
      </c>
      <c r="H244" s="317">
        <v>6.0878203411797414E-3</v>
      </c>
      <c r="I244" s="317">
        <v>0.13370784818323117</v>
      </c>
      <c r="J244" s="317">
        <v>2.7266369441071858E-2</v>
      </c>
      <c r="K244" s="317">
        <v>9.9505550754595568E-3</v>
      </c>
      <c r="L244" s="318">
        <v>6.0516607383783339E-4</v>
      </c>
      <c r="M244" s="317">
        <v>2.5655860219034906E-3</v>
      </c>
      <c r="N244" s="318">
        <v>2.0000005732018805E-3</v>
      </c>
      <c r="O244" s="317">
        <v>2.5370612996379202E-2</v>
      </c>
      <c r="P244" s="318">
        <v>1.6687005419031238E-2</v>
      </c>
      <c r="Q244" s="319">
        <v>1.0400475021037626E-2</v>
      </c>
    </row>
    <row r="245" spans="2:17" ht="15.75" x14ac:dyDescent="0.25">
      <c r="B245" s="176">
        <v>2019</v>
      </c>
      <c r="C245" s="177">
        <v>2013</v>
      </c>
      <c r="D245" s="178" t="s">
        <v>3091</v>
      </c>
      <c r="E245" s="461">
        <v>5.2968770330171881E-2</v>
      </c>
      <c r="F245" s="462">
        <v>5.4645571529496388E-2</v>
      </c>
      <c r="G245" s="316">
        <v>7.273638839024299E-2</v>
      </c>
      <c r="H245" s="317">
        <v>6.8276242089844886E-3</v>
      </c>
      <c r="I245" s="317">
        <v>0.15975729912052142</v>
      </c>
      <c r="J245" s="317">
        <v>2.8069288816199321E-2</v>
      </c>
      <c r="K245" s="317">
        <v>1.0869964022505441E-2</v>
      </c>
      <c r="L245" s="318">
        <v>9.0431930195277528E-4</v>
      </c>
      <c r="M245" s="317">
        <v>2.7436787893618834E-3</v>
      </c>
      <c r="N245" s="318">
        <v>2.0000005732018801E-3</v>
      </c>
      <c r="O245" s="317">
        <v>2.8399970970846455E-2</v>
      </c>
      <c r="P245" s="318">
        <v>1.6764492628446745E-2</v>
      </c>
      <c r="Q245" s="319">
        <v>1.1361455560852184E-2</v>
      </c>
    </row>
    <row r="246" spans="2:17" ht="15.75" x14ac:dyDescent="0.25">
      <c r="B246" s="176">
        <v>2019</v>
      </c>
      <c r="C246" s="177">
        <v>2014</v>
      </c>
      <c r="D246" s="178" t="s">
        <v>3092</v>
      </c>
      <c r="E246" s="461">
        <v>5.0083666014981314E-2</v>
      </c>
      <c r="F246" s="462">
        <v>5.2793008388737649E-2</v>
      </c>
      <c r="G246" s="316">
        <v>6.0742893264667822E-2</v>
      </c>
      <c r="H246" s="317">
        <v>6.761402805019438E-3</v>
      </c>
      <c r="I246" s="317">
        <v>0.1311458364012294</v>
      </c>
      <c r="J246" s="317">
        <v>2.7108210544764522E-2</v>
      </c>
      <c r="K246" s="317">
        <v>8.8864089903050551E-3</v>
      </c>
      <c r="L246" s="318">
        <v>1.2687054389275731E-3</v>
      </c>
      <c r="M246" s="317">
        <v>2.615323896453949E-3</v>
      </c>
      <c r="N246" s="318">
        <v>2.0000005732018801E-3</v>
      </c>
      <c r="O246" s="317">
        <v>2.6216654242482495E-2</v>
      </c>
      <c r="P246" s="318">
        <v>1.6361028737388008E-2</v>
      </c>
      <c r="Q246" s="319">
        <v>9.288212971990794E-3</v>
      </c>
    </row>
    <row r="247" spans="2:17" ht="15.75" x14ac:dyDescent="0.25">
      <c r="B247" s="176">
        <v>2019</v>
      </c>
      <c r="C247" s="177">
        <v>2015</v>
      </c>
      <c r="D247" s="178" t="s">
        <v>3093</v>
      </c>
      <c r="E247" s="461">
        <v>4.8947325893547597E-2</v>
      </c>
      <c r="F247" s="462">
        <v>5.4591136659339595E-2</v>
      </c>
      <c r="G247" s="316">
        <v>5.6381575891066765E-2</v>
      </c>
      <c r="H247" s="317">
        <v>6.5822585319431958E-3</v>
      </c>
      <c r="I247" s="317">
        <v>0.12000012751948479</v>
      </c>
      <c r="J247" s="317">
        <v>2.7793408779455766E-2</v>
      </c>
      <c r="K247" s="317">
        <v>7.8228344325329442E-3</v>
      </c>
      <c r="L247" s="318">
        <v>1.5804188027922995E-3</v>
      </c>
      <c r="M247" s="317">
        <v>2.5913051805134227E-3</v>
      </c>
      <c r="N247" s="318">
        <v>2.0000005732018801E-3</v>
      </c>
      <c r="O247" s="317">
        <v>2.5808095884334144E-2</v>
      </c>
      <c r="P247" s="318">
        <v>1.7206705996690497E-2</v>
      </c>
      <c r="Q247" s="319">
        <v>8.1765482922583847E-3</v>
      </c>
    </row>
    <row r="248" spans="2:17" ht="15.75" x14ac:dyDescent="0.25">
      <c r="B248" s="176">
        <v>2019</v>
      </c>
      <c r="C248" s="177">
        <v>2016</v>
      </c>
      <c r="D248" s="178" t="s">
        <v>3094</v>
      </c>
      <c r="E248" s="461">
        <v>5.0132189702631759E-2</v>
      </c>
      <c r="F248" s="462">
        <v>5.5552403230006778E-2</v>
      </c>
      <c r="G248" s="316">
        <v>6.9254062401924041E-2</v>
      </c>
      <c r="H248" s="317">
        <v>6.4378917125924714E-3</v>
      </c>
      <c r="I248" s="317">
        <v>0.12564683303874813</v>
      </c>
      <c r="J248" s="317">
        <v>2.8088142979937884E-2</v>
      </c>
      <c r="K248" s="317">
        <v>8.1605480244066018E-3</v>
      </c>
      <c r="L248" s="318">
        <v>1.8130756978000818E-3</v>
      </c>
      <c r="M248" s="317">
        <v>2.7915456280171841E-3</v>
      </c>
      <c r="N248" s="318">
        <v>2.0000005732018801E-3</v>
      </c>
      <c r="O248" s="317">
        <v>2.9214185896373129E-2</v>
      </c>
      <c r="P248" s="318">
        <v>1.8040805202859063E-2</v>
      </c>
      <c r="Q248" s="319">
        <v>8.5295317941747259E-3</v>
      </c>
    </row>
    <row r="249" spans="2:17" ht="15.75" x14ac:dyDescent="0.25">
      <c r="B249" s="176">
        <v>2019</v>
      </c>
      <c r="C249" s="177">
        <v>2017</v>
      </c>
      <c r="D249" s="178" t="s">
        <v>3095</v>
      </c>
      <c r="E249" s="461">
        <v>4.6398033668752212E-2</v>
      </c>
      <c r="F249" s="462">
        <v>5.0189487924971014E-2</v>
      </c>
      <c r="G249" s="316">
        <v>5.1336453024441349E-2</v>
      </c>
      <c r="H249" s="317">
        <v>6.2563172542540327E-3</v>
      </c>
      <c r="I249" s="317">
        <v>8.6281355017477135E-2</v>
      </c>
      <c r="J249" s="317">
        <v>2.6331611286376459E-2</v>
      </c>
      <c r="K249" s="317">
        <v>6.3573179029156792E-3</v>
      </c>
      <c r="L249" s="318">
        <v>1.9976875467264191E-3</v>
      </c>
      <c r="M249" s="317">
        <v>2.7103424936786697E-3</v>
      </c>
      <c r="N249" s="318">
        <v>2.0000005732018801E-3</v>
      </c>
      <c r="O249" s="317">
        <v>2.7832920581275004E-2</v>
      </c>
      <c r="P249" s="318">
        <v>1.7079466025329521E-2</v>
      </c>
      <c r="Q249" s="319">
        <v>6.6447676083051348E-3</v>
      </c>
    </row>
    <row r="250" spans="2:17" ht="15.75" x14ac:dyDescent="0.25">
      <c r="B250" s="176">
        <v>2019</v>
      </c>
      <c r="C250" s="177">
        <v>2018</v>
      </c>
      <c r="D250" s="178" t="s">
        <v>3096</v>
      </c>
      <c r="E250" s="461">
        <v>4.3556928332697455E-2</v>
      </c>
      <c r="F250" s="462">
        <v>4.7938182884814079E-2</v>
      </c>
      <c r="G250" s="316">
        <v>4.9660091915820048E-2</v>
      </c>
      <c r="H250" s="317">
        <v>5.8992837354862118E-3</v>
      </c>
      <c r="I250" s="317">
        <v>6.7346859966696038E-2</v>
      </c>
      <c r="J250" s="317">
        <v>2.5089559460594428E-2</v>
      </c>
      <c r="K250" s="317">
        <v>5.0300371978392253E-3</v>
      </c>
      <c r="L250" s="318">
        <v>2.0835282867275838E-3</v>
      </c>
      <c r="M250" s="317">
        <v>2.7086426682142689E-3</v>
      </c>
      <c r="N250" s="318">
        <v>2.0000005732018801E-3</v>
      </c>
      <c r="O250" s="317">
        <v>2.7804006550125545E-2</v>
      </c>
      <c r="P250" s="318">
        <v>1.7063123387237839E-2</v>
      </c>
      <c r="Q250" s="319">
        <v>5.2574731594660249E-3</v>
      </c>
    </row>
    <row r="251" spans="2:17" ht="15.75" x14ac:dyDescent="0.25">
      <c r="B251" s="176">
        <v>2019</v>
      </c>
      <c r="C251" s="177">
        <v>2019</v>
      </c>
      <c r="D251" s="178" t="s">
        <v>3097</v>
      </c>
      <c r="E251" s="461">
        <v>4.2720014423039659E-2</v>
      </c>
      <c r="F251" s="462">
        <v>4.53995102058697E-2</v>
      </c>
      <c r="G251" s="316">
        <v>4.6448203720690681E-2</v>
      </c>
      <c r="H251" s="317">
        <v>5.143581618035695E-3</v>
      </c>
      <c r="I251" s="317">
        <v>5.3924795751812894E-2</v>
      </c>
      <c r="J251" s="317">
        <v>2.1774886555429144E-2</v>
      </c>
      <c r="K251" s="317">
        <v>3.5419674241205568E-3</v>
      </c>
      <c r="L251" s="318">
        <v>1.9918446360688677E-3</v>
      </c>
      <c r="M251" s="317">
        <v>2.6793277601653729E-3</v>
      </c>
      <c r="N251" s="318">
        <v>2.0000005732018801E-3</v>
      </c>
      <c r="O251" s="317">
        <v>2.7305359964213811E-2</v>
      </c>
      <c r="P251" s="318">
        <v>1.6852400367184172E-2</v>
      </c>
      <c r="Q251" s="319">
        <v>3.702119473791616E-3</v>
      </c>
    </row>
    <row r="252" spans="2:17" ht="15.75" x14ac:dyDescent="0.25">
      <c r="B252" s="176">
        <v>2020</v>
      </c>
      <c r="C252" s="177">
        <v>1976</v>
      </c>
      <c r="D252" s="178" t="s">
        <v>3098</v>
      </c>
      <c r="E252" s="461">
        <v>5.815322183730165E-2</v>
      </c>
      <c r="F252" s="462">
        <v>0.13045924967307834</v>
      </c>
      <c r="G252" s="316">
        <v>0.72315229387489488</v>
      </c>
      <c r="H252" s="317">
        <v>7.9091984594722122</v>
      </c>
      <c r="I252" s="317">
        <v>2.3465195311771443</v>
      </c>
      <c r="J252" s="317">
        <v>10.277887641386544</v>
      </c>
      <c r="K252" s="317">
        <v>0.50583722858767521</v>
      </c>
      <c r="L252" s="318">
        <v>5.5473836380528718E-2</v>
      </c>
      <c r="M252" s="317">
        <v>2.117686384640004E-3</v>
      </c>
      <c r="N252" s="318">
        <v>2.0000005732018805E-3</v>
      </c>
      <c r="O252" s="317">
        <v>1.7751840166527283E-2</v>
      </c>
      <c r="P252" s="318">
        <v>1.9098449879552712E-2</v>
      </c>
      <c r="Q252" s="319">
        <v>0.52870894344495201</v>
      </c>
    </row>
    <row r="253" spans="2:17" ht="15.75" x14ac:dyDescent="0.25">
      <c r="B253" s="176">
        <v>2020</v>
      </c>
      <c r="C253" s="177">
        <v>1977</v>
      </c>
      <c r="D253" s="178" t="s">
        <v>3099</v>
      </c>
      <c r="E253" s="461">
        <v>5.7474874405479479E-2</v>
      </c>
      <c r="F253" s="462">
        <v>0.12639483651582542</v>
      </c>
      <c r="G253" s="316">
        <v>0.70102015639582749</v>
      </c>
      <c r="H253" s="317">
        <v>7.8375614467560073</v>
      </c>
      <c r="I253" s="317">
        <v>2.4427253985880095</v>
      </c>
      <c r="J253" s="317">
        <v>11.005059789486404</v>
      </c>
      <c r="K253" s="317">
        <v>0.49052842266886282</v>
      </c>
      <c r="L253" s="318">
        <v>5.1893557084108026E-2</v>
      </c>
      <c r="M253" s="317">
        <v>2.1332426887288466E-3</v>
      </c>
      <c r="N253" s="318">
        <v>2.0000005732018801E-3</v>
      </c>
      <c r="O253" s="317">
        <v>1.8016452899078498E-2</v>
      </c>
      <c r="P253" s="318">
        <v>1.8110015083781798E-2</v>
      </c>
      <c r="Q253" s="319">
        <v>0.51270794125431107</v>
      </c>
    </row>
    <row r="254" spans="2:17" ht="15.75" x14ac:dyDescent="0.25">
      <c r="B254" s="176">
        <v>2020</v>
      </c>
      <c r="C254" s="177">
        <v>1978</v>
      </c>
      <c r="D254" s="178" t="s">
        <v>3100</v>
      </c>
      <c r="E254" s="461">
        <v>5.835524081877385E-2</v>
      </c>
      <c r="F254" s="462">
        <v>0.10411378807394786</v>
      </c>
      <c r="G254" s="316">
        <v>0.73947081071813625</v>
      </c>
      <c r="H254" s="317">
        <v>1.795600536730076</v>
      </c>
      <c r="I254" s="317">
        <v>2.2971565406276606</v>
      </c>
      <c r="J254" s="317">
        <v>4.4782087894144613</v>
      </c>
      <c r="K254" s="317">
        <v>0.51679103897644563</v>
      </c>
      <c r="L254" s="318">
        <v>4.5008073564624086E-2</v>
      </c>
      <c r="M254" s="317">
        <v>2.0867531396626389E-3</v>
      </c>
      <c r="N254" s="318">
        <v>2.0000005732018801E-3</v>
      </c>
      <c r="O254" s="317">
        <v>1.7225665669462317E-2</v>
      </c>
      <c r="P254" s="318">
        <v>1.9269099595733169E-2</v>
      </c>
      <c r="Q254" s="319">
        <v>0.54015803653268835</v>
      </c>
    </row>
    <row r="255" spans="2:17" ht="15.75" x14ac:dyDescent="0.25">
      <c r="B255" s="176">
        <v>2020</v>
      </c>
      <c r="C255" s="177">
        <v>1979</v>
      </c>
      <c r="D255" s="178" t="s">
        <v>3101</v>
      </c>
      <c r="E255" s="461">
        <v>5.7634059652557884E-2</v>
      </c>
      <c r="F255" s="462">
        <v>0.10418074961511675</v>
      </c>
      <c r="G255" s="316">
        <v>0.71388705122980489</v>
      </c>
      <c r="H255" s="317">
        <v>1.7961189991005386</v>
      </c>
      <c r="I255" s="317">
        <v>2.3397673813310291</v>
      </c>
      <c r="J255" s="317">
        <v>4.4144145739426826</v>
      </c>
      <c r="K255" s="317">
        <v>0.49938513194113932</v>
      </c>
      <c r="L255" s="318">
        <v>4.4654395181765269E-2</v>
      </c>
      <c r="M255" s="317">
        <v>2.1067633904974271E-3</v>
      </c>
      <c r="N255" s="318">
        <v>2.0000005732018801E-3</v>
      </c>
      <c r="O255" s="317">
        <v>1.7566040036162054E-2</v>
      </c>
      <c r="P255" s="318">
        <v>1.9445230173783749E-2</v>
      </c>
      <c r="Q255" s="319">
        <v>0.5219651116188142</v>
      </c>
    </row>
    <row r="256" spans="2:17" ht="15.75" x14ac:dyDescent="0.25">
      <c r="B256" s="176">
        <v>2020</v>
      </c>
      <c r="C256" s="177">
        <v>1980</v>
      </c>
      <c r="D256" s="178" t="s">
        <v>3102</v>
      </c>
      <c r="E256" s="461">
        <v>5.7647619302006438E-2</v>
      </c>
      <c r="F256" s="462">
        <v>0.10964471072214536</v>
      </c>
      <c r="G256" s="316">
        <v>0.33301696538064168</v>
      </c>
      <c r="H256" s="317">
        <v>2.1282573223553443</v>
      </c>
      <c r="I256" s="317">
        <v>2.1484524360184989</v>
      </c>
      <c r="J256" s="317">
        <v>4.3687303869639802</v>
      </c>
      <c r="K256" s="317">
        <v>0.26575846557884791</v>
      </c>
      <c r="L256" s="318">
        <v>3.7295208204747243E-2</v>
      </c>
      <c r="M256" s="317">
        <v>2.1053165087311985E-3</v>
      </c>
      <c r="N256" s="318">
        <v>2.0000005732018801E-3</v>
      </c>
      <c r="O256" s="317">
        <v>1.7541428577318507E-2</v>
      </c>
      <c r="P256" s="318">
        <v>2.2772351648527391E-2</v>
      </c>
      <c r="Q256" s="319">
        <v>0.27777488410659773</v>
      </c>
    </row>
    <row r="257" spans="2:17" ht="15.75" x14ac:dyDescent="0.25">
      <c r="B257" s="176">
        <v>2020</v>
      </c>
      <c r="C257" s="177">
        <v>1981</v>
      </c>
      <c r="D257" s="178" t="s">
        <v>3103</v>
      </c>
      <c r="E257" s="461">
        <v>5.8591026178870041E-2</v>
      </c>
      <c r="F257" s="462">
        <v>0.1061509967415131</v>
      </c>
      <c r="G257" s="316">
        <v>0.3288389296074325</v>
      </c>
      <c r="H257" s="317">
        <v>2.0971798428851951</v>
      </c>
      <c r="I257" s="317">
        <v>2.5058206589329437</v>
      </c>
      <c r="J257" s="317">
        <v>3.6063787063090715</v>
      </c>
      <c r="K257" s="317">
        <v>0.26123791167422694</v>
      </c>
      <c r="L257" s="318">
        <v>1.7814990148504985E-2</v>
      </c>
      <c r="M257" s="317">
        <v>2.2231714094579657E-3</v>
      </c>
      <c r="N257" s="318">
        <v>2.0000005732018801E-3</v>
      </c>
      <c r="O257" s="317">
        <v>1.9546140438680817E-2</v>
      </c>
      <c r="P257" s="318">
        <v>2.5264246582184957E-2</v>
      </c>
      <c r="Q257" s="319">
        <v>0.27304993081407103</v>
      </c>
    </row>
    <row r="258" spans="2:17" ht="15.75" x14ac:dyDescent="0.25">
      <c r="B258" s="176">
        <v>2020</v>
      </c>
      <c r="C258" s="177">
        <v>1982</v>
      </c>
      <c r="D258" s="178" t="s">
        <v>3104</v>
      </c>
      <c r="E258" s="461">
        <v>5.7099562094966493E-2</v>
      </c>
      <c r="F258" s="462">
        <v>0.10347286895545735</v>
      </c>
      <c r="G258" s="316">
        <v>0.29405204895675502</v>
      </c>
      <c r="H258" s="317">
        <v>2.0027032637472928</v>
      </c>
      <c r="I258" s="317">
        <v>3.1733213496021917</v>
      </c>
      <c r="J258" s="317">
        <v>3.5294194237677408</v>
      </c>
      <c r="K258" s="317">
        <v>0.23127331100956475</v>
      </c>
      <c r="L258" s="318">
        <v>1.8007140287017661E-2</v>
      </c>
      <c r="M258" s="317">
        <v>2.4075662322908054E-3</v>
      </c>
      <c r="N258" s="318">
        <v>2.0000005732018797E-3</v>
      </c>
      <c r="O258" s="317">
        <v>2.2682696375067431E-2</v>
      </c>
      <c r="P258" s="318">
        <v>2.4316862532677664E-2</v>
      </c>
      <c r="Q258" s="319">
        <v>0.24173046387329972</v>
      </c>
    </row>
    <row r="259" spans="2:17" ht="15.75" x14ac:dyDescent="0.25">
      <c r="B259" s="176">
        <v>2020</v>
      </c>
      <c r="C259" s="177">
        <v>1983</v>
      </c>
      <c r="D259" s="178" t="s">
        <v>3105</v>
      </c>
      <c r="E259" s="461">
        <v>5.712777512839444E-2</v>
      </c>
      <c r="F259" s="462">
        <v>9.9381857155865755E-2</v>
      </c>
      <c r="G259" s="316">
        <v>0.21678738819614171</v>
      </c>
      <c r="H259" s="317">
        <v>1.7270166543483332</v>
      </c>
      <c r="I259" s="317">
        <v>3.5486613760821499</v>
      </c>
      <c r="J259" s="317">
        <v>3.049052042111374</v>
      </c>
      <c r="K259" s="317">
        <v>0.20684415108783449</v>
      </c>
      <c r="L259" s="318">
        <v>1.7778139259116778E-2</v>
      </c>
      <c r="M259" s="317">
        <v>2.5687660778700057E-3</v>
      </c>
      <c r="N259" s="318">
        <v>2.0000005732018801E-3</v>
      </c>
      <c r="O259" s="317">
        <v>2.5424705748369629E-2</v>
      </c>
      <c r="P259" s="318">
        <v>2.3003542574474418E-2</v>
      </c>
      <c r="Q259" s="319">
        <v>0.21619672574269955</v>
      </c>
    </row>
    <row r="260" spans="2:17" ht="15.75" x14ac:dyDescent="0.25">
      <c r="B260" s="176">
        <v>2020</v>
      </c>
      <c r="C260" s="177">
        <v>1984</v>
      </c>
      <c r="D260" s="178" t="s">
        <v>3106</v>
      </c>
      <c r="E260" s="461">
        <v>5.612981547070614E-2</v>
      </c>
      <c r="F260" s="462">
        <v>0.10038698449405084</v>
      </c>
      <c r="G260" s="316">
        <v>0.25760265641716956</v>
      </c>
      <c r="H260" s="317">
        <v>1.4768379803901717</v>
      </c>
      <c r="I260" s="317">
        <v>4.1521428609771984</v>
      </c>
      <c r="J260" s="317">
        <v>3.5316450939332884</v>
      </c>
      <c r="K260" s="317">
        <v>0.18300556427862827</v>
      </c>
      <c r="L260" s="318">
        <v>1.8331357271004843E-2</v>
      </c>
      <c r="M260" s="317">
        <v>2.7550960793538306E-3</v>
      </c>
      <c r="N260" s="318">
        <v>2.0000005732018801E-3</v>
      </c>
      <c r="O260" s="317">
        <v>2.8594179073609484E-2</v>
      </c>
      <c r="P260" s="318">
        <v>2.2999459909665034E-2</v>
      </c>
      <c r="Q260" s="319">
        <v>0.19128026382014349</v>
      </c>
    </row>
    <row r="261" spans="2:17" ht="15.75" x14ac:dyDescent="0.25">
      <c r="B261" s="176">
        <v>2020</v>
      </c>
      <c r="C261" s="177">
        <v>1985</v>
      </c>
      <c r="D261" s="178" t="s">
        <v>3107</v>
      </c>
      <c r="E261" s="461">
        <v>5.7034994356465987E-2</v>
      </c>
      <c r="F261" s="462">
        <v>9.7739024854477219E-2</v>
      </c>
      <c r="G261" s="316">
        <v>0.24561124468312526</v>
      </c>
      <c r="H261" s="317">
        <v>1.1035888555427642</v>
      </c>
      <c r="I261" s="317">
        <v>4.6031299403531563</v>
      </c>
      <c r="J261" s="317">
        <v>2.9418342371551698</v>
      </c>
      <c r="K261" s="317">
        <v>0.17961315866548949</v>
      </c>
      <c r="L261" s="318">
        <v>1.7088147397491388E-2</v>
      </c>
      <c r="M261" s="317">
        <v>2.8779980895923488E-3</v>
      </c>
      <c r="N261" s="318">
        <v>2.0000005732018801E-3</v>
      </c>
      <c r="O261" s="317">
        <v>3.0684742267766688E-2</v>
      </c>
      <c r="P261" s="318">
        <v>2.3132207157251627E-2</v>
      </c>
      <c r="Q261" s="319">
        <v>0.18773446867875629</v>
      </c>
    </row>
    <row r="262" spans="2:17" ht="15.75" x14ac:dyDescent="0.25">
      <c r="B262" s="176">
        <v>2020</v>
      </c>
      <c r="C262" s="177">
        <v>1986</v>
      </c>
      <c r="D262" s="178" t="s">
        <v>3108</v>
      </c>
      <c r="E262" s="461">
        <v>5.7493273847317186E-2</v>
      </c>
      <c r="F262" s="462">
        <v>9.2568342455446082E-2</v>
      </c>
      <c r="G262" s="316">
        <v>0.24168194274020199</v>
      </c>
      <c r="H262" s="317">
        <v>1.0574014098423574</v>
      </c>
      <c r="I262" s="317">
        <v>4.7706686455955394</v>
      </c>
      <c r="J262" s="317">
        <v>2.7672160079991608</v>
      </c>
      <c r="K262" s="317">
        <v>0.17885870731557699</v>
      </c>
      <c r="L262" s="318">
        <v>1.7224173027573869E-2</v>
      </c>
      <c r="M262" s="317">
        <v>2.9273826583170338E-3</v>
      </c>
      <c r="N262" s="318">
        <v>2.0000005732018805E-3</v>
      </c>
      <c r="O262" s="317">
        <v>3.1524773781773575E-2</v>
      </c>
      <c r="P262" s="318">
        <v>2.2600745338424981E-2</v>
      </c>
      <c r="Q262" s="319">
        <v>0.18694590438662831</v>
      </c>
    </row>
    <row r="263" spans="2:17" ht="15.75" x14ac:dyDescent="0.25">
      <c r="B263" s="176">
        <v>2020</v>
      </c>
      <c r="C263" s="177">
        <v>1987</v>
      </c>
      <c r="D263" s="178" t="s">
        <v>3109</v>
      </c>
      <c r="E263" s="461">
        <v>5.7635849404893046E-2</v>
      </c>
      <c r="F263" s="462">
        <v>8.9090964583719415E-2</v>
      </c>
      <c r="G263" s="316">
        <v>0.2944302318787449</v>
      </c>
      <c r="H263" s="317">
        <v>0.9772625995452745</v>
      </c>
      <c r="I263" s="317">
        <v>5.0153368754671739</v>
      </c>
      <c r="J263" s="317">
        <v>2.6578009724023408</v>
      </c>
      <c r="K263" s="317">
        <v>0.19981813040261315</v>
      </c>
      <c r="L263" s="318">
        <v>1.7478526419571781E-2</v>
      </c>
      <c r="M263" s="317">
        <v>2.9663419558326508E-3</v>
      </c>
      <c r="N263" s="318">
        <v>2.0000005732018801E-3</v>
      </c>
      <c r="O263" s="317">
        <v>3.2187471432514221E-2</v>
      </c>
      <c r="P263" s="318">
        <v>2.1581422756682848E-2</v>
      </c>
      <c r="Q263" s="319">
        <v>0.20885301957959845</v>
      </c>
    </row>
    <row r="264" spans="2:17" ht="15.75" x14ac:dyDescent="0.25">
      <c r="B264" s="176">
        <v>2020</v>
      </c>
      <c r="C264" s="177">
        <v>1988</v>
      </c>
      <c r="D264" s="178" t="s">
        <v>3110</v>
      </c>
      <c r="E264" s="461">
        <v>5.7449337086769511E-2</v>
      </c>
      <c r="F264" s="462">
        <v>8.7754391417598512E-2</v>
      </c>
      <c r="G264" s="316">
        <v>0.29101920855669294</v>
      </c>
      <c r="H264" s="317">
        <v>0.4980237781068716</v>
      </c>
      <c r="I264" s="317">
        <v>5.08986979617631</v>
      </c>
      <c r="J264" s="317">
        <v>1.8930873873163745</v>
      </c>
      <c r="K264" s="317">
        <v>0.19776092699528192</v>
      </c>
      <c r="L264" s="318">
        <v>1.6912913631281078E-2</v>
      </c>
      <c r="M264" s="317">
        <v>2.9795413553311855E-3</v>
      </c>
      <c r="N264" s="318">
        <v>2.0000005732018801E-3</v>
      </c>
      <c r="O264" s="317">
        <v>3.2411993217984304E-2</v>
      </c>
      <c r="P264" s="318">
        <v>2.2025341790864988E-2</v>
      </c>
      <c r="Q264" s="319">
        <v>0.20670279856289192</v>
      </c>
    </row>
    <row r="265" spans="2:17" ht="15.75" x14ac:dyDescent="0.25">
      <c r="B265" s="176">
        <v>2020</v>
      </c>
      <c r="C265" s="177">
        <v>1989</v>
      </c>
      <c r="D265" s="178" t="s">
        <v>3111</v>
      </c>
      <c r="E265" s="461">
        <v>5.7620673917068176E-2</v>
      </c>
      <c r="F265" s="462">
        <v>9.0367494089826264E-2</v>
      </c>
      <c r="G265" s="316">
        <v>0.29235189707164472</v>
      </c>
      <c r="H265" s="317">
        <v>0.49576161386377376</v>
      </c>
      <c r="I265" s="317">
        <v>5.1181974927019871</v>
      </c>
      <c r="J265" s="317">
        <v>1.8872311917888211</v>
      </c>
      <c r="K265" s="317">
        <v>0.19885021098272226</v>
      </c>
      <c r="L265" s="318">
        <v>1.6667283463978565E-2</v>
      </c>
      <c r="M265" s="317">
        <v>2.9876639962427959E-3</v>
      </c>
      <c r="N265" s="318">
        <v>2.0000005732018805E-3</v>
      </c>
      <c r="O265" s="317">
        <v>3.2550159339890791E-2</v>
      </c>
      <c r="P265" s="318">
        <v>2.2948301301485532E-2</v>
      </c>
      <c r="Q265" s="319">
        <v>0.20784133513861822</v>
      </c>
    </row>
    <row r="266" spans="2:17" ht="15.75" x14ac:dyDescent="0.25">
      <c r="B266" s="176">
        <v>2020</v>
      </c>
      <c r="C266" s="177">
        <v>1990</v>
      </c>
      <c r="D266" s="178" t="s">
        <v>3112</v>
      </c>
      <c r="E266" s="461">
        <v>5.8086291490823637E-2</v>
      </c>
      <c r="F266" s="462">
        <v>8.814854402146248E-2</v>
      </c>
      <c r="G266" s="316">
        <v>0.29713558855334649</v>
      </c>
      <c r="H266" s="317">
        <v>0.4973880412214764</v>
      </c>
      <c r="I266" s="317">
        <v>5.0687610264722887</v>
      </c>
      <c r="J266" s="317">
        <v>1.8797068313722223</v>
      </c>
      <c r="K266" s="317">
        <v>0.20212073486737997</v>
      </c>
      <c r="L266" s="318">
        <v>1.6924191847346077E-2</v>
      </c>
      <c r="M266" s="317">
        <v>2.9886198112220154E-3</v>
      </c>
      <c r="N266" s="318">
        <v>2.0000005732018801E-3</v>
      </c>
      <c r="O266" s="317">
        <v>3.2566417752687309E-2</v>
      </c>
      <c r="P266" s="318">
        <v>2.2141355434410044E-2</v>
      </c>
      <c r="Q266" s="319">
        <v>0.21125973760060612</v>
      </c>
    </row>
    <row r="267" spans="2:17" ht="15.75" x14ac:dyDescent="0.25">
      <c r="B267" s="176">
        <v>2020</v>
      </c>
      <c r="C267" s="177">
        <v>1991</v>
      </c>
      <c r="D267" s="178" t="s">
        <v>3113</v>
      </c>
      <c r="E267" s="461">
        <v>5.798672248929887E-2</v>
      </c>
      <c r="F267" s="462">
        <v>8.607902397763012E-2</v>
      </c>
      <c r="G267" s="316">
        <v>0.37987209079271894</v>
      </c>
      <c r="H267" s="317">
        <v>0.51939865832668131</v>
      </c>
      <c r="I267" s="317">
        <v>8.9322618562563534</v>
      </c>
      <c r="J267" s="317">
        <v>2.3185120336076093</v>
      </c>
      <c r="K267" s="317">
        <v>5.609330369863344E-2</v>
      </c>
      <c r="L267" s="318">
        <v>9.5299656203824256E-3</v>
      </c>
      <c r="M267" s="317">
        <v>2.9860438141094108E-3</v>
      </c>
      <c r="N267" s="318">
        <v>2.0000005732018801E-3</v>
      </c>
      <c r="O267" s="317">
        <v>3.2522600041801908E-2</v>
      </c>
      <c r="P267" s="318">
        <v>2.134126308278975E-2</v>
      </c>
      <c r="Q267" s="319">
        <v>5.8629593981536866E-2</v>
      </c>
    </row>
    <row r="268" spans="2:17" ht="15.75" x14ac:dyDescent="0.25">
      <c r="B268" s="176">
        <v>2020</v>
      </c>
      <c r="C268" s="177">
        <v>1992</v>
      </c>
      <c r="D268" s="178" t="s">
        <v>3114</v>
      </c>
      <c r="E268" s="461">
        <v>5.7968113439294304E-2</v>
      </c>
      <c r="F268" s="462">
        <v>8.3235696980339169E-2</v>
      </c>
      <c r="G268" s="316">
        <v>0.38038040820493874</v>
      </c>
      <c r="H268" s="317">
        <v>0.52065529108837383</v>
      </c>
      <c r="I268" s="317">
        <v>8.8481252200374758</v>
      </c>
      <c r="J268" s="317">
        <v>2.2530802403902941</v>
      </c>
      <c r="K268" s="317">
        <v>5.7686563227369883E-2</v>
      </c>
      <c r="L268" s="318">
        <v>9.657394394292829E-3</v>
      </c>
      <c r="M268" s="317">
        <v>2.9764151718276134E-3</v>
      </c>
      <c r="N268" s="318">
        <v>2.0000005732018801E-3</v>
      </c>
      <c r="O268" s="317">
        <v>3.2358816836588533E-2</v>
      </c>
      <c r="P268" s="318">
        <v>2.0386805677173103E-2</v>
      </c>
      <c r="Q268" s="319">
        <v>6.0294893636178515E-2</v>
      </c>
    </row>
    <row r="269" spans="2:17" ht="15.75" x14ac:dyDescent="0.25">
      <c r="B269" s="176">
        <v>2020</v>
      </c>
      <c r="C269" s="177">
        <v>1993</v>
      </c>
      <c r="D269" s="178" t="s">
        <v>3115</v>
      </c>
      <c r="E269" s="461">
        <v>5.7825204630286557E-2</v>
      </c>
      <c r="F269" s="462">
        <v>7.4518710558020382E-2</v>
      </c>
      <c r="G269" s="316">
        <v>0.37460560158115713</v>
      </c>
      <c r="H269" s="317">
        <v>0.52517701739884226</v>
      </c>
      <c r="I269" s="317">
        <v>8.8925723334793965</v>
      </c>
      <c r="J269" s="317">
        <v>2.2038106609451882</v>
      </c>
      <c r="K269" s="317">
        <v>5.3901520457816772E-2</v>
      </c>
      <c r="L269" s="318">
        <v>9.8012207473364785E-3</v>
      </c>
      <c r="M269" s="317">
        <v>2.9794328547565817E-3</v>
      </c>
      <c r="N269" s="318">
        <v>2.0000005732018801E-3</v>
      </c>
      <c r="O269" s="317">
        <v>3.2410147623210282E-2</v>
      </c>
      <c r="P269" s="318">
        <v>1.9920070209056496E-2</v>
      </c>
      <c r="Q269" s="319">
        <v>5.6338708028464614E-2</v>
      </c>
    </row>
    <row r="270" spans="2:17" ht="15.75" x14ac:dyDescent="0.25">
      <c r="B270" s="176">
        <v>2020</v>
      </c>
      <c r="C270" s="177">
        <v>1994</v>
      </c>
      <c r="D270" s="178" t="s">
        <v>3116</v>
      </c>
      <c r="E270" s="461">
        <v>5.757485564914671E-2</v>
      </c>
      <c r="F270" s="462">
        <v>7.1070005913973416E-2</v>
      </c>
      <c r="G270" s="316">
        <v>0.36937390104694978</v>
      </c>
      <c r="H270" s="317">
        <v>0.52650139423270359</v>
      </c>
      <c r="I270" s="317">
        <v>8.8486714342993995</v>
      </c>
      <c r="J270" s="317">
        <v>2.135653424426486</v>
      </c>
      <c r="K270" s="317">
        <v>5.4061247163110261E-2</v>
      </c>
      <c r="L270" s="318">
        <v>9.9196944250801566E-3</v>
      </c>
      <c r="M270" s="317">
        <v>2.9698641788438139E-3</v>
      </c>
      <c r="N270" s="318">
        <v>2.0000005732018801E-3</v>
      </c>
      <c r="O270" s="317">
        <v>3.2247384445934106E-2</v>
      </c>
      <c r="P270" s="318">
        <v>1.894192186065136E-2</v>
      </c>
      <c r="Q270" s="319">
        <v>5.6505656866594679E-2</v>
      </c>
    </row>
    <row r="271" spans="2:17" ht="15.75" x14ac:dyDescent="0.25">
      <c r="B271" s="176">
        <v>2020</v>
      </c>
      <c r="C271" s="177">
        <v>1995</v>
      </c>
      <c r="D271" s="178" t="s">
        <v>3117</v>
      </c>
      <c r="E271" s="461">
        <v>5.7281362153456826E-2</v>
      </c>
      <c r="F271" s="462">
        <v>7.2334091801588396E-2</v>
      </c>
      <c r="G271" s="316">
        <v>0.36646680423245165</v>
      </c>
      <c r="H271" s="317">
        <v>0.39932280452904739</v>
      </c>
      <c r="I271" s="317">
        <v>8.9625353340786109</v>
      </c>
      <c r="J271" s="317">
        <v>1.6737804304375674</v>
      </c>
      <c r="K271" s="317">
        <v>5.3405029944058935E-2</v>
      </c>
      <c r="L271" s="318">
        <v>9.1857148326701197E-3</v>
      </c>
      <c r="M271" s="317">
        <v>2.9762003412203463E-3</v>
      </c>
      <c r="N271" s="318">
        <v>2.0000005732018797E-3</v>
      </c>
      <c r="O271" s="317">
        <v>3.2355162567958923E-2</v>
      </c>
      <c r="P271" s="318">
        <v>1.9564009468497102E-2</v>
      </c>
      <c r="Q271" s="319">
        <v>5.5819768416818738E-2</v>
      </c>
    </row>
    <row r="272" spans="2:17" ht="15.75" x14ac:dyDescent="0.25">
      <c r="B272" s="176">
        <v>2020</v>
      </c>
      <c r="C272" s="177">
        <v>1996</v>
      </c>
      <c r="D272" s="178" t="s">
        <v>3118</v>
      </c>
      <c r="E272" s="461">
        <v>5.7403704355802693E-2</v>
      </c>
      <c r="F272" s="462">
        <v>7.1661893868043045E-2</v>
      </c>
      <c r="G272" s="316">
        <v>0.36865452528780446</v>
      </c>
      <c r="H272" s="317">
        <v>0.13951201847923256</v>
      </c>
      <c r="I272" s="317">
        <v>8.9550442598559261</v>
      </c>
      <c r="J272" s="317">
        <v>1.0273810507990688</v>
      </c>
      <c r="K272" s="317">
        <v>5.3633887662300844E-2</v>
      </c>
      <c r="L272" s="318">
        <v>2.8063018795395243E-3</v>
      </c>
      <c r="M272" s="317">
        <v>2.9781258968308894E-3</v>
      </c>
      <c r="N272" s="318">
        <v>2.0000005732018801E-3</v>
      </c>
      <c r="O272" s="317">
        <v>3.2387916268894264E-2</v>
      </c>
      <c r="P272" s="318">
        <v>1.9710456396261091E-2</v>
      </c>
      <c r="Q272" s="319">
        <v>5.6058974065538413E-2</v>
      </c>
    </row>
    <row r="273" spans="2:17" ht="15.75" x14ac:dyDescent="0.25">
      <c r="B273" s="176">
        <v>2020</v>
      </c>
      <c r="C273" s="177">
        <v>1997</v>
      </c>
      <c r="D273" s="178" t="s">
        <v>3119</v>
      </c>
      <c r="E273" s="461">
        <v>5.7544606374865602E-2</v>
      </c>
      <c r="F273" s="462">
        <v>6.9471094770274022E-2</v>
      </c>
      <c r="G273" s="316">
        <v>0.37051613165825953</v>
      </c>
      <c r="H273" s="317">
        <v>0.14461340269441325</v>
      </c>
      <c r="I273" s="317">
        <v>8.9639861891346317</v>
      </c>
      <c r="J273" s="317">
        <v>1.0568730512207463</v>
      </c>
      <c r="K273" s="317">
        <v>5.3782990108093835E-2</v>
      </c>
      <c r="L273" s="318">
        <v>2.8283401974500727E-3</v>
      </c>
      <c r="M273" s="317">
        <v>2.9820535419659831E-3</v>
      </c>
      <c r="N273" s="318">
        <v>2.0000005732018805E-3</v>
      </c>
      <c r="O273" s="317">
        <v>3.2454725512642203E-2</v>
      </c>
      <c r="P273" s="318">
        <v>1.9086711033142818E-2</v>
      </c>
      <c r="Q273" s="319">
        <v>5.6214818262297954E-2</v>
      </c>
    </row>
    <row r="274" spans="2:17" ht="15.75" x14ac:dyDescent="0.25">
      <c r="B274" s="176">
        <v>2020</v>
      </c>
      <c r="C274" s="177">
        <v>1998</v>
      </c>
      <c r="D274" s="178" t="s">
        <v>3120</v>
      </c>
      <c r="E274" s="461">
        <v>5.7417070215642983E-2</v>
      </c>
      <c r="F274" s="462">
        <v>6.6349621031068798E-2</v>
      </c>
      <c r="G274" s="316">
        <v>0.36703251209669119</v>
      </c>
      <c r="H274" s="317">
        <v>0.13355054999513405</v>
      </c>
      <c r="I274" s="317">
        <v>8.9369482254372485</v>
      </c>
      <c r="J274" s="317">
        <v>0.93036394021732116</v>
      </c>
      <c r="K274" s="317">
        <v>5.3486073833651858E-2</v>
      </c>
      <c r="L274" s="318">
        <v>2.8693625894586276E-3</v>
      </c>
      <c r="M274" s="317">
        <v>2.9782027239789841E-3</v>
      </c>
      <c r="N274" s="318">
        <v>2.0000005732018797E-3</v>
      </c>
      <c r="O274" s="317">
        <v>3.2389223098683341E-2</v>
      </c>
      <c r="P274" s="318">
        <v>1.8193630614259732E-2</v>
      </c>
      <c r="Q274" s="319">
        <v>5.5904476751472108E-2</v>
      </c>
    </row>
    <row r="275" spans="2:17" ht="15.75" x14ac:dyDescent="0.25">
      <c r="B275" s="176">
        <v>2020</v>
      </c>
      <c r="C275" s="177">
        <v>1999</v>
      </c>
      <c r="D275" s="178" t="s">
        <v>3121</v>
      </c>
      <c r="E275" s="461">
        <v>5.7565812150235263E-2</v>
      </c>
      <c r="F275" s="462">
        <v>6.6712862435994766E-2</v>
      </c>
      <c r="G275" s="316">
        <v>0.36889053662037447</v>
      </c>
      <c r="H275" s="317">
        <v>0.11653105258926472</v>
      </c>
      <c r="I275" s="317">
        <v>9.0569810324819642</v>
      </c>
      <c r="J275" s="317">
        <v>0.77119422441969698</v>
      </c>
      <c r="K275" s="317">
        <v>5.3260679920055273E-2</v>
      </c>
      <c r="L275" s="318">
        <v>2.8764726911956113E-3</v>
      </c>
      <c r="M275" s="317">
        <v>2.9935084803044926E-3</v>
      </c>
      <c r="N275" s="318">
        <v>2.0000005732018801E-3</v>
      </c>
      <c r="O275" s="317">
        <v>3.2649574013780248E-2</v>
      </c>
      <c r="P275" s="318">
        <v>1.8320989735390852E-2</v>
      </c>
      <c r="Q275" s="319">
        <v>5.5668891525273302E-2</v>
      </c>
    </row>
    <row r="276" spans="2:17" ht="15.75" x14ac:dyDescent="0.25">
      <c r="B276" s="176">
        <v>2020</v>
      </c>
      <c r="C276" s="177">
        <v>2000</v>
      </c>
      <c r="D276" s="178" t="s">
        <v>3122</v>
      </c>
      <c r="E276" s="461">
        <v>5.74244575949205E-2</v>
      </c>
      <c r="F276" s="462">
        <v>7.2812938667016214E-2</v>
      </c>
      <c r="G276" s="316">
        <v>0.3645261128565474</v>
      </c>
      <c r="H276" s="317">
        <v>9.920185541492503E-2</v>
      </c>
      <c r="I276" s="317">
        <v>9.109905466769181</v>
      </c>
      <c r="J276" s="317">
        <v>0.61503549268949931</v>
      </c>
      <c r="K276" s="317">
        <v>5.259556985477816E-2</v>
      </c>
      <c r="L276" s="318">
        <v>2.8734305099382212E-3</v>
      </c>
      <c r="M276" s="317">
        <v>2.9977144292465314E-3</v>
      </c>
      <c r="N276" s="318">
        <v>2.0000005732018801E-3</v>
      </c>
      <c r="O276" s="317">
        <v>3.2721117205284332E-2</v>
      </c>
      <c r="P276" s="318">
        <v>1.848583488205539E-2</v>
      </c>
      <c r="Q276" s="319">
        <v>5.4973708134226584E-2</v>
      </c>
    </row>
    <row r="277" spans="2:17" ht="15.75" x14ac:dyDescent="0.25">
      <c r="B277" s="176">
        <v>2020</v>
      </c>
      <c r="C277" s="177">
        <v>2001</v>
      </c>
      <c r="D277" s="178" t="s">
        <v>3123</v>
      </c>
      <c r="E277" s="461">
        <v>5.7500766069015496E-2</v>
      </c>
      <c r="F277" s="462">
        <v>7.1567131292794336E-2</v>
      </c>
      <c r="G277" s="316">
        <v>0.36097381678764023</v>
      </c>
      <c r="H277" s="317">
        <v>8.4256155537006952E-2</v>
      </c>
      <c r="I277" s="317">
        <v>9.0327563311883843</v>
      </c>
      <c r="J277" s="317">
        <v>0.47051634862457947</v>
      </c>
      <c r="K277" s="317">
        <v>5.2467243473445703E-2</v>
      </c>
      <c r="L277" s="318">
        <v>2.8965933868109971E-3</v>
      </c>
      <c r="M277" s="317">
        <v>2.992132927496117E-3</v>
      </c>
      <c r="N277" s="318">
        <v>2.0000005732018805E-3</v>
      </c>
      <c r="O277" s="317">
        <v>3.2626175860509782E-2</v>
      </c>
      <c r="P277" s="318">
        <v>1.8078017335080458E-2</v>
      </c>
      <c r="Q277" s="319">
        <v>5.4839579403370121E-2</v>
      </c>
    </row>
    <row r="278" spans="2:17" ht="15.75" x14ac:dyDescent="0.25">
      <c r="B278" s="176">
        <v>2020</v>
      </c>
      <c r="C278" s="177">
        <v>2002</v>
      </c>
      <c r="D278" s="178" t="s">
        <v>3124</v>
      </c>
      <c r="E278" s="461">
        <v>5.7330759224902952E-2</v>
      </c>
      <c r="F278" s="462">
        <v>6.9850155389158772E-2</v>
      </c>
      <c r="G278" s="316">
        <v>0.2783878792101982</v>
      </c>
      <c r="H278" s="317">
        <v>8.3195388954128632E-2</v>
      </c>
      <c r="I278" s="317">
        <v>7.0065103016599259</v>
      </c>
      <c r="J278" s="317">
        <v>0.45254752161510586</v>
      </c>
      <c r="K278" s="317">
        <v>5.2698238192600728E-2</v>
      </c>
      <c r="L278" s="318">
        <v>2.9224353065853293E-3</v>
      </c>
      <c r="M278" s="317">
        <v>2.9964555722827059E-3</v>
      </c>
      <c r="N278" s="318">
        <v>2.0000005732018801E-3</v>
      </c>
      <c r="O278" s="317">
        <v>3.2699704048329649E-2</v>
      </c>
      <c r="P278" s="318">
        <v>1.7523600060525665E-2</v>
      </c>
      <c r="Q278" s="319">
        <v>5.5081018678701535E-2</v>
      </c>
    </row>
    <row r="279" spans="2:17" ht="15.75" x14ac:dyDescent="0.25">
      <c r="B279" s="176">
        <v>2020</v>
      </c>
      <c r="C279" s="177">
        <v>2003</v>
      </c>
      <c r="D279" s="178" t="s">
        <v>3125</v>
      </c>
      <c r="E279" s="461">
        <v>5.7107071600376161E-2</v>
      </c>
      <c r="F279" s="462">
        <v>7.064590238783644E-2</v>
      </c>
      <c r="G279" s="316">
        <v>0.27259313289851378</v>
      </c>
      <c r="H279" s="317">
        <v>6.7118416538359593E-2</v>
      </c>
      <c r="I279" s="317">
        <v>6.9937473596658597</v>
      </c>
      <c r="J279" s="317">
        <v>0.38488302914873779</v>
      </c>
      <c r="K279" s="317">
        <v>5.2002693545364992E-2</v>
      </c>
      <c r="L279" s="318">
        <v>2.9089714461208059E-3</v>
      </c>
      <c r="M279" s="317">
        <v>2.9919246693418744E-3</v>
      </c>
      <c r="N279" s="318">
        <v>2.0000005732018801E-3</v>
      </c>
      <c r="O279" s="317">
        <v>3.2622633389306106E-2</v>
      </c>
      <c r="P279" s="318">
        <v>1.7821779593317939E-2</v>
      </c>
      <c r="Q279" s="319">
        <v>5.4354024588951312E-2</v>
      </c>
    </row>
    <row r="280" spans="2:17" ht="15.75" x14ac:dyDescent="0.25">
      <c r="B280" s="176">
        <v>2020</v>
      </c>
      <c r="C280" s="177">
        <v>2004</v>
      </c>
      <c r="D280" s="178" t="s">
        <v>3126</v>
      </c>
      <c r="E280" s="461">
        <v>5.701107829771828E-2</v>
      </c>
      <c r="F280" s="462">
        <v>7.0620511688310808E-2</v>
      </c>
      <c r="G280" s="316">
        <v>0.22183921109509627</v>
      </c>
      <c r="H280" s="317">
        <v>1.7830778029109946E-2</v>
      </c>
      <c r="I280" s="317">
        <v>5.8245091349450382</v>
      </c>
      <c r="J280" s="317">
        <v>0.10698831757205803</v>
      </c>
      <c r="K280" s="317">
        <v>5.1336842861342054E-2</v>
      </c>
      <c r="L280" s="318">
        <v>1.9438239380846782E-4</v>
      </c>
      <c r="M280" s="317">
        <v>2.988633630455611E-3</v>
      </c>
      <c r="N280" s="318">
        <v>2.0000005732018801E-3</v>
      </c>
      <c r="O280" s="317">
        <v>3.2566652817850768E-2</v>
      </c>
      <c r="P280" s="318">
        <v>1.7478648634743688E-2</v>
      </c>
      <c r="Q280" s="319">
        <v>5.3658067091665596E-2</v>
      </c>
    </row>
    <row r="281" spans="2:17" ht="15.75" x14ac:dyDescent="0.25">
      <c r="B281" s="176">
        <v>2020</v>
      </c>
      <c r="C281" s="177">
        <v>2005</v>
      </c>
      <c r="D281" s="178" t="s">
        <v>3127</v>
      </c>
      <c r="E281" s="461">
        <v>5.6749543236367612E-2</v>
      </c>
      <c r="F281" s="462">
        <v>6.7375359021674019E-2</v>
      </c>
      <c r="G281" s="316">
        <v>0.2155350006320666</v>
      </c>
      <c r="H281" s="317">
        <v>1.5660499999420069E-2</v>
      </c>
      <c r="I281" s="317">
        <v>5.796063264337028</v>
      </c>
      <c r="J281" s="317">
        <v>8.6855746652622107E-2</v>
      </c>
      <c r="K281" s="317">
        <v>5.0511074843913206E-2</v>
      </c>
      <c r="L281" s="318">
        <v>1.9504617380518624E-4</v>
      </c>
      <c r="M281" s="317">
        <v>2.9785961303721862E-3</v>
      </c>
      <c r="N281" s="318">
        <v>2.0000005732018801E-3</v>
      </c>
      <c r="O281" s="317">
        <v>3.2395914941431715E-2</v>
      </c>
      <c r="P281" s="318">
        <v>1.689474862002574E-2</v>
      </c>
      <c r="Q281" s="319">
        <v>5.2794961508779992E-2</v>
      </c>
    </row>
    <row r="282" spans="2:17" ht="15.75" x14ac:dyDescent="0.25">
      <c r="B282" s="176">
        <v>2020</v>
      </c>
      <c r="C282" s="177">
        <v>2006</v>
      </c>
      <c r="D282" s="178" t="s">
        <v>3128</v>
      </c>
      <c r="E282" s="461">
        <v>5.6679637244984898E-2</v>
      </c>
      <c r="F282" s="462">
        <v>6.9627409129744272E-2</v>
      </c>
      <c r="G282" s="316">
        <v>0.21127445862707336</v>
      </c>
      <c r="H282" s="317">
        <v>5.6386672783555409E-3</v>
      </c>
      <c r="I282" s="317">
        <v>5.7794231249509318</v>
      </c>
      <c r="J282" s="317">
        <v>4.7675158418658832E-2</v>
      </c>
      <c r="K282" s="317">
        <v>4.9940171501277407E-2</v>
      </c>
      <c r="L282" s="318">
        <v>1.9195322002437645E-4</v>
      </c>
      <c r="M282" s="317">
        <v>2.9763624926128452E-3</v>
      </c>
      <c r="N282" s="318">
        <v>2.0000005732018801E-3</v>
      </c>
      <c r="O282" s="317">
        <v>3.235792076314533E-2</v>
      </c>
      <c r="P282" s="318">
        <v>1.8318656581500281E-2</v>
      </c>
      <c r="Q282" s="319">
        <v>5.2198244450336245E-2</v>
      </c>
    </row>
    <row r="283" spans="2:17" ht="15.75" x14ac:dyDescent="0.25">
      <c r="B283" s="176">
        <v>2020</v>
      </c>
      <c r="C283" s="177">
        <v>2007</v>
      </c>
      <c r="D283" s="178" t="s">
        <v>3129</v>
      </c>
      <c r="E283" s="461">
        <v>5.6440050135824142E-2</v>
      </c>
      <c r="F283" s="462">
        <v>6.5985535465296882E-2</v>
      </c>
      <c r="G283" s="316">
        <v>0.14895364740691411</v>
      </c>
      <c r="H283" s="317">
        <v>8.0486677183723397E-3</v>
      </c>
      <c r="I283" s="317">
        <v>2.8996739408267351</v>
      </c>
      <c r="J283" s="317">
        <v>4.5951207458655725E-2</v>
      </c>
      <c r="K283" s="317">
        <v>3.2835282577945026E-2</v>
      </c>
      <c r="L283" s="318">
        <v>1.947776221833591E-4</v>
      </c>
      <c r="M283" s="317">
        <v>2.9462304043902914E-3</v>
      </c>
      <c r="N283" s="318">
        <v>2.0000005732018801E-3</v>
      </c>
      <c r="O283" s="317">
        <v>3.1845373942479688E-2</v>
      </c>
      <c r="P283" s="318">
        <v>1.7111831265334113E-2</v>
      </c>
      <c r="Q283" s="319">
        <v>3.4319948351711177E-2</v>
      </c>
    </row>
    <row r="284" spans="2:17" ht="15.75" x14ac:dyDescent="0.25">
      <c r="B284" s="176">
        <v>2020</v>
      </c>
      <c r="C284" s="177">
        <v>2008</v>
      </c>
      <c r="D284" s="178" t="s">
        <v>3130</v>
      </c>
      <c r="E284" s="461">
        <v>5.6461627201724381E-2</v>
      </c>
      <c r="F284" s="462">
        <v>6.4277833451634125E-2</v>
      </c>
      <c r="G284" s="316">
        <v>0.1481523956665079</v>
      </c>
      <c r="H284" s="317">
        <v>7.8565121946997038E-3</v>
      </c>
      <c r="I284" s="317">
        <v>2.9309103121166924</v>
      </c>
      <c r="J284" s="317">
        <v>3.8245001090585075E-2</v>
      </c>
      <c r="K284" s="317">
        <v>3.2586653734220851E-2</v>
      </c>
      <c r="L284" s="318">
        <v>2.2260857570577844E-4</v>
      </c>
      <c r="M284" s="317">
        <v>2.960437145175908E-3</v>
      </c>
      <c r="N284" s="318">
        <v>2.0000005732018801E-3</v>
      </c>
      <c r="O284" s="317">
        <v>3.2087030603243014E-2</v>
      </c>
      <c r="P284" s="318">
        <v>1.7087530456082405E-2</v>
      </c>
      <c r="Q284" s="319">
        <v>3.406007761494801E-2</v>
      </c>
    </row>
    <row r="285" spans="2:17" ht="15.75" x14ac:dyDescent="0.25">
      <c r="B285" s="176">
        <v>2020</v>
      </c>
      <c r="C285" s="177">
        <v>2009</v>
      </c>
      <c r="D285" s="178" t="s">
        <v>3131</v>
      </c>
      <c r="E285" s="461">
        <v>5.5145924351562764E-2</v>
      </c>
      <c r="F285" s="462">
        <v>5.9306672423211117E-2</v>
      </c>
      <c r="G285" s="316">
        <v>0.12851404028518498</v>
      </c>
      <c r="H285" s="317">
        <v>7.7580592147827926E-3</v>
      </c>
      <c r="I285" s="317">
        <v>2.4842667951723492</v>
      </c>
      <c r="J285" s="317">
        <v>3.0717735934281815E-2</v>
      </c>
      <c r="K285" s="317">
        <v>2.8238361176021156E-2</v>
      </c>
      <c r="L285" s="318">
        <v>2.5146451027216493E-4</v>
      </c>
      <c r="M285" s="317">
        <v>2.8191235530902591E-3</v>
      </c>
      <c r="N285" s="318">
        <v>2.0000005732018801E-3</v>
      </c>
      <c r="O285" s="317">
        <v>2.9683286401866141E-2</v>
      </c>
      <c r="P285" s="318">
        <v>1.655896310886202E-2</v>
      </c>
      <c r="Q285" s="319">
        <v>2.9515174562529008E-2</v>
      </c>
    </row>
    <row r="286" spans="2:17" ht="15.75" x14ac:dyDescent="0.25">
      <c r="B286" s="176">
        <v>2020</v>
      </c>
      <c r="C286" s="177">
        <v>2010</v>
      </c>
      <c r="D286" s="178" t="s">
        <v>3132</v>
      </c>
      <c r="E286" s="461">
        <v>5.3572331780002605E-2</v>
      </c>
      <c r="F286" s="462">
        <v>5.769526865232015E-2</v>
      </c>
      <c r="G286" s="316">
        <v>7.4999571464892431E-2</v>
      </c>
      <c r="H286" s="317">
        <v>6.6408122861969579E-3</v>
      </c>
      <c r="I286" s="317">
        <v>0.17502433635370979</v>
      </c>
      <c r="J286" s="317">
        <v>2.8493304480750967E-2</v>
      </c>
      <c r="K286" s="317">
        <v>1.3525866394826558E-2</v>
      </c>
      <c r="L286" s="318">
        <v>3.0696002485937628E-4</v>
      </c>
      <c r="M286" s="317">
        <v>2.6965889932181897E-3</v>
      </c>
      <c r="N286" s="318">
        <v>2.0000005732018805E-3</v>
      </c>
      <c r="O286" s="317">
        <v>2.7598973538442241E-2</v>
      </c>
      <c r="P286" s="318">
        <v>1.6267999668641689E-2</v>
      </c>
      <c r="Q286" s="319">
        <v>1.4137446053057397E-2</v>
      </c>
    </row>
    <row r="287" spans="2:17" ht="15.75" x14ac:dyDescent="0.25">
      <c r="B287" s="176">
        <v>2020</v>
      </c>
      <c r="C287" s="177">
        <v>2011</v>
      </c>
      <c r="D287" s="178" t="s">
        <v>3133</v>
      </c>
      <c r="E287" s="461">
        <v>5.3231316832757121E-2</v>
      </c>
      <c r="F287" s="462">
        <v>5.6300511576309734E-2</v>
      </c>
      <c r="G287" s="316">
        <v>7.4336662221593366E-2</v>
      </c>
      <c r="H287" s="317">
        <v>6.7134932151574119E-3</v>
      </c>
      <c r="I287" s="317">
        <v>0.17208566802355701</v>
      </c>
      <c r="J287" s="317">
        <v>2.841972296336549E-2</v>
      </c>
      <c r="K287" s="317">
        <v>1.2975659317066127E-2</v>
      </c>
      <c r="L287" s="318">
        <v>4.1618757411981331E-4</v>
      </c>
      <c r="M287" s="317">
        <v>2.7136849153503472E-3</v>
      </c>
      <c r="N287" s="318">
        <v>2.0000005732018801E-3</v>
      </c>
      <c r="O287" s="317">
        <v>2.7889775173910239E-2</v>
      </c>
      <c r="P287" s="318">
        <v>1.6372549424540101E-2</v>
      </c>
      <c r="Q287" s="319">
        <v>1.356236105274842E-2</v>
      </c>
    </row>
    <row r="288" spans="2:17" ht="15.75" x14ac:dyDescent="0.25">
      <c r="B288" s="176">
        <v>2020</v>
      </c>
      <c r="C288" s="177">
        <v>2012</v>
      </c>
      <c r="D288" s="178" t="s">
        <v>3134</v>
      </c>
      <c r="E288" s="461">
        <v>5.0889106833768107E-2</v>
      </c>
      <c r="F288" s="462">
        <v>5.6034395413120067E-2</v>
      </c>
      <c r="G288" s="316">
        <v>6.1221554510709451E-2</v>
      </c>
      <c r="H288" s="317">
        <v>6.1777664076639559E-3</v>
      </c>
      <c r="I288" s="317">
        <v>0.13916572839736752</v>
      </c>
      <c r="J288" s="317">
        <v>2.7859591085749504E-2</v>
      </c>
      <c r="K288" s="317">
        <v>1.0657250714803834E-2</v>
      </c>
      <c r="L288" s="318">
        <v>6.0503667112773193E-4</v>
      </c>
      <c r="M288" s="317">
        <v>2.5683739335514229E-3</v>
      </c>
      <c r="N288" s="318">
        <v>2.0000005732018801E-3</v>
      </c>
      <c r="O288" s="317">
        <v>2.5418035373510527E-2</v>
      </c>
      <c r="P288" s="318">
        <v>1.6689169432116468E-2</v>
      </c>
      <c r="Q288" s="319">
        <v>1.1139124301277642E-2</v>
      </c>
    </row>
    <row r="289" spans="2:17" ht="15.75" x14ac:dyDescent="0.25">
      <c r="B289" s="176">
        <v>2020</v>
      </c>
      <c r="C289" s="177">
        <v>2013</v>
      </c>
      <c r="D289" s="178" t="s">
        <v>3135</v>
      </c>
      <c r="E289" s="461">
        <v>5.3018588369508082E-2</v>
      </c>
      <c r="F289" s="462">
        <v>5.4705500234042151E-2</v>
      </c>
      <c r="G289" s="316">
        <v>7.4543578664989299E-2</v>
      </c>
      <c r="H289" s="317">
        <v>6.9345253936510965E-3</v>
      </c>
      <c r="I289" s="317">
        <v>0.16683092931942173</v>
      </c>
      <c r="J289" s="317">
        <v>2.850658689331181E-2</v>
      </c>
      <c r="K289" s="317">
        <v>1.1769368072528277E-2</v>
      </c>
      <c r="L289" s="318">
        <v>9.039507054158755E-4</v>
      </c>
      <c r="M289" s="317">
        <v>2.7458250584377055E-3</v>
      </c>
      <c r="N289" s="318">
        <v>2.0000005732018801E-3</v>
      </c>
      <c r="O289" s="317">
        <v>2.8436479007826199E-2</v>
      </c>
      <c r="P289" s="318">
        <v>1.6770245364561072E-2</v>
      </c>
      <c r="Q289" s="319">
        <v>1.2301526670970647E-2</v>
      </c>
    </row>
    <row r="290" spans="2:17" ht="15.75" x14ac:dyDescent="0.25">
      <c r="B290" s="176">
        <v>2020</v>
      </c>
      <c r="C290" s="177">
        <v>2014</v>
      </c>
      <c r="D290" s="178" t="s">
        <v>3136</v>
      </c>
      <c r="E290" s="461">
        <v>5.0145439005575561E-2</v>
      </c>
      <c r="F290" s="462">
        <v>5.2855171183939974E-2</v>
      </c>
      <c r="G290" s="316">
        <v>6.2537417258557229E-2</v>
      </c>
      <c r="H290" s="317">
        <v>6.8775661832264426E-3</v>
      </c>
      <c r="I290" s="317">
        <v>0.13768414225371725</v>
      </c>
      <c r="J290" s="317">
        <v>2.7482835056523283E-2</v>
      </c>
      <c r="K290" s="317">
        <v>9.7213353159057592E-3</v>
      </c>
      <c r="L290" s="318">
        <v>1.2678001662003444E-3</v>
      </c>
      <c r="M290" s="317">
        <v>2.6188748389403072E-3</v>
      </c>
      <c r="N290" s="318">
        <v>2.0000005732018801E-3</v>
      </c>
      <c r="O290" s="317">
        <v>2.6277055774175447E-2</v>
      </c>
      <c r="P290" s="318">
        <v>1.6369277752253532E-2</v>
      </c>
      <c r="Q290" s="319">
        <v>1.0160890961104447E-2</v>
      </c>
    </row>
    <row r="291" spans="2:17" ht="15.75" x14ac:dyDescent="0.25">
      <c r="B291" s="176">
        <v>2020</v>
      </c>
      <c r="C291" s="177">
        <v>2015</v>
      </c>
      <c r="D291" s="178" t="s">
        <v>3137</v>
      </c>
      <c r="E291" s="461">
        <v>4.8949724416967148E-2</v>
      </c>
      <c r="F291" s="462">
        <v>5.4602937205155043E-2</v>
      </c>
      <c r="G291" s="316">
        <v>5.7853105151444095E-2</v>
      </c>
      <c r="H291" s="317">
        <v>6.6805365821446571E-3</v>
      </c>
      <c r="I291" s="317">
        <v>0.12584422202153842</v>
      </c>
      <c r="J291" s="317">
        <v>2.7994806658779396E-2</v>
      </c>
      <c r="K291" s="317">
        <v>8.6335338230854788E-3</v>
      </c>
      <c r="L291" s="318">
        <v>1.5797994584443513E-3</v>
      </c>
      <c r="M291" s="317">
        <v>2.5906480103141641E-3</v>
      </c>
      <c r="N291" s="318">
        <v>2.0000005732018797E-3</v>
      </c>
      <c r="O291" s="317">
        <v>2.5796917419244766E-2</v>
      </c>
      <c r="P291" s="318">
        <v>1.7198861776838898E-2</v>
      </c>
      <c r="Q291" s="319">
        <v>9.0239039118265064E-3</v>
      </c>
    </row>
    <row r="292" spans="2:17" ht="15.75" x14ac:dyDescent="0.25">
      <c r="B292" s="176">
        <v>2020</v>
      </c>
      <c r="C292" s="177">
        <v>2016</v>
      </c>
      <c r="D292" s="178" t="s">
        <v>3138</v>
      </c>
      <c r="E292" s="461">
        <v>5.013627483032216E-2</v>
      </c>
      <c r="F292" s="462">
        <v>5.5582360143149809E-2</v>
      </c>
      <c r="G292" s="316">
        <v>7.110982210200896E-2</v>
      </c>
      <c r="H292" s="317">
        <v>6.4679555115136718E-3</v>
      </c>
      <c r="I292" s="317">
        <v>0.13265124827078079</v>
      </c>
      <c r="J292" s="317">
        <v>2.7860460459223135E-2</v>
      </c>
      <c r="K292" s="317">
        <v>9.2187007821673186E-3</v>
      </c>
      <c r="L292" s="318">
        <v>1.8116197903126864E-3</v>
      </c>
      <c r="M292" s="317">
        <v>2.7905240953071371E-3</v>
      </c>
      <c r="N292" s="318">
        <v>2.0000005732018805E-3</v>
      </c>
      <c r="O292" s="317">
        <v>2.9196809624975239E-2</v>
      </c>
      <c r="P292" s="318">
        <v>1.8036960580521396E-2</v>
      </c>
      <c r="Q292" s="319">
        <v>9.6355295241580211E-3</v>
      </c>
    </row>
    <row r="293" spans="2:17" ht="15.75" x14ac:dyDescent="0.25">
      <c r="B293" s="176">
        <v>2020</v>
      </c>
      <c r="C293" s="177">
        <v>2017</v>
      </c>
      <c r="D293" s="178" t="s">
        <v>3139</v>
      </c>
      <c r="E293" s="461">
        <v>4.6442627421675139E-2</v>
      </c>
      <c r="F293" s="462">
        <v>5.0254805377594483E-2</v>
      </c>
      <c r="G293" s="316">
        <v>5.305439238671654E-2</v>
      </c>
      <c r="H293" s="317">
        <v>6.3118700190373514E-3</v>
      </c>
      <c r="I293" s="317">
        <v>9.1783065406698228E-2</v>
      </c>
      <c r="J293" s="317">
        <v>2.6182379239483987E-2</v>
      </c>
      <c r="K293" s="317">
        <v>7.3467564608467404E-3</v>
      </c>
      <c r="L293" s="318">
        <v>1.9934630474034219E-3</v>
      </c>
      <c r="M293" s="317">
        <v>2.7130707799299979E-3</v>
      </c>
      <c r="N293" s="318">
        <v>2.0000005732018805E-3</v>
      </c>
      <c r="O293" s="317">
        <v>2.7879328730410088E-2</v>
      </c>
      <c r="P293" s="318">
        <v>1.709155981982859E-2</v>
      </c>
      <c r="Q293" s="319">
        <v>7.6789441872572644E-3</v>
      </c>
    </row>
    <row r="294" spans="2:17" ht="15.75" x14ac:dyDescent="0.25">
      <c r="B294" s="176">
        <v>2020</v>
      </c>
      <c r="C294" s="177">
        <v>2018</v>
      </c>
      <c r="D294" s="178" t="s">
        <v>3140</v>
      </c>
      <c r="E294" s="461">
        <v>4.3587874548147353E-2</v>
      </c>
      <c r="F294" s="462">
        <v>4.8027021771540536E-2</v>
      </c>
      <c r="G294" s="316">
        <v>5.1386669435679787E-2</v>
      </c>
      <c r="H294" s="317">
        <v>5.9698864507837348E-3</v>
      </c>
      <c r="I294" s="317">
        <v>7.1970796636905449E-2</v>
      </c>
      <c r="J294" s="317">
        <v>2.5027536166713073E-2</v>
      </c>
      <c r="K294" s="317">
        <v>5.990483088163326E-3</v>
      </c>
      <c r="L294" s="318">
        <v>2.0801404259657603E-3</v>
      </c>
      <c r="M294" s="317">
        <v>2.7103013586880654E-3</v>
      </c>
      <c r="N294" s="318">
        <v>2.0000005732018801E-3</v>
      </c>
      <c r="O294" s="317">
        <v>2.7832220875084818E-2</v>
      </c>
      <c r="P294" s="318">
        <v>1.7079302245785702E-2</v>
      </c>
      <c r="Q294" s="319">
        <v>6.2613461510350726E-3</v>
      </c>
    </row>
    <row r="295" spans="2:17" ht="15.75" x14ac:dyDescent="0.25">
      <c r="B295" s="176">
        <v>2020</v>
      </c>
      <c r="C295" s="177">
        <v>2019</v>
      </c>
      <c r="D295" s="178" t="s">
        <v>3141</v>
      </c>
      <c r="E295" s="461">
        <v>4.3085390441330945E-2</v>
      </c>
      <c r="F295" s="462">
        <v>4.6145303341259068E-2</v>
      </c>
      <c r="G295" s="316">
        <v>4.9709824789380838E-2</v>
      </c>
      <c r="H295" s="317">
        <v>5.3183858485837945E-3</v>
      </c>
      <c r="I295" s="317">
        <v>5.9164291314302703E-2</v>
      </c>
      <c r="J295" s="317">
        <v>2.2633785383514002E-2</v>
      </c>
      <c r="K295" s="317">
        <v>4.4423875248284766E-3</v>
      </c>
      <c r="L295" s="318">
        <v>1.9765629581149284E-3</v>
      </c>
      <c r="M295" s="317">
        <v>2.7086099240495724E-3</v>
      </c>
      <c r="N295" s="318">
        <v>2.0000005732018801E-3</v>
      </c>
      <c r="O295" s="317">
        <v>2.7803449571884051E-2</v>
      </c>
      <c r="P295" s="318">
        <v>1.7070635986045912E-2</v>
      </c>
      <c r="Q295" s="319">
        <v>4.6432525758985281E-3</v>
      </c>
    </row>
    <row r="296" spans="2:17" ht="15.75" x14ac:dyDescent="0.25">
      <c r="B296" s="176">
        <v>2020</v>
      </c>
      <c r="C296" s="177">
        <v>2020</v>
      </c>
      <c r="D296" s="178" t="s">
        <v>3142</v>
      </c>
      <c r="E296" s="461">
        <v>4.2199390552884804E-2</v>
      </c>
      <c r="F296" s="462">
        <v>4.3590342433934205E-2</v>
      </c>
      <c r="G296" s="316">
        <v>4.6496288606766328E-2</v>
      </c>
      <c r="H296" s="317">
        <v>4.456922584171478E-3</v>
      </c>
      <c r="I296" s="317">
        <v>4.6542490381680138E-2</v>
      </c>
      <c r="J296" s="317">
        <v>1.9118434782845927E-2</v>
      </c>
      <c r="K296" s="317">
        <v>3.0961790679392134E-3</v>
      </c>
      <c r="L296" s="318">
        <v>1.4566916586656847E-3</v>
      </c>
      <c r="M296" s="317">
        <v>2.6793277601653712E-3</v>
      </c>
      <c r="N296" s="318">
        <v>2.0000005732018805E-3</v>
      </c>
      <c r="O296" s="317">
        <v>2.7305359964213793E-2</v>
      </c>
      <c r="P296" s="318">
        <v>1.6863130968076331E-2</v>
      </c>
      <c r="Q296" s="319">
        <v>3.2361745463002928E-3</v>
      </c>
    </row>
    <row r="297" spans="2:17" ht="15.75" x14ac:dyDescent="0.25">
      <c r="B297" s="176">
        <v>2021</v>
      </c>
      <c r="C297" s="177">
        <v>1977</v>
      </c>
      <c r="D297" s="178" t="s">
        <v>3143</v>
      </c>
      <c r="E297" s="461">
        <v>5.7541760277510262E-2</v>
      </c>
      <c r="F297" s="462">
        <v>0.12655027360953203</v>
      </c>
      <c r="G297" s="316">
        <v>0.70443644471757771</v>
      </c>
      <c r="H297" s="317">
        <v>7.8490018209299341</v>
      </c>
      <c r="I297" s="317">
        <v>2.4276811062565753</v>
      </c>
      <c r="J297" s="317">
        <v>10.984828866709854</v>
      </c>
      <c r="K297" s="317">
        <v>0.49287180452197427</v>
      </c>
      <c r="L297" s="318">
        <v>5.1983470735917907E-2</v>
      </c>
      <c r="M297" s="317">
        <v>2.1298926180551023E-3</v>
      </c>
      <c r="N297" s="318">
        <v>2.0000005732018801E-3</v>
      </c>
      <c r="O297" s="317">
        <v>1.795946819691811E-2</v>
      </c>
      <c r="P297" s="318">
        <v>1.8110015083781794E-2</v>
      </c>
      <c r="Q297" s="319">
        <v>0.51515728043621623</v>
      </c>
    </row>
    <row r="298" spans="2:17" ht="15.75" x14ac:dyDescent="0.25">
      <c r="B298" s="176">
        <v>2021</v>
      </c>
      <c r="C298" s="177">
        <v>1978</v>
      </c>
      <c r="D298" s="178" t="s">
        <v>3144</v>
      </c>
      <c r="E298" s="461">
        <v>5.8412960770064172E-2</v>
      </c>
      <c r="F298" s="462">
        <v>0.10427867528853066</v>
      </c>
      <c r="G298" s="316">
        <v>0.74286665294206766</v>
      </c>
      <c r="H298" s="317">
        <v>1.798032178594811</v>
      </c>
      <c r="I298" s="317">
        <v>2.2811308963443255</v>
      </c>
      <c r="J298" s="317">
        <v>4.4702387832759527</v>
      </c>
      <c r="K298" s="317">
        <v>0.51911833298965437</v>
      </c>
      <c r="L298" s="318">
        <v>4.508863380038327E-2</v>
      </c>
      <c r="M298" s="317">
        <v>2.0833260395377801E-3</v>
      </c>
      <c r="N298" s="318">
        <v>2.0000005732018801E-3</v>
      </c>
      <c r="O298" s="317">
        <v>1.7167370696338464E-2</v>
      </c>
      <c r="P298" s="318">
        <v>1.9269099595733169E-2</v>
      </c>
      <c r="Q298" s="319">
        <v>0.54259056045396059</v>
      </c>
    </row>
    <row r="299" spans="2:17" ht="15.75" x14ac:dyDescent="0.25">
      <c r="B299" s="176">
        <v>2021</v>
      </c>
      <c r="C299" s="177">
        <v>1979</v>
      </c>
      <c r="D299" s="178" t="s">
        <v>3145</v>
      </c>
      <c r="E299" s="461">
        <v>5.7670891255393694E-2</v>
      </c>
      <c r="F299" s="462">
        <v>0.10435082117592749</v>
      </c>
      <c r="G299" s="316">
        <v>0.72513381691048284</v>
      </c>
      <c r="H299" s="317">
        <v>1.7985869197355426</v>
      </c>
      <c r="I299" s="317">
        <v>2.2857796833898334</v>
      </c>
      <c r="J299" s="317">
        <v>4.4065658670511807</v>
      </c>
      <c r="K299" s="317">
        <v>0.50697398679442973</v>
      </c>
      <c r="L299" s="318">
        <v>4.4734795256254969E-2</v>
      </c>
      <c r="M299" s="317">
        <v>2.0885285270191077E-3</v>
      </c>
      <c r="N299" s="318">
        <v>2.0000005732018801E-3</v>
      </c>
      <c r="O299" s="317">
        <v>1.7255865008395842E-2</v>
      </c>
      <c r="P299" s="318">
        <v>1.9445230173783749E-2</v>
      </c>
      <c r="Q299" s="319">
        <v>0.52989710081352659</v>
      </c>
    </row>
    <row r="300" spans="2:17" ht="15.75" x14ac:dyDescent="0.25">
      <c r="B300" s="176">
        <v>2021</v>
      </c>
      <c r="C300" s="177">
        <v>1980</v>
      </c>
      <c r="D300" s="178" t="s">
        <v>3146</v>
      </c>
      <c r="E300" s="461">
        <v>5.772773340135106E-2</v>
      </c>
      <c r="F300" s="462">
        <v>0.10981399691614213</v>
      </c>
      <c r="G300" s="316">
        <v>0.3350247219266369</v>
      </c>
      <c r="H300" s="317">
        <v>2.1309260728835842</v>
      </c>
      <c r="I300" s="317">
        <v>2.1096376151957825</v>
      </c>
      <c r="J300" s="317">
        <v>4.3622067784830012</v>
      </c>
      <c r="K300" s="317">
        <v>0.26746952923586242</v>
      </c>
      <c r="L300" s="318">
        <v>3.7357485194344217E-2</v>
      </c>
      <c r="M300" s="317">
        <v>2.0952720322467873E-3</v>
      </c>
      <c r="N300" s="318">
        <v>2.0000005732018801E-3</v>
      </c>
      <c r="O300" s="317">
        <v>1.7370572032318676E-2</v>
      </c>
      <c r="P300" s="318">
        <v>2.2772943045503362E-2</v>
      </c>
      <c r="Q300" s="319">
        <v>0.27956331446944999</v>
      </c>
    </row>
    <row r="301" spans="2:17" ht="15.75" x14ac:dyDescent="0.25">
      <c r="B301" s="176">
        <v>2021</v>
      </c>
      <c r="C301" s="177">
        <v>1981</v>
      </c>
      <c r="D301" s="178" t="s">
        <v>3147</v>
      </c>
      <c r="E301" s="461">
        <v>5.8823303821393086E-2</v>
      </c>
      <c r="F301" s="462">
        <v>0.10636644209124248</v>
      </c>
      <c r="G301" s="316">
        <v>0.33567626863222666</v>
      </c>
      <c r="H301" s="317">
        <v>2.1010828500063443</v>
      </c>
      <c r="I301" s="317">
        <v>2.3596715873051952</v>
      </c>
      <c r="J301" s="317">
        <v>3.6032419878273299</v>
      </c>
      <c r="K301" s="317">
        <v>0.26712627288411589</v>
      </c>
      <c r="L301" s="318">
        <v>1.7837487598453806E-2</v>
      </c>
      <c r="M301" s="317">
        <v>2.1824251647858737E-3</v>
      </c>
      <c r="N301" s="318">
        <v>2.0000005732018801E-3</v>
      </c>
      <c r="O301" s="317">
        <v>1.8853046816808532E-2</v>
      </c>
      <c r="P301" s="318">
        <v>2.5286509493957693E-2</v>
      </c>
      <c r="Q301" s="319">
        <v>0.27920453758865516</v>
      </c>
    </row>
    <row r="302" spans="2:17" ht="15.75" x14ac:dyDescent="0.25">
      <c r="B302" s="176">
        <v>2021</v>
      </c>
      <c r="C302" s="177">
        <v>1982</v>
      </c>
      <c r="D302" s="178" t="s">
        <v>3148</v>
      </c>
      <c r="E302" s="461">
        <v>5.7138728690192604E-2</v>
      </c>
      <c r="F302" s="462">
        <v>0.10390603160342467</v>
      </c>
      <c r="G302" s="316">
        <v>0.2968553468005109</v>
      </c>
      <c r="H302" s="317">
        <v>2.0130238508408089</v>
      </c>
      <c r="I302" s="317">
        <v>3.0981432970686238</v>
      </c>
      <c r="J302" s="317">
        <v>3.5283124770910739</v>
      </c>
      <c r="K302" s="317">
        <v>0.23374617736443012</v>
      </c>
      <c r="L302" s="318">
        <v>1.8039950918187293E-2</v>
      </c>
      <c r="M302" s="317">
        <v>2.3861544511829362E-3</v>
      </c>
      <c r="N302" s="318">
        <v>2.0000005732018801E-3</v>
      </c>
      <c r="O302" s="317">
        <v>2.231848197842257E-2</v>
      </c>
      <c r="P302" s="318">
        <v>2.4379371946170524E-2</v>
      </c>
      <c r="Q302" s="319">
        <v>0.24431514227154957</v>
      </c>
    </row>
    <row r="303" spans="2:17" ht="15.75" x14ac:dyDescent="0.25">
      <c r="B303" s="176">
        <v>2021</v>
      </c>
      <c r="C303" s="177">
        <v>1983</v>
      </c>
      <c r="D303" s="178" t="s">
        <v>3149</v>
      </c>
      <c r="E303" s="461">
        <v>5.7113289903820461E-2</v>
      </c>
      <c r="F303" s="462">
        <v>9.9669212669802651E-2</v>
      </c>
      <c r="G303" s="316">
        <v>0.21559779800656137</v>
      </c>
      <c r="H303" s="317">
        <v>1.7333295344580459</v>
      </c>
      <c r="I303" s="317">
        <v>3.3966385700588351</v>
      </c>
      <c r="J303" s="317">
        <v>3.0480587308569347</v>
      </c>
      <c r="K303" s="317">
        <v>0.2102879412260526</v>
      </c>
      <c r="L303" s="318">
        <v>1.7824558726085241E-2</v>
      </c>
      <c r="M303" s="317">
        <v>2.526407187271431E-3</v>
      </c>
      <c r="N303" s="318">
        <v>2.0000005732018797E-3</v>
      </c>
      <c r="O303" s="317">
        <v>2.4704181019287865E-2</v>
      </c>
      <c r="P303" s="318">
        <v>2.3022547547187765E-2</v>
      </c>
      <c r="Q303" s="319">
        <v>0.21979622878937546</v>
      </c>
    </row>
    <row r="304" spans="2:17" ht="15.75" x14ac:dyDescent="0.25">
      <c r="B304" s="176">
        <v>2021</v>
      </c>
      <c r="C304" s="177">
        <v>1984</v>
      </c>
      <c r="D304" s="178" t="s">
        <v>3150</v>
      </c>
      <c r="E304" s="461">
        <v>5.608747145606581E-2</v>
      </c>
      <c r="F304" s="462">
        <v>0.10037170617771912</v>
      </c>
      <c r="G304" s="316">
        <v>0.2590808001929682</v>
      </c>
      <c r="H304" s="317">
        <v>1.4769697487213242</v>
      </c>
      <c r="I304" s="317">
        <v>4.1041217683275191</v>
      </c>
      <c r="J304" s="317">
        <v>3.5207537576781691</v>
      </c>
      <c r="K304" s="317">
        <v>0.1835531730154473</v>
      </c>
      <c r="L304" s="318">
        <v>1.8402148778998449E-2</v>
      </c>
      <c r="M304" s="317">
        <v>2.7429073043299316E-3</v>
      </c>
      <c r="N304" s="318">
        <v>2.0000005732018801E-3</v>
      </c>
      <c r="O304" s="317">
        <v>2.8386848010452964E-2</v>
      </c>
      <c r="P304" s="318">
        <v>2.28943552743597E-2</v>
      </c>
      <c r="Q304" s="319">
        <v>0.19185263299406355</v>
      </c>
    </row>
    <row r="305" spans="2:17" ht="15.75" x14ac:dyDescent="0.25">
      <c r="B305" s="176">
        <v>2021</v>
      </c>
      <c r="C305" s="177">
        <v>1985</v>
      </c>
      <c r="D305" s="178" t="s">
        <v>3151</v>
      </c>
      <c r="E305" s="461">
        <v>5.6975658449086565E-2</v>
      </c>
      <c r="F305" s="462">
        <v>9.7692851760256702E-2</v>
      </c>
      <c r="G305" s="316">
        <v>0.24718563420871184</v>
      </c>
      <c r="H305" s="317">
        <v>1.0998143837974059</v>
      </c>
      <c r="I305" s="317">
        <v>4.5484336993997552</v>
      </c>
      <c r="J305" s="317">
        <v>2.9293544874697126</v>
      </c>
      <c r="K305" s="317">
        <v>0.18015501609261741</v>
      </c>
      <c r="L305" s="318">
        <v>1.7160195643325764E-2</v>
      </c>
      <c r="M305" s="317">
        <v>2.8638791652398007E-3</v>
      </c>
      <c r="N305" s="318">
        <v>2.0000005732018801E-3</v>
      </c>
      <c r="O305" s="317">
        <v>3.0444579364529847E-2</v>
      </c>
      <c r="P305" s="318">
        <v>2.3044720612485383E-2</v>
      </c>
      <c r="Q305" s="319">
        <v>0.18830082649428118</v>
      </c>
    </row>
    <row r="306" spans="2:17" ht="15.75" x14ac:dyDescent="0.25">
      <c r="B306" s="176">
        <v>2021</v>
      </c>
      <c r="C306" s="177">
        <v>1986</v>
      </c>
      <c r="D306" s="178" t="s">
        <v>3152</v>
      </c>
      <c r="E306" s="461">
        <v>5.7512848170307163E-2</v>
      </c>
      <c r="F306" s="462">
        <v>9.2540771666054358E-2</v>
      </c>
      <c r="G306" s="316">
        <v>0.24202238520440053</v>
      </c>
      <c r="H306" s="317">
        <v>1.0550848850207553</v>
      </c>
      <c r="I306" s="317">
        <v>4.7602263291408162</v>
      </c>
      <c r="J306" s="317">
        <v>2.7572182466733031</v>
      </c>
      <c r="K306" s="317">
        <v>0.17900199999890823</v>
      </c>
      <c r="L306" s="318">
        <v>1.73017657982345E-2</v>
      </c>
      <c r="M306" s="317">
        <v>2.925002944578585E-3</v>
      </c>
      <c r="N306" s="318">
        <v>2.0000005732018801E-3</v>
      </c>
      <c r="O306" s="317">
        <v>3.1484294851082457E-2</v>
      </c>
      <c r="P306" s="318">
        <v>2.252449633269326E-2</v>
      </c>
      <c r="Q306" s="319">
        <v>0.18709567612924732</v>
      </c>
    </row>
    <row r="307" spans="2:17" ht="15.75" x14ac:dyDescent="0.25">
      <c r="B307" s="176">
        <v>2021</v>
      </c>
      <c r="C307" s="177">
        <v>1987</v>
      </c>
      <c r="D307" s="178" t="s">
        <v>3153</v>
      </c>
      <c r="E307" s="461">
        <v>5.7652090283077911E-2</v>
      </c>
      <c r="F307" s="462">
        <v>8.9101494006006796E-2</v>
      </c>
      <c r="G307" s="316">
        <v>0.29466598395101601</v>
      </c>
      <c r="H307" s="317">
        <v>0.97594581717925066</v>
      </c>
      <c r="I307" s="317">
        <v>5.0020232652419905</v>
      </c>
      <c r="J307" s="317">
        <v>2.6505223716179782</v>
      </c>
      <c r="K307" s="317">
        <v>0.19991429682339984</v>
      </c>
      <c r="L307" s="318">
        <v>1.7548475183548327E-2</v>
      </c>
      <c r="M307" s="317">
        <v>2.9632983670901765E-3</v>
      </c>
      <c r="N307" s="318">
        <v>2.0000005732018797E-3</v>
      </c>
      <c r="O307" s="317">
        <v>3.213569998800473E-2</v>
      </c>
      <c r="P307" s="318">
        <v>2.1528027613642298E-2</v>
      </c>
      <c r="Q307" s="319">
        <v>0.20895353421920082</v>
      </c>
    </row>
    <row r="308" spans="2:17" ht="15.75" x14ac:dyDescent="0.25">
      <c r="B308" s="176">
        <v>2021</v>
      </c>
      <c r="C308" s="177">
        <v>1988</v>
      </c>
      <c r="D308" s="178" t="s">
        <v>3154</v>
      </c>
      <c r="E308" s="461">
        <v>5.7482335752921443E-2</v>
      </c>
      <c r="F308" s="462">
        <v>8.7995852903589689E-2</v>
      </c>
      <c r="G308" s="316">
        <v>0.29117942878487557</v>
      </c>
      <c r="H308" s="317">
        <v>0.50004251817131551</v>
      </c>
      <c r="I308" s="317">
        <v>5.0843246439823213</v>
      </c>
      <c r="J308" s="317">
        <v>1.8941665697216079</v>
      </c>
      <c r="K308" s="317">
        <v>0.19784942142679712</v>
      </c>
      <c r="L308" s="318">
        <v>1.6981533245506206E-2</v>
      </c>
      <c r="M308" s="317">
        <v>2.9786147689392526E-3</v>
      </c>
      <c r="N308" s="318">
        <v>2.0000005732018801E-3</v>
      </c>
      <c r="O308" s="317">
        <v>3.2396231983457521E-2</v>
      </c>
      <c r="P308" s="318">
        <v>2.2043545229433328E-2</v>
      </c>
      <c r="Q308" s="319">
        <v>0.20679529431991123</v>
      </c>
    </row>
    <row r="309" spans="2:17" ht="15.75" x14ac:dyDescent="0.25">
      <c r="B309" s="176">
        <v>2021</v>
      </c>
      <c r="C309" s="177">
        <v>1989</v>
      </c>
      <c r="D309" s="178" t="s">
        <v>3155</v>
      </c>
      <c r="E309" s="461">
        <v>5.7653868445758351E-2</v>
      </c>
      <c r="F309" s="462">
        <v>9.0375996142438728E-2</v>
      </c>
      <c r="G309" s="316">
        <v>0.29243498773098126</v>
      </c>
      <c r="H309" s="317">
        <v>0.4980967608749064</v>
      </c>
      <c r="I309" s="317">
        <v>5.1153343700994638</v>
      </c>
      <c r="J309" s="317">
        <v>1.8893260823132652</v>
      </c>
      <c r="K309" s="317">
        <v>0.19890026156511129</v>
      </c>
      <c r="L309" s="318">
        <v>1.6750400361051528E-2</v>
      </c>
      <c r="M309" s="317">
        <v>2.9873736967529724E-3</v>
      </c>
      <c r="N309" s="318">
        <v>2.0000005732018805E-3</v>
      </c>
      <c r="O309" s="317">
        <v>3.2545221345568892E-2</v>
      </c>
      <c r="P309" s="318">
        <v>2.2888434636416377E-2</v>
      </c>
      <c r="Q309" s="319">
        <v>0.2078936487862473</v>
      </c>
    </row>
    <row r="310" spans="2:17" ht="15.75" x14ac:dyDescent="0.25">
      <c r="B310" s="176">
        <v>2021</v>
      </c>
      <c r="C310" s="177">
        <v>1990</v>
      </c>
      <c r="D310" s="178" t="s">
        <v>3156</v>
      </c>
      <c r="E310" s="461">
        <v>5.8115062077317849E-2</v>
      </c>
      <c r="F310" s="462">
        <v>8.8321374940682276E-2</v>
      </c>
      <c r="G310" s="316">
        <v>0.29721290830840424</v>
      </c>
      <c r="H310" s="317">
        <v>0.4992776797938499</v>
      </c>
      <c r="I310" s="317">
        <v>5.0655825134742578</v>
      </c>
      <c r="J310" s="317">
        <v>1.8809225617622989</v>
      </c>
      <c r="K310" s="317">
        <v>0.2021637678777399</v>
      </c>
      <c r="L310" s="318">
        <v>1.6988484741770175E-2</v>
      </c>
      <c r="M310" s="317">
        <v>2.9881743775594391E-3</v>
      </c>
      <c r="N310" s="318">
        <v>2.0000005732018801E-3</v>
      </c>
      <c r="O310" s="317">
        <v>3.2558840926086886E-2</v>
      </c>
      <c r="P310" s="318">
        <v>2.2140056818932653E-2</v>
      </c>
      <c r="Q310" s="319">
        <v>0.21130471637273834</v>
      </c>
    </row>
    <row r="311" spans="2:17" ht="15.75" x14ac:dyDescent="0.25">
      <c r="B311" s="176">
        <v>2021</v>
      </c>
      <c r="C311" s="177">
        <v>1991</v>
      </c>
      <c r="D311" s="178" t="s">
        <v>3157</v>
      </c>
      <c r="E311" s="461">
        <v>5.8021168871187488E-2</v>
      </c>
      <c r="F311" s="462">
        <v>8.6245275651623293E-2</v>
      </c>
      <c r="G311" s="316">
        <v>0.37996955510778652</v>
      </c>
      <c r="H311" s="317">
        <v>0.52091031249710718</v>
      </c>
      <c r="I311" s="317">
        <v>8.9325691613544276</v>
      </c>
      <c r="J311" s="317">
        <v>2.3199951854775294</v>
      </c>
      <c r="K311" s="317">
        <v>5.6049180073858243E-2</v>
      </c>
      <c r="L311" s="318">
        <v>9.5578363132671918E-3</v>
      </c>
      <c r="M311" s="317">
        <v>2.9864179881690322E-3</v>
      </c>
      <c r="N311" s="318">
        <v>2.0000005732018801E-3</v>
      </c>
      <c r="O311" s="317">
        <v>3.2528964742556066E-2</v>
      </c>
      <c r="P311" s="318">
        <v>2.1350324759460738E-2</v>
      </c>
      <c r="Q311" s="319">
        <v>5.8583475282245008E-2</v>
      </c>
    </row>
    <row r="312" spans="2:17" ht="15.75" x14ac:dyDescent="0.25">
      <c r="B312" s="176">
        <v>2021</v>
      </c>
      <c r="C312" s="177">
        <v>1992</v>
      </c>
      <c r="D312" s="178" t="s">
        <v>3158</v>
      </c>
      <c r="E312" s="461">
        <v>5.800428471043053E-2</v>
      </c>
      <c r="F312" s="462">
        <v>8.3474008754258561E-2</v>
      </c>
      <c r="G312" s="316">
        <v>0.38048584604942232</v>
      </c>
      <c r="H312" s="317">
        <v>0.52254939965710134</v>
      </c>
      <c r="I312" s="317">
        <v>8.8516845207851809</v>
      </c>
      <c r="J312" s="317">
        <v>2.2563234835852399</v>
      </c>
      <c r="K312" s="317">
        <v>5.7577784662906528E-2</v>
      </c>
      <c r="L312" s="318">
        <v>9.6897346326191708E-3</v>
      </c>
      <c r="M312" s="317">
        <v>2.9772138140082153E-3</v>
      </c>
      <c r="N312" s="318">
        <v>2.0000005732018797E-3</v>
      </c>
      <c r="O312" s="317">
        <v>3.2372401740080575E-2</v>
      </c>
      <c r="P312" s="318">
        <v>2.0414213491693887E-2</v>
      </c>
      <c r="Q312" s="319">
        <v>6.0181196587727762E-2</v>
      </c>
    </row>
    <row r="313" spans="2:17" ht="15.75" x14ac:dyDescent="0.25">
      <c r="B313" s="176">
        <v>2021</v>
      </c>
      <c r="C313" s="177">
        <v>1993</v>
      </c>
      <c r="D313" s="178" t="s">
        <v>3159</v>
      </c>
      <c r="E313" s="461">
        <v>5.7870756836183999E-2</v>
      </c>
      <c r="F313" s="462">
        <v>7.4717822504978881E-2</v>
      </c>
      <c r="G313" s="316">
        <v>0.37506450638794969</v>
      </c>
      <c r="H313" s="317">
        <v>0.52691853395644461</v>
      </c>
      <c r="I313" s="317">
        <v>8.8996074496382391</v>
      </c>
      <c r="J313" s="317">
        <v>2.2067565166253504</v>
      </c>
      <c r="K313" s="317">
        <v>5.3914468602565699E-2</v>
      </c>
      <c r="L313" s="318">
        <v>9.8318324545041899E-3</v>
      </c>
      <c r="M313" s="317">
        <v>2.980767435326217E-3</v>
      </c>
      <c r="N313" s="318">
        <v>2.0000005732018801E-3</v>
      </c>
      <c r="O313" s="317">
        <v>3.2432848838699777E-2</v>
      </c>
      <c r="P313" s="318">
        <v>1.9935791197544364E-2</v>
      </c>
      <c r="Q313" s="319">
        <v>5.6352241630862568E-2</v>
      </c>
    </row>
    <row r="314" spans="2:17" ht="15.75" x14ac:dyDescent="0.25">
      <c r="B314" s="176">
        <v>2021</v>
      </c>
      <c r="C314" s="177">
        <v>1994</v>
      </c>
      <c r="D314" s="178" t="s">
        <v>3160</v>
      </c>
      <c r="E314" s="461">
        <v>5.7606997706005206E-2</v>
      </c>
      <c r="F314" s="462">
        <v>7.1252279910377372E-2</v>
      </c>
      <c r="G314" s="316">
        <v>0.36947917777188144</v>
      </c>
      <c r="H314" s="317">
        <v>0.5284415459982893</v>
      </c>
      <c r="I314" s="317">
        <v>8.8466311231813535</v>
      </c>
      <c r="J314" s="317">
        <v>2.1380726496894882</v>
      </c>
      <c r="K314" s="317">
        <v>5.4074197150411639E-2</v>
      </c>
      <c r="L314" s="318">
        <v>9.9554731836756765E-3</v>
      </c>
      <c r="M314" s="317">
        <v>2.9699594406164373E-3</v>
      </c>
      <c r="N314" s="318">
        <v>2.0000005732018801E-3</v>
      </c>
      <c r="O314" s="317">
        <v>3.2249004848686431E-2</v>
      </c>
      <c r="P314" s="318">
        <v>1.8958144104389705E-2</v>
      </c>
      <c r="Q314" s="319">
        <v>5.6519192394857108E-2</v>
      </c>
    </row>
    <row r="315" spans="2:17" ht="15.75" x14ac:dyDescent="0.25">
      <c r="B315" s="176">
        <v>2021</v>
      </c>
      <c r="C315" s="177">
        <v>1995</v>
      </c>
      <c r="D315" s="178" t="s">
        <v>3161</v>
      </c>
      <c r="E315" s="461">
        <v>5.732369243619681E-2</v>
      </c>
      <c r="F315" s="462">
        <v>7.2783966186755686E-2</v>
      </c>
      <c r="G315" s="316">
        <v>0.36681304481643923</v>
      </c>
      <c r="H315" s="317">
        <v>0.39985449120264288</v>
      </c>
      <c r="I315" s="317">
        <v>8.9656419396254101</v>
      </c>
      <c r="J315" s="317">
        <v>1.6750192970923192</v>
      </c>
      <c r="K315" s="317">
        <v>5.3421785749821593E-2</v>
      </c>
      <c r="L315" s="318">
        <v>9.1926285331921532E-3</v>
      </c>
      <c r="M315" s="317">
        <v>2.9770674537663521E-3</v>
      </c>
      <c r="N315" s="318">
        <v>2.0000005732018801E-3</v>
      </c>
      <c r="O315" s="317">
        <v>3.2369912152366481E-2</v>
      </c>
      <c r="P315" s="318">
        <v>1.9660849439195258E-2</v>
      </c>
      <c r="Q315" s="319">
        <v>5.5837281845765176E-2</v>
      </c>
    </row>
    <row r="316" spans="2:17" ht="15.75" x14ac:dyDescent="0.25">
      <c r="B316" s="176">
        <v>2021</v>
      </c>
      <c r="C316" s="177">
        <v>1996</v>
      </c>
      <c r="D316" s="178" t="s">
        <v>3162</v>
      </c>
      <c r="E316" s="461">
        <v>5.7443990628691696E-2</v>
      </c>
      <c r="F316" s="462">
        <v>7.2132116813369909E-2</v>
      </c>
      <c r="G316" s="316">
        <v>0.36896033578025583</v>
      </c>
      <c r="H316" s="317">
        <v>0.1392373179818463</v>
      </c>
      <c r="I316" s="317">
        <v>8.9573116589142234</v>
      </c>
      <c r="J316" s="317">
        <v>1.0227838492851538</v>
      </c>
      <c r="K316" s="317">
        <v>5.3649774856852232E-2</v>
      </c>
      <c r="L316" s="318">
        <v>2.8139925868407556E-3</v>
      </c>
      <c r="M316" s="317">
        <v>2.9788674019137515E-3</v>
      </c>
      <c r="N316" s="318">
        <v>2.0000005732018801E-3</v>
      </c>
      <c r="O316" s="317">
        <v>3.2400529270353744E-2</v>
      </c>
      <c r="P316" s="318">
        <v>1.9810573649137381E-2</v>
      </c>
      <c r="Q316" s="319">
        <v>5.6075579608528971E-2</v>
      </c>
    </row>
    <row r="317" spans="2:17" ht="15.75" x14ac:dyDescent="0.25">
      <c r="B317" s="176">
        <v>2021</v>
      </c>
      <c r="C317" s="177">
        <v>1997</v>
      </c>
      <c r="D317" s="178" t="s">
        <v>3163</v>
      </c>
      <c r="E317" s="461">
        <v>5.758389350469284E-2</v>
      </c>
      <c r="F317" s="462">
        <v>6.9839035741438557E-2</v>
      </c>
      <c r="G317" s="316">
        <v>0.37149530580358947</v>
      </c>
      <c r="H317" s="317">
        <v>0.14467259577698621</v>
      </c>
      <c r="I317" s="317">
        <v>8.9676386432033279</v>
      </c>
      <c r="J317" s="317">
        <v>1.0535769672127668</v>
      </c>
      <c r="K317" s="317">
        <v>5.3869354770674387E-2</v>
      </c>
      <c r="L317" s="318">
        <v>2.8367823018542997E-3</v>
      </c>
      <c r="M317" s="317">
        <v>2.9827547150152846E-3</v>
      </c>
      <c r="N317" s="318">
        <v>2.0000005732018801E-3</v>
      </c>
      <c r="O317" s="317">
        <v>3.2466652466210826E-2</v>
      </c>
      <c r="P317" s="318">
        <v>1.9160309115950326E-2</v>
      </c>
      <c r="Q317" s="319">
        <v>5.6305087951682715E-2</v>
      </c>
    </row>
    <row r="318" spans="2:17" ht="15.75" x14ac:dyDescent="0.25">
      <c r="B318" s="176">
        <v>2021</v>
      </c>
      <c r="C318" s="177">
        <v>1998</v>
      </c>
      <c r="D318" s="178" t="s">
        <v>3164</v>
      </c>
      <c r="E318" s="461">
        <v>5.7456663933290013E-2</v>
      </c>
      <c r="F318" s="462">
        <v>6.6623554934149384E-2</v>
      </c>
      <c r="G318" s="316">
        <v>0.36886510444397952</v>
      </c>
      <c r="H318" s="317">
        <v>0.13401402510204577</v>
      </c>
      <c r="I318" s="317">
        <v>8.9430847445351827</v>
      </c>
      <c r="J318" s="317">
        <v>0.92925248123693505</v>
      </c>
      <c r="K318" s="317">
        <v>5.3657969182105456E-2</v>
      </c>
      <c r="L318" s="318">
        <v>2.8789532411777614E-3</v>
      </c>
      <c r="M318" s="317">
        <v>2.9789971819451835E-3</v>
      </c>
      <c r="N318" s="318">
        <v>2.0000005732018801E-3</v>
      </c>
      <c r="O318" s="317">
        <v>3.2402736828688404E-2</v>
      </c>
      <c r="P318" s="318">
        <v>1.8239766397253065E-2</v>
      </c>
      <c r="Q318" s="319">
        <v>5.6084144444808443E-2</v>
      </c>
    </row>
    <row r="319" spans="2:17" ht="15.75" x14ac:dyDescent="0.25">
      <c r="B319" s="176">
        <v>2021</v>
      </c>
      <c r="C319" s="177">
        <v>1999</v>
      </c>
      <c r="D319" s="178" t="s">
        <v>3165</v>
      </c>
      <c r="E319" s="461">
        <v>5.7599646041384192E-2</v>
      </c>
      <c r="F319" s="462">
        <v>6.7002312592591193E-2</v>
      </c>
      <c r="G319" s="316">
        <v>0.3714329432944381</v>
      </c>
      <c r="H319" s="317">
        <v>0.11715368999226911</v>
      </c>
      <c r="I319" s="317">
        <v>9.0608458822267863</v>
      </c>
      <c r="J319" s="317">
        <v>0.77088747471315089</v>
      </c>
      <c r="K319" s="317">
        <v>5.3520448699534637E-2</v>
      </c>
      <c r="L319" s="318">
        <v>2.8861713045274925E-3</v>
      </c>
      <c r="M319" s="317">
        <v>2.993757092472374E-3</v>
      </c>
      <c r="N319" s="318">
        <v>2.0000005732018801E-3</v>
      </c>
      <c r="O319" s="317">
        <v>3.2653802906755923E-2</v>
      </c>
      <c r="P319" s="318">
        <v>1.8370188909986214E-2</v>
      </c>
      <c r="Q319" s="319">
        <v>5.5940405896253889E-2</v>
      </c>
    </row>
    <row r="320" spans="2:17" ht="15.75" x14ac:dyDescent="0.25">
      <c r="B320" s="176">
        <v>2021</v>
      </c>
      <c r="C320" s="177">
        <v>2000</v>
      </c>
      <c r="D320" s="178" t="s">
        <v>3166</v>
      </c>
      <c r="E320" s="461">
        <v>5.7457289806342647E-2</v>
      </c>
      <c r="F320" s="462">
        <v>7.3034045365174882E-2</v>
      </c>
      <c r="G320" s="316">
        <v>0.36786829347132677</v>
      </c>
      <c r="H320" s="317">
        <v>0.10010889017045475</v>
      </c>
      <c r="I320" s="317">
        <v>9.1141644110817541</v>
      </c>
      <c r="J320" s="317">
        <v>0.61605856828951022</v>
      </c>
      <c r="K320" s="317">
        <v>5.2943276026116828E-2</v>
      </c>
      <c r="L320" s="318">
        <v>2.8834442623387685E-3</v>
      </c>
      <c r="M320" s="317">
        <v>2.997790765168375E-3</v>
      </c>
      <c r="N320" s="318">
        <v>2.0000005732018801E-3</v>
      </c>
      <c r="O320" s="317">
        <v>3.2722415679314894E-2</v>
      </c>
      <c r="P320" s="318">
        <v>1.8515440079297035E-2</v>
      </c>
      <c r="Q320" s="319">
        <v>5.533713603570993E-2</v>
      </c>
    </row>
    <row r="321" spans="2:17" ht="15.75" x14ac:dyDescent="0.25">
      <c r="B321" s="176">
        <v>2021</v>
      </c>
      <c r="C321" s="177">
        <v>2001</v>
      </c>
      <c r="D321" s="178" t="s">
        <v>3167</v>
      </c>
      <c r="E321" s="461">
        <v>5.7534449588673965E-2</v>
      </c>
      <c r="F321" s="462">
        <v>7.1823911850705899E-2</v>
      </c>
      <c r="G321" s="316">
        <v>0.36519858419116696</v>
      </c>
      <c r="H321" s="317">
        <v>8.528909368904472E-2</v>
      </c>
      <c r="I321" s="317">
        <v>9.0404172623380763</v>
      </c>
      <c r="J321" s="317">
        <v>0.47218143850647032</v>
      </c>
      <c r="K321" s="317">
        <v>5.2900221649647382E-2</v>
      </c>
      <c r="L321" s="318">
        <v>2.9059510364805876E-3</v>
      </c>
      <c r="M321" s="317">
        <v>2.9924093217847877E-3</v>
      </c>
      <c r="N321" s="318">
        <v>2.0000005732018801E-3</v>
      </c>
      <c r="O321" s="317">
        <v>3.2630877327360065E-2</v>
      </c>
      <c r="P321" s="318">
        <v>1.8121138545891969E-2</v>
      </c>
      <c r="Q321" s="319">
        <v>5.5292134931387411E-2</v>
      </c>
    </row>
    <row r="322" spans="2:17" ht="15.75" x14ac:dyDescent="0.25">
      <c r="B322" s="176">
        <v>2021</v>
      </c>
      <c r="C322" s="177">
        <v>2002</v>
      </c>
      <c r="D322" s="178" t="s">
        <v>3168</v>
      </c>
      <c r="E322" s="461">
        <v>5.736390648258665E-2</v>
      </c>
      <c r="F322" s="462">
        <v>7.0059266926973895E-2</v>
      </c>
      <c r="G322" s="316">
        <v>0.28133346162320116</v>
      </c>
      <c r="H322" s="317">
        <v>8.4437616116595615E-2</v>
      </c>
      <c r="I322" s="317">
        <v>7.0106476471542321</v>
      </c>
      <c r="J322" s="317">
        <v>0.45434160565432175</v>
      </c>
      <c r="K322" s="317">
        <v>5.3044078829307853E-2</v>
      </c>
      <c r="L322" s="318">
        <v>2.9322986866662558E-3</v>
      </c>
      <c r="M322" s="317">
        <v>2.9965639534347607E-3</v>
      </c>
      <c r="N322" s="318">
        <v>2.0000005732018801E-3</v>
      </c>
      <c r="O322" s="317">
        <v>3.2701547611726105E-2</v>
      </c>
      <c r="P322" s="318">
        <v>1.755023414953398E-2</v>
      </c>
      <c r="Q322" s="319">
        <v>5.5442496694355414E-2</v>
      </c>
    </row>
    <row r="323" spans="2:17" ht="15.75" x14ac:dyDescent="0.25">
      <c r="B323" s="176">
        <v>2021</v>
      </c>
      <c r="C323" s="177">
        <v>2003</v>
      </c>
      <c r="D323" s="178" t="s">
        <v>3169</v>
      </c>
      <c r="E323" s="461">
        <v>5.7144012536317651E-2</v>
      </c>
      <c r="F323" s="462">
        <v>7.0933180411504218E-2</v>
      </c>
      <c r="G323" s="316">
        <v>0.27605604584397703</v>
      </c>
      <c r="H323" s="317">
        <v>6.8058310705365735E-2</v>
      </c>
      <c r="I323" s="317">
        <v>7.0002358696437277</v>
      </c>
      <c r="J323" s="317">
        <v>0.3865707364644802</v>
      </c>
      <c r="K323" s="317">
        <v>5.2403576703278311E-2</v>
      </c>
      <c r="L323" s="318">
        <v>2.9174868791994077E-3</v>
      </c>
      <c r="M323" s="317">
        <v>2.9923164526934596E-3</v>
      </c>
      <c r="N323" s="318">
        <v>2.0000005732018801E-3</v>
      </c>
      <c r="O323" s="317">
        <v>3.2629297624116579E-2</v>
      </c>
      <c r="P323" s="318">
        <v>1.7874835357791941E-2</v>
      </c>
      <c r="Q323" s="319">
        <v>5.4773033904372971E-2</v>
      </c>
    </row>
    <row r="324" spans="2:17" ht="15.75" x14ac:dyDescent="0.25">
      <c r="B324" s="176">
        <v>2021</v>
      </c>
      <c r="C324" s="177">
        <v>2004</v>
      </c>
      <c r="D324" s="178" t="s">
        <v>3170</v>
      </c>
      <c r="E324" s="461">
        <v>5.7045067058915551E-2</v>
      </c>
      <c r="F324" s="462">
        <v>7.0848055909373264E-2</v>
      </c>
      <c r="G324" s="316">
        <v>0.22507299294197325</v>
      </c>
      <c r="H324" s="317">
        <v>1.7927678477341575E-2</v>
      </c>
      <c r="I324" s="317">
        <v>5.8307514103104623</v>
      </c>
      <c r="J324" s="317">
        <v>0.10832487612300569</v>
      </c>
      <c r="K324" s="317">
        <v>5.1789329621883942E-2</v>
      </c>
      <c r="L324" s="318">
        <v>1.9501844691295216E-4</v>
      </c>
      <c r="M324" s="317">
        <v>2.9890578104640108E-3</v>
      </c>
      <c r="N324" s="318">
        <v>2.0000005732018801E-3</v>
      </c>
      <c r="O324" s="317">
        <v>3.2573868119793646E-2</v>
      </c>
      <c r="P324" s="318">
        <v>1.7515450518520971E-2</v>
      </c>
      <c r="Q324" s="319">
        <v>5.4131013295639074E-2</v>
      </c>
    </row>
    <row r="325" spans="2:17" ht="15.75" x14ac:dyDescent="0.25">
      <c r="B325" s="176">
        <v>2021</v>
      </c>
      <c r="C325" s="177">
        <v>2005</v>
      </c>
      <c r="D325" s="178" t="s">
        <v>3171</v>
      </c>
      <c r="E325" s="461">
        <v>5.678605971564761E-2</v>
      </c>
      <c r="F325" s="462">
        <v>6.7532395687388544E-2</v>
      </c>
      <c r="G325" s="316">
        <v>0.21914878891530487</v>
      </c>
      <c r="H325" s="317">
        <v>1.5718897893865224E-2</v>
      </c>
      <c r="I325" s="317">
        <v>5.8041946530853092</v>
      </c>
      <c r="J325" s="317">
        <v>8.7884140881179337E-2</v>
      </c>
      <c r="K325" s="317">
        <v>5.1012233285556555E-2</v>
      </c>
      <c r="L325" s="318">
        <v>1.9570779740150121E-4</v>
      </c>
      <c r="M325" s="317">
        <v>2.9793073482068037E-3</v>
      </c>
      <c r="N325" s="318">
        <v>2.0000005732018801E-3</v>
      </c>
      <c r="O325" s="317">
        <v>3.2408012756798554E-2</v>
      </c>
      <c r="P325" s="318">
        <v>1.6909661612214775E-2</v>
      </c>
      <c r="Q325" s="319">
        <v>5.3318780111296725E-2</v>
      </c>
    </row>
    <row r="326" spans="2:17" ht="15.75" x14ac:dyDescent="0.25">
      <c r="B326" s="176">
        <v>2021</v>
      </c>
      <c r="C326" s="177">
        <v>2006</v>
      </c>
      <c r="D326" s="178" t="s">
        <v>3172</v>
      </c>
      <c r="E326" s="461">
        <v>5.6715694880528196E-2</v>
      </c>
      <c r="F326" s="462">
        <v>6.9852068649695703E-2</v>
      </c>
      <c r="G326" s="316">
        <v>0.21524146771740732</v>
      </c>
      <c r="H326" s="317">
        <v>5.6251813016449867E-3</v>
      </c>
      <c r="I326" s="317">
        <v>5.7876759722566122</v>
      </c>
      <c r="J326" s="317">
        <v>4.9476923241498716E-2</v>
      </c>
      <c r="K326" s="317">
        <v>5.049434704060405E-2</v>
      </c>
      <c r="L326" s="318">
        <v>1.925035289081312E-4</v>
      </c>
      <c r="M326" s="317">
        <v>2.9769012673326366E-3</v>
      </c>
      <c r="N326" s="318">
        <v>2.0000005732018805E-3</v>
      </c>
      <c r="O326" s="317">
        <v>3.2367085321128967E-2</v>
      </c>
      <c r="P326" s="318">
        <v>1.8355475955072611E-2</v>
      </c>
      <c r="Q326" s="319">
        <v>5.2777477348433709E-2</v>
      </c>
    </row>
    <row r="327" spans="2:17" ht="15.75" x14ac:dyDescent="0.25">
      <c r="B327" s="176">
        <v>2021</v>
      </c>
      <c r="C327" s="177">
        <v>2007</v>
      </c>
      <c r="D327" s="178" t="s">
        <v>3173</v>
      </c>
      <c r="E327" s="461">
        <v>5.6481703538828899E-2</v>
      </c>
      <c r="F327" s="462">
        <v>6.6141020614069623E-2</v>
      </c>
      <c r="G327" s="316">
        <v>0.15189577613430782</v>
      </c>
      <c r="H327" s="317">
        <v>8.0985493729172197E-3</v>
      </c>
      <c r="I327" s="317">
        <v>2.9098369441033851</v>
      </c>
      <c r="J327" s="317">
        <v>4.717237728412696E-2</v>
      </c>
      <c r="K327" s="317">
        <v>3.3501164069378669E-2</v>
      </c>
      <c r="L327" s="318">
        <v>1.9540400942084964E-4</v>
      </c>
      <c r="M327" s="317">
        <v>2.9476041322962767E-3</v>
      </c>
      <c r="N327" s="318">
        <v>2.0000005732018801E-3</v>
      </c>
      <c r="O327" s="317">
        <v>3.1868741054160495E-2</v>
      </c>
      <c r="P327" s="318">
        <v>1.7127039367983744E-2</v>
      </c>
      <c r="Q327" s="319">
        <v>3.5015938049382127E-2</v>
      </c>
    </row>
    <row r="328" spans="2:17" ht="15.75" x14ac:dyDescent="0.25">
      <c r="B328" s="176">
        <v>2021</v>
      </c>
      <c r="C328" s="177">
        <v>2008</v>
      </c>
      <c r="D328" s="178" t="s">
        <v>3174</v>
      </c>
      <c r="E328" s="461">
        <v>5.6499083971306194E-2</v>
      </c>
      <c r="F328" s="462">
        <v>6.4419854075918756E-2</v>
      </c>
      <c r="G328" s="316">
        <v>0.15126081850447484</v>
      </c>
      <c r="H328" s="317">
        <v>7.9099204076502616E-3</v>
      </c>
      <c r="I328" s="317">
        <v>2.9396286705733004</v>
      </c>
      <c r="J328" s="317">
        <v>3.9029592777533761E-2</v>
      </c>
      <c r="K328" s="317">
        <v>3.3294423622110401E-2</v>
      </c>
      <c r="L328" s="318">
        <v>2.2333330087794597E-4</v>
      </c>
      <c r="M328" s="317">
        <v>2.9610837234039836E-3</v>
      </c>
      <c r="N328" s="318">
        <v>2.0000005732018801E-3</v>
      </c>
      <c r="O328" s="317">
        <v>3.2098028898902585E-2</v>
      </c>
      <c r="P328" s="318">
        <v>1.7099726200685159E-2</v>
      </c>
      <c r="Q328" s="319">
        <v>3.4799849716485587E-2</v>
      </c>
    </row>
    <row r="329" spans="2:17" ht="15.75" x14ac:dyDescent="0.25">
      <c r="B329" s="176">
        <v>2021</v>
      </c>
      <c r="C329" s="177">
        <v>2009</v>
      </c>
      <c r="D329" s="178" t="s">
        <v>3175</v>
      </c>
      <c r="E329" s="461">
        <v>5.5211332540287039E-2</v>
      </c>
      <c r="F329" s="462">
        <v>5.9426219575988794E-2</v>
      </c>
      <c r="G329" s="316">
        <v>0.13189605267838214</v>
      </c>
      <c r="H329" s="317">
        <v>7.8232793431536191E-3</v>
      </c>
      <c r="I329" s="317">
        <v>2.5012421854893478</v>
      </c>
      <c r="J329" s="317">
        <v>3.1046402538708683E-2</v>
      </c>
      <c r="K329" s="317">
        <v>2.9005457624976125E-2</v>
      </c>
      <c r="L329" s="318">
        <v>2.5227622258767893E-4</v>
      </c>
      <c r="M329" s="317">
        <v>2.8226001043294832E-3</v>
      </c>
      <c r="N329" s="318">
        <v>2.0000005732018801E-3</v>
      </c>
      <c r="O329" s="317">
        <v>2.9742422538445331E-2</v>
      </c>
      <c r="P329" s="318">
        <v>1.6566190619547599E-2</v>
      </c>
      <c r="Q329" s="319">
        <v>3.0316955708965584E-2</v>
      </c>
    </row>
    <row r="330" spans="2:17" ht="15.75" x14ac:dyDescent="0.25">
      <c r="B330" s="176">
        <v>2021</v>
      </c>
      <c r="C330" s="177">
        <v>2010</v>
      </c>
      <c r="D330" s="178" t="s">
        <v>3176</v>
      </c>
      <c r="E330" s="461">
        <v>5.3633114618810457E-2</v>
      </c>
      <c r="F330" s="462">
        <v>5.780998184708127E-2</v>
      </c>
      <c r="G330" s="316">
        <v>7.6607369883837567E-2</v>
      </c>
      <c r="H330" s="317">
        <v>6.7354311523602859E-3</v>
      </c>
      <c r="I330" s="317">
        <v>0.180734248246011</v>
      </c>
      <c r="J330" s="317">
        <v>2.8977854666763989E-2</v>
      </c>
      <c r="K330" s="317">
        <v>1.4225715376048397E-2</v>
      </c>
      <c r="L330" s="318">
        <v>3.0797585276738957E-4</v>
      </c>
      <c r="M330" s="317">
        <v>2.6995971277207552E-3</v>
      </c>
      <c r="N330" s="318">
        <v>2.0000005732018801E-3</v>
      </c>
      <c r="O330" s="317">
        <v>2.7650141906330868E-2</v>
      </c>
      <c r="P330" s="318">
        <v>1.6274921119549875E-2</v>
      </c>
      <c r="Q330" s="319">
        <v>1.4868939099676246E-2</v>
      </c>
    </row>
    <row r="331" spans="2:17" ht="15.75" x14ac:dyDescent="0.25">
      <c r="B331" s="176">
        <v>2021</v>
      </c>
      <c r="C331" s="177">
        <v>2011</v>
      </c>
      <c r="D331" s="178" t="s">
        <v>3177</v>
      </c>
      <c r="E331" s="461">
        <v>5.3310597705324821E-2</v>
      </c>
      <c r="F331" s="462">
        <v>5.6404340669084119E-2</v>
      </c>
      <c r="G331" s="316">
        <v>7.6136810603746594E-2</v>
      </c>
      <c r="H331" s="317">
        <v>6.8097829920329249E-3</v>
      </c>
      <c r="I331" s="317">
        <v>0.17846935582372675</v>
      </c>
      <c r="J331" s="317">
        <v>2.8908637618503277E-2</v>
      </c>
      <c r="K331" s="317">
        <v>1.3745480114160921E-2</v>
      </c>
      <c r="L331" s="318">
        <v>4.1747282740801976E-4</v>
      </c>
      <c r="M331" s="317">
        <v>2.7180041767720115E-3</v>
      </c>
      <c r="N331" s="318">
        <v>2.0000005732018801E-3</v>
      </c>
      <c r="O331" s="317">
        <v>2.796324581069274E-2</v>
      </c>
      <c r="P331" s="318">
        <v>1.637747677997213E-2</v>
      </c>
      <c r="Q331" s="319">
        <v>1.4366989730258628E-2</v>
      </c>
    </row>
    <row r="332" spans="2:17" ht="15.75" x14ac:dyDescent="0.25">
      <c r="B332" s="176">
        <v>2021</v>
      </c>
      <c r="C332" s="177">
        <v>2012</v>
      </c>
      <c r="D332" s="178" t="s">
        <v>3178</v>
      </c>
      <c r="E332" s="461">
        <v>5.0931849225510022E-2</v>
      </c>
      <c r="F332" s="462">
        <v>5.6118080257761681E-2</v>
      </c>
      <c r="G332" s="316">
        <v>6.2660942271977813E-2</v>
      </c>
      <c r="H332" s="317">
        <v>6.281014147080175E-3</v>
      </c>
      <c r="I332" s="317">
        <v>0.14422848612185071</v>
      </c>
      <c r="J332" s="317">
        <v>2.8448543967808985E-2</v>
      </c>
      <c r="K332" s="317">
        <v>1.1320824640112583E-2</v>
      </c>
      <c r="L332" s="318">
        <v>6.0711046611981007E-4</v>
      </c>
      <c r="M332" s="317">
        <v>2.5696929497374512E-3</v>
      </c>
      <c r="N332" s="318">
        <v>2.0000005732018801E-3</v>
      </c>
      <c r="O332" s="317">
        <v>2.5440471838834876E-2</v>
      </c>
      <c r="P332" s="318">
        <v>1.6688345301794829E-2</v>
      </c>
      <c r="Q332" s="319">
        <v>1.1832702094923171E-2</v>
      </c>
    </row>
    <row r="333" spans="2:17" ht="15.75" x14ac:dyDescent="0.25">
      <c r="B333" s="176">
        <v>2021</v>
      </c>
      <c r="C333" s="177">
        <v>2013</v>
      </c>
      <c r="D333" s="178" t="s">
        <v>3179</v>
      </c>
      <c r="E333" s="461">
        <v>5.308859747612351E-2</v>
      </c>
      <c r="F333" s="462">
        <v>5.4787381742057592E-2</v>
      </c>
      <c r="G333" s="316">
        <v>7.6426671250462846E-2</v>
      </c>
      <c r="H333" s="317">
        <v>7.0568575888422039E-3</v>
      </c>
      <c r="I333" s="317">
        <v>0.17384194093907707</v>
      </c>
      <c r="J333" s="317">
        <v>2.8949731289384596E-2</v>
      </c>
      <c r="K333" s="317">
        <v>1.2639229170425391E-2</v>
      </c>
      <c r="L333" s="318">
        <v>9.0681367804661453E-4</v>
      </c>
      <c r="M333" s="317">
        <v>2.7486916786449091E-3</v>
      </c>
      <c r="N333" s="318">
        <v>2.0000005732018801E-3</v>
      </c>
      <c r="O333" s="317">
        <v>2.8485240217550729E-2</v>
      </c>
      <c r="P333" s="318">
        <v>1.6773063814388575E-2</v>
      </c>
      <c r="Q333" s="319">
        <v>1.3210719027763256E-2</v>
      </c>
    </row>
    <row r="334" spans="2:17" ht="15.75" x14ac:dyDescent="0.25">
      <c r="B334" s="176">
        <v>2021</v>
      </c>
      <c r="C334" s="177">
        <v>2014</v>
      </c>
      <c r="D334" s="178" t="s">
        <v>3180</v>
      </c>
      <c r="E334" s="461">
        <v>5.0198807686041104E-2</v>
      </c>
      <c r="F334" s="462">
        <v>5.2934919259173367E-2</v>
      </c>
      <c r="G334" s="316">
        <v>6.4255500873632118E-2</v>
      </c>
      <c r="H334" s="317">
        <v>7.0133727749189349E-3</v>
      </c>
      <c r="I334" s="317">
        <v>0.1438525149833329</v>
      </c>
      <c r="J334" s="317">
        <v>2.7887659676849197E-2</v>
      </c>
      <c r="K334" s="317">
        <v>1.0514891106113172E-2</v>
      </c>
      <c r="L334" s="318">
        <v>1.2716282818134124E-3</v>
      </c>
      <c r="M334" s="317">
        <v>2.621031077452526E-3</v>
      </c>
      <c r="N334" s="318">
        <v>2.0000005732018801E-3</v>
      </c>
      <c r="O334" s="317">
        <v>2.6313733391268287E-2</v>
      </c>
      <c r="P334" s="318">
        <v>1.6372959259763335E-2</v>
      </c>
      <c r="Q334" s="319">
        <v>1.0990327822793369E-2</v>
      </c>
    </row>
    <row r="335" spans="2:17" ht="15.75" x14ac:dyDescent="0.25">
      <c r="B335" s="176">
        <v>2021</v>
      </c>
      <c r="C335" s="177">
        <v>2015</v>
      </c>
      <c r="D335" s="178" t="s">
        <v>3181</v>
      </c>
      <c r="E335" s="461">
        <v>4.9014928227969948E-2</v>
      </c>
      <c r="F335" s="462">
        <v>5.4734017555981632E-2</v>
      </c>
      <c r="G335" s="316">
        <v>5.9638000187733485E-2</v>
      </c>
      <c r="H335" s="317">
        <v>6.8155583250347667E-3</v>
      </c>
      <c r="I335" s="317">
        <v>0.1321382981591146</v>
      </c>
      <c r="J335" s="317">
        <v>2.8402422340106519E-2</v>
      </c>
      <c r="K335" s="317">
        <v>9.4425283328798369E-3</v>
      </c>
      <c r="L335" s="318">
        <v>1.5839700824833783E-3</v>
      </c>
      <c r="M335" s="317">
        <v>2.593602179246304E-3</v>
      </c>
      <c r="N335" s="318">
        <v>2.0000005732018801E-3</v>
      </c>
      <c r="O335" s="317">
        <v>2.5847167832780453E-2</v>
      </c>
      <c r="P335" s="318">
        <v>1.7216225872792309E-2</v>
      </c>
      <c r="Q335" s="319">
        <v>9.869477563493748E-3</v>
      </c>
    </row>
    <row r="336" spans="2:17" ht="15.75" x14ac:dyDescent="0.25">
      <c r="B336" s="176">
        <v>2021</v>
      </c>
      <c r="C336" s="177">
        <v>2016</v>
      </c>
      <c r="D336" s="178" t="s">
        <v>3182</v>
      </c>
      <c r="E336" s="461">
        <v>5.016030582756062E-2</v>
      </c>
      <c r="F336" s="462">
        <v>5.5626614772206512E-2</v>
      </c>
      <c r="G336" s="316">
        <v>7.3031800720452039E-2</v>
      </c>
      <c r="H336" s="317">
        <v>6.5616363913292798E-3</v>
      </c>
      <c r="I336" s="317">
        <v>0.13953694597883656</v>
      </c>
      <c r="J336" s="317">
        <v>2.8011037911737351E-2</v>
      </c>
      <c r="K336" s="317">
        <v>1.0237440115632475E-2</v>
      </c>
      <c r="L336" s="318">
        <v>1.8172850492833279E-3</v>
      </c>
      <c r="M336" s="317">
        <v>2.7903360856191771E-3</v>
      </c>
      <c r="N336" s="318">
        <v>2.0000005732018797E-3</v>
      </c>
      <c r="O336" s="317">
        <v>2.9193611580183035E-2</v>
      </c>
      <c r="P336" s="318">
        <v>1.8027102305779825E-2</v>
      </c>
      <c r="Q336" s="319">
        <v>1.0700331729693676E-2</v>
      </c>
    </row>
    <row r="337" spans="2:17" ht="15.75" x14ac:dyDescent="0.25">
      <c r="B337" s="176">
        <v>2021</v>
      </c>
      <c r="C337" s="177">
        <v>2017</v>
      </c>
      <c r="D337" s="178" t="s">
        <v>3183</v>
      </c>
      <c r="E337" s="461">
        <v>4.647117931038152E-2</v>
      </c>
      <c r="F337" s="462">
        <v>5.0318143723889167E-2</v>
      </c>
      <c r="G337" s="316">
        <v>5.4693845220274574E-2</v>
      </c>
      <c r="H337" s="317">
        <v>6.4112326553514539E-3</v>
      </c>
      <c r="I337" s="317">
        <v>9.6991890722579882E-2</v>
      </c>
      <c r="J337" s="317">
        <v>2.6231786412539745E-2</v>
      </c>
      <c r="K337" s="317">
        <v>8.2900952924972789E-3</v>
      </c>
      <c r="L337" s="318">
        <v>1.9984779270431452E-3</v>
      </c>
      <c r="M337" s="317">
        <v>2.713370448096936E-3</v>
      </c>
      <c r="N337" s="318">
        <v>2.0000005732018801E-3</v>
      </c>
      <c r="O337" s="317">
        <v>2.7884426085929708E-2</v>
      </c>
      <c r="P337" s="318">
        <v>1.7091668111747602E-2</v>
      </c>
      <c r="Q337" s="319">
        <v>8.6649366148709439E-3</v>
      </c>
    </row>
    <row r="338" spans="2:17" ht="15.75" x14ac:dyDescent="0.25">
      <c r="B338" s="176">
        <v>2021</v>
      </c>
      <c r="C338" s="177">
        <v>2018</v>
      </c>
      <c r="D338" s="178" t="s">
        <v>3184</v>
      </c>
      <c r="E338" s="461">
        <v>4.3638361896727561E-2</v>
      </c>
      <c r="F338" s="462">
        <v>4.8120699064842384E-2</v>
      </c>
      <c r="G338" s="316">
        <v>5.3224482297153382E-2</v>
      </c>
      <c r="H338" s="317">
        <v>6.0437509457209014E-3</v>
      </c>
      <c r="I338" s="317">
        <v>7.659525298425314E-2</v>
      </c>
      <c r="J338" s="317">
        <v>2.4938839288864621E-2</v>
      </c>
      <c r="K338" s="317">
        <v>6.9240734508844238E-3</v>
      </c>
      <c r="L338" s="318">
        <v>2.0833264310080473E-3</v>
      </c>
      <c r="M338" s="317">
        <v>2.7130164901346294E-3</v>
      </c>
      <c r="N338" s="318">
        <v>2.0000005732018801E-3</v>
      </c>
      <c r="O338" s="317">
        <v>2.787840526099087E-2</v>
      </c>
      <c r="P338" s="318">
        <v>1.7091350294237286E-2</v>
      </c>
      <c r="Q338" s="319">
        <v>7.2371493272125314E-3</v>
      </c>
    </row>
    <row r="339" spans="2:17" ht="15.75" x14ac:dyDescent="0.25">
      <c r="B339" s="176">
        <v>2021</v>
      </c>
      <c r="C339" s="177">
        <v>2019</v>
      </c>
      <c r="D339" s="178" t="s">
        <v>3185</v>
      </c>
      <c r="E339" s="461">
        <v>4.3130590388645251E-2</v>
      </c>
      <c r="F339" s="462">
        <v>4.6266462573301539E-2</v>
      </c>
      <c r="G339" s="316">
        <v>5.1552703984895656E-2</v>
      </c>
      <c r="H339" s="317">
        <v>5.3965964166243522E-3</v>
      </c>
      <c r="I339" s="317">
        <v>6.3269245890474099E-2</v>
      </c>
      <c r="J339" s="317">
        <v>2.2600079016004689E-2</v>
      </c>
      <c r="K339" s="317">
        <v>5.2829373544255121E-3</v>
      </c>
      <c r="L339" s="318">
        <v>1.9808492409754928E-3</v>
      </c>
      <c r="M339" s="317">
        <v>2.7102576147057782E-3</v>
      </c>
      <c r="N339" s="318">
        <v>2.0000005732018801E-3</v>
      </c>
      <c r="O339" s="317">
        <v>2.7831476789946116E-2</v>
      </c>
      <c r="P339" s="318">
        <v>1.7086876824300667E-2</v>
      </c>
      <c r="Q339" s="319">
        <v>5.5218083389053174E-3</v>
      </c>
    </row>
    <row r="340" spans="2:17" ht="15.75" x14ac:dyDescent="0.25">
      <c r="B340" s="176">
        <v>2021</v>
      </c>
      <c r="C340" s="177">
        <v>2020</v>
      </c>
      <c r="D340" s="178" t="s">
        <v>3186</v>
      </c>
      <c r="E340" s="461">
        <v>4.2624835426998714E-2</v>
      </c>
      <c r="F340" s="462">
        <v>4.4398758017229735E-2</v>
      </c>
      <c r="G340" s="316">
        <v>4.9871224632965901E-2</v>
      </c>
      <c r="H340" s="317">
        <v>4.6311873232748203E-3</v>
      </c>
      <c r="I340" s="317">
        <v>5.0914795212710029E-2</v>
      </c>
      <c r="J340" s="317">
        <v>1.9951412088093944E-2</v>
      </c>
      <c r="K340" s="317">
        <v>3.8508020123370471E-3</v>
      </c>
      <c r="L340" s="318">
        <v>1.4567851280567132E-3</v>
      </c>
      <c r="M340" s="317">
        <v>2.7085761656259421E-3</v>
      </c>
      <c r="N340" s="318">
        <v>2.0000005732018801E-3</v>
      </c>
      <c r="O340" s="317">
        <v>2.7802875341098102E-2</v>
      </c>
      <c r="P340" s="318">
        <v>1.708315773764358E-2</v>
      </c>
      <c r="Q340" s="319">
        <v>4.0249181916540795E-3</v>
      </c>
    </row>
    <row r="341" spans="2:17" ht="15.75" x14ac:dyDescent="0.25">
      <c r="B341" s="176">
        <v>2021</v>
      </c>
      <c r="C341" s="177">
        <v>2021</v>
      </c>
      <c r="D341" s="178" t="s">
        <v>3187</v>
      </c>
      <c r="E341" s="461">
        <v>4.0897368980332235E-2</v>
      </c>
      <c r="F341" s="462">
        <v>4.1654426970474549E-2</v>
      </c>
      <c r="G341" s="316">
        <v>4.4382240164125286E-2</v>
      </c>
      <c r="H341" s="317">
        <v>3.944817198632251E-3</v>
      </c>
      <c r="I341" s="317">
        <v>3.262494201218355E-2</v>
      </c>
      <c r="J341" s="317">
        <v>1.719107387462979E-2</v>
      </c>
      <c r="K341" s="317">
        <v>1.9302943785674677E-3</v>
      </c>
      <c r="L341" s="318">
        <v>9.4673236473269222E-4</v>
      </c>
      <c r="M341" s="317">
        <v>2.6793277601653721E-3</v>
      </c>
      <c r="N341" s="318">
        <v>2.0000005732018801E-3</v>
      </c>
      <c r="O341" s="317">
        <v>2.73053599642138E-2</v>
      </c>
      <c r="P341" s="318">
        <v>1.6876164194040921E-2</v>
      </c>
      <c r="Q341" s="319">
        <v>2.0175737248118502E-3</v>
      </c>
    </row>
    <row r="342" spans="2:17" ht="15.75" x14ac:dyDescent="0.25">
      <c r="B342" s="176">
        <v>2022</v>
      </c>
      <c r="C342" s="177">
        <v>1978</v>
      </c>
      <c r="D342" s="178" t="s">
        <v>3188</v>
      </c>
      <c r="E342" s="461">
        <v>5.8427998637827806E-2</v>
      </c>
      <c r="F342" s="462">
        <v>0.10440504483193609</v>
      </c>
      <c r="G342" s="316">
        <v>0.74431353212099816</v>
      </c>
      <c r="H342" s="317">
        <v>1.7981716753759636</v>
      </c>
      <c r="I342" s="317">
        <v>2.2735219600969563</v>
      </c>
      <c r="J342" s="317">
        <v>4.4683820448369698</v>
      </c>
      <c r="K342" s="317">
        <v>0.52010037814832832</v>
      </c>
      <c r="L342" s="318">
        <v>4.5099761634678687E-2</v>
      </c>
      <c r="M342" s="317">
        <v>2.0811135604779998E-3</v>
      </c>
      <c r="N342" s="318">
        <v>2.0000005732018801E-3</v>
      </c>
      <c r="O342" s="317">
        <v>1.7129736427531597E-2</v>
      </c>
      <c r="P342" s="318">
        <v>1.9269099595733169E-2</v>
      </c>
      <c r="Q342" s="319">
        <v>0.54361700933694956</v>
      </c>
    </row>
    <row r="343" spans="2:17" ht="15.75" x14ac:dyDescent="0.25">
      <c r="B343" s="176">
        <v>2022</v>
      </c>
      <c r="C343" s="177">
        <v>1979</v>
      </c>
      <c r="D343" s="178" t="s">
        <v>3189</v>
      </c>
      <c r="E343" s="461">
        <v>5.7665536686625524E-2</v>
      </c>
      <c r="F343" s="462">
        <v>0.10448296359812768</v>
      </c>
      <c r="G343" s="316">
        <v>0.72696965360208476</v>
      </c>
      <c r="H343" s="317">
        <v>1.7987722165282278</v>
      </c>
      <c r="I343" s="317">
        <v>2.2755772397202172</v>
      </c>
      <c r="J343" s="317">
        <v>4.4047068906529141</v>
      </c>
      <c r="K343" s="317">
        <v>0.50820554514436478</v>
      </c>
      <c r="L343" s="318">
        <v>4.4747203699592113E-2</v>
      </c>
      <c r="M343" s="317">
        <v>2.0850378221216612E-3</v>
      </c>
      <c r="N343" s="318">
        <v>2.0000005732018801E-3</v>
      </c>
      <c r="O343" s="317">
        <v>1.7196488118090276E-2</v>
      </c>
      <c r="P343" s="318">
        <v>1.9445230173783749E-2</v>
      </c>
      <c r="Q343" s="319">
        <v>0.53118434476708609</v>
      </c>
    </row>
    <row r="344" spans="2:17" ht="15.75" x14ac:dyDescent="0.25">
      <c r="B344" s="176">
        <v>2022</v>
      </c>
      <c r="C344" s="177">
        <v>1980</v>
      </c>
      <c r="D344" s="178" t="s">
        <v>3190</v>
      </c>
      <c r="E344" s="461">
        <v>5.7770603169440805E-2</v>
      </c>
      <c r="F344" s="462">
        <v>0.10994595231403474</v>
      </c>
      <c r="G344" s="316">
        <v>0.3372696839205333</v>
      </c>
      <c r="H344" s="317">
        <v>2.131275826678773</v>
      </c>
      <c r="I344" s="317">
        <v>2.0518933353247637</v>
      </c>
      <c r="J344" s="317">
        <v>4.3608933042028744</v>
      </c>
      <c r="K344" s="317">
        <v>0.26943685628292813</v>
      </c>
      <c r="L344" s="318">
        <v>3.7367029623796455E-2</v>
      </c>
      <c r="M344" s="317">
        <v>2.0788266648621287E-3</v>
      </c>
      <c r="N344" s="318">
        <v>2.0000005732018801E-3</v>
      </c>
      <c r="O344" s="317">
        <v>1.7090836333105625E-2</v>
      </c>
      <c r="P344" s="318">
        <v>2.2772943045503362E-2</v>
      </c>
      <c r="Q344" s="319">
        <v>0.28161959531569958</v>
      </c>
    </row>
    <row r="345" spans="2:17" ht="15.75" x14ac:dyDescent="0.25">
      <c r="B345" s="176">
        <v>2022</v>
      </c>
      <c r="C345" s="177">
        <v>1981</v>
      </c>
      <c r="D345" s="178" t="s">
        <v>3191</v>
      </c>
      <c r="E345" s="461">
        <v>5.8901965533748782E-2</v>
      </c>
      <c r="F345" s="462">
        <v>0.10648441926363209</v>
      </c>
      <c r="G345" s="316">
        <v>0.33819138072864408</v>
      </c>
      <c r="H345" s="317">
        <v>2.1016194444753911</v>
      </c>
      <c r="I345" s="317">
        <v>2.3027398137103288</v>
      </c>
      <c r="J345" s="317">
        <v>3.6024225833315766</v>
      </c>
      <c r="K345" s="317">
        <v>0.26930337523369241</v>
      </c>
      <c r="L345" s="318">
        <v>1.7842925693957696E-2</v>
      </c>
      <c r="M345" s="317">
        <v>2.1663735300205262E-3</v>
      </c>
      <c r="N345" s="318">
        <v>2.0000005732018801E-3</v>
      </c>
      <c r="O345" s="317">
        <v>1.8580008509449967E-2</v>
      </c>
      <c r="P345" s="318">
        <v>2.528711592634152E-2</v>
      </c>
      <c r="Q345" s="319">
        <v>0.28148007884573151</v>
      </c>
    </row>
    <row r="346" spans="2:17" ht="15.75" x14ac:dyDescent="0.25">
      <c r="B346" s="176">
        <v>2022</v>
      </c>
      <c r="C346" s="177">
        <v>1982</v>
      </c>
      <c r="D346" s="178" t="s">
        <v>3192</v>
      </c>
      <c r="E346" s="461">
        <v>5.7185843266891766E-2</v>
      </c>
      <c r="F346" s="462">
        <v>0.1040831965155708</v>
      </c>
      <c r="G346" s="316">
        <v>0.30371648802512746</v>
      </c>
      <c r="H346" s="317">
        <v>2.0150016868610741</v>
      </c>
      <c r="I346" s="317">
        <v>2.9054847733962585</v>
      </c>
      <c r="J346" s="317">
        <v>3.528538536141653</v>
      </c>
      <c r="K346" s="317">
        <v>0.23984846314053915</v>
      </c>
      <c r="L346" s="318">
        <v>1.8041673996730446E-2</v>
      </c>
      <c r="M346" s="317">
        <v>2.329375443812955E-3</v>
      </c>
      <c r="N346" s="318">
        <v>2.0000005732018801E-3</v>
      </c>
      <c r="O346" s="317">
        <v>2.1352671063059155E-2</v>
      </c>
      <c r="P346" s="318">
        <v>2.4402868373300104E-2</v>
      </c>
      <c r="Q346" s="319">
        <v>0.25069334633196216</v>
      </c>
    </row>
    <row r="347" spans="2:17" ht="15.75" x14ac:dyDescent="0.25">
      <c r="B347" s="176">
        <v>2022</v>
      </c>
      <c r="C347" s="177">
        <v>1983</v>
      </c>
      <c r="D347" s="178" t="s">
        <v>3193</v>
      </c>
      <c r="E347" s="461">
        <v>5.7104089991216384E-2</v>
      </c>
      <c r="F347" s="462">
        <v>0.10004229990538321</v>
      </c>
      <c r="G347" s="316">
        <v>0.21489893295824442</v>
      </c>
      <c r="H347" s="317">
        <v>1.7415982223369335</v>
      </c>
      <c r="I347" s="317">
        <v>3.3153668193986627</v>
      </c>
      <c r="J347" s="317">
        <v>3.053742659138083</v>
      </c>
      <c r="K347" s="317">
        <v>0.21207701164348564</v>
      </c>
      <c r="L347" s="318">
        <v>1.7835314713563054E-2</v>
      </c>
      <c r="M347" s="317">
        <v>2.5035309168614278E-3</v>
      </c>
      <c r="N347" s="318">
        <v>2.0000005732018801E-3</v>
      </c>
      <c r="O347" s="317">
        <v>2.4315055659613713E-2</v>
      </c>
      <c r="P347" s="318">
        <v>2.3082932986789977E-2</v>
      </c>
      <c r="Q347" s="319">
        <v>0.22166619303220292</v>
      </c>
    </row>
    <row r="348" spans="2:17" ht="15.75" x14ac:dyDescent="0.25">
      <c r="B348" s="176">
        <v>2022</v>
      </c>
      <c r="C348" s="177">
        <v>1984</v>
      </c>
      <c r="D348" s="178" t="s">
        <v>3194</v>
      </c>
      <c r="E348" s="461">
        <v>5.5904297081733362E-2</v>
      </c>
      <c r="F348" s="462">
        <v>0.10062890311988688</v>
      </c>
      <c r="G348" s="316">
        <v>0.26282182047813946</v>
      </c>
      <c r="H348" s="317">
        <v>1.4798599981796179</v>
      </c>
      <c r="I348" s="317">
        <v>3.9768085574157146</v>
      </c>
      <c r="J348" s="317">
        <v>3.5209713296593854</v>
      </c>
      <c r="K348" s="317">
        <v>0.18483641522316446</v>
      </c>
      <c r="L348" s="318">
        <v>1.841569343502665E-2</v>
      </c>
      <c r="M348" s="317">
        <v>2.7092333354033923E-3</v>
      </c>
      <c r="N348" s="318">
        <v>2.0000005732018801E-3</v>
      </c>
      <c r="O348" s="317">
        <v>2.7814053799012532E-2</v>
      </c>
      <c r="P348" s="318">
        <v>2.2912247237957917E-2</v>
      </c>
      <c r="Q348" s="319">
        <v>0.19319389772011061</v>
      </c>
    </row>
    <row r="349" spans="2:17" ht="15.75" x14ac:dyDescent="0.25">
      <c r="B349" s="176">
        <v>2022</v>
      </c>
      <c r="C349" s="177">
        <v>1985</v>
      </c>
      <c r="D349" s="178" t="s">
        <v>3195</v>
      </c>
      <c r="E349" s="461">
        <v>5.6949376896897323E-2</v>
      </c>
      <c r="F349" s="462">
        <v>9.7623610108699341E-2</v>
      </c>
      <c r="G349" s="316">
        <v>0.24805063610675285</v>
      </c>
      <c r="H349" s="317">
        <v>1.094987142357323</v>
      </c>
      <c r="I349" s="317">
        <v>4.5181502372334874</v>
      </c>
      <c r="J349" s="317">
        <v>2.9165305901705136</v>
      </c>
      <c r="K349" s="317">
        <v>0.18044529155905817</v>
      </c>
      <c r="L349" s="318">
        <v>1.7195037506419299E-2</v>
      </c>
      <c r="M349" s="317">
        <v>2.8558671953578733E-3</v>
      </c>
      <c r="N349" s="318">
        <v>2.0000005732018801E-3</v>
      </c>
      <c r="O349" s="317">
        <v>3.0308295756838254E-2</v>
      </c>
      <c r="P349" s="318">
        <v>2.2950495240401079E-2</v>
      </c>
      <c r="Q349" s="319">
        <v>0.18860422692923637</v>
      </c>
    </row>
    <row r="350" spans="2:17" ht="15.75" x14ac:dyDescent="0.25">
      <c r="B350" s="176">
        <v>2022</v>
      </c>
      <c r="C350" s="177">
        <v>1986</v>
      </c>
      <c r="D350" s="178" t="s">
        <v>3196</v>
      </c>
      <c r="E350" s="461">
        <v>5.7482084498678018E-2</v>
      </c>
      <c r="F350" s="462">
        <v>9.2409733679537101E-2</v>
      </c>
      <c r="G350" s="316">
        <v>0.24302297420266444</v>
      </c>
      <c r="H350" s="317">
        <v>1.0496545277195288</v>
      </c>
      <c r="I350" s="317">
        <v>4.7258459358800762</v>
      </c>
      <c r="J350" s="317">
        <v>2.7470442275089404</v>
      </c>
      <c r="K350" s="317">
        <v>0.17934039991880171</v>
      </c>
      <c r="L350" s="318">
        <v>1.7332550003724054E-2</v>
      </c>
      <c r="M350" s="317">
        <v>2.9158845791460381E-3</v>
      </c>
      <c r="N350" s="318">
        <v>2.0000005732018801E-3</v>
      </c>
      <c r="O350" s="317">
        <v>3.1329191455074935E-2</v>
      </c>
      <c r="P350" s="318">
        <v>2.2435084009216507E-2</v>
      </c>
      <c r="Q350" s="319">
        <v>0.18744937699189196</v>
      </c>
    </row>
    <row r="351" spans="2:17" ht="15.75" x14ac:dyDescent="0.25">
      <c r="B351" s="176">
        <v>2022</v>
      </c>
      <c r="C351" s="177">
        <v>1987</v>
      </c>
      <c r="D351" s="178" t="s">
        <v>3197</v>
      </c>
      <c r="E351" s="461">
        <v>5.7675725720696694E-2</v>
      </c>
      <c r="F351" s="462">
        <v>8.9043549770727773E-2</v>
      </c>
      <c r="G351" s="316">
        <v>0.29475462190879387</v>
      </c>
      <c r="H351" s="317">
        <v>0.97242220728698836</v>
      </c>
      <c r="I351" s="317">
        <v>4.9978579171616735</v>
      </c>
      <c r="J351" s="317">
        <v>2.6425345093591655</v>
      </c>
      <c r="K351" s="317">
        <v>0.1999535198129111</v>
      </c>
      <c r="L351" s="318">
        <v>1.7579844865449775E-2</v>
      </c>
      <c r="M351" s="317">
        <v>2.9622860053533204E-3</v>
      </c>
      <c r="N351" s="318">
        <v>2.0000005732018801E-3</v>
      </c>
      <c r="O351" s="317">
        <v>3.2118479714860808E-2</v>
      </c>
      <c r="P351" s="318">
        <v>2.1460747398272372E-2</v>
      </c>
      <c r="Q351" s="319">
        <v>0.20899453069824769</v>
      </c>
    </row>
    <row r="352" spans="2:17" ht="15.75" x14ac:dyDescent="0.25">
      <c r="B352" s="176">
        <v>2022</v>
      </c>
      <c r="C352" s="177">
        <v>1988</v>
      </c>
      <c r="D352" s="178" t="s">
        <v>3198</v>
      </c>
      <c r="E352" s="461">
        <v>5.7501671954483677E-2</v>
      </c>
      <c r="F352" s="462">
        <v>8.7995564756535791E-2</v>
      </c>
      <c r="G352" s="316">
        <v>0.29135605224224909</v>
      </c>
      <c r="H352" s="317">
        <v>0.50076658731790458</v>
      </c>
      <c r="I352" s="317">
        <v>5.0756056989203806</v>
      </c>
      <c r="J352" s="317">
        <v>1.8959864149241086</v>
      </c>
      <c r="K352" s="317">
        <v>0.19792376768301287</v>
      </c>
      <c r="L352" s="318">
        <v>1.7010364204773556E-2</v>
      </c>
      <c r="M352" s="317">
        <v>2.9764651955780327E-3</v>
      </c>
      <c r="N352" s="318">
        <v>2.0000005732018801E-3</v>
      </c>
      <c r="O352" s="317">
        <v>3.2359667740583159E-2</v>
      </c>
      <c r="P352" s="318">
        <v>2.1996188760060136E-2</v>
      </c>
      <c r="Q352" s="319">
        <v>0.20687300218392671</v>
      </c>
    </row>
    <row r="353" spans="2:17" ht="15.75" x14ac:dyDescent="0.25">
      <c r="B353" s="176">
        <v>2022</v>
      </c>
      <c r="C353" s="177">
        <v>1989</v>
      </c>
      <c r="D353" s="178" t="s">
        <v>3199</v>
      </c>
      <c r="E353" s="461">
        <v>5.7680655284858273E-2</v>
      </c>
      <c r="F353" s="462">
        <v>9.0577804096214368E-2</v>
      </c>
      <c r="G353" s="316">
        <v>0.2925006055301525</v>
      </c>
      <c r="H353" s="317">
        <v>0.49876243384606495</v>
      </c>
      <c r="I353" s="317">
        <v>5.1131935106305182</v>
      </c>
      <c r="J353" s="317">
        <v>1.8903962164332166</v>
      </c>
      <c r="K353" s="317">
        <v>0.19893525061464057</v>
      </c>
      <c r="L353" s="318">
        <v>1.6773081496009586E-2</v>
      </c>
      <c r="M353" s="317">
        <v>2.9868979239386826E-3</v>
      </c>
      <c r="N353" s="318">
        <v>2.0000005732018805E-3</v>
      </c>
      <c r="O353" s="317">
        <v>3.2537128449997822E-2</v>
      </c>
      <c r="P353" s="318">
        <v>2.2904370970780654E-2</v>
      </c>
      <c r="Q353" s="319">
        <v>0.207930219885335</v>
      </c>
    </row>
    <row r="354" spans="2:17" ht="15.75" x14ac:dyDescent="0.25">
      <c r="B354" s="176">
        <v>2022</v>
      </c>
      <c r="C354" s="177">
        <v>1990</v>
      </c>
      <c r="D354" s="178" t="s">
        <v>3200</v>
      </c>
      <c r="E354" s="461">
        <v>5.8141791071743158E-2</v>
      </c>
      <c r="F354" s="462">
        <v>8.8284912419357819E-2</v>
      </c>
      <c r="G354" s="316">
        <v>0.29725916022567461</v>
      </c>
      <c r="H354" s="317">
        <v>0.50019787103250013</v>
      </c>
      <c r="I354" s="317">
        <v>5.0643713296603012</v>
      </c>
      <c r="J354" s="317">
        <v>1.8826235157580289</v>
      </c>
      <c r="K354" s="317">
        <v>0.20218966175917349</v>
      </c>
      <c r="L354" s="318">
        <v>1.7024133744299706E-2</v>
      </c>
      <c r="M354" s="317">
        <v>2.9879121664336786E-3</v>
      </c>
      <c r="N354" s="318">
        <v>2.0000005732018801E-3</v>
      </c>
      <c r="O354" s="317">
        <v>3.2554380714837711E-2</v>
      </c>
      <c r="P354" s="318">
        <v>2.2082809616638329E-2</v>
      </c>
      <c r="Q354" s="319">
        <v>0.21133178106058709</v>
      </c>
    </row>
    <row r="355" spans="2:17" ht="15.75" x14ac:dyDescent="0.25">
      <c r="B355" s="176">
        <v>2022</v>
      </c>
      <c r="C355" s="177">
        <v>1991</v>
      </c>
      <c r="D355" s="178" t="s">
        <v>3201</v>
      </c>
      <c r="E355" s="461">
        <v>5.8045341991729525E-2</v>
      </c>
      <c r="F355" s="462">
        <v>8.638097434405545E-2</v>
      </c>
      <c r="G355" s="316">
        <v>0.37999292107152316</v>
      </c>
      <c r="H355" s="317">
        <v>0.52146306188384306</v>
      </c>
      <c r="I355" s="317">
        <v>8.9279303143725866</v>
      </c>
      <c r="J355" s="317">
        <v>2.3211541465526793</v>
      </c>
      <c r="K355" s="317">
        <v>5.6141131942983938E-2</v>
      </c>
      <c r="L355" s="318">
        <v>9.5670165691479243E-3</v>
      </c>
      <c r="M355" s="317">
        <v>2.9858722024207747E-3</v>
      </c>
      <c r="N355" s="318">
        <v>2.0000005732018797E-3</v>
      </c>
      <c r="O355" s="317">
        <v>3.2519680926978198E-2</v>
      </c>
      <c r="P355" s="318">
        <v>2.1350372838164478E-2</v>
      </c>
      <c r="Q355" s="319">
        <v>5.8679584806862285E-2</v>
      </c>
    </row>
    <row r="356" spans="2:17" ht="15.75" x14ac:dyDescent="0.25">
      <c r="B356" s="176">
        <v>2022</v>
      </c>
      <c r="C356" s="177">
        <v>1992</v>
      </c>
      <c r="D356" s="178" t="s">
        <v>3202</v>
      </c>
      <c r="E356" s="461">
        <v>5.8034566019912803E-2</v>
      </c>
      <c r="F356" s="462">
        <v>8.3587794849674935E-2</v>
      </c>
      <c r="G356" s="316">
        <v>0.38054725006226647</v>
      </c>
      <c r="H356" s="317">
        <v>0.52261809728104558</v>
      </c>
      <c r="I356" s="317">
        <v>8.8555549731744847</v>
      </c>
      <c r="J356" s="317">
        <v>2.2571841283410889</v>
      </c>
      <c r="K356" s="317">
        <v>5.7498438543657097E-2</v>
      </c>
      <c r="L356" s="318">
        <v>9.6905959287364209E-3</v>
      </c>
      <c r="M356" s="317">
        <v>2.9777553604271008E-3</v>
      </c>
      <c r="N356" s="318">
        <v>2.0000005732018797E-3</v>
      </c>
      <c r="O356" s="317">
        <v>3.2381613444665822E-2</v>
      </c>
      <c r="P356" s="318">
        <v>2.0421110193377699E-2</v>
      </c>
      <c r="Q356" s="319">
        <v>6.0098262789059123E-2</v>
      </c>
    </row>
    <row r="357" spans="2:17" ht="15.75" x14ac:dyDescent="0.25">
      <c r="B357" s="176">
        <v>2022</v>
      </c>
      <c r="C357" s="177">
        <v>1993</v>
      </c>
      <c r="D357" s="178" t="s">
        <v>3203</v>
      </c>
      <c r="E357" s="461">
        <v>5.7904672591219529E-2</v>
      </c>
      <c r="F357" s="462">
        <v>7.491569639691921E-2</v>
      </c>
      <c r="G357" s="316">
        <v>0.37529907785793282</v>
      </c>
      <c r="H357" s="317">
        <v>0.52724446430342564</v>
      </c>
      <c r="I357" s="317">
        <v>8.9042117144631838</v>
      </c>
      <c r="J357" s="317">
        <v>2.2093819540120436</v>
      </c>
      <c r="K357" s="317">
        <v>5.3921239302666679E-2</v>
      </c>
      <c r="L357" s="318">
        <v>9.8345646848481908E-3</v>
      </c>
      <c r="M357" s="317">
        <v>2.9814404484310043E-3</v>
      </c>
      <c r="N357" s="318">
        <v>2.0000005732018801E-3</v>
      </c>
      <c r="O357" s="317">
        <v>3.2444296791612211E-2</v>
      </c>
      <c r="P357" s="318">
        <v>1.9963145263319299E-2</v>
      </c>
      <c r="Q357" s="319">
        <v>5.6359318471977574E-2</v>
      </c>
    </row>
    <row r="358" spans="2:17" ht="15.75" x14ac:dyDescent="0.25">
      <c r="B358" s="176">
        <v>2022</v>
      </c>
      <c r="C358" s="177">
        <v>1994</v>
      </c>
      <c r="D358" s="178" t="s">
        <v>3204</v>
      </c>
      <c r="E358" s="461">
        <v>5.7655548718970148E-2</v>
      </c>
      <c r="F358" s="462">
        <v>7.1393242064782647E-2</v>
      </c>
      <c r="G358" s="316">
        <v>0.37009320933670886</v>
      </c>
      <c r="H358" s="317">
        <v>0.52849732885971368</v>
      </c>
      <c r="I358" s="317">
        <v>8.8605709301906224</v>
      </c>
      <c r="J358" s="317">
        <v>2.139867154829306</v>
      </c>
      <c r="K358" s="317">
        <v>5.4085564676054861E-2</v>
      </c>
      <c r="L358" s="318">
        <v>9.9542904656279643E-3</v>
      </c>
      <c r="M358" s="317">
        <v>2.9719162173338946E-3</v>
      </c>
      <c r="N358" s="318">
        <v>2.0000005732018801E-3</v>
      </c>
      <c r="O358" s="317">
        <v>3.2282289620650384E-2</v>
      </c>
      <c r="P358" s="318">
        <v>1.8971920683460996E-2</v>
      </c>
      <c r="Q358" s="319">
        <v>5.6531073909567402E-2</v>
      </c>
    </row>
    <row r="359" spans="2:17" ht="15.75" x14ac:dyDescent="0.25">
      <c r="B359" s="176">
        <v>2022</v>
      </c>
      <c r="C359" s="177">
        <v>1995</v>
      </c>
      <c r="D359" s="178" t="s">
        <v>3205</v>
      </c>
      <c r="E359" s="461">
        <v>5.7351008953188676E-2</v>
      </c>
      <c r="F359" s="462">
        <v>7.292776117961286E-2</v>
      </c>
      <c r="G359" s="316">
        <v>0.36688377030076624</v>
      </c>
      <c r="H359" s="317">
        <v>0.39986125646703513</v>
      </c>
      <c r="I359" s="317">
        <v>8.9655884506054715</v>
      </c>
      <c r="J359" s="317">
        <v>1.6754184792889373</v>
      </c>
      <c r="K359" s="317">
        <v>5.3429766939751155E-2</v>
      </c>
      <c r="L359" s="318">
        <v>9.1920001321151509E-3</v>
      </c>
      <c r="M359" s="317">
        <v>2.9771271241124555E-3</v>
      </c>
      <c r="N359" s="318">
        <v>2.0000005732018801E-3</v>
      </c>
      <c r="O359" s="317">
        <v>3.2370927144953703E-2</v>
      </c>
      <c r="P359" s="318">
        <v>1.9678433122400675E-2</v>
      </c>
      <c r="Q359" s="319">
        <v>5.5845623909687364E-2</v>
      </c>
    </row>
    <row r="360" spans="2:17" ht="15.75" x14ac:dyDescent="0.25">
      <c r="B360" s="176">
        <v>2022</v>
      </c>
      <c r="C360" s="177">
        <v>1996</v>
      </c>
      <c r="D360" s="178" t="s">
        <v>3206</v>
      </c>
      <c r="E360" s="461">
        <v>5.7478374954464173E-2</v>
      </c>
      <c r="F360" s="462">
        <v>7.2562528933440465E-2</v>
      </c>
      <c r="G360" s="316">
        <v>0.36922080489390841</v>
      </c>
      <c r="H360" s="317">
        <v>0.13840239273956464</v>
      </c>
      <c r="I360" s="317">
        <v>8.9621847203919547</v>
      </c>
      <c r="J360" s="317">
        <v>1.0180872614549095</v>
      </c>
      <c r="K360" s="317">
        <v>5.3658971308579044E-2</v>
      </c>
      <c r="L360" s="318">
        <v>2.8122977827555241E-3</v>
      </c>
      <c r="M360" s="317">
        <v>2.9795936478969054E-3</v>
      </c>
      <c r="N360" s="318">
        <v>2.0000005732018797E-3</v>
      </c>
      <c r="O360" s="317">
        <v>3.2412882714527191E-2</v>
      </c>
      <c r="P360" s="318">
        <v>1.9911826742583797E-2</v>
      </c>
      <c r="Q360" s="319">
        <v>5.6085191882994323E-2</v>
      </c>
    </row>
    <row r="361" spans="2:17" ht="15.75" x14ac:dyDescent="0.25">
      <c r="B361" s="176">
        <v>2022</v>
      </c>
      <c r="C361" s="177">
        <v>1997</v>
      </c>
      <c r="D361" s="178" t="s">
        <v>3207</v>
      </c>
      <c r="E361" s="461">
        <v>5.761605269546325E-2</v>
      </c>
      <c r="F361" s="462">
        <v>7.0231773390561317E-2</v>
      </c>
      <c r="G361" s="316">
        <v>0.37171274972160273</v>
      </c>
      <c r="H361" s="317">
        <v>0.14400235730019278</v>
      </c>
      <c r="I361" s="317">
        <v>8.9715367395711549</v>
      </c>
      <c r="J361" s="317">
        <v>1.0493719993200239</v>
      </c>
      <c r="K361" s="317">
        <v>5.3877495297597708E-2</v>
      </c>
      <c r="L361" s="318">
        <v>2.8358805373314569E-3</v>
      </c>
      <c r="M361" s="317">
        <v>2.9833447113472291E-3</v>
      </c>
      <c r="N361" s="318">
        <v>2.0000005732018801E-3</v>
      </c>
      <c r="O361" s="317">
        <v>3.2476688303817197E-2</v>
      </c>
      <c r="P361" s="318">
        <v>1.9250075653506952E-2</v>
      </c>
      <c r="Q361" s="319">
        <v>5.631359655711049E-2</v>
      </c>
    </row>
    <row r="362" spans="2:17" ht="15.75" x14ac:dyDescent="0.25">
      <c r="B362" s="176">
        <v>2022</v>
      </c>
      <c r="C362" s="177">
        <v>1998</v>
      </c>
      <c r="D362" s="178" t="s">
        <v>3208</v>
      </c>
      <c r="E362" s="461">
        <v>5.7490131540540543E-2</v>
      </c>
      <c r="F362" s="462">
        <v>6.6892560068503484E-2</v>
      </c>
      <c r="G362" s="316">
        <v>0.3698020268620566</v>
      </c>
      <c r="H362" s="317">
        <v>0.13382337290905422</v>
      </c>
      <c r="I362" s="317">
        <v>8.9492008087498114</v>
      </c>
      <c r="J362" s="317">
        <v>0.92738978627826163</v>
      </c>
      <c r="K362" s="317">
        <v>5.3737836738856806E-2</v>
      </c>
      <c r="L362" s="318">
        <v>2.8787497136577469E-3</v>
      </c>
      <c r="M362" s="317">
        <v>2.9796981634608592E-3</v>
      </c>
      <c r="N362" s="318">
        <v>2.0000005732018801E-3</v>
      </c>
      <c r="O362" s="317">
        <v>3.2414660524270049E-2</v>
      </c>
      <c r="P362" s="318">
        <v>1.829683580346296E-2</v>
      </c>
      <c r="Q362" s="319">
        <v>5.6167623258069066E-2</v>
      </c>
    </row>
    <row r="363" spans="2:17" ht="15.75" x14ac:dyDescent="0.25">
      <c r="B363" s="176">
        <v>2022</v>
      </c>
      <c r="C363" s="177">
        <v>1999</v>
      </c>
      <c r="D363" s="178" t="s">
        <v>3209</v>
      </c>
      <c r="E363" s="461">
        <v>5.7627489703992708E-2</v>
      </c>
      <c r="F363" s="462">
        <v>6.7251497431887991E-2</v>
      </c>
      <c r="G363" s="316">
        <v>0.3730885234217447</v>
      </c>
      <c r="H363" s="317">
        <v>0.11720236356185214</v>
      </c>
      <c r="I363" s="317">
        <v>9.0653739423127426</v>
      </c>
      <c r="J363" s="317">
        <v>0.77013039903794689</v>
      </c>
      <c r="K363" s="317">
        <v>5.3687029866603925E-2</v>
      </c>
      <c r="L363" s="318">
        <v>2.8860432627120336E-3</v>
      </c>
      <c r="M363" s="317">
        <v>2.9939922559853575E-3</v>
      </c>
      <c r="N363" s="318">
        <v>2.0000005732018797E-3</v>
      </c>
      <c r="O363" s="317">
        <v>3.2657803038111756E-2</v>
      </c>
      <c r="P363" s="318">
        <v>1.8420242163044415E-2</v>
      </c>
      <c r="Q363" s="319">
        <v>5.6114519124504991E-2</v>
      </c>
    </row>
    <row r="364" spans="2:17" ht="15.75" x14ac:dyDescent="0.25">
      <c r="B364" s="176">
        <v>2022</v>
      </c>
      <c r="C364" s="177">
        <v>2000</v>
      </c>
      <c r="D364" s="178" t="s">
        <v>3210</v>
      </c>
      <c r="E364" s="461">
        <v>5.7483702142170086E-2</v>
      </c>
      <c r="F364" s="462">
        <v>7.3274596639527054E-2</v>
      </c>
      <c r="G364" s="316">
        <v>0.3703226526414739</v>
      </c>
      <c r="H364" s="317">
        <v>0.10039458802891235</v>
      </c>
      <c r="I364" s="317">
        <v>9.1194982868514902</v>
      </c>
      <c r="J364" s="317">
        <v>0.61616656117183688</v>
      </c>
      <c r="K364" s="317">
        <v>5.3196482928942468E-2</v>
      </c>
      <c r="L364" s="318">
        <v>2.883277890056826E-3</v>
      </c>
      <c r="M364" s="317">
        <v>2.9978843185790214E-3</v>
      </c>
      <c r="N364" s="318">
        <v>2.0000005732018805E-3</v>
      </c>
      <c r="O364" s="317">
        <v>3.272400702282998E-2</v>
      </c>
      <c r="P364" s="318">
        <v>1.8566482323704329E-2</v>
      </c>
      <c r="Q364" s="319">
        <v>5.5601791831092359E-2</v>
      </c>
    </row>
    <row r="365" spans="2:17" ht="15.75" x14ac:dyDescent="0.25">
      <c r="B365" s="176">
        <v>2022</v>
      </c>
      <c r="C365" s="177">
        <v>2001</v>
      </c>
      <c r="D365" s="178" t="s">
        <v>3211</v>
      </c>
      <c r="E365" s="461">
        <v>5.7561604470560059E-2</v>
      </c>
      <c r="F365" s="462">
        <v>7.1991485229179045E-2</v>
      </c>
      <c r="G365" s="316">
        <v>0.3685295416289025</v>
      </c>
      <c r="H365" s="317">
        <v>8.5932281308973069E-2</v>
      </c>
      <c r="I365" s="317">
        <v>9.0485811104705238</v>
      </c>
      <c r="J365" s="317">
        <v>0.47330015784921237</v>
      </c>
      <c r="K365" s="317">
        <v>5.3240002140724378E-2</v>
      </c>
      <c r="L365" s="318">
        <v>2.9063378262752077E-3</v>
      </c>
      <c r="M365" s="317">
        <v>2.9926406159343799E-3</v>
      </c>
      <c r="N365" s="318">
        <v>2.0000005732018801E-3</v>
      </c>
      <c r="O365" s="317">
        <v>3.2634811640844627E-2</v>
      </c>
      <c r="P365" s="318">
        <v>1.8147691280972388E-2</v>
      </c>
      <c r="Q365" s="319">
        <v>5.5647278788517315E-2</v>
      </c>
    </row>
    <row r="366" spans="2:17" ht="15.75" x14ac:dyDescent="0.25">
      <c r="B366" s="176">
        <v>2022</v>
      </c>
      <c r="C366" s="177">
        <v>2002</v>
      </c>
      <c r="D366" s="178" t="s">
        <v>3212</v>
      </c>
      <c r="E366" s="461">
        <v>5.7390123477887085E-2</v>
      </c>
      <c r="F366" s="462">
        <v>7.0247574364047771E-2</v>
      </c>
      <c r="G366" s="316">
        <v>0.28375469686737953</v>
      </c>
      <c r="H366" s="317">
        <v>8.5201422133956067E-2</v>
      </c>
      <c r="I366" s="317">
        <v>7.0160509609224073</v>
      </c>
      <c r="J366" s="317">
        <v>0.45541938321745085</v>
      </c>
      <c r="K366" s="317">
        <v>5.3325474284028514E-2</v>
      </c>
      <c r="L366" s="318">
        <v>2.9321949678253853E-3</v>
      </c>
      <c r="M366" s="317">
        <v>2.9966923461794285E-3</v>
      </c>
      <c r="N366" s="318">
        <v>2.0000005732018801E-3</v>
      </c>
      <c r="O366" s="317">
        <v>3.2703731572312905E-2</v>
      </c>
      <c r="P366" s="318">
        <v>1.758515413315339E-2</v>
      </c>
      <c r="Q366" s="319">
        <v>5.5736615602864741E-2</v>
      </c>
    </row>
    <row r="367" spans="2:17" ht="15.75" x14ac:dyDescent="0.25">
      <c r="B367" s="176">
        <v>2022</v>
      </c>
      <c r="C367" s="177">
        <v>2003</v>
      </c>
      <c r="D367" s="178" t="s">
        <v>3213</v>
      </c>
      <c r="E367" s="461">
        <v>5.7171400597307104E-2</v>
      </c>
      <c r="F367" s="462">
        <v>7.1109178108114623E-2</v>
      </c>
      <c r="G367" s="316">
        <v>0.27895985410625929</v>
      </c>
      <c r="H367" s="317">
        <v>6.8709654127610223E-2</v>
      </c>
      <c r="I367" s="317">
        <v>7.0071668994743455</v>
      </c>
      <c r="J367" s="317">
        <v>0.38786612386461961</v>
      </c>
      <c r="K367" s="317">
        <v>5.2739163360823231E-2</v>
      </c>
      <c r="L367" s="318">
        <v>2.9169085219548736E-3</v>
      </c>
      <c r="M367" s="317">
        <v>2.992544157965312E-3</v>
      </c>
      <c r="N367" s="318">
        <v>2.0000005732018801E-3</v>
      </c>
      <c r="O367" s="317">
        <v>3.2633170890790784E-2</v>
      </c>
      <c r="P367" s="318">
        <v>1.7905365971850804E-2</v>
      </c>
      <c r="Q367" s="319">
        <v>5.5123794301428296E-2</v>
      </c>
    </row>
    <row r="368" spans="2:17" ht="15.75" x14ac:dyDescent="0.25">
      <c r="B368" s="176">
        <v>2022</v>
      </c>
      <c r="C368" s="177">
        <v>2004</v>
      </c>
      <c r="D368" s="178" t="s">
        <v>3214</v>
      </c>
      <c r="E368" s="461">
        <v>5.707177378184225E-2</v>
      </c>
      <c r="F368" s="462">
        <v>7.1056458693355945E-2</v>
      </c>
      <c r="G368" s="316">
        <v>0.22789344981296772</v>
      </c>
      <c r="H368" s="317">
        <v>1.7942436682544825E-2</v>
      </c>
      <c r="I368" s="317">
        <v>5.8386585183760795</v>
      </c>
      <c r="J368" s="317">
        <v>0.10958991485789452</v>
      </c>
      <c r="K368" s="317">
        <v>5.2177973799463796E-2</v>
      </c>
      <c r="L368" s="318">
        <v>1.9490872480128075E-4</v>
      </c>
      <c r="M368" s="317">
        <v>2.9895950574066405E-3</v>
      </c>
      <c r="N368" s="318">
        <v>2.0000005732018801E-3</v>
      </c>
      <c r="O368" s="317">
        <v>3.2583006690287783E-2</v>
      </c>
      <c r="P368" s="318">
        <v>1.7561485935484462E-2</v>
      </c>
      <c r="Q368" s="319">
        <v>5.4537230238345988E-2</v>
      </c>
    </row>
    <row r="369" spans="2:17" ht="15.75" x14ac:dyDescent="0.25">
      <c r="B369" s="176">
        <v>2022</v>
      </c>
      <c r="C369" s="177">
        <v>2005</v>
      </c>
      <c r="D369" s="178" t="s">
        <v>3215</v>
      </c>
      <c r="E369" s="461">
        <v>5.6814236557796979E-2</v>
      </c>
      <c r="F369" s="462">
        <v>6.7676790777298393E-2</v>
      </c>
      <c r="G369" s="316">
        <v>0.22234373238577895</v>
      </c>
      <c r="H369" s="317">
        <v>1.5712818382500604E-2</v>
      </c>
      <c r="I369" s="317">
        <v>5.8139206253411375</v>
      </c>
      <c r="J369" s="317">
        <v>8.886101559613295E-2</v>
      </c>
      <c r="K369" s="317">
        <v>5.1448953706064629E-2</v>
      </c>
      <c r="L369" s="318">
        <v>1.9566849007970614E-4</v>
      </c>
      <c r="M369" s="317">
        <v>2.980075172795913E-3</v>
      </c>
      <c r="N369" s="318">
        <v>2.0000005732018801E-3</v>
      </c>
      <c r="O369" s="317">
        <v>3.2421073453059314E-2</v>
      </c>
      <c r="P369" s="318">
        <v>1.6933794514854068E-2</v>
      </c>
      <c r="Q369" s="319">
        <v>5.3775247091302103E-2</v>
      </c>
    </row>
    <row r="370" spans="2:17" ht="15.75" x14ac:dyDescent="0.25">
      <c r="B370" s="176">
        <v>2022</v>
      </c>
      <c r="C370" s="177">
        <v>2006</v>
      </c>
      <c r="D370" s="178" t="s">
        <v>3216</v>
      </c>
      <c r="E370" s="461">
        <v>5.6744378357897356E-2</v>
      </c>
      <c r="F370" s="462">
        <v>7.002595926943786E-2</v>
      </c>
      <c r="G370" s="316">
        <v>0.21881301334569161</v>
      </c>
      <c r="H370" s="317">
        <v>5.5998698348852429E-3</v>
      </c>
      <c r="I370" s="317">
        <v>5.7982899658485501</v>
      </c>
      <c r="J370" s="317">
        <v>5.1183970590250837E-2</v>
      </c>
      <c r="K370" s="317">
        <v>5.098379370361384E-2</v>
      </c>
      <c r="L370" s="318">
        <v>1.924339143600421E-4</v>
      </c>
      <c r="M370" s="317">
        <v>2.977674372629956E-3</v>
      </c>
      <c r="N370" s="318">
        <v>2.0000005732018801E-3</v>
      </c>
      <c r="O370" s="317">
        <v>3.2380235842236385E-2</v>
      </c>
      <c r="P370" s="318">
        <v>1.8388551616924331E-2</v>
      </c>
      <c r="Q370" s="319">
        <v>5.3289054617657414E-2</v>
      </c>
    </row>
    <row r="371" spans="2:17" ht="15.75" x14ac:dyDescent="0.25">
      <c r="B371" s="176">
        <v>2022</v>
      </c>
      <c r="C371" s="177">
        <v>2007</v>
      </c>
      <c r="D371" s="178" t="s">
        <v>3217</v>
      </c>
      <c r="E371" s="461">
        <v>5.6512508218749938E-2</v>
      </c>
      <c r="F371" s="462">
        <v>6.6274785889314611E-2</v>
      </c>
      <c r="G371" s="316">
        <v>0.15448250661095567</v>
      </c>
      <c r="H371" s="317">
        <v>8.1201856046714486E-3</v>
      </c>
      <c r="I371" s="317">
        <v>2.9196933695495026</v>
      </c>
      <c r="J371" s="317">
        <v>4.8375620607083489E-2</v>
      </c>
      <c r="K371" s="317">
        <v>3.4095466069661268E-2</v>
      </c>
      <c r="L371" s="318">
        <v>1.9533620746600081E-4</v>
      </c>
      <c r="M371" s="317">
        <v>2.9487676346251113E-3</v>
      </c>
      <c r="N371" s="318">
        <v>2.0000005732018805E-3</v>
      </c>
      <c r="O371" s="317">
        <v>3.1888532228773969E-2</v>
      </c>
      <c r="P371" s="318">
        <v>1.7147970213269758E-2</v>
      </c>
      <c r="Q371" s="319">
        <v>3.5637111748941422E-2</v>
      </c>
    </row>
    <row r="372" spans="2:17" ht="15.75" x14ac:dyDescent="0.25">
      <c r="B372" s="176">
        <v>2022</v>
      </c>
      <c r="C372" s="177">
        <v>2008</v>
      </c>
      <c r="D372" s="178" t="s">
        <v>3218</v>
      </c>
      <c r="E372" s="461">
        <v>5.6530767689710965E-2</v>
      </c>
      <c r="F372" s="462">
        <v>6.4534664337537295E-2</v>
      </c>
      <c r="G372" s="316">
        <v>0.1540987982862804</v>
      </c>
      <c r="H372" s="317">
        <v>7.9307669858867547E-3</v>
      </c>
      <c r="I372" s="317">
        <v>2.9498118064334031</v>
      </c>
      <c r="J372" s="317">
        <v>3.9776051849550034E-2</v>
      </c>
      <c r="K372" s="317">
        <v>3.3947543894697882E-2</v>
      </c>
      <c r="L372" s="318">
        <v>2.2327199741920925E-4</v>
      </c>
      <c r="M372" s="317">
        <v>2.9621088647098898E-3</v>
      </c>
      <c r="N372" s="318">
        <v>2.0000005732018801E-3</v>
      </c>
      <c r="O372" s="317">
        <v>3.2115466552516056E-2</v>
      </c>
      <c r="P372" s="318">
        <v>1.711454030091842E-2</v>
      </c>
      <c r="Q372" s="319">
        <v>3.5482501189621173E-2</v>
      </c>
    </row>
    <row r="373" spans="2:17" ht="15.75" x14ac:dyDescent="0.25">
      <c r="B373" s="176">
        <v>2022</v>
      </c>
      <c r="C373" s="177">
        <v>2009</v>
      </c>
      <c r="D373" s="178" t="s">
        <v>3219</v>
      </c>
      <c r="E373" s="461">
        <v>5.5261772568431032E-2</v>
      </c>
      <c r="F373" s="462">
        <v>5.9513029751579946E-2</v>
      </c>
      <c r="G373" s="316">
        <v>0.13491665894301977</v>
      </c>
      <c r="H373" s="317">
        <v>7.8540880725098076E-3</v>
      </c>
      <c r="I373" s="317">
        <v>2.5167584678347246</v>
      </c>
      <c r="J373" s="317">
        <v>3.1330051838967511E-2</v>
      </c>
      <c r="K373" s="317">
        <v>2.9700214948659358E-2</v>
      </c>
      <c r="L373" s="318">
        <v>2.5222247904437272E-4</v>
      </c>
      <c r="M373" s="317">
        <v>2.8255262599140665E-3</v>
      </c>
      <c r="N373" s="318">
        <v>2.0000005732018797E-3</v>
      </c>
      <c r="O373" s="317">
        <v>2.9792196444939089E-2</v>
      </c>
      <c r="P373" s="318">
        <v>1.6573743380474903E-2</v>
      </c>
      <c r="Q373" s="319">
        <v>3.104312687588583E-2</v>
      </c>
    </row>
    <row r="374" spans="2:17" ht="15.75" x14ac:dyDescent="0.25">
      <c r="B374" s="176">
        <v>2022</v>
      </c>
      <c r="C374" s="177">
        <v>2010</v>
      </c>
      <c r="D374" s="178" t="s">
        <v>3220</v>
      </c>
      <c r="E374" s="461">
        <v>5.370449325414018E-2</v>
      </c>
      <c r="F374" s="462">
        <v>5.7884500866421738E-2</v>
      </c>
      <c r="G374" s="316">
        <v>7.81936181978099E-2</v>
      </c>
      <c r="H374" s="317">
        <v>6.7992292740885136E-3</v>
      </c>
      <c r="I374" s="317">
        <v>0.18640796426710138</v>
      </c>
      <c r="J374" s="317">
        <v>2.9413277419041688E-2</v>
      </c>
      <c r="K374" s="317">
        <v>1.490090225422662E-2</v>
      </c>
      <c r="L374" s="318">
        <v>3.0790328386288187E-4</v>
      </c>
      <c r="M374" s="317">
        <v>2.7046496268751871E-3</v>
      </c>
      <c r="N374" s="318">
        <v>2.0000005732018801E-3</v>
      </c>
      <c r="O374" s="317">
        <v>2.7736084916947755E-2</v>
      </c>
      <c r="P374" s="318">
        <v>1.6279545776724975E-2</v>
      </c>
      <c r="Q374" s="319">
        <v>1.5574654932388254E-2</v>
      </c>
    </row>
    <row r="375" spans="2:17" ht="15.75" x14ac:dyDescent="0.25">
      <c r="B375" s="176">
        <v>2022</v>
      </c>
      <c r="C375" s="177">
        <v>2011</v>
      </c>
      <c r="D375" s="178" t="s">
        <v>3221</v>
      </c>
      <c r="E375" s="461">
        <v>5.336080078680857E-2</v>
      </c>
      <c r="F375" s="462">
        <v>5.6489689085930085E-2</v>
      </c>
      <c r="G375" s="316">
        <v>7.7602748589063117E-2</v>
      </c>
      <c r="H375" s="317">
        <v>6.875458441476366E-3</v>
      </c>
      <c r="I375" s="317">
        <v>0.18405495985829445</v>
      </c>
      <c r="J375" s="317">
        <v>2.9354402013099651E-2</v>
      </c>
      <c r="K375" s="317">
        <v>1.4444076256561572E-2</v>
      </c>
      <c r="L375" s="318">
        <v>4.1735251066708041E-4</v>
      </c>
      <c r="M375" s="317">
        <v>2.7207561343605903E-3</v>
      </c>
      <c r="N375" s="318">
        <v>2.0000005732018801E-3</v>
      </c>
      <c r="O375" s="317">
        <v>2.8010056609274466E-2</v>
      </c>
      <c r="P375" s="318">
        <v>1.638573341232406E-2</v>
      </c>
      <c r="Q375" s="319">
        <v>1.5097173290244192E-2</v>
      </c>
    </row>
    <row r="376" spans="2:17" ht="15.75" x14ac:dyDescent="0.25">
      <c r="B376" s="176">
        <v>2022</v>
      </c>
      <c r="C376" s="177">
        <v>2012</v>
      </c>
      <c r="D376" s="178" t="s">
        <v>3222</v>
      </c>
      <c r="E376" s="461">
        <v>5.1001340330734946E-2</v>
      </c>
      <c r="F376" s="462">
        <v>5.6196195101239792E-2</v>
      </c>
      <c r="G376" s="316">
        <v>6.4163185690995397E-2</v>
      </c>
      <c r="H376" s="317">
        <v>6.3531118097207868E-3</v>
      </c>
      <c r="I376" s="317">
        <v>0.14947223620640818</v>
      </c>
      <c r="J376" s="317">
        <v>2.8995952134238688E-2</v>
      </c>
      <c r="K376" s="317">
        <v>1.1973655435493901E-2</v>
      </c>
      <c r="L376" s="318">
        <v>6.0684020678505629E-4</v>
      </c>
      <c r="M376" s="317">
        <v>2.5739909793517407E-3</v>
      </c>
      <c r="N376" s="318">
        <v>2.0000005732018801E-3</v>
      </c>
      <c r="O376" s="317">
        <v>2.551358132257394E-2</v>
      </c>
      <c r="P376" s="318">
        <v>1.669483487928751E-2</v>
      </c>
      <c r="Q376" s="319">
        <v>1.2515051001977895E-2</v>
      </c>
    </row>
    <row r="377" spans="2:17" ht="15.75" x14ac:dyDescent="0.25">
      <c r="B377" s="176">
        <v>2022</v>
      </c>
      <c r="C377" s="177">
        <v>2013</v>
      </c>
      <c r="D377" s="178" t="s">
        <v>3223</v>
      </c>
      <c r="E377" s="461">
        <v>5.3127961506584283E-2</v>
      </c>
      <c r="F377" s="462">
        <v>5.4838016076482289E-2</v>
      </c>
      <c r="G377" s="316">
        <v>7.8000052051469815E-2</v>
      </c>
      <c r="H377" s="317">
        <v>7.1476405328615607E-3</v>
      </c>
      <c r="I377" s="317">
        <v>0.1800976818223341</v>
      </c>
      <c r="J377" s="317">
        <v>2.9336492633041337E-2</v>
      </c>
      <c r="K377" s="317">
        <v>1.3440484416161436E-2</v>
      </c>
      <c r="L377" s="318">
        <v>9.0678145538061457E-4</v>
      </c>
      <c r="M377" s="317">
        <v>2.7501607660943696E-3</v>
      </c>
      <c r="N377" s="318">
        <v>2.0000005732018801E-3</v>
      </c>
      <c r="O377" s="317">
        <v>2.8510229395066058E-2</v>
      </c>
      <c r="P377" s="318">
        <v>1.6772028367474306E-2</v>
      </c>
      <c r="Q377" s="319">
        <v>1.4048203480193979E-2</v>
      </c>
    </row>
    <row r="378" spans="2:17" ht="15.75" x14ac:dyDescent="0.25">
      <c r="B378" s="176">
        <v>2022</v>
      </c>
      <c r="C378" s="177">
        <v>2014</v>
      </c>
      <c r="D378" s="178" t="s">
        <v>3224</v>
      </c>
      <c r="E378" s="461">
        <v>5.0254617449335216E-2</v>
      </c>
      <c r="F378" s="462">
        <v>5.298132066645616E-2</v>
      </c>
      <c r="G378" s="316">
        <v>6.5865963788270698E-2</v>
      </c>
      <c r="H378" s="317">
        <v>7.118248548055291E-3</v>
      </c>
      <c r="I378" s="317">
        <v>0.14977403379112228</v>
      </c>
      <c r="J378" s="317">
        <v>2.8255527820824165E-2</v>
      </c>
      <c r="K378" s="317">
        <v>1.1271507437423984E-2</v>
      </c>
      <c r="L378" s="318">
        <v>1.2713145779227155E-3</v>
      </c>
      <c r="M378" s="317">
        <v>2.6241153305176339E-3</v>
      </c>
      <c r="N378" s="318">
        <v>2.0000005732018801E-3</v>
      </c>
      <c r="O378" s="317">
        <v>2.6366196535905783E-2</v>
      </c>
      <c r="P378" s="318">
        <v>1.6374836702254716E-2</v>
      </c>
      <c r="Q378" s="319">
        <v>1.1781154987170762E-2</v>
      </c>
    </row>
    <row r="379" spans="2:17" ht="15.75" x14ac:dyDescent="0.25">
      <c r="B379" s="176">
        <v>2022</v>
      </c>
      <c r="C379" s="177">
        <v>2015</v>
      </c>
      <c r="D379" s="178" t="s">
        <v>3225</v>
      </c>
      <c r="E379" s="461">
        <v>4.9052107375318989E-2</v>
      </c>
      <c r="F379" s="462">
        <v>5.4801938996864988E-2</v>
      </c>
      <c r="G379" s="316">
        <v>6.1146145031988119E-2</v>
      </c>
      <c r="H379" s="317">
        <v>6.9296394213657414E-3</v>
      </c>
      <c r="I379" s="317">
        <v>0.13782317299714369</v>
      </c>
      <c r="J379" s="317">
        <v>2.882519750894524E-2</v>
      </c>
      <c r="K379" s="317">
        <v>1.0196420685407206E-2</v>
      </c>
      <c r="L379" s="318">
        <v>1.5832945056754233E-3</v>
      </c>
      <c r="M379" s="317">
        <v>2.5953477071225879E-3</v>
      </c>
      <c r="N379" s="318">
        <v>2.0000005732018801E-3</v>
      </c>
      <c r="O379" s="317">
        <v>2.5876859261956049E-2</v>
      </c>
      <c r="P379" s="318">
        <v>1.7223494926703262E-2</v>
      </c>
      <c r="Q379" s="319">
        <v>1.065745758285464E-2</v>
      </c>
    </row>
    <row r="380" spans="2:17" ht="15.75" x14ac:dyDescent="0.25">
      <c r="B380" s="176">
        <v>2022</v>
      </c>
      <c r="C380" s="177">
        <v>2016</v>
      </c>
      <c r="D380" s="178" t="s">
        <v>3226</v>
      </c>
      <c r="E380" s="461">
        <v>5.0209233111075613E-2</v>
      </c>
      <c r="F380" s="462">
        <v>5.5768644507670773E-2</v>
      </c>
      <c r="G380" s="316">
        <v>7.4943144092353323E-2</v>
      </c>
      <c r="H380" s="317">
        <v>6.6596091413525793E-3</v>
      </c>
      <c r="I380" s="317">
        <v>0.14630732666874882</v>
      </c>
      <c r="J380" s="317">
        <v>2.8414074840629872E-2</v>
      </c>
      <c r="K380" s="317">
        <v>1.1220157525326249E-2</v>
      </c>
      <c r="L380" s="318">
        <v>1.8156136532215591E-3</v>
      </c>
      <c r="M380" s="317">
        <v>2.7925621021460787E-3</v>
      </c>
      <c r="N380" s="318">
        <v>2.0000005732018797E-3</v>
      </c>
      <c r="O380" s="317">
        <v>2.9231476121305625E-2</v>
      </c>
      <c r="P380" s="318">
        <v>1.8054740273396659E-2</v>
      </c>
      <c r="Q380" s="319">
        <v>1.1727483259909886E-2</v>
      </c>
    </row>
    <row r="381" spans="2:17" ht="15.75" x14ac:dyDescent="0.25">
      <c r="B381" s="176">
        <v>2022</v>
      </c>
      <c r="C381" s="177">
        <v>2017</v>
      </c>
      <c r="D381" s="178" t="s">
        <v>3227</v>
      </c>
      <c r="E381" s="461">
        <v>4.6495802065076697E-2</v>
      </c>
      <c r="F381" s="462">
        <v>5.0341841932530995E-2</v>
      </c>
      <c r="G381" s="316">
        <v>5.6173704463280121E-2</v>
      </c>
      <c r="H381" s="317">
        <v>6.5114624479573318E-3</v>
      </c>
      <c r="I381" s="317">
        <v>0.10189093229173131</v>
      </c>
      <c r="J381" s="317">
        <v>2.645370262769605E-2</v>
      </c>
      <c r="K381" s="317">
        <v>9.1864259400191699E-3</v>
      </c>
      <c r="L381" s="318">
        <v>1.9974568314122705E-3</v>
      </c>
      <c r="M381" s="317">
        <v>2.7142691734109584E-3</v>
      </c>
      <c r="N381" s="318">
        <v>2.0000005732018801E-3</v>
      </c>
      <c r="O381" s="317">
        <v>2.7899713403521237E-2</v>
      </c>
      <c r="P381" s="318">
        <v>1.7087521288521024E-2</v>
      </c>
      <c r="Q381" s="319">
        <v>9.6017953568654727E-3</v>
      </c>
    </row>
    <row r="382" spans="2:17" ht="15.75" x14ac:dyDescent="0.25">
      <c r="B382" s="176">
        <v>2022</v>
      </c>
      <c r="C382" s="177">
        <v>2018</v>
      </c>
      <c r="D382" s="178" t="s">
        <v>3228</v>
      </c>
      <c r="E382" s="461">
        <v>4.3652686115349358E-2</v>
      </c>
      <c r="F382" s="462">
        <v>4.8152217628856159E-2</v>
      </c>
      <c r="G382" s="316">
        <v>5.473479848380064E-2</v>
      </c>
      <c r="H382" s="317">
        <v>6.1183111562099855E-3</v>
      </c>
      <c r="I382" s="317">
        <v>8.076743423044784E-2</v>
      </c>
      <c r="J382" s="317">
        <v>2.4994712904963912E-2</v>
      </c>
      <c r="K382" s="317">
        <v>7.8009341657372449E-3</v>
      </c>
      <c r="L382" s="318">
        <v>2.0809984888803712E-3</v>
      </c>
      <c r="M382" s="317">
        <v>2.7133082087591217E-3</v>
      </c>
      <c r="N382" s="318">
        <v>2.0000005732018801E-3</v>
      </c>
      <c r="O382" s="317">
        <v>2.7883367394793482E-2</v>
      </c>
      <c r="P382" s="318">
        <v>1.7091443595980367E-2</v>
      </c>
      <c r="Q382" s="319">
        <v>8.1536577925792001E-3</v>
      </c>
    </row>
    <row r="383" spans="2:17" ht="15.75" x14ac:dyDescent="0.25">
      <c r="B383" s="176">
        <v>2022</v>
      </c>
      <c r="C383" s="177">
        <v>2019</v>
      </c>
      <c r="D383" s="178" t="s">
        <v>3229</v>
      </c>
      <c r="E383" s="461">
        <v>4.317349532786554E-2</v>
      </c>
      <c r="F383" s="462">
        <v>4.6331769281135735E-2</v>
      </c>
      <c r="G383" s="316">
        <v>5.3265369495872315E-2</v>
      </c>
      <c r="H383" s="317">
        <v>5.439705982833198E-3</v>
      </c>
      <c r="I383" s="317">
        <v>6.7170425163610048E-2</v>
      </c>
      <c r="J383" s="317">
        <v>2.2507095471480571E-2</v>
      </c>
      <c r="K383" s="317">
        <v>6.0879067956335483E-3</v>
      </c>
      <c r="L383" s="318">
        <v>1.9767268336453531E-3</v>
      </c>
      <c r="M383" s="317">
        <v>2.7129589989340567E-3</v>
      </c>
      <c r="N383" s="318">
        <v>2.0000005732018801E-3</v>
      </c>
      <c r="O383" s="317">
        <v>2.7877427335669135E-2</v>
      </c>
      <c r="P383" s="318">
        <v>1.7098941584765208E-2</v>
      </c>
      <c r="Q383" s="319">
        <v>6.3631749262457963E-3</v>
      </c>
    </row>
    <row r="384" spans="2:17" ht="15.75" x14ac:dyDescent="0.25">
      <c r="B384" s="176">
        <v>2022</v>
      </c>
      <c r="C384" s="177">
        <v>2020</v>
      </c>
      <c r="D384" s="178" t="s">
        <v>3230</v>
      </c>
      <c r="E384" s="461">
        <v>4.266083494726175E-2</v>
      </c>
      <c r="F384" s="462">
        <v>4.4493108348370412E-2</v>
      </c>
      <c r="G384" s="316">
        <v>5.1593527937341101E-2</v>
      </c>
      <c r="H384" s="317">
        <v>4.6782784902781897E-3</v>
      </c>
      <c r="I384" s="317">
        <v>5.4291579482639712E-2</v>
      </c>
      <c r="J384" s="317">
        <v>1.9951943416282338E-2</v>
      </c>
      <c r="K384" s="317">
        <v>4.5586347478663086E-3</v>
      </c>
      <c r="L384" s="318">
        <v>1.4552247240535974E-3</v>
      </c>
      <c r="M384" s="317">
        <v>2.7102125780078586E-3</v>
      </c>
      <c r="N384" s="318">
        <v>2.0000005732018801E-3</v>
      </c>
      <c r="O384" s="317">
        <v>2.783071071571451E-2</v>
      </c>
      <c r="P384" s="318">
        <v>1.7099516321172029E-2</v>
      </c>
      <c r="Q384" s="319">
        <v>4.764755982522728E-3</v>
      </c>
    </row>
    <row r="385" spans="2:17" ht="15.75" x14ac:dyDescent="0.25">
      <c r="B385" s="176">
        <v>2022</v>
      </c>
      <c r="C385" s="177">
        <v>2021</v>
      </c>
      <c r="D385" s="178" t="s">
        <v>3231</v>
      </c>
      <c r="E385" s="461">
        <v>4.1324457716228107E-2</v>
      </c>
      <c r="F385" s="462">
        <v>4.2436808219111388E-2</v>
      </c>
      <c r="G385" s="316">
        <v>4.7779265298364113E-2</v>
      </c>
      <c r="H385" s="317">
        <v>4.086867726760578E-3</v>
      </c>
      <c r="I385" s="317">
        <v>3.6570214012779066E-2</v>
      </c>
      <c r="J385" s="317">
        <v>1.7973828361573824E-2</v>
      </c>
      <c r="K385" s="317">
        <v>2.5320873200964256E-3</v>
      </c>
      <c r="L385" s="318">
        <v>9.5115589463411697E-4</v>
      </c>
      <c r="M385" s="317">
        <v>2.7085404036830984E-3</v>
      </c>
      <c r="N385" s="318">
        <v>2.0000005732018801E-3</v>
      </c>
      <c r="O385" s="317">
        <v>2.7802267030450332E-2</v>
      </c>
      <c r="P385" s="318">
        <v>1.7098383616264912E-2</v>
      </c>
      <c r="Q385" s="319">
        <v>2.6465770727401145E-3</v>
      </c>
    </row>
    <row r="386" spans="2:17" ht="15.75" x14ac:dyDescent="0.25">
      <c r="B386" s="176">
        <v>2022</v>
      </c>
      <c r="C386" s="177">
        <v>2022</v>
      </c>
      <c r="D386" s="178" t="s">
        <v>3232</v>
      </c>
      <c r="E386" s="461">
        <v>3.9757144829311641E-2</v>
      </c>
      <c r="F386" s="462">
        <v>4.0175342662519979E-2</v>
      </c>
      <c r="G386" s="316">
        <v>4.4423591456187857E-2</v>
      </c>
      <c r="H386" s="317">
        <v>3.3314501205224355E-3</v>
      </c>
      <c r="I386" s="317">
        <v>2.5154160952517178E-2</v>
      </c>
      <c r="J386" s="317">
        <v>1.4962048084728712E-2</v>
      </c>
      <c r="K386" s="317">
        <v>1.4858633527151624E-3</v>
      </c>
      <c r="L386" s="318">
        <v>9.4673954528399086E-4</v>
      </c>
      <c r="M386" s="317">
        <v>2.6793277601653725E-3</v>
      </c>
      <c r="N386" s="318">
        <v>2.0000005732018801E-3</v>
      </c>
      <c r="O386" s="317">
        <v>2.7305359964213814E-2</v>
      </c>
      <c r="P386" s="318">
        <v>1.6882791213541803E-2</v>
      </c>
      <c r="Q386" s="319">
        <v>1.5530475001039655E-3</v>
      </c>
    </row>
    <row r="387" spans="2:17" ht="15.75" x14ac:dyDescent="0.25">
      <c r="B387" s="176">
        <v>2023</v>
      </c>
      <c r="C387" s="177">
        <v>1979</v>
      </c>
      <c r="D387" s="178" t="s">
        <v>3233</v>
      </c>
      <c r="E387" s="461">
        <v>5.7663476180548068E-2</v>
      </c>
      <c r="F387" s="462">
        <v>0.10460870119214725</v>
      </c>
      <c r="G387" s="316">
        <v>0.72816516638609763</v>
      </c>
      <c r="H387" s="317">
        <v>1.7989048653219069</v>
      </c>
      <c r="I387" s="317">
        <v>2.268823875064844</v>
      </c>
      <c r="J387" s="317">
        <v>4.4028020656299169</v>
      </c>
      <c r="K387" s="317">
        <v>0.50900782133076705</v>
      </c>
      <c r="L387" s="318">
        <v>4.4759615283224932E-2</v>
      </c>
      <c r="M387" s="317">
        <v>2.0827839960421771E-3</v>
      </c>
      <c r="N387" s="318">
        <v>2.0000005732018801E-3</v>
      </c>
      <c r="O387" s="317">
        <v>1.7158150536478251E-2</v>
      </c>
      <c r="P387" s="318">
        <v>1.9445230173783749E-2</v>
      </c>
      <c r="Q387" s="319">
        <v>0.53202289632258959</v>
      </c>
    </row>
    <row r="388" spans="2:17" ht="15.75" x14ac:dyDescent="0.25">
      <c r="B388" s="176">
        <v>2023</v>
      </c>
      <c r="C388" s="177">
        <v>1980</v>
      </c>
      <c r="D388" s="178" t="s">
        <v>3234</v>
      </c>
      <c r="E388" s="461">
        <v>5.7787053470478404E-2</v>
      </c>
      <c r="F388" s="462">
        <v>0.11007199076601061</v>
      </c>
      <c r="G388" s="316">
        <v>0.33776197738248837</v>
      </c>
      <c r="H388" s="317">
        <v>2.1315442375264433</v>
      </c>
      <c r="I388" s="317">
        <v>2.0404900420109255</v>
      </c>
      <c r="J388" s="317">
        <v>4.3595677149319441</v>
      </c>
      <c r="K388" s="317">
        <v>0.26986334514285987</v>
      </c>
      <c r="L388" s="318">
        <v>3.7376053775496097E-2</v>
      </c>
      <c r="M388" s="317">
        <v>2.0756867437376186E-3</v>
      </c>
      <c r="N388" s="318">
        <v>2.0000005732018801E-3</v>
      </c>
      <c r="O388" s="317">
        <v>1.7037426274777712E-2</v>
      </c>
      <c r="P388" s="318">
        <v>2.2772943045503362E-2</v>
      </c>
      <c r="Q388" s="319">
        <v>0.28206536810936178</v>
      </c>
    </row>
    <row r="389" spans="2:17" ht="15.75" x14ac:dyDescent="0.25">
      <c r="B389" s="176">
        <v>2023</v>
      </c>
      <c r="C389" s="177">
        <v>1981</v>
      </c>
      <c r="D389" s="178" t="s">
        <v>3235</v>
      </c>
      <c r="E389" s="461">
        <v>5.9021153187307614E-2</v>
      </c>
      <c r="F389" s="462">
        <v>0.10659705399527254</v>
      </c>
      <c r="G389" s="316">
        <v>0.34233336612798804</v>
      </c>
      <c r="H389" s="317">
        <v>2.1020192289260962</v>
      </c>
      <c r="I389" s="317">
        <v>2.2079280884650125</v>
      </c>
      <c r="J389" s="317">
        <v>3.6015861668867344</v>
      </c>
      <c r="K389" s="317">
        <v>0.27289306181871076</v>
      </c>
      <c r="L389" s="318">
        <v>1.7847885758849855E-2</v>
      </c>
      <c r="M389" s="317">
        <v>2.1395479677386378E-3</v>
      </c>
      <c r="N389" s="318">
        <v>2.0000005732018801E-3</v>
      </c>
      <c r="O389" s="317">
        <v>1.8123705695035054E-2</v>
      </c>
      <c r="P389" s="318">
        <v>2.528711592634152E-2</v>
      </c>
      <c r="Q389" s="319">
        <v>0.28523207512912579</v>
      </c>
    </row>
    <row r="390" spans="2:17" ht="15.75" x14ac:dyDescent="0.25">
      <c r="B390" s="176">
        <v>2023</v>
      </c>
      <c r="C390" s="177">
        <v>1982</v>
      </c>
      <c r="D390" s="178" t="s">
        <v>3236</v>
      </c>
      <c r="E390" s="461">
        <v>5.7214585416866172E-2</v>
      </c>
      <c r="F390" s="462">
        <v>0.10419478996584787</v>
      </c>
      <c r="G390" s="316">
        <v>0.30666462771041664</v>
      </c>
      <c r="H390" s="317">
        <v>2.0154124329493532</v>
      </c>
      <c r="I390" s="317">
        <v>2.8234788704372416</v>
      </c>
      <c r="J390" s="317">
        <v>3.5277243207710054</v>
      </c>
      <c r="K390" s="317">
        <v>0.24246757486774487</v>
      </c>
      <c r="L390" s="318">
        <v>1.8046692618793894E-2</v>
      </c>
      <c r="M390" s="317">
        <v>2.3052415978547253E-3</v>
      </c>
      <c r="N390" s="318">
        <v>2.0000005732018801E-3</v>
      </c>
      <c r="O390" s="317">
        <v>2.0942154343309705E-2</v>
      </c>
      <c r="P390" s="318">
        <v>2.4403525269151797E-2</v>
      </c>
      <c r="Q390" s="319">
        <v>0.25343088266933589</v>
      </c>
    </row>
    <row r="391" spans="2:17" ht="15.75" x14ac:dyDescent="0.25">
      <c r="B391" s="176">
        <v>2023</v>
      </c>
      <c r="C391" s="177">
        <v>1983</v>
      </c>
      <c r="D391" s="178" t="s">
        <v>3237</v>
      </c>
      <c r="E391" s="461">
        <v>5.7052612776803423E-2</v>
      </c>
      <c r="F391" s="462">
        <v>0.10021626563538912</v>
      </c>
      <c r="G391" s="316">
        <v>0.21298764510081092</v>
      </c>
      <c r="H391" s="317">
        <v>1.743787047022137</v>
      </c>
      <c r="I391" s="317">
        <v>3.0969526355696781</v>
      </c>
      <c r="J391" s="317">
        <v>3.0552495525190446</v>
      </c>
      <c r="K391" s="317">
        <v>0.21688221114209691</v>
      </c>
      <c r="L391" s="318">
        <v>1.7841465505884339E-2</v>
      </c>
      <c r="M391" s="317">
        <v>2.4419190158124502E-3</v>
      </c>
      <c r="N391" s="318">
        <v>2.0000005732018801E-3</v>
      </c>
      <c r="O391" s="317">
        <v>2.3267037222770591E-2</v>
      </c>
      <c r="P391" s="318">
        <v>2.3103863531324115E-2</v>
      </c>
      <c r="Q391" s="319">
        <v>0.22668866232938473</v>
      </c>
    </row>
    <row r="392" spans="2:17" ht="15.75" x14ac:dyDescent="0.25">
      <c r="B392" s="176">
        <v>2023</v>
      </c>
      <c r="C392" s="177">
        <v>1984</v>
      </c>
      <c r="D392" s="178" t="s">
        <v>3238</v>
      </c>
      <c r="E392" s="461">
        <v>5.5810659469761721E-2</v>
      </c>
      <c r="F392" s="462">
        <v>0.10099927503336693</v>
      </c>
      <c r="G392" s="316">
        <v>0.264940863045657</v>
      </c>
      <c r="H392" s="317">
        <v>1.4847709070402362</v>
      </c>
      <c r="I392" s="317">
        <v>3.9051106232279755</v>
      </c>
      <c r="J392" s="317">
        <v>3.5230954866513642</v>
      </c>
      <c r="K392" s="317">
        <v>0.18556816533138112</v>
      </c>
      <c r="L392" s="318">
        <v>1.8422792261878946E-2</v>
      </c>
      <c r="M392" s="317">
        <v>2.6902968202089034E-3</v>
      </c>
      <c r="N392" s="318">
        <v>2.0000005732018801E-3</v>
      </c>
      <c r="O392" s="317">
        <v>2.7491943675554274E-2</v>
      </c>
      <c r="P392" s="318">
        <v>2.2967816750992513E-2</v>
      </c>
      <c r="Q392" s="319">
        <v>0.1939587343211277</v>
      </c>
    </row>
    <row r="393" spans="2:17" ht="15.75" x14ac:dyDescent="0.25">
      <c r="B393" s="176">
        <v>2023</v>
      </c>
      <c r="C393" s="177">
        <v>1985</v>
      </c>
      <c r="D393" s="178" t="s">
        <v>3239</v>
      </c>
      <c r="E393" s="461">
        <v>5.6826454831562574E-2</v>
      </c>
      <c r="F393" s="462">
        <v>9.787087988596925E-2</v>
      </c>
      <c r="G393" s="316">
        <v>0.25042121989776162</v>
      </c>
      <c r="H393" s="317">
        <v>1.0985870012808814</v>
      </c>
      <c r="I393" s="317">
        <v>4.4340676539358306</v>
      </c>
      <c r="J393" s="317">
        <v>2.9180914186578728</v>
      </c>
      <c r="K393" s="317">
        <v>0.18122090492567197</v>
      </c>
      <c r="L393" s="318">
        <v>1.7212133642407423E-2</v>
      </c>
      <c r="M393" s="317">
        <v>2.8335126656801068E-3</v>
      </c>
      <c r="N393" s="318">
        <v>2.0000005732018801E-3</v>
      </c>
      <c r="O393" s="317">
        <v>2.9928045207019364E-2</v>
      </c>
      <c r="P393" s="318">
        <v>2.2970140853221428E-2</v>
      </c>
      <c r="Q393" s="319">
        <v>0.18941491009055464</v>
      </c>
    </row>
    <row r="394" spans="2:17" ht="15.75" x14ac:dyDescent="0.25">
      <c r="B394" s="176">
        <v>2023</v>
      </c>
      <c r="C394" s="177">
        <v>1986</v>
      </c>
      <c r="D394" s="178" t="s">
        <v>3240</v>
      </c>
      <c r="E394" s="461">
        <v>5.7475190539885361E-2</v>
      </c>
      <c r="F394" s="462">
        <v>9.2289815039005657E-2</v>
      </c>
      <c r="G394" s="316">
        <v>0.24359544129475569</v>
      </c>
      <c r="H394" s="317">
        <v>1.0445740261117913</v>
      </c>
      <c r="I394" s="317">
        <v>4.7060522833238503</v>
      </c>
      <c r="J394" s="317">
        <v>2.7351439183675517</v>
      </c>
      <c r="K394" s="317">
        <v>0.17953346438102433</v>
      </c>
      <c r="L394" s="318">
        <v>1.7367596650309316E-2</v>
      </c>
      <c r="M394" s="317">
        <v>2.9106314147525638E-3</v>
      </c>
      <c r="N394" s="318">
        <v>2.0000005732018801E-3</v>
      </c>
      <c r="O394" s="317">
        <v>3.1239835128741938E-2</v>
      </c>
      <c r="P394" s="318">
        <v>2.2338603054640988E-2</v>
      </c>
      <c r="Q394" s="319">
        <v>0.18765117097238429</v>
      </c>
    </row>
    <row r="395" spans="2:17" ht="15.75" x14ac:dyDescent="0.25">
      <c r="B395" s="176">
        <v>2023</v>
      </c>
      <c r="C395" s="177">
        <v>1987</v>
      </c>
      <c r="D395" s="178" t="s">
        <v>3241</v>
      </c>
      <c r="E395" s="461">
        <v>5.7675316053815671E-2</v>
      </c>
      <c r="F395" s="462">
        <v>8.8914586955780778E-2</v>
      </c>
      <c r="G395" s="316">
        <v>0.29500760310200302</v>
      </c>
      <c r="H395" s="317">
        <v>0.9671848924501556</v>
      </c>
      <c r="I395" s="317">
        <v>4.9796981650340415</v>
      </c>
      <c r="J395" s="317">
        <v>2.6327717143994711</v>
      </c>
      <c r="K395" s="317">
        <v>0.20002878698832585</v>
      </c>
      <c r="L395" s="318">
        <v>1.7608471451099766E-2</v>
      </c>
      <c r="M395" s="317">
        <v>2.9576277561512861E-3</v>
      </c>
      <c r="N395" s="318">
        <v>2.0000005732018801E-3</v>
      </c>
      <c r="O395" s="317">
        <v>3.2039242895934204E-2</v>
      </c>
      <c r="P395" s="318">
        <v>2.1377431532143505E-2</v>
      </c>
      <c r="Q395" s="319">
        <v>0.20907320112134145</v>
      </c>
    </row>
    <row r="396" spans="2:17" ht="15.75" x14ac:dyDescent="0.25">
      <c r="B396" s="176">
        <v>2023</v>
      </c>
      <c r="C396" s="177">
        <v>1988</v>
      </c>
      <c r="D396" s="178" t="s">
        <v>3242</v>
      </c>
      <c r="E396" s="461">
        <v>5.7526992686760342E-2</v>
      </c>
      <c r="F396" s="462">
        <v>8.7961401011092233E-2</v>
      </c>
      <c r="G396" s="316">
        <v>0.29145145759411445</v>
      </c>
      <c r="H396" s="317">
        <v>0.50178328806598393</v>
      </c>
      <c r="I396" s="317">
        <v>5.0716529633548362</v>
      </c>
      <c r="J396" s="317">
        <v>1.8984712465034579</v>
      </c>
      <c r="K396" s="317">
        <v>0.19796824257535864</v>
      </c>
      <c r="L396" s="318">
        <v>1.7050599472916279E-2</v>
      </c>
      <c r="M396" s="317">
        <v>2.9755110842670908E-3</v>
      </c>
      <c r="N396" s="318">
        <v>2.0000005732018801E-3</v>
      </c>
      <c r="O396" s="317">
        <v>3.234343830718394E-2</v>
      </c>
      <c r="P396" s="318">
        <v>2.1930585147665396E-2</v>
      </c>
      <c r="Q396" s="319">
        <v>0.20691948803355018</v>
      </c>
    </row>
    <row r="397" spans="2:17" ht="15.75" x14ac:dyDescent="0.25">
      <c r="B397" s="176">
        <v>2023</v>
      </c>
      <c r="C397" s="177">
        <v>1989</v>
      </c>
      <c r="D397" s="178" t="s">
        <v>3243</v>
      </c>
      <c r="E397" s="461">
        <v>5.7701645182910419E-2</v>
      </c>
      <c r="F397" s="462">
        <v>9.0574659899377921E-2</v>
      </c>
      <c r="G397" s="316">
        <v>0.29259052794879187</v>
      </c>
      <c r="H397" s="317">
        <v>0.4995903418047854</v>
      </c>
      <c r="I397" s="317">
        <v>5.1080908001647094</v>
      </c>
      <c r="J397" s="317">
        <v>1.8924442910959571</v>
      </c>
      <c r="K397" s="317">
        <v>0.19897055237694025</v>
      </c>
      <c r="L397" s="318">
        <v>1.6804736816026681E-2</v>
      </c>
      <c r="M397" s="317">
        <v>2.9856307108916866E-3</v>
      </c>
      <c r="N397" s="318">
        <v>2.0000005732018801E-3</v>
      </c>
      <c r="O397" s="317">
        <v>3.2515573156068421E-2</v>
      </c>
      <c r="P397" s="318">
        <v>2.2853147174580191E-2</v>
      </c>
      <c r="Q397" s="319">
        <v>0.20796711783667632</v>
      </c>
    </row>
    <row r="398" spans="2:17" ht="15.75" x14ac:dyDescent="0.25">
      <c r="B398" s="176">
        <v>2023</v>
      </c>
      <c r="C398" s="177">
        <v>1990</v>
      </c>
      <c r="D398" s="178" t="s">
        <v>3244</v>
      </c>
      <c r="E398" s="461">
        <v>5.8166962515406193E-2</v>
      </c>
      <c r="F398" s="462">
        <v>8.8470185328622983E-2</v>
      </c>
      <c r="G398" s="316">
        <v>0.29730438953180649</v>
      </c>
      <c r="H398" s="317">
        <v>0.50078356634311327</v>
      </c>
      <c r="I398" s="317">
        <v>5.0625178468332663</v>
      </c>
      <c r="J398" s="317">
        <v>1.8836230119793338</v>
      </c>
      <c r="K398" s="317">
        <v>0.20221099074467486</v>
      </c>
      <c r="L398" s="318">
        <v>1.7044546825518141E-2</v>
      </c>
      <c r="M398" s="317">
        <v>2.9874611309955034E-3</v>
      </c>
      <c r="N398" s="318">
        <v>2.0000005732018801E-3</v>
      </c>
      <c r="O398" s="317">
        <v>3.254670860203434E-2</v>
      </c>
      <c r="P398" s="318">
        <v>2.2096909578955638E-2</v>
      </c>
      <c r="Q398" s="319">
        <v>0.21135407444816653</v>
      </c>
    </row>
    <row r="399" spans="2:17" ht="15.75" x14ac:dyDescent="0.25">
      <c r="B399" s="176">
        <v>2023</v>
      </c>
      <c r="C399" s="177">
        <v>1991</v>
      </c>
      <c r="D399" s="178" t="s">
        <v>3245</v>
      </c>
      <c r="E399" s="461">
        <v>5.8070352761243782E-2</v>
      </c>
      <c r="F399" s="462">
        <v>8.6361567192460006E-2</v>
      </c>
      <c r="G399" s="316">
        <v>0.38001296230193143</v>
      </c>
      <c r="H399" s="317">
        <v>0.52218201734647929</v>
      </c>
      <c r="I399" s="317">
        <v>8.9243902503421033</v>
      </c>
      <c r="J399" s="317">
        <v>2.3191251903667429</v>
      </c>
      <c r="K399" s="317">
        <v>5.6213537551531668E-2</v>
      </c>
      <c r="L399" s="318">
        <v>9.585564779670654E-3</v>
      </c>
      <c r="M399" s="317">
        <v>2.9854509302762312E-3</v>
      </c>
      <c r="N399" s="318">
        <v>2.0000005732018797E-3</v>
      </c>
      <c r="O399" s="317">
        <v>3.251251508779953E-2</v>
      </c>
      <c r="P399" s="318">
        <v>2.1299945186704011E-2</v>
      </c>
      <c r="Q399" s="319">
        <v>5.875526427573341E-2</v>
      </c>
    </row>
    <row r="400" spans="2:17" ht="15.75" x14ac:dyDescent="0.25">
      <c r="B400" s="176">
        <v>2023</v>
      </c>
      <c r="C400" s="177">
        <v>1992</v>
      </c>
      <c r="D400" s="178" t="s">
        <v>3246</v>
      </c>
      <c r="E400" s="461">
        <v>5.8054051478154428E-2</v>
      </c>
      <c r="F400" s="462">
        <v>8.3705493021999838E-2</v>
      </c>
      <c r="G400" s="316">
        <v>0.3805314564557854</v>
      </c>
      <c r="H400" s="317">
        <v>0.52308464864097759</v>
      </c>
      <c r="I400" s="317">
        <v>8.8481729910733016</v>
      </c>
      <c r="J400" s="317">
        <v>2.2580006069701408</v>
      </c>
      <c r="K400" s="317">
        <v>5.7645446832591263E-2</v>
      </c>
      <c r="L400" s="318">
        <v>9.6986847147654612E-3</v>
      </c>
      <c r="M400" s="317">
        <v>2.9768219677353616E-3</v>
      </c>
      <c r="N400" s="318">
        <v>2.0000005732018801E-3</v>
      </c>
      <c r="O400" s="317">
        <v>3.2365736434979329E-2</v>
      </c>
      <c r="P400" s="318">
        <v>2.0418697314976426E-2</v>
      </c>
      <c r="Q400" s="319">
        <v>6.0251918140479234E-2</v>
      </c>
    </row>
    <row r="401" spans="2:17" ht="15.75" x14ac:dyDescent="0.25">
      <c r="B401" s="176">
        <v>2023</v>
      </c>
      <c r="C401" s="177">
        <v>1993</v>
      </c>
      <c r="D401" s="178" t="s">
        <v>3247</v>
      </c>
      <c r="E401" s="461">
        <v>5.7936024146862282E-2</v>
      </c>
      <c r="F401" s="462">
        <v>7.5030285658975529E-2</v>
      </c>
      <c r="G401" s="316">
        <v>0.37546419308693402</v>
      </c>
      <c r="H401" s="317">
        <v>0.52729076541180464</v>
      </c>
      <c r="I401" s="317">
        <v>8.9074911964623755</v>
      </c>
      <c r="J401" s="317">
        <v>2.2103865722922724</v>
      </c>
      <c r="K401" s="317">
        <v>5.3926058443956183E-2</v>
      </c>
      <c r="L401" s="318">
        <v>9.8348341294955573E-3</v>
      </c>
      <c r="M401" s="317">
        <v>2.9819131963030087E-3</v>
      </c>
      <c r="N401" s="318">
        <v>2.0000005732018801E-3</v>
      </c>
      <c r="O401" s="317">
        <v>3.2452338232915011E-2</v>
      </c>
      <c r="P401" s="318">
        <v>1.9972499336183409E-2</v>
      </c>
      <c r="Q401" s="319">
        <v>5.6364355513451564E-2</v>
      </c>
    </row>
    <row r="402" spans="2:17" ht="15.75" x14ac:dyDescent="0.25">
      <c r="B402" s="176">
        <v>2023</v>
      </c>
      <c r="C402" s="177">
        <v>1994</v>
      </c>
      <c r="D402" s="178" t="s">
        <v>3248</v>
      </c>
      <c r="E402" s="461">
        <v>5.7692907325727127E-2</v>
      </c>
      <c r="F402" s="462">
        <v>7.1571211306964574E-2</v>
      </c>
      <c r="G402" s="316">
        <v>0.3704166249453768</v>
      </c>
      <c r="H402" s="317">
        <v>0.5287508003504634</v>
      </c>
      <c r="I402" s="317">
        <v>8.8676063596626484</v>
      </c>
      <c r="J402" s="317">
        <v>2.1421114419066396</v>
      </c>
      <c r="K402" s="317">
        <v>5.4092995292750967E-2</v>
      </c>
      <c r="L402" s="318">
        <v>9.9560770549186554E-3</v>
      </c>
      <c r="M402" s="317">
        <v>2.9729121662794514E-3</v>
      </c>
      <c r="N402" s="318">
        <v>2.0000005732018801E-3</v>
      </c>
      <c r="O402" s="317">
        <v>3.22992307122143E-2</v>
      </c>
      <c r="P402" s="318">
        <v>1.8996401276920188E-2</v>
      </c>
      <c r="Q402" s="319">
        <v>5.6538840505777475E-2</v>
      </c>
    </row>
    <row r="403" spans="2:17" ht="15.75" x14ac:dyDescent="0.25">
      <c r="B403" s="176">
        <v>2023</v>
      </c>
      <c r="C403" s="177">
        <v>1995</v>
      </c>
      <c r="D403" s="178" t="s">
        <v>3249</v>
      </c>
      <c r="E403" s="461">
        <v>5.7393439401575076E-2</v>
      </c>
      <c r="F403" s="462">
        <v>7.3079330858829783E-2</v>
      </c>
      <c r="G403" s="316">
        <v>0.36734969396582673</v>
      </c>
      <c r="H403" s="317">
        <v>0.3997070528835695</v>
      </c>
      <c r="I403" s="317">
        <v>8.9763697318222242</v>
      </c>
      <c r="J403" s="317">
        <v>1.676093364317768</v>
      </c>
      <c r="K403" s="317">
        <v>5.3437701002890477E-2</v>
      </c>
      <c r="L403" s="318">
        <v>9.186659521090013E-3</v>
      </c>
      <c r="M403" s="317">
        <v>2.9786237486650819E-3</v>
      </c>
      <c r="N403" s="318">
        <v>2.0000005732018801E-3</v>
      </c>
      <c r="O403" s="317">
        <v>3.2396384728593866E-2</v>
      </c>
      <c r="P403" s="318">
        <v>1.9695048063121588E-2</v>
      </c>
      <c r="Q403" s="319">
        <v>5.5853916715954896E-2</v>
      </c>
    </row>
    <row r="404" spans="2:17" ht="15.75" x14ac:dyDescent="0.25">
      <c r="B404" s="176">
        <v>2023</v>
      </c>
      <c r="C404" s="177">
        <v>1996</v>
      </c>
      <c r="D404" s="178" t="s">
        <v>3250</v>
      </c>
      <c r="E404" s="461">
        <v>5.7504304759904659E-2</v>
      </c>
      <c r="F404" s="462">
        <v>7.2719877880084396E-2</v>
      </c>
      <c r="G404" s="316">
        <v>0.36926678032021748</v>
      </c>
      <c r="H404" s="317">
        <v>0.13827372033432436</v>
      </c>
      <c r="I404" s="317">
        <v>8.9620369670071245</v>
      </c>
      <c r="J404" s="317">
        <v>1.0172510968065465</v>
      </c>
      <c r="K404" s="317">
        <v>5.3664699676871465E-2</v>
      </c>
      <c r="L404" s="318">
        <v>2.8131828104574499E-3</v>
      </c>
      <c r="M404" s="317">
        <v>2.9796179149272142E-3</v>
      </c>
      <c r="N404" s="318">
        <v>2.0000005732018801E-3</v>
      </c>
      <c r="O404" s="317">
        <v>3.2413295496712749E-2</v>
      </c>
      <c r="P404" s="318">
        <v>1.9931959990971717E-2</v>
      </c>
      <c r="Q404" s="319">
        <v>5.6091179262681617E-2</v>
      </c>
    </row>
    <row r="405" spans="2:17" ht="15.75" x14ac:dyDescent="0.25">
      <c r="B405" s="176">
        <v>2023</v>
      </c>
      <c r="C405" s="177">
        <v>1997</v>
      </c>
      <c r="D405" s="178" t="s">
        <v>3251</v>
      </c>
      <c r="E405" s="461">
        <v>5.7647586006845788E-2</v>
      </c>
      <c r="F405" s="462">
        <v>7.0621279674993459E-2</v>
      </c>
      <c r="G405" s="316">
        <v>0.37191354764447293</v>
      </c>
      <c r="H405" s="317">
        <v>0.14326309222257916</v>
      </c>
      <c r="I405" s="317">
        <v>8.9754838798443828</v>
      </c>
      <c r="J405" s="317">
        <v>1.0451373022798349</v>
      </c>
      <c r="K405" s="317">
        <v>5.3883819190778552E-2</v>
      </c>
      <c r="L405" s="318">
        <v>2.8343822134460832E-3</v>
      </c>
      <c r="M405" s="317">
        <v>2.9839195953882841E-3</v>
      </c>
      <c r="N405" s="318">
        <v>2.0000005732018805E-3</v>
      </c>
      <c r="O405" s="317">
        <v>3.2486467081355545E-2</v>
      </c>
      <c r="P405" s="318">
        <v>1.9341098332632659E-2</v>
      </c>
      <c r="Q405" s="319">
        <v>5.6320206388679177E-2</v>
      </c>
    </row>
    <row r="406" spans="2:17" ht="15.75" x14ac:dyDescent="0.25">
      <c r="B406" s="176">
        <v>2023</v>
      </c>
      <c r="C406" s="177">
        <v>1998</v>
      </c>
      <c r="D406" s="178" t="s">
        <v>3252</v>
      </c>
      <c r="E406" s="461">
        <v>5.7522035315697426E-2</v>
      </c>
      <c r="F406" s="462">
        <v>6.7212190454490991E-2</v>
      </c>
      <c r="G406" s="316">
        <v>0.37001518363723696</v>
      </c>
      <c r="H406" s="317">
        <v>0.13342570369978626</v>
      </c>
      <c r="I406" s="317">
        <v>8.9532597656076156</v>
      </c>
      <c r="J406" s="317">
        <v>0.92493523792251664</v>
      </c>
      <c r="K406" s="317">
        <v>5.3745313438735093E-2</v>
      </c>
      <c r="L406" s="318">
        <v>2.8783042099510938E-3</v>
      </c>
      <c r="M406" s="317">
        <v>2.9802969369503956E-3</v>
      </c>
      <c r="N406" s="318">
        <v>2.0000005732018801E-3</v>
      </c>
      <c r="O406" s="317">
        <v>3.2424845661327056E-2</v>
      </c>
      <c r="P406" s="318">
        <v>1.8367292894318321E-2</v>
      </c>
      <c r="Q406" s="319">
        <v>5.6175438021138453E-2</v>
      </c>
    </row>
    <row r="407" spans="2:17" ht="15.75" x14ac:dyDescent="0.25">
      <c r="B407" s="176">
        <v>2023</v>
      </c>
      <c r="C407" s="177">
        <v>1999</v>
      </c>
      <c r="D407" s="178" t="s">
        <v>3253</v>
      </c>
      <c r="E407" s="461">
        <v>5.7654504158555296E-2</v>
      </c>
      <c r="F407" s="462">
        <v>6.7534511236297654E-2</v>
      </c>
      <c r="G407" s="316">
        <v>0.37388064014864758</v>
      </c>
      <c r="H407" s="317">
        <v>0.1170651349630096</v>
      </c>
      <c r="I407" s="317">
        <v>9.0680596777524141</v>
      </c>
      <c r="J407" s="317">
        <v>0.76883983988930449</v>
      </c>
      <c r="K407" s="317">
        <v>5.3764596349709232E-2</v>
      </c>
      <c r="L407" s="318">
        <v>2.8856769173626106E-3</v>
      </c>
      <c r="M407" s="317">
        <v>2.9942013898965748E-3</v>
      </c>
      <c r="N407" s="318">
        <v>2.0000005732018801E-3</v>
      </c>
      <c r="O407" s="317">
        <v>3.2661360405941572E-2</v>
      </c>
      <c r="P407" s="318">
        <v>1.8481740011674137E-2</v>
      </c>
      <c r="Q407" s="319">
        <v>5.6195592819780177E-2</v>
      </c>
    </row>
    <row r="408" spans="2:17" ht="15.75" x14ac:dyDescent="0.25">
      <c r="B408" s="176">
        <v>2023</v>
      </c>
      <c r="C408" s="177">
        <v>2000</v>
      </c>
      <c r="D408" s="178" t="s">
        <v>3254</v>
      </c>
      <c r="E408" s="461">
        <v>5.7509508569818082E-2</v>
      </c>
      <c r="F408" s="462">
        <v>7.3512336345335424E-2</v>
      </c>
      <c r="G408" s="316">
        <v>0.37192265830385796</v>
      </c>
      <c r="H408" s="317">
        <v>0.10051923388815166</v>
      </c>
      <c r="I408" s="317">
        <v>9.1231693122370441</v>
      </c>
      <c r="J408" s="317">
        <v>0.616018921624367</v>
      </c>
      <c r="K408" s="317">
        <v>5.3360898911025176E-2</v>
      </c>
      <c r="L408" s="318">
        <v>2.8829554869643798E-3</v>
      </c>
      <c r="M408" s="317">
        <v>2.9979775216107504E-3</v>
      </c>
      <c r="N408" s="318">
        <v>2.0000005732018805E-3</v>
      </c>
      <c r="O408" s="317">
        <v>3.2725592406399689E-2</v>
      </c>
      <c r="P408" s="318">
        <v>1.8618520292100649E-2</v>
      </c>
      <c r="Q408" s="319">
        <v>5.5773641974299716E-2</v>
      </c>
    </row>
    <row r="409" spans="2:17" ht="15.75" x14ac:dyDescent="0.25">
      <c r="B409" s="176">
        <v>2023</v>
      </c>
      <c r="C409" s="177">
        <v>2001</v>
      </c>
      <c r="D409" s="178" t="s">
        <v>3255</v>
      </c>
      <c r="E409" s="461">
        <v>5.7588832048640563E-2</v>
      </c>
      <c r="F409" s="462">
        <v>7.2214975187391353E-2</v>
      </c>
      <c r="G409" s="316">
        <v>0.37102374665172688</v>
      </c>
      <c r="H409" s="317">
        <v>8.6337650763629037E-2</v>
      </c>
      <c r="I409" s="317">
        <v>9.0555066079226894</v>
      </c>
      <c r="J409" s="317">
        <v>0.47404034255684607</v>
      </c>
      <c r="K409" s="317">
        <v>5.3491286383004578E-2</v>
      </c>
      <c r="L409" s="318">
        <v>2.9063253616283388E-3</v>
      </c>
      <c r="M409" s="317">
        <v>2.9929278316906251E-3</v>
      </c>
      <c r="N409" s="318">
        <v>2.0000005732018801E-3</v>
      </c>
      <c r="O409" s="317">
        <v>3.2639697180858358E-2</v>
      </c>
      <c r="P409" s="318">
        <v>1.8193775725710959E-2</v>
      </c>
      <c r="Q409" s="319">
        <v>5.5909924989176206E-2</v>
      </c>
    </row>
    <row r="410" spans="2:17" ht="15.75" x14ac:dyDescent="0.25">
      <c r="B410" s="176">
        <v>2023</v>
      </c>
      <c r="C410" s="177">
        <v>2002</v>
      </c>
      <c r="D410" s="178" t="s">
        <v>3256</v>
      </c>
      <c r="E410" s="461">
        <v>5.7415495695346902E-2</v>
      </c>
      <c r="F410" s="462">
        <v>7.0397559714994035E-2</v>
      </c>
      <c r="G410" s="316">
        <v>0.2856749427996414</v>
      </c>
      <c r="H410" s="317">
        <v>8.5862873618950702E-2</v>
      </c>
      <c r="I410" s="317">
        <v>7.0204440509767911</v>
      </c>
      <c r="J410" s="317">
        <v>0.45638723667180192</v>
      </c>
      <c r="K410" s="317">
        <v>5.3548291197480946E-2</v>
      </c>
      <c r="L410" s="318">
        <v>2.9327499335322785E-3</v>
      </c>
      <c r="M410" s="317">
        <v>2.9968052167551611E-3</v>
      </c>
      <c r="N410" s="318">
        <v>2.0000005732018797E-3</v>
      </c>
      <c r="O410" s="317">
        <v>3.2705651500806128E-2</v>
      </c>
      <c r="P410" s="318">
        <v>1.7606826245038433E-2</v>
      </c>
      <c r="Q410" s="319">
        <v>5.5969507308408079E-2</v>
      </c>
    </row>
    <row r="411" spans="2:17" ht="15.75" x14ac:dyDescent="0.25">
      <c r="B411" s="176">
        <v>2023</v>
      </c>
      <c r="C411" s="177">
        <v>2003</v>
      </c>
      <c r="D411" s="178" t="s">
        <v>3257</v>
      </c>
      <c r="E411" s="461">
        <v>5.7198522866462091E-2</v>
      </c>
      <c r="F411" s="462">
        <v>7.1311240879563295E-2</v>
      </c>
      <c r="G411" s="316">
        <v>0.28137934810488374</v>
      </c>
      <c r="H411" s="317">
        <v>6.9232994402143727E-2</v>
      </c>
      <c r="I411" s="317">
        <v>7.0134049741754829</v>
      </c>
      <c r="J411" s="317">
        <v>0.38889633384115829</v>
      </c>
      <c r="K411" s="317">
        <v>5.3016855388886758E-2</v>
      </c>
      <c r="L411" s="318">
        <v>2.9165458391858328E-3</v>
      </c>
      <c r="M411" s="317">
        <v>2.9928144844490862E-3</v>
      </c>
      <c r="N411" s="318">
        <v>2.0000005732018801E-3</v>
      </c>
      <c r="O411" s="317">
        <v>3.2637769144279787E-2</v>
      </c>
      <c r="P411" s="318">
        <v>1.7945616716340512E-2</v>
      </c>
      <c r="Q411" s="319">
        <v>5.5414042330760721E-2</v>
      </c>
    </row>
    <row r="412" spans="2:17" ht="15.75" x14ac:dyDescent="0.25">
      <c r="B412" s="176">
        <v>2023</v>
      </c>
      <c r="C412" s="177">
        <v>2004</v>
      </c>
      <c r="D412" s="178" t="s">
        <v>3258</v>
      </c>
      <c r="E412" s="461">
        <v>5.709688446107871E-2</v>
      </c>
      <c r="F412" s="462">
        <v>7.1208532827847532E-2</v>
      </c>
      <c r="G412" s="316">
        <v>0.23027918497825087</v>
      </c>
      <c r="H412" s="317">
        <v>1.79521716616001E-2</v>
      </c>
      <c r="I412" s="317">
        <v>5.844864866953845</v>
      </c>
      <c r="J412" s="317">
        <v>0.11057353608022204</v>
      </c>
      <c r="K412" s="317">
        <v>5.2509195894579405E-2</v>
      </c>
      <c r="L412" s="318">
        <v>1.9487755563035855E-4</v>
      </c>
      <c r="M412" s="317">
        <v>2.9899081499356606E-3</v>
      </c>
      <c r="N412" s="318">
        <v>2.0000005732018801E-3</v>
      </c>
      <c r="O412" s="317">
        <v>3.2588332394206408E-2</v>
      </c>
      <c r="P412" s="318">
        <v>1.7587734155483991E-2</v>
      </c>
      <c r="Q412" s="319">
        <v>5.4883428726826437E-2</v>
      </c>
    </row>
    <row r="413" spans="2:17" ht="15.75" x14ac:dyDescent="0.25">
      <c r="B413" s="176">
        <v>2023</v>
      </c>
      <c r="C413" s="177">
        <v>2005</v>
      </c>
      <c r="D413" s="178" t="s">
        <v>3259</v>
      </c>
      <c r="E413" s="461">
        <v>5.6842622338168343E-2</v>
      </c>
      <c r="F413" s="462">
        <v>6.7838003080539513E-2</v>
      </c>
      <c r="G413" s="316">
        <v>0.22517436723167888</v>
      </c>
      <c r="H413" s="317">
        <v>1.5699579679163213E-2</v>
      </c>
      <c r="I413" s="317">
        <v>5.8237917548897684</v>
      </c>
      <c r="J413" s="317">
        <v>8.983439583595848E-2</v>
      </c>
      <c r="K413" s="317">
        <v>5.1829519641069216E-2</v>
      </c>
      <c r="L413" s="318">
        <v>1.955916650052007E-4</v>
      </c>
      <c r="M413" s="317">
        <v>2.9810582932299971E-3</v>
      </c>
      <c r="N413" s="318">
        <v>2.0000005732018801E-3</v>
      </c>
      <c r="O413" s="317">
        <v>3.2437796331643079E-2</v>
      </c>
      <c r="P413" s="318">
        <v>1.6964099302348091E-2</v>
      </c>
      <c r="Q413" s="319">
        <v>5.4173020529151232E-2</v>
      </c>
    </row>
    <row r="414" spans="2:17" ht="15.75" x14ac:dyDescent="0.25">
      <c r="B414" s="176">
        <v>2023</v>
      </c>
      <c r="C414" s="177">
        <v>2006</v>
      </c>
      <c r="D414" s="178" t="s">
        <v>3260</v>
      </c>
      <c r="E414" s="461">
        <v>5.6772640595230808E-2</v>
      </c>
      <c r="F414" s="462">
        <v>7.0262098434342501E-2</v>
      </c>
      <c r="G414" s="316">
        <v>0.2220006128853417</v>
      </c>
      <c r="H414" s="317">
        <v>5.5976275606376752E-3</v>
      </c>
      <c r="I414" s="317">
        <v>5.8083901228075456</v>
      </c>
      <c r="J414" s="317">
        <v>5.3110928683021447E-2</v>
      </c>
      <c r="K414" s="317">
        <v>5.1417508755031101E-2</v>
      </c>
      <c r="L414" s="318">
        <v>1.923393662356717E-4</v>
      </c>
      <c r="M414" s="317">
        <v>2.9785055425968136E-3</v>
      </c>
      <c r="N414" s="318">
        <v>2.0000005732018801E-3</v>
      </c>
      <c r="O414" s="317">
        <v>3.2394374043372628E-2</v>
      </c>
      <c r="P414" s="318">
        <v>1.8440707525902357E-2</v>
      </c>
      <c r="Q414" s="319">
        <v>5.3742380339117664E-2</v>
      </c>
    </row>
    <row r="415" spans="2:17" ht="15.75" x14ac:dyDescent="0.25">
      <c r="B415" s="176">
        <v>2023</v>
      </c>
      <c r="C415" s="177">
        <v>2007</v>
      </c>
      <c r="D415" s="178" t="s">
        <v>3261</v>
      </c>
      <c r="E415" s="461">
        <v>5.6545891221315384E-2</v>
      </c>
      <c r="F415" s="462">
        <v>6.6400887619542853E-2</v>
      </c>
      <c r="G415" s="316">
        <v>0.15689814025107535</v>
      </c>
      <c r="H415" s="317">
        <v>8.1408907823452507E-3</v>
      </c>
      <c r="I415" s="317">
        <v>2.9305030108788261</v>
      </c>
      <c r="J415" s="317">
        <v>4.9486052475754799E-2</v>
      </c>
      <c r="K415" s="317">
        <v>3.4648743815174098E-2</v>
      </c>
      <c r="L415" s="318">
        <v>1.9529975107359361E-4</v>
      </c>
      <c r="M415" s="317">
        <v>2.9504403673467137E-3</v>
      </c>
      <c r="N415" s="318">
        <v>2.0000005732018797E-3</v>
      </c>
      <c r="O415" s="317">
        <v>3.1916985412368433E-2</v>
      </c>
      <c r="P415" s="318">
        <v>1.7166276599416185E-2</v>
      </c>
      <c r="Q415" s="319">
        <v>3.6215406258972675E-2</v>
      </c>
    </row>
    <row r="416" spans="2:17" ht="15.75" x14ac:dyDescent="0.25">
      <c r="B416" s="176">
        <v>2023</v>
      </c>
      <c r="C416" s="177">
        <v>2008</v>
      </c>
      <c r="D416" s="178" t="s">
        <v>3262</v>
      </c>
      <c r="E416" s="461">
        <v>5.6560456911171474E-2</v>
      </c>
      <c r="F416" s="462">
        <v>6.4667247376954382E-2</v>
      </c>
      <c r="G416" s="316">
        <v>0.15666497269279403</v>
      </c>
      <c r="H416" s="317">
        <v>7.9494155411362153E-3</v>
      </c>
      <c r="I416" s="317">
        <v>2.9589267814652351</v>
      </c>
      <c r="J416" s="317">
        <v>4.0531947496722232E-2</v>
      </c>
      <c r="K416" s="317">
        <v>3.4538830632838441E-2</v>
      </c>
      <c r="L416" s="318">
        <v>2.2319815034969848E-4</v>
      </c>
      <c r="M416" s="317">
        <v>2.9629824707924197E-3</v>
      </c>
      <c r="N416" s="318">
        <v>2.0000005732018801E-3</v>
      </c>
      <c r="O416" s="317">
        <v>3.2130326591979792E-2</v>
      </c>
      <c r="P416" s="318">
        <v>1.7135041426944771E-2</v>
      </c>
      <c r="Q416" s="319">
        <v>3.6100523290264364E-2</v>
      </c>
    </row>
    <row r="417" spans="2:17" ht="15.75" x14ac:dyDescent="0.25">
      <c r="B417" s="176">
        <v>2023</v>
      </c>
      <c r="C417" s="177">
        <v>2009</v>
      </c>
      <c r="D417" s="178" t="s">
        <v>3263</v>
      </c>
      <c r="E417" s="461">
        <v>5.5327545869789184E-2</v>
      </c>
      <c r="F417" s="462">
        <v>5.9607002859896202E-2</v>
      </c>
      <c r="G417" s="316">
        <v>0.13794387929705018</v>
      </c>
      <c r="H417" s="317">
        <v>7.8791189037555279E-3</v>
      </c>
      <c r="I417" s="317">
        <v>2.5362509190692921</v>
      </c>
      <c r="J417" s="317">
        <v>3.1604352612229714E-2</v>
      </c>
      <c r="K417" s="317">
        <v>3.0390531945457516E-2</v>
      </c>
      <c r="L417" s="318">
        <v>2.5216874771421768E-4</v>
      </c>
      <c r="M417" s="317">
        <v>2.8299365511498136E-3</v>
      </c>
      <c r="N417" s="318">
        <v>2.0000005732018801E-3</v>
      </c>
      <c r="O417" s="317">
        <v>2.9867215498859068E-2</v>
      </c>
      <c r="P417" s="318">
        <v>1.6582992559418665E-2</v>
      </c>
      <c r="Q417" s="319">
        <v>3.1764656944042818E-2</v>
      </c>
    </row>
    <row r="418" spans="2:17" ht="15.75" x14ac:dyDescent="0.25">
      <c r="B418" s="176">
        <v>2023</v>
      </c>
      <c r="C418" s="177">
        <v>2010</v>
      </c>
      <c r="D418" s="178" t="s">
        <v>3264</v>
      </c>
      <c r="E418" s="461">
        <v>5.3767266973058114E-2</v>
      </c>
      <c r="F418" s="462">
        <v>5.7960677170385548E-2</v>
      </c>
      <c r="G418" s="316">
        <v>7.9627268708751267E-2</v>
      </c>
      <c r="H418" s="317">
        <v>6.857548968304544E-3</v>
      </c>
      <c r="I418" s="317">
        <v>0.1916013334365787</v>
      </c>
      <c r="J418" s="317">
        <v>2.9829268143361096E-2</v>
      </c>
      <c r="K418" s="317">
        <v>1.5523761694713241E-2</v>
      </c>
      <c r="L418" s="318">
        <v>3.0784825086977173E-4</v>
      </c>
      <c r="M418" s="317">
        <v>2.7089260092408771E-3</v>
      </c>
      <c r="N418" s="318">
        <v>2.0000005732018797E-3</v>
      </c>
      <c r="O418" s="317">
        <v>2.7808826180988143E-2</v>
      </c>
      <c r="P418" s="318">
        <v>1.6284484879105478E-2</v>
      </c>
      <c r="Q418" s="319">
        <v>1.6225677312875858E-2</v>
      </c>
    </row>
    <row r="419" spans="2:17" ht="15.75" x14ac:dyDescent="0.25">
      <c r="B419" s="176">
        <v>2023</v>
      </c>
      <c r="C419" s="177">
        <v>2011</v>
      </c>
      <c r="D419" s="178" t="s">
        <v>3265</v>
      </c>
      <c r="E419" s="461">
        <v>5.343427510051401E-2</v>
      </c>
      <c r="F419" s="462">
        <v>5.6566818263844187E-2</v>
      </c>
      <c r="G419" s="316">
        <v>7.9147684165669918E-2</v>
      </c>
      <c r="H419" s="317">
        <v>6.9343755567406757E-3</v>
      </c>
      <c r="I419" s="317">
        <v>0.18971700292274202</v>
      </c>
      <c r="J419" s="317">
        <v>2.977414412341637E-2</v>
      </c>
      <c r="K419" s="317">
        <v>1.5124283217469569E-2</v>
      </c>
      <c r="L419" s="318">
        <v>4.1725899329203412E-4</v>
      </c>
      <c r="M419" s="317">
        <v>2.7254168271069606E-3</v>
      </c>
      <c r="N419" s="318">
        <v>2.0000005732018801E-3</v>
      </c>
      <c r="O419" s="317">
        <v>2.8089334992890225E-2</v>
      </c>
      <c r="P419" s="318">
        <v>1.6391218887863299E-2</v>
      </c>
      <c r="Q419" s="319">
        <v>1.5808136191550741E-2</v>
      </c>
    </row>
    <row r="420" spans="2:17" ht="15.75" x14ac:dyDescent="0.25">
      <c r="B420" s="176">
        <v>2023</v>
      </c>
      <c r="C420" s="177">
        <v>2012</v>
      </c>
      <c r="D420" s="178" t="s">
        <v>3266</v>
      </c>
      <c r="E420" s="461">
        <v>5.1050133681121247E-2</v>
      </c>
      <c r="F420" s="462">
        <v>5.6293465691203505E-2</v>
      </c>
      <c r="G420" s="316">
        <v>6.5458505510921555E-2</v>
      </c>
      <c r="H420" s="317">
        <v>6.4187029126448305E-3</v>
      </c>
      <c r="I420" s="317">
        <v>0.15413857674182235</v>
      </c>
      <c r="J420" s="317">
        <v>2.9522519459543393E-2</v>
      </c>
      <c r="K420" s="317">
        <v>1.2571522193845438E-2</v>
      </c>
      <c r="L420" s="318">
        <v>6.0665624781427107E-4</v>
      </c>
      <c r="M420" s="317">
        <v>2.5767017498823774E-3</v>
      </c>
      <c r="N420" s="318">
        <v>2.0000005732018801E-3</v>
      </c>
      <c r="O420" s="317">
        <v>2.5559691529300071E-2</v>
      </c>
      <c r="P420" s="318">
        <v>1.6706390525133844E-2</v>
      </c>
      <c r="Q420" s="319">
        <v>1.3139950642147596E-2</v>
      </c>
    </row>
    <row r="421" spans="2:17" ht="15.75" x14ac:dyDescent="0.25">
      <c r="B421" s="176">
        <v>2023</v>
      </c>
      <c r="C421" s="177">
        <v>2013</v>
      </c>
      <c r="D421" s="178" t="s">
        <v>3267</v>
      </c>
      <c r="E421" s="461">
        <v>5.3205983177246875E-2</v>
      </c>
      <c r="F421" s="462">
        <v>5.4918162096818643E-2</v>
      </c>
      <c r="G421" s="316">
        <v>7.9710377424326698E-2</v>
      </c>
      <c r="H421" s="317">
        <v>7.2273425382946574E-3</v>
      </c>
      <c r="I421" s="317">
        <v>0.1865427889989128</v>
      </c>
      <c r="J421" s="317">
        <v>2.9701736980858599E-2</v>
      </c>
      <c r="K421" s="317">
        <v>1.4227563858463292E-2</v>
      </c>
      <c r="L421" s="318">
        <v>9.063832099490966E-4</v>
      </c>
      <c r="M421" s="317">
        <v>2.7543439096607983E-3</v>
      </c>
      <c r="N421" s="318">
        <v>2.0000005732018801E-3</v>
      </c>
      <c r="O421" s="317">
        <v>2.8581384667131008E-2</v>
      </c>
      <c r="P421" s="318">
        <v>1.6779326255237502E-2</v>
      </c>
      <c r="Q421" s="319">
        <v>1.4870871162263427E-2</v>
      </c>
    </row>
    <row r="422" spans="2:17" ht="15.75" x14ac:dyDescent="0.25">
      <c r="B422" s="176">
        <v>2023</v>
      </c>
      <c r="C422" s="177">
        <v>2014</v>
      </c>
      <c r="D422" s="178" t="s">
        <v>3268</v>
      </c>
      <c r="E422" s="461">
        <v>5.0289274035329866E-2</v>
      </c>
      <c r="F422" s="462">
        <v>5.3030974396682133E-2</v>
      </c>
      <c r="G422" s="316">
        <v>6.7268777086986892E-2</v>
      </c>
      <c r="H422" s="317">
        <v>7.2167814165804709E-3</v>
      </c>
      <c r="I422" s="317">
        <v>0.15511086300996604</v>
      </c>
      <c r="J422" s="317">
        <v>2.8599802439544211E-2</v>
      </c>
      <c r="K422" s="317">
        <v>1.1972074389539717E-2</v>
      </c>
      <c r="L422" s="318">
        <v>1.2712578853092496E-3</v>
      </c>
      <c r="M422" s="317">
        <v>2.6256342641553495E-3</v>
      </c>
      <c r="N422" s="318">
        <v>2.0000005732018801E-3</v>
      </c>
      <c r="O422" s="317">
        <v>2.6392033597083319E-2</v>
      </c>
      <c r="P422" s="318">
        <v>1.6374296558761024E-2</v>
      </c>
      <c r="Q422" s="319">
        <v>1.2513398468141373E-2</v>
      </c>
    </row>
    <row r="423" spans="2:17" ht="15.75" x14ac:dyDescent="0.25">
      <c r="B423" s="176">
        <v>2023</v>
      </c>
      <c r="C423" s="177">
        <v>2015</v>
      </c>
      <c r="D423" s="178" t="s">
        <v>3269</v>
      </c>
      <c r="E423" s="461">
        <v>4.9103631599840346E-2</v>
      </c>
      <c r="F423" s="462">
        <v>5.4852926772619222E-2</v>
      </c>
      <c r="G423" s="316">
        <v>6.2660149823415306E-2</v>
      </c>
      <c r="H423" s="317">
        <v>7.0381506126071759E-3</v>
      </c>
      <c r="I423" s="317">
        <v>0.14341715024262217</v>
      </c>
      <c r="J423" s="317">
        <v>2.9226627830867321E-2</v>
      </c>
      <c r="K423" s="317">
        <v>1.0922785019639027E-2</v>
      </c>
      <c r="L423" s="318">
        <v>1.582992352353961E-3</v>
      </c>
      <c r="M423" s="317">
        <v>2.5980833674567618E-3</v>
      </c>
      <c r="N423" s="318">
        <v>2.0000005732018801E-3</v>
      </c>
      <c r="O423" s="317">
        <v>2.5923392844240341E-2</v>
      </c>
      <c r="P423" s="318">
        <v>1.722601367877688E-2</v>
      </c>
      <c r="Q423" s="319">
        <v>1.1416664889086424E-2</v>
      </c>
    </row>
    <row r="424" spans="2:17" ht="15.75" x14ac:dyDescent="0.25">
      <c r="B424" s="176">
        <v>2023</v>
      </c>
      <c r="C424" s="177">
        <v>2016</v>
      </c>
      <c r="D424" s="178" t="s">
        <v>3270</v>
      </c>
      <c r="E424" s="461">
        <v>5.0245529600881383E-2</v>
      </c>
      <c r="F424" s="462">
        <v>5.5858954278449724E-2</v>
      </c>
      <c r="G424" s="316">
        <v>7.6694674019650813E-2</v>
      </c>
      <c r="H424" s="317">
        <v>6.7655635862627697E-3</v>
      </c>
      <c r="I424" s="317">
        <v>0.15262994881314354</v>
      </c>
      <c r="J424" s="317">
        <v>2.8881450478863684E-2</v>
      </c>
      <c r="K424" s="317">
        <v>1.214727048408922E-2</v>
      </c>
      <c r="L424" s="318">
        <v>1.8148170767562468E-3</v>
      </c>
      <c r="M424" s="317">
        <v>2.7939315081518157E-3</v>
      </c>
      <c r="N424" s="318">
        <v>2.0000005732018801E-3</v>
      </c>
      <c r="O424" s="317">
        <v>2.9254769717463221E-2</v>
      </c>
      <c r="P424" s="318">
        <v>1.8067620008806233E-2</v>
      </c>
      <c r="Q424" s="319">
        <v>1.2696516152665245E-2</v>
      </c>
    </row>
    <row r="425" spans="2:17" ht="15.75" x14ac:dyDescent="0.25">
      <c r="B425" s="176">
        <v>2023</v>
      </c>
      <c r="C425" s="177">
        <v>2017</v>
      </c>
      <c r="D425" s="178" t="s">
        <v>3271</v>
      </c>
      <c r="E425" s="461">
        <v>4.6558311980677586E-2</v>
      </c>
      <c r="F425" s="462">
        <v>5.0444715554338201E-2</v>
      </c>
      <c r="G425" s="316">
        <v>5.7768605259469419E-2</v>
      </c>
      <c r="H425" s="317">
        <v>6.6232064925082533E-3</v>
      </c>
      <c r="I425" s="317">
        <v>0.10687948576041677</v>
      </c>
      <c r="J425" s="317">
        <v>2.6820731377843347E-2</v>
      </c>
      <c r="K425" s="317">
        <v>1.006441488456789E-2</v>
      </c>
      <c r="L425" s="318">
        <v>1.9956856008135479E-3</v>
      </c>
      <c r="M425" s="317">
        <v>2.7182214087641296E-3</v>
      </c>
      <c r="N425" s="318">
        <v>2.0000005732018801E-3</v>
      </c>
      <c r="O425" s="317">
        <v>2.7966940926878677E-2</v>
      </c>
      <c r="P425" s="318">
        <v>1.7107135853991023E-2</v>
      </c>
      <c r="Q425" s="319">
        <v>1.0519483065468472E-2</v>
      </c>
    </row>
    <row r="426" spans="2:17" ht="15.75" x14ac:dyDescent="0.25">
      <c r="B426" s="176">
        <v>2023</v>
      </c>
      <c r="C426" s="177">
        <v>2018</v>
      </c>
      <c r="D426" s="178" t="s">
        <v>3272</v>
      </c>
      <c r="E426" s="461">
        <v>4.3674503812540372E-2</v>
      </c>
      <c r="F426" s="462">
        <v>4.8172688131991347E-2</v>
      </c>
      <c r="G426" s="316">
        <v>5.6210820640186801E-2</v>
      </c>
      <c r="H426" s="317">
        <v>6.2166196230512075E-3</v>
      </c>
      <c r="I426" s="317">
        <v>8.4791889685326374E-2</v>
      </c>
      <c r="J426" s="317">
        <v>2.5229479812768654E-2</v>
      </c>
      <c r="K426" s="317">
        <v>8.6405441884849724E-3</v>
      </c>
      <c r="L426" s="318">
        <v>2.0799529641333538E-3</v>
      </c>
      <c r="M426" s="317">
        <v>2.7142023694579562E-3</v>
      </c>
      <c r="N426" s="318">
        <v>2.0000005732018801E-3</v>
      </c>
      <c r="O426" s="317">
        <v>2.7898577068280656E-2</v>
      </c>
      <c r="P426" s="318">
        <v>1.7087303072775319E-2</v>
      </c>
      <c r="Q426" s="319">
        <v>9.0312312548412755E-3</v>
      </c>
    </row>
    <row r="427" spans="2:17" ht="15.75" x14ac:dyDescent="0.25">
      <c r="B427" s="176">
        <v>2023</v>
      </c>
      <c r="C427" s="177">
        <v>2019</v>
      </c>
      <c r="D427" s="178" t="s">
        <v>3273</v>
      </c>
      <c r="E427" s="461">
        <v>4.3188117458515918E-2</v>
      </c>
      <c r="F427" s="462">
        <v>4.6360300414812011E-2</v>
      </c>
      <c r="G427" s="316">
        <v>5.477178966291648E-2</v>
      </c>
      <c r="H427" s="317">
        <v>5.5054258379331686E-3</v>
      </c>
      <c r="I427" s="317">
        <v>7.0787194019872379E-2</v>
      </c>
      <c r="J427" s="317">
        <v>2.2569005986955194E-2</v>
      </c>
      <c r="K427" s="317">
        <v>6.850311857264502E-3</v>
      </c>
      <c r="L427" s="318">
        <v>1.974580039609191E-3</v>
      </c>
      <c r="M427" s="317">
        <v>2.7132424239039101E-3</v>
      </c>
      <c r="N427" s="318">
        <v>2.0000005732018801E-3</v>
      </c>
      <c r="O427" s="317">
        <v>2.7882248394406343E-2</v>
      </c>
      <c r="P427" s="318">
        <v>1.7099020195417682E-2</v>
      </c>
      <c r="Q427" s="319">
        <v>7.1600525616413438E-3</v>
      </c>
    </row>
    <row r="428" spans="2:17" ht="15.75" x14ac:dyDescent="0.25">
      <c r="B428" s="176">
        <v>2023</v>
      </c>
      <c r="C428" s="177">
        <v>2020</v>
      </c>
      <c r="D428" s="178" t="s">
        <v>3274</v>
      </c>
      <c r="E428" s="461">
        <v>4.2708094515894447E-2</v>
      </c>
      <c r="F428" s="462">
        <v>4.4557471907984071E-2</v>
      </c>
      <c r="G428" s="316">
        <v>5.3302346598382372E-2</v>
      </c>
      <c r="H428" s="317">
        <v>4.7114844734933428E-3</v>
      </c>
      <c r="I428" s="317">
        <v>5.7571325815575468E-2</v>
      </c>
      <c r="J428" s="317">
        <v>1.9919701483988403E-2</v>
      </c>
      <c r="K428" s="317">
        <v>5.2396704912549084E-3</v>
      </c>
      <c r="L428" s="318">
        <v>1.4527159168177099E-3</v>
      </c>
      <c r="M428" s="317">
        <v>2.7128999180608144E-3</v>
      </c>
      <c r="N428" s="318">
        <v>2.0000005732018801E-3</v>
      </c>
      <c r="O428" s="317">
        <v>2.787642237001528E-2</v>
      </c>
      <c r="P428" s="318">
        <v>1.7111638165810787E-2</v>
      </c>
      <c r="Q428" s="319">
        <v>5.4765851401760044E-3</v>
      </c>
    </row>
    <row r="429" spans="2:17" ht="15.75" x14ac:dyDescent="0.25">
      <c r="B429" s="176">
        <v>2023</v>
      </c>
      <c r="C429" s="177">
        <v>2021</v>
      </c>
      <c r="D429" s="178" t="s">
        <v>3275</v>
      </c>
      <c r="E429" s="461">
        <v>4.1360663553297844E-2</v>
      </c>
      <c r="F429" s="462">
        <v>4.2528072726496072E-2</v>
      </c>
      <c r="G429" s="316">
        <v>4.9432482271722283E-2</v>
      </c>
      <c r="H429" s="317">
        <v>4.127365255007686E-3</v>
      </c>
      <c r="I429" s="317">
        <v>3.9321182306919292E-2</v>
      </c>
      <c r="J429" s="317">
        <v>1.8051853725123163E-2</v>
      </c>
      <c r="K429" s="317">
        <v>3.0537778289107548E-3</v>
      </c>
      <c r="L429" s="318">
        <v>9.5107485512026311E-4</v>
      </c>
      <c r="M429" s="317">
        <v>2.7101648931362986E-3</v>
      </c>
      <c r="N429" s="318">
        <v>2.0000005732018801E-3</v>
      </c>
      <c r="O429" s="317">
        <v>2.7829899596049194E-2</v>
      </c>
      <c r="P429" s="318">
        <v>1.7114888518432979E-2</v>
      </c>
      <c r="Q429" s="319">
        <v>3.1918561113956742E-3</v>
      </c>
    </row>
    <row r="430" spans="2:17" ht="15.75" x14ac:dyDescent="0.25">
      <c r="B430" s="176">
        <v>2023</v>
      </c>
      <c r="C430" s="177">
        <v>2022</v>
      </c>
      <c r="D430" s="178" t="s">
        <v>3276</v>
      </c>
      <c r="E430" s="461">
        <v>4.0186132238085842E-2</v>
      </c>
      <c r="F430" s="462">
        <v>4.0947006849743214E-2</v>
      </c>
      <c r="G430" s="316">
        <v>4.7817399011079086E-2</v>
      </c>
      <c r="H430" s="317">
        <v>3.4568904344849929E-3</v>
      </c>
      <c r="I430" s="317">
        <v>2.8135730195459823E-2</v>
      </c>
      <c r="J430" s="317">
        <v>1.5720787015849603E-2</v>
      </c>
      <c r="K430" s="317">
        <v>1.9376671814474876E-3</v>
      </c>
      <c r="L430" s="318">
        <v>9.5121984293630583E-4</v>
      </c>
      <c r="M430" s="317">
        <v>2.7085033872286863E-3</v>
      </c>
      <c r="N430" s="318">
        <v>2.0000005732018801E-3</v>
      </c>
      <c r="O430" s="317">
        <v>2.7801637380560785E-2</v>
      </c>
      <c r="P430" s="318">
        <v>1.7106036095814375E-2</v>
      </c>
      <c r="Q430" s="319">
        <v>2.0252798931217715E-3</v>
      </c>
    </row>
    <row r="431" spans="2:17" ht="15.75" x14ac:dyDescent="0.25">
      <c r="B431" s="176">
        <v>2023</v>
      </c>
      <c r="C431" s="177">
        <v>2023</v>
      </c>
      <c r="D431" s="178" t="s">
        <v>3277</v>
      </c>
      <c r="E431" s="461">
        <v>3.8616381873992467E-2</v>
      </c>
      <c r="F431" s="462">
        <v>3.8688462063822225E-2</v>
      </c>
      <c r="G431" s="316">
        <v>4.4461766961628742E-2</v>
      </c>
      <c r="H431" s="317">
        <v>2.8976296618908643E-3</v>
      </c>
      <c r="I431" s="317">
        <v>2.5163402292001862E-2</v>
      </c>
      <c r="J431" s="317">
        <v>1.3746926594376466E-2</v>
      </c>
      <c r="K431" s="317">
        <v>1.4861091172213583E-3</v>
      </c>
      <c r="L431" s="318">
        <v>9.4671921886794737E-4</v>
      </c>
      <c r="M431" s="317">
        <v>2.6793277601653721E-3</v>
      </c>
      <c r="N431" s="318">
        <v>2.0000005732018801E-3</v>
      </c>
      <c r="O431" s="317">
        <v>2.73053599642138E-2</v>
      </c>
      <c r="P431" s="318">
        <v>1.6888605345034585E-2</v>
      </c>
      <c r="Q431" s="319">
        <v>1.5533043769905672E-3</v>
      </c>
    </row>
    <row r="432" spans="2:17" ht="15.75" x14ac:dyDescent="0.25">
      <c r="B432" s="176">
        <v>2024</v>
      </c>
      <c r="C432" s="177">
        <v>1980</v>
      </c>
      <c r="D432" s="178" t="s">
        <v>3278</v>
      </c>
      <c r="E432" s="461">
        <v>5.7916297192984439E-2</v>
      </c>
      <c r="F432" s="462">
        <v>0.11035253155577986</v>
      </c>
      <c r="G432" s="316">
        <v>0.33927954385273923</v>
      </c>
      <c r="H432" s="317">
        <v>2.1377210405910092</v>
      </c>
      <c r="I432" s="317">
        <v>2.0300880521673554</v>
      </c>
      <c r="J432" s="317">
        <v>4.3524651688441525</v>
      </c>
      <c r="K432" s="317">
        <v>0.27109974377387952</v>
      </c>
      <c r="L432" s="318">
        <v>3.7525416733178968E-2</v>
      </c>
      <c r="M432" s="317">
        <v>2.073660805776562E-3</v>
      </c>
      <c r="N432" s="318">
        <v>2.0000005732018801E-3</v>
      </c>
      <c r="O432" s="317">
        <v>1.700296507006014E-2</v>
      </c>
      <c r="P432" s="318">
        <v>2.2772943045503362E-2</v>
      </c>
      <c r="Q432" s="319">
        <v>0.28335767120003824</v>
      </c>
    </row>
    <row r="433" spans="2:17" ht="15.75" x14ac:dyDescent="0.25">
      <c r="B433" s="176">
        <v>2024</v>
      </c>
      <c r="C433" s="177">
        <v>1981</v>
      </c>
      <c r="D433" s="178" t="s">
        <v>3279</v>
      </c>
      <c r="E433" s="461">
        <v>5.9271255231486318E-2</v>
      </c>
      <c r="F433" s="462">
        <v>0.10686322319972701</v>
      </c>
      <c r="G433" s="316">
        <v>0.3452103145639015</v>
      </c>
      <c r="H433" s="317">
        <v>2.1078996683784021</v>
      </c>
      <c r="I433" s="317">
        <v>2.1853511569658401</v>
      </c>
      <c r="J433" s="317">
        <v>3.5961462279876648</v>
      </c>
      <c r="K433" s="317">
        <v>0.27524871073999296</v>
      </c>
      <c r="L433" s="318">
        <v>1.7910336714283638E-2</v>
      </c>
      <c r="M433" s="317">
        <v>2.1343420458612501E-3</v>
      </c>
      <c r="N433" s="318">
        <v>2.0000005732018801E-3</v>
      </c>
      <c r="O433" s="317">
        <v>1.8035152963900687E-2</v>
      </c>
      <c r="P433" s="318">
        <v>2.528711592634152E-2</v>
      </c>
      <c r="Q433" s="319">
        <v>0.28769423604159106</v>
      </c>
    </row>
    <row r="434" spans="2:17" ht="15.75" x14ac:dyDescent="0.25">
      <c r="B434" s="176">
        <v>2024</v>
      </c>
      <c r="C434" s="177">
        <v>1982</v>
      </c>
      <c r="D434" s="178" t="s">
        <v>3280</v>
      </c>
      <c r="E434" s="461">
        <v>5.7331003004488283E-2</v>
      </c>
      <c r="F434" s="462">
        <v>0.10445214476842542</v>
      </c>
      <c r="G434" s="316">
        <v>0.31254434764526773</v>
      </c>
      <c r="H434" s="317">
        <v>2.0209851788469013</v>
      </c>
      <c r="I434" s="317">
        <v>2.6773648597758579</v>
      </c>
      <c r="J434" s="317">
        <v>3.5224986894543968</v>
      </c>
      <c r="K434" s="317">
        <v>0.24762753775565224</v>
      </c>
      <c r="L434" s="318">
        <v>1.8110501548199487E-2</v>
      </c>
      <c r="M434" s="317">
        <v>2.2630917688425132E-3</v>
      </c>
      <c r="N434" s="318">
        <v>2.0000005732018801E-3</v>
      </c>
      <c r="O434" s="317">
        <v>2.0225185751811973E-2</v>
      </c>
      <c r="P434" s="318">
        <v>2.4403525269151797E-2</v>
      </c>
      <c r="Q434" s="319">
        <v>0.25882415618203869</v>
      </c>
    </row>
    <row r="435" spans="2:17" ht="15.75" x14ac:dyDescent="0.25">
      <c r="B435" s="176">
        <v>2024</v>
      </c>
      <c r="C435" s="177">
        <v>1983</v>
      </c>
      <c r="D435" s="178" t="s">
        <v>3281</v>
      </c>
      <c r="E435" s="461">
        <v>5.7105109388325075E-2</v>
      </c>
      <c r="F435" s="462">
        <v>0.10047882092651082</v>
      </c>
      <c r="G435" s="316">
        <v>0.21253343816926704</v>
      </c>
      <c r="H435" s="317">
        <v>1.7490702627971806</v>
      </c>
      <c r="I435" s="317">
        <v>2.9981929145669475</v>
      </c>
      <c r="J435" s="317">
        <v>3.0528656593015624</v>
      </c>
      <c r="K435" s="317">
        <v>0.21949113376079135</v>
      </c>
      <c r="L435" s="318">
        <v>1.7917873426260087E-2</v>
      </c>
      <c r="M435" s="317">
        <v>2.4146418012855973E-3</v>
      </c>
      <c r="N435" s="318">
        <v>2.0000005732018801E-3</v>
      </c>
      <c r="O435" s="317">
        <v>2.2803051803668831E-2</v>
      </c>
      <c r="P435" s="318">
        <v>2.3104428010465548E-2</v>
      </c>
      <c r="Q435" s="319">
        <v>0.22941554885197346</v>
      </c>
    </row>
    <row r="436" spans="2:17" ht="15.75" x14ac:dyDescent="0.25">
      <c r="B436" s="176">
        <v>2024</v>
      </c>
      <c r="C436" s="177">
        <v>1984</v>
      </c>
      <c r="D436" s="178" t="s">
        <v>3282</v>
      </c>
      <c r="E436" s="461">
        <v>5.5542072961396564E-2</v>
      </c>
      <c r="F436" s="462">
        <v>0.10132489707528784</v>
      </c>
      <c r="G436" s="316">
        <v>0.27150194859713545</v>
      </c>
      <c r="H436" s="317">
        <v>1.4896622817151228</v>
      </c>
      <c r="I436" s="317">
        <v>3.6945256155553725</v>
      </c>
      <c r="J436" s="317">
        <v>3.5184742042318344</v>
      </c>
      <c r="K436" s="317">
        <v>0.18793975291806353</v>
      </c>
      <c r="L436" s="318">
        <v>1.8482382359123771E-2</v>
      </c>
      <c r="M436" s="317">
        <v>2.6351546710305564E-3</v>
      </c>
      <c r="N436" s="318">
        <v>2.0000005732018805E-3</v>
      </c>
      <c r="O436" s="317">
        <v>2.655397571803059E-2</v>
      </c>
      <c r="P436" s="318">
        <v>2.2989146835046482E-2</v>
      </c>
      <c r="Q436" s="319">
        <v>0.19643755457471659</v>
      </c>
    </row>
    <row r="437" spans="2:17" ht="15.75" x14ac:dyDescent="0.25">
      <c r="B437" s="176">
        <v>2024</v>
      </c>
      <c r="C437" s="177">
        <v>1985</v>
      </c>
      <c r="D437" s="178" t="s">
        <v>3283</v>
      </c>
      <c r="E437" s="461">
        <v>5.679011398362472E-2</v>
      </c>
      <c r="F437" s="462">
        <v>9.8389452171047609E-2</v>
      </c>
      <c r="G437" s="316">
        <v>0.25197929907215255</v>
      </c>
      <c r="H437" s="317">
        <v>1.1088134986019136</v>
      </c>
      <c r="I437" s="317">
        <v>4.3819868345233184</v>
      </c>
      <c r="J437" s="317">
        <v>2.9238607287096632</v>
      </c>
      <c r="K437" s="317">
        <v>0.18177665612501429</v>
      </c>
      <c r="L437" s="318">
        <v>1.7302191232361139E-2</v>
      </c>
      <c r="M437" s="317">
        <v>2.8202351754994218E-3</v>
      </c>
      <c r="N437" s="318">
        <v>2.0000005732018801E-3</v>
      </c>
      <c r="O437" s="317">
        <v>2.9702195099046001E-2</v>
      </c>
      <c r="P437" s="318">
        <v>2.3030309151944428E-2</v>
      </c>
      <c r="Q437" s="319">
        <v>0.18999578989302207</v>
      </c>
    </row>
    <row r="438" spans="2:17" ht="15.75" x14ac:dyDescent="0.25">
      <c r="B438" s="176">
        <v>2024</v>
      </c>
      <c r="C438" s="177">
        <v>1986</v>
      </c>
      <c r="D438" s="178" t="s">
        <v>3284</v>
      </c>
      <c r="E438" s="461">
        <v>5.74343416892261E-2</v>
      </c>
      <c r="F438" s="462">
        <v>9.2635784699852342E-2</v>
      </c>
      <c r="G438" s="316">
        <v>0.24531554295019115</v>
      </c>
      <c r="H438" s="317">
        <v>1.050344939198026</v>
      </c>
      <c r="I438" s="317">
        <v>4.6493306663262866</v>
      </c>
      <c r="J438" s="317">
        <v>2.7360434395746842</v>
      </c>
      <c r="K438" s="317">
        <v>0.18014617668242047</v>
      </c>
      <c r="L438" s="318">
        <v>1.7455798127736236E-2</v>
      </c>
      <c r="M438" s="317">
        <v>2.8959830541061288E-3</v>
      </c>
      <c r="N438" s="318">
        <v>2.0000005732018801E-3</v>
      </c>
      <c r="O438" s="317">
        <v>3.099066651414608E-2</v>
      </c>
      <c r="P438" s="318">
        <v>2.2353630061214179E-2</v>
      </c>
      <c r="Q438" s="319">
        <v>0.18829158740517943</v>
      </c>
    </row>
    <row r="439" spans="2:17" ht="15.75" x14ac:dyDescent="0.25">
      <c r="B439" s="176">
        <v>2024</v>
      </c>
      <c r="C439" s="177">
        <v>1987</v>
      </c>
      <c r="D439" s="178" t="s">
        <v>3285</v>
      </c>
      <c r="E439" s="461">
        <v>5.7712237630737635E-2</v>
      </c>
      <c r="F439" s="462">
        <v>8.8924216421984656E-2</v>
      </c>
      <c r="G439" s="316">
        <v>0.29523277543908166</v>
      </c>
      <c r="H439" s="317">
        <v>0.96539317206070829</v>
      </c>
      <c r="I439" s="317">
        <v>4.9679792922276231</v>
      </c>
      <c r="J439" s="317">
        <v>2.6219810071103886</v>
      </c>
      <c r="K439" s="317">
        <v>0.20012705684138268</v>
      </c>
      <c r="L439" s="318">
        <v>1.7719581511514218E-2</v>
      </c>
      <c r="M439" s="317">
        <v>2.9551244682141644E-3</v>
      </c>
      <c r="N439" s="318">
        <v>2.0000005732018801E-3</v>
      </c>
      <c r="O439" s="317">
        <v>3.1996661968123771E-2</v>
      </c>
      <c r="P439" s="318">
        <v>2.1290731186028217E-2</v>
      </c>
      <c r="Q439" s="319">
        <v>0.20917591430108781</v>
      </c>
    </row>
    <row r="440" spans="2:17" ht="15.75" x14ac:dyDescent="0.25">
      <c r="B440" s="176">
        <v>2024</v>
      </c>
      <c r="C440" s="177">
        <v>1988</v>
      </c>
      <c r="D440" s="178" t="s">
        <v>3286</v>
      </c>
      <c r="E440" s="461">
        <v>5.7566541281067862E-2</v>
      </c>
      <c r="F440" s="462">
        <v>8.7994915593999884E-2</v>
      </c>
      <c r="G440" s="316">
        <v>0.29178188095321539</v>
      </c>
      <c r="H440" s="317">
        <v>0.50510138754357692</v>
      </c>
      <c r="I440" s="317">
        <v>5.0561186062705463</v>
      </c>
      <c r="J440" s="317">
        <v>1.9026264314818135</v>
      </c>
      <c r="K440" s="317">
        <v>0.19812056006886383</v>
      </c>
      <c r="L440" s="318">
        <v>1.7169999292432649E-2</v>
      </c>
      <c r="M440" s="317">
        <v>2.972225848589857E-3</v>
      </c>
      <c r="N440" s="318">
        <v>2.0000005732018805E-3</v>
      </c>
      <c r="O440" s="317">
        <v>3.2287556448314304E-2</v>
      </c>
      <c r="P440" s="318">
        <v>2.18511719401287E-2</v>
      </c>
      <c r="Q440" s="319">
        <v>0.20707869264821241</v>
      </c>
    </row>
    <row r="441" spans="2:17" ht="15.75" x14ac:dyDescent="0.25">
      <c r="B441" s="176">
        <v>2024</v>
      </c>
      <c r="C441" s="177">
        <v>1989</v>
      </c>
      <c r="D441" s="178" t="s">
        <v>3287</v>
      </c>
      <c r="E441" s="461">
        <v>5.7748598529309317E-2</v>
      </c>
      <c r="F441" s="462">
        <v>9.0658727646406978E-2</v>
      </c>
      <c r="G441" s="316">
        <v>0.292665845939794</v>
      </c>
      <c r="H441" s="317">
        <v>0.50294632778999926</v>
      </c>
      <c r="I441" s="317">
        <v>5.1036705495607881</v>
      </c>
      <c r="J441" s="317">
        <v>1.8966737440704453</v>
      </c>
      <c r="K441" s="317">
        <v>0.19901154122626599</v>
      </c>
      <c r="L441" s="318">
        <v>1.6922493325907836E-2</v>
      </c>
      <c r="M441" s="317">
        <v>2.9851801122994775E-3</v>
      </c>
      <c r="N441" s="318">
        <v>2.0000005732018801E-3</v>
      </c>
      <c r="O441" s="317">
        <v>3.2507908474014947E-2</v>
      </c>
      <c r="P441" s="318">
        <v>2.2784583148575701E-2</v>
      </c>
      <c r="Q441" s="319">
        <v>0.20800996001988323</v>
      </c>
    </row>
    <row r="442" spans="2:17" ht="15.75" x14ac:dyDescent="0.25">
      <c r="B442" s="176">
        <v>2024</v>
      </c>
      <c r="C442" s="177">
        <v>1990</v>
      </c>
      <c r="D442" s="178" t="s">
        <v>3288</v>
      </c>
      <c r="E442" s="461">
        <v>5.820659634348186E-2</v>
      </c>
      <c r="F442" s="462">
        <v>8.856516572957121E-2</v>
      </c>
      <c r="G442" s="316">
        <v>0.2974235949036767</v>
      </c>
      <c r="H442" s="317">
        <v>0.50374066169266929</v>
      </c>
      <c r="I442" s="317">
        <v>5.0560608381777508</v>
      </c>
      <c r="J442" s="317">
        <v>1.8869880724644346</v>
      </c>
      <c r="K442" s="317">
        <v>0.20226566129957491</v>
      </c>
      <c r="L442" s="318">
        <v>1.7148943996746241E-2</v>
      </c>
      <c r="M442" s="317">
        <v>2.9862700144011526E-3</v>
      </c>
      <c r="N442" s="318">
        <v>2.0000005732018805E-3</v>
      </c>
      <c r="O442" s="317">
        <v>3.2526447708764436E-2</v>
      </c>
      <c r="P442" s="318">
        <v>2.2045163884904625E-2</v>
      </c>
      <c r="Q442" s="319">
        <v>0.21141121696296331</v>
      </c>
    </row>
    <row r="443" spans="2:17" ht="15.75" x14ac:dyDescent="0.25">
      <c r="B443" s="176">
        <v>2024</v>
      </c>
      <c r="C443" s="177">
        <v>1991</v>
      </c>
      <c r="D443" s="178" t="s">
        <v>3289</v>
      </c>
      <c r="E443" s="461">
        <v>5.8111020916251574E-2</v>
      </c>
      <c r="F443" s="462">
        <v>8.6670014037014451E-2</v>
      </c>
      <c r="G443" s="316">
        <v>0.38004176934696399</v>
      </c>
      <c r="H443" s="317">
        <v>0.5252827634769407</v>
      </c>
      <c r="I443" s="317">
        <v>8.9155595018342382</v>
      </c>
      <c r="J443" s="317">
        <v>2.3235864993240849</v>
      </c>
      <c r="K443" s="317">
        <v>5.6330554494962076E-2</v>
      </c>
      <c r="L443" s="318">
        <v>9.641575618573579E-3</v>
      </c>
      <c r="M443" s="317">
        <v>2.9847882420257102E-3</v>
      </c>
      <c r="N443" s="318">
        <v>2.0000005732018801E-3</v>
      </c>
      <c r="O443" s="317">
        <v>3.2501242760658154E-2</v>
      </c>
      <c r="P443" s="318">
        <v>2.1316799509625041E-2</v>
      </c>
      <c r="Q443" s="319">
        <v>5.887757220609071E-2</v>
      </c>
    </row>
    <row r="444" spans="2:17" ht="15.75" x14ac:dyDescent="0.25">
      <c r="B444" s="176">
        <v>2024</v>
      </c>
      <c r="C444" s="177">
        <v>1992</v>
      </c>
      <c r="D444" s="178" t="s">
        <v>3290</v>
      </c>
      <c r="E444" s="461">
        <v>5.809253930410397E-2</v>
      </c>
      <c r="F444" s="462">
        <v>8.3807024470915523E-2</v>
      </c>
      <c r="G444" s="316">
        <v>0.38055390509220111</v>
      </c>
      <c r="H444" s="317">
        <v>0.52638473744924352</v>
      </c>
      <c r="I444" s="317">
        <v>8.8391138804237102</v>
      </c>
      <c r="J444" s="317">
        <v>2.2579881828625572</v>
      </c>
      <c r="K444" s="317">
        <v>5.7773892702625847E-2</v>
      </c>
      <c r="L444" s="318">
        <v>9.765309100863229E-3</v>
      </c>
      <c r="M444" s="317">
        <v>2.9761017119513088E-3</v>
      </c>
      <c r="N444" s="318">
        <v>2.0000005732018801E-3</v>
      </c>
      <c r="O444" s="317">
        <v>3.2353484884092586E-2</v>
      </c>
      <c r="P444" s="318">
        <v>2.037240859790802E-2</v>
      </c>
      <c r="Q444" s="319">
        <v>6.0386171762786614E-2</v>
      </c>
    </row>
    <row r="445" spans="2:17" ht="15.75" x14ac:dyDescent="0.25">
      <c r="B445" s="176">
        <v>2024</v>
      </c>
      <c r="C445" s="177">
        <v>1993</v>
      </c>
      <c r="D445" s="178" t="s">
        <v>3291</v>
      </c>
      <c r="E445" s="461">
        <v>5.7971353171096522E-2</v>
      </c>
      <c r="F445" s="462">
        <v>7.5250845229498931E-2</v>
      </c>
      <c r="G445" s="316">
        <v>0.37528314398221818</v>
      </c>
      <c r="H445" s="317">
        <v>0.53052836462086383</v>
      </c>
      <c r="I445" s="317">
        <v>8.8982986872686354</v>
      </c>
      <c r="J445" s="317">
        <v>2.2134278552441322</v>
      </c>
      <c r="K445" s="317">
        <v>5.3931755999460686E-2</v>
      </c>
      <c r="L445" s="318">
        <v>9.8948617433515275E-3</v>
      </c>
      <c r="M445" s="317">
        <v>2.9811647094308653E-3</v>
      </c>
      <c r="N445" s="318">
        <v>2.0000005732018801E-3</v>
      </c>
      <c r="O445" s="317">
        <v>3.2439606471219837E-2</v>
      </c>
      <c r="P445" s="318">
        <v>1.9973200878786925E-2</v>
      </c>
      <c r="Q445" s="319">
        <v>5.6370310687133544E-2</v>
      </c>
    </row>
    <row r="446" spans="2:17" ht="15.75" x14ac:dyDescent="0.25">
      <c r="B446" s="176">
        <v>2024</v>
      </c>
      <c r="C446" s="177">
        <v>1994</v>
      </c>
      <c r="D446" s="178" t="s">
        <v>3292</v>
      </c>
      <c r="E446" s="461">
        <v>5.7746033085557029E-2</v>
      </c>
      <c r="F446" s="462">
        <v>7.1787960177043045E-2</v>
      </c>
      <c r="G446" s="316">
        <v>0.37069181487335784</v>
      </c>
      <c r="H446" s="317">
        <v>0.53171131764618051</v>
      </c>
      <c r="I446" s="317">
        <v>8.869678354255095</v>
      </c>
      <c r="J446" s="317">
        <v>2.145182051765814</v>
      </c>
      <c r="K446" s="317">
        <v>5.4104595517465645E-2</v>
      </c>
      <c r="L446" s="318">
        <v>1.0011344865793513E-2</v>
      </c>
      <c r="M446" s="317">
        <v>2.9736877150301167E-3</v>
      </c>
      <c r="N446" s="318">
        <v>2.0000005732018797E-3</v>
      </c>
      <c r="O446" s="317">
        <v>3.2312422796463118E-2</v>
      </c>
      <c r="P446" s="318">
        <v>1.9005542845708719E-2</v>
      </c>
      <c r="Q446" s="319">
        <v>5.6550965241178613E-2</v>
      </c>
    </row>
    <row r="447" spans="2:17" ht="15.75" x14ac:dyDescent="0.25">
      <c r="B447" s="176">
        <v>2024</v>
      </c>
      <c r="C447" s="177">
        <v>1995</v>
      </c>
      <c r="D447" s="178" t="s">
        <v>3293</v>
      </c>
      <c r="E447" s="461">
        <v>5.7451052994278516E-2</v>
      </c>
      <c r="F447" s="462">
        <v>7.3374410622557465E-2</v>
      </c>
      <c r="G447" s="316">
        <v>0.36763866929615019</v>
      </c>
      <c r="H447" s="317">
        <v>0.40190265733721514</v>
      </c>
      <c r="I447" s="317">
        <v>8.9775418781953285</v>
      </c>
      <c r="J447" s="317">
        <v>1.6783674252699468</v>
      </c>
      <c r="K447" s="317">
        <v>5.3450774314871864E-2</v>
      </c>
      <c r="L447" s="318">
        <v>9.2348037667036292E-3</v>
      </c>
      <c r="M447" s="317">
        <v>2.9793960443738883E-3</v>
      </c>
      <c r="N447" s="318">
        <v>2.0000005732018797E-3</v>
      </c>
      <c r="O447" s="317">
        <v>3.2409521478600677E-2</v>
      </c>
      <c r="P447" s="318">
        <v>1.9722479729852645E-2</v>
      </c>
      <c r="Q447" s="319">
        <v>5.5867581145092125E-2</v>
      </c>
    </row>
    <row r="448" spans="2:17" ht="15.75" x14ac:dyDescent="0.25">
      <c r="B448" s="176">
        <v>2024</v>
      </c>
      <c r="C448" s="177">
        <v>1996</v>
      </c>
      <c r="D448" s="178" t="s">
        <v>3294</v>
      </c>
      <c r="E448" s="461">
        <v>5.75661034881816E-2</v>
      </c>
      <c r="F448" s="462">
        <v>7.298982465695783E-2</v>
      </c>
      <c r="G448" s="316">
        <v>0.36970233508062988</v>
      </c>
      <c r="H448" s="317">
        <v>0.13888218625689217</v>
      </c>
      <c r="I448" s="317">
        <v>8.9670173293252144</v>
      </c>
      <c r="J448" s="317">
        <v>1.0175261073195536</v>
      </c>
      <c r="K448" s="317">
        <v>5.3678241754565127E-2</v>
      </c>
      <c r="L448" s="318">
        <v>2.8281449689373473E-3</v>
      </c>
      <c r="M448" s="317">
        <v>2.9809121309644485E-3</v>
      </c>
      <c r="N448" s="318">
        <v>2.0000005732018801E-3</v>
      </c>
      <c r="O448" s="317">
        <v>3.2435310111506098E-2</v>
      </c>
      <c r="P448" s="318">
        <v>1.9951580434060909E-2</v>
      </c>
      <c r="Q448" s="319">
        <v>5.61053336530365E-2</v>
      </c>
    </row>
    <row r="449" spans="2:17" ht="15.75" x14ac:dyDescent="0.25">
      <c r="B449" s="176">
        <v>2024</v>
      </c>
      <c r="C449" s="177">
        <v>1997</v>
      </c>
      <c r="D449" s="178" t="s">
        <v>3295</v>
      </c>
      <c r="E449" s="461">
        <v>5.7692750192687506E-2</v>
      </c>
      <c r="F449" s="462">
        <v>7.087263568227499E-2</v>
      </c>
      <c r="G449" s="316">
        <v>0.37198397912477393</v>
      </c>
      <c r="H449" s="317">
        <v>0.14403175595919027</v>
      </c>
      <c r="I449" s="317">
        <v>8.971090581599718</v>
      </c>
      <c r="J449" s="317">
        <v>1.0454080372070824</v>
      </c>
      <c r="K449" s="317">
        <v>5.3894165031444397E-2</v>
      </c>
      <c r="L449" s="318">
        <v>2.8511472703311434E-3</v>
      </c>
      <c r="M449" s="317">
        <v>2.9839444881742407E-3</v>
      </c>
      <c r="N449" s="318">
        <v>2.0000005732018801E-3</v>
      </c>
      <c r="O449" s="317">
        <v>3.2486890507644667E-2</v>
      </c>
      <c r="P449" s="318">
        <v>1.9359141824237251E-2</v>
      </c>
      <c r="Q449" s="319">
        <v>5.6331020022350964E-2</v>
      </c>
    </row>
    <row r="450" spans="2:17" ht="15.75" x14ac:dyDescent="0.25">
      <c r="B450" s="176">
        <v>2024</v>
      </c>
      <c r="C450" s="177">
        <v>1998</v>
      </c>
      <c r="D450" s="178" t="s">
        <v>3296</v>
      </c>
      <c r="E450" s="461">
        <v>5.7573935005792984E-2</v>
      </c>
      <c r="F450" s="462">
        <v>6.7634220405279388E-2</v>
      </c>
      <c r="G450" s="316">
        <v>0.37024425565593411</v>
      </c>
      <c r="H450" s="317">
        <v>0.13375981625080274</v>
      </c>
      <c r="I450" s="317">
        <v>8.9534914270015804</v>
      </c>
      <c r="J450" s="317">
        <v>0.92337817164591751</v>
      </c>
      <c r="K450" s="317">
        <v>5.3757827613375608E-2</v>
      </c>
      <c r="L450" s="318">
        <v>2.8939897373042632E-3</v>
      </c>
      <c r="M450" s="317">
        <v>2.9808453754504166E-3</v>
      </c>
      <c r="N450" s="318">
        <v>2.0000005732018801E-3</v>
      </c>
      <c r="O450" s="317">
        <v>3.2434174600212418E-2</v>
      </c>
      <c r="P450" s="318">
        <v>1.8438840992280599E-2</v>
      </c>
      <c r="Q450" s="319">
        <v>5.6188518031225432E-2</v>
      </c>
    </row>
    <row r="451" spans="2:17" ht="15.75" x14ac:dyDescent="0.25">
      <c r="B451" s="176">
        <v>2024</v>
      </c>
      <c r="C451" s="177">
        <v>1999</v>
      </c>
      <c r="D451" s="178" t="s">
        <v>3297</v>
      </c>
      <c r="E451" s="461">
        <v>5.7701032332872611E-2</v>
      </c>
      <c r="F451" s="462">
        <v>6.7975903940915169E-2</v>
      </c>
      <c r="G451" s="316">
        <v>0.37399180763403339</v>
      </c>
      <c r="H451" s="317">
        <v>0.11745645998287559</v>
      </c>
      <c r="I451" s="317">
        <v>9.0648687810512154</v>
      </c>
      <c r="J451" s="317">
        <v>0.76788830253467255</v>
      </c>
      <c r="K451" s="317">
        <v>5.3774281266102786E-2</v>
      </c>
      <c r="L451" s="318">
        <v>2.9023383153941478E-3</v>
      </c>
      <c r="M451" s="317">
        <v>2.9943731468087121E-3</v>
      </c>
      <c r="N451" s="318">
        <v>2.0000005732018801E-3</v>
      </c>
      <c r="O451" s="317">
        <v>3.2664281991017022E-2</v>
      </c>
      <c r="P451" s="318">
        <v>1.8556805406187118E-2</v>
      </c>
      <c r="Q451" s="319">
        <v>5.6205715645116866E-2</v>
      </c>
    </row>
    <row r="452" spans="2:17" ht="15.75" x14ac:dyDescent="0.25">
      <c r="B452" s="176">
        <v>2024</v>
      </c>
      <c r="C452" s="177">
        <v>2000</v>
      </c>
      <c r="D452" s="178" t="s">
        <v>3298</v>
      </c>
      <c r="E452" s="461">
        <v>5.7557651874389451E-2</v>
      </c>
      <c r="F452" s="462">
        <v>7.3897050523493171E-2</v>
      </c>
      <c r="G452" s="316">
        <v>0.3727197076279542</v>
      </c>
      <c r="H452" s="317">
        <v>0.10108460043416254</v>
      </c>
      <c r="I452" s="317">
        <v>9.1203605742615661</v>
      </c>
      <c r="J452" s="317">
        <v>0.61612755914974682</v>
      </c>
      <c r="K452" s="317">
        <v>5.3444710837857512E-2</v>
      </c>
      <c r="L452" s="318">
        <v>2.8994862105998979E-3</v>
      </c>
      <c r="M452" s="317">
        <v>2.998054887172647E-3</v>
      </c>
      <c r="N452" s="318">
        <v>2.0000005732018801E-3</v>
      </c>
      <c r="O452" s="317">
        <v>3.2726908394607554E-2</v>
      </c>
      <c r="P452" s="318">
        <v>1.8682688380829735E-2</v>
      </c>
      <c r="Q452" s="319">
        <v>5.5861243504553508E-2</v>
      </c>
    </row>
    <row r="453" spans="2:17" ht="15.75" x14ac:dyDescent="0.25">
      <c r="B453" s="176">
        <v>2024</v>
      </c>
      <c r="C453" s="177">
        <v>2001</v>
      </c>
      <c r="D453" s="178" t="s">
        <v>3299</v>
      </c>
      <c r="E453" s="461">
        <v>5.7636718914652649E-2</v>
      </c>
      <c r="F453" s="462">
        <v>7.2548031653505485E-2</v>
      </c>
      <c r="G453" s="316">
        <v>0.3727022943271453</v>
      </c>
      <c r="H453" s="317">
        <v>8.7124707023914921E-2</v>
      </c>
      <c r="I453" s="317">
        <v>9.0563898679747759</v>
      </c>
      <c r="J453" s="317">
        <v>0.47511859996322492</v>
      </c>
      <c r="K453" s="317">
        <v>5.3660328174995109E-2</v>
      </c>
      <c r="L453" s="318">
        <v>2.9235590340469368E-3</v>
      </c>
      <c r="M453" s="317">
        <v>2.993199256175411E-3</v>
      </c>
      <c r="N453" s="318">
        <v>2.0000005732018801E-3</v>
      </c>
      <c r="O453" s="317">
        <v>3.2644314111344566E-2</v>
      </c>
      <c r="P453" s="318">
        <v>1.8240630756696571E-2</v>
      </c>
      <c r="Q453" s="319">
        <v>5.6086610100888723E-2</v>
      </c>
    </row>
    <row r="454" spans="2:17" ht="15.75" x14ac:dyDescent="0.25">
      <c r="B454" s="176">
        <v>2024</v>
      </c>
      <c r="C454" s="177">
        <v>2002</v>
      </c>
      <c r="D454" s="178" t="s">
        <v>3300</v>
      </c>
      <c r="E454" s="461">
        <v>5.7464399052627534E-2</v>
      </c>
      <c r="F454" s="462">
        <v>7.0706853106596121E-2</v>
      </c>
      <c r="G454" s="316">
        <v>0.28715090222031697</v>
      </c>
      <c r="H454" s="317">
        <v>8.6864697772370811E-2</v>
      </c>
      <c r="I454" s="317">
        <v>7.0202879361368407</v>
      </c>
      <c r="J454" s="317">
        <v>0.45756137309269967</v>
      </c>
      <c r="K454" s="317">
        <v>5.3722049950910698E-2</v>
      </c>
      <c r="L454" s="318">
        <v>2.9510783808578784E-3</v>
      </c>
      <c r="M454" s="317">
        <v>2.9969409334046795E-3</v>
      </c>
      <c r="N454" s="318">
        <v>2.0000005732018801E-3</v>
      </c>
      <c r="O454" s="317">
        <v>3.2707960041014422E-2</v>
      </c>
      <c r="P454" s="318">
        <v>1.7644255141892103E-2</v>
      </c>
      <c r="Q454" s="319">
        <v>5.6151122661624864E-2</v>
      </c>
    </row>
    <row r="455" spans="2:17" ht="15.75" x14ac:dyDescent="0.25">
      <c r="B455" s="176">
        <v>2024</v>
      </c>
      <c r="C455" s="177">
        <v>2003</v>
      </c>
      <c r="D455" s="178" t="s">
        <v>3301</v>
      </c>
      <c r="E455" s="461">
        <v>5.7251247299971164E-2</v>
      </c>
      <c r="F455" s="462">
        <v>7.15863646314914E-2</v>
      </c>
      <c r="G455" s="316">
        <v>0.28336297514890102</v>
      </c>
      <c r="H455" s="317">
        <v>7.0148021065959049E-2</v>
      </c>
      <c r="I455" s="317">
        <v>7.0146433542533231</v>
      </c>
      <c r="J455" s="317">
        <v>0.39032477783974578</v>
      </c>
      <c r="K455" s="317">
        <v>5.3248936095001247E-2</v>
      </c>
      <c r="L455" s="318">
        <v>2.935077291398515E-3</v>
      </c>
      <c r="M455" s="317">
        <v>2.9930525646432479E-3</v>
      </c>
      <c r="N455" s="318">
        <v>2.0000005732018801E-3</v>
      </c>
      <c r="O455" s="317">
        <v>3.2641818888382482E-2</v>
      </c>
      <c r="P455" s="318">
        <v>1.7970103916427563E-2</v>
      </c>
      <c r="Q455" s="319">
        <v>5.5656616696562751E-2</v>
      </c>
    </row>
    <row r="456" spans="2:17" ht="15.75" x14ac:dyDescent="0.25">
      <c r="B456" s="176">
        <v>2024</v>
      </c>
      <c r="C456" s="177">
        <v>2004</v>
      </c>
      <c r="D456" s="178" t="s">
        <v>3302</v>
      </c>
      <c r="E456" s="461">
        <v>5.7149750009476211E-2</v>
      </c>
      <c r="F456" s="462">
        <v>7.1500668782676899E-2</v>
      </c>
      <c r="G456" s="316">
        <v>0.23232258237974313</v>
      </c>
      <c r="H456" s="317">
        <v>1.8069070791872831E-2</v>
      </c>
      <c r="I456" s="317">
        <v>5.847387011783411</v>
      </c>
      <c r="J456" s="317">
        <v>0.11167529682121718</v>
      </c>
      <c r="K456" s="317">
        <v>5.2795574353217578E-2</v>
      </c>
      <c r="L456" s="318">
        <v>1.9606899630048298E-4</v>
      </c>
      <c r="M456" s="317">
        <v>2.9902834560143034E-3</v>
      </c>
      <c r="N456" s="318">
        <v>2.0000005732018801E-3</v>
      </c>
      <c r="O456" s="317">
        <v>3.2594716350604132E-2</v>
      </c>
      <c r="P456" s="318">
        <v>1.7622526057525671E-2</v>
      </c>
      <c r="Q456" s="319">
        <v>5.5182755948578653E-2</v>
      </c>
    </row>
    <row r="457" spans="2:17" ht="15.75" x14ac:dyDescent="0.25">
      <c r="B457" s="176">
        <v>2024</v>
      </c>
      <c r="C457" s="177">
        <v>2005</v>
      </c>
      <c r="D457" s="178" t="s">
        <v>3303</v>
      </c>
      <c r="E457" s="461">
        <v>5.6899958793195586E-2</v>
      </c>
      <c r="F457" s="462">
        <v>6.8067815610957663E-2</v>
      </c>
      <c r="G457" s="316">
        <v>0.227620325846665</v>
      </c>
      <c r="H457" s="317">
        <v>1.5782218919949943E-2</v>
      </c>
      <c r="I457" s="317">
        <v>5.8277081446397645</v>
      </c>
      <c r="J457" s="317">
        <v>9.0700469233893494E-2</v>
      </c>
      <c r="K457" s="317">
        <v>5.2170639130343553E-2</v>
      </c>
      <c r="L457" s="318">
        <v>1.9674983071944188E-4</v>
      </c>
      <c r="M457" s="317">
        <v>2.9816310678976478E-3</v>
      </c>
      <c r="N457" s="318">
        <v>2.0000005732018797E-3</v>
      </c>
      <c r="O457" s="317">
        <v>3.2447539228739823E-2</v>
      </c>
      <c r="P457" s="318">
        <v>1.6980914190745204E-2</v>
      </c>
      <c r="Q457" s="319">
        <v>5.4529563928035249E-2</v>
      </c>
    </row>
    <row r="458" spans="2:17" ht="15.75" x14ac:dyDescent="0.25">
      <c r="B458" s="176">
        <v>2024</v>
      </c>
      <c r="C458" s="177">
        <v>2006</v>
      </c>
      <c r="D458" s="178" t="s">
        <v>3304</v>
      </c>
      <c r="E458" s="461">
        <v>5.6833427478302903E-2</v>
      </c>
      <c r="F458" s="462">
        <v>7.0645148805723576E-2</v>
      </c>
      <c r="G458" s="316">
        <v>0.22489744019706712</v>
      </c>
      <c r="H458" s="317">
        <v>5.6432922706995342E-3</v>
      </c>
      <c r="I458" s="317">
        <v>5.8151940943696045</v>
      </c>
      <c r="J458" s="317">
        <v>5.5221761016079347E-2</v>
      </c>
      <c r="K458" s="317">
        <v>5.1812680937976453E-2</v>
      </c>
      <c r="L458" s="318">
        <v>1.9328149912797916E-4</v>
      </c>
      <c r="M458" s="317">
        <v>2.9795682667447237E-3</v>
      </c>
      <c r="N458" s="318">
        <v>2.0000005732018801E-3</v>
      </c>
      <c r="O458" s="317">
        <v>3.2412450981128577E-2</v>
      </c>
      <c r="P458" s="318">
        <v>1.8505768547658275E-2</v>
      </c>
      <c r="Q458" s="319">
        <v>5.4155420454625222E-2</v>
      </c>
    </row>
    <row r="459" spans="2:17" ht="15.75" x14ac:dyDescent="0.25">
      <c r="B459" s="176">
        <v>2024</v>
      </c>
      <c r="C459" s="177">
        <v>2007</v>
      </c>
      <c r="D459" s="178" t="s">
        <v>3305</v>
      </c>
      <c r="E459" s="461">
        <v>5.6612072165851998E-2</v>
      </c>
      <c r="F459" s="462">
        <v>6.6667644895617828E-2</v>
      </c>
      <c r="G459" s="316">
        <v>0.15929637378747191</v>
      </c>
      <c r="H459" s="317">
        <v>8.2161527546964555E-3</v>
      </c>
      <c r="I459" s="317">
        <v>2.9396151562555604</v>
      </c>
      <c r="J459" s="317">
        <v>5.074119853710183E-2</v>
      </c>
      <c r="K459" s="317">
        <v>3.5167065551474197E-2</v>
      </c>
      <c r="L459" s="318">
        <v>1.9640164208020326E-4</v>
      </c>
      <c r="M459" s="317">
        <v>2.9522473714631739E-3</v>
      </c>
      <c r="N459" s="318">
        <v>2.0000005732018801E-3</v>
      </c>
      <c r="O459" s="317">
        <v>3.1947722552389424E-2</v>
      </c>
      <c r="P459" s="318">
        <v>1.7196489447600178E-2</v>
      </c>
      <c r="Q459" s="319">
        <v>3.675716420416969E-2</v>
      </c>
    </row>
    <row r="460" spans="2:17" ht="15.75" x14ac:dyDescent="0.25">
      <c r="B460" s="176">
        <v>2024</v>
      </c>
      <c r="C460" s="177">
        <v>2008</v>
      </c>
      <c r="D460" s="178" t="s">
        <v>3306</v>
      </c>
      <c r="E460" s="461">
        <v>5.6625589859562106E-2</v>
      </c>
      <c r="F460" s="462">
        <v>6.4890692106183548E-2</v>
      </c>
      <c r="G460" s="316">
        <v>0.15924654980281172</v>
      </c>
      <c r="H460" s="317">
        <v>8.0126217765624473E-3</v>
      </c>
      <c r="I460" s="317">
        <v>2.967202236879904</v>
      </c>
      <c r="J460" s="317">
        <v>4.1290879281456409E-2</v>
      </c>
      <c r="K460" s="317">
        <v>3.5101917249197409E-2</v>
      </c>
      <c r="L460" s="318">
        <v>2.2442986832035494E-4</v>
      </c>
      <c r="M460" s="317">
        <v>2.9642159791105063E-3</v>
      </c>
      <c r="N460" s="318">
        <v>2.0000005732018801E-3</v>
      </c>
      <c r="O460" s="317">
        <v>3.2151308568470441E-2</v>
      </c>
      <c r="P460" s="318">
        <v>1.7153437104572393E-2</v>
      </c>
      <c r="Q460" s="319">
        <v>3.6689070184755236E-2</v>
      </c>
    </row>
    <row r="461" spans="2:17" ht="15.75" x14ac:dyDescent="0.25">
      <c r="B461" s="176">
        <v>2024</v>
      </c>
      <c r="C461" s="177">
        <v>2009</v>
      </c>
      <c r="D461" s="178" t="s">
        <v>3307</v>
      </c>
      <c r="E461" s="461">
        <v>5.5420969112078673E-2</v>
      </c>
      <c r="F461" s="462">
        <v>5.9801152704724317E-2</v>
      </c>
      <c r="G461" s="316">
        <v>0.14086287901905672</v>
      </c>
      <c r="H461" s="317">
        <v>7.9453402642412126E-3</v>
      </c>
      <c r="I461" s="317">
        <v>2.5523435849863012</v>
      </c>
      <c r="J461" s="317">
        <v>3.1913328931619994E-2</v>
      </c>
      <c r="K461" s="317">
        <v>3.1028781025688307E-2</v>
      </c>
      <c r="L461" s="318">
        <v>2.5353552595262595E-4</v>
      </c>
      <c r="M461" s="317">
        <v>2.8337051474903283E-3</v>
      </c>
      <c r="N461" s="318">
        <v>2.0000005732018797E-3</v>
      </c>
      <c r="O461" s="317">
        <v>2.9931319322611307E-2</v>
      </c>
      <c r="P461" s="318">
        <v>1.6595757087323134E-2</v>
      </c>
      <c r="Q461" s="319">
        <v>3.2431764815493307E-2</v>
      </c>
    </row>
    <row r="462" spans="2:17" ht="15.75" x14ac:dyDescent="0.25">
      <c r="B462" s="176">
        <v>2024</v>
      </c>
      <c r="C462" s="177">
        <v>2010</v>
      </c>
      <c r="D462" s="178" t="s">
        <v>3308</v>
      </c>
      <c r="E462" s="461">
        <v>5.3893038417222996E-2</v>
      </c>
      <c r="F462" s="462">
        <v>5.812445055266649E-2</v>
      </c>
      <c r="G462" s="316">
        <v>8.1455913372857972E-2</v>
      </c>
      <c r="H462" s="317">
        <v>6.949265271669401E-3</v>
      </c>
      <c r="I462" s="317">
        <v>0.1972926742112098</v>
      </c>
      <c r="J462" s="317">
        <v>3.026480313173132E-2</v>
      </c>
      <c r="K462" s="317">
        <v>1.6150481084371858E-2</v>
      </c>
      <c r="L462" s="318">
        <v>3.0947364976501327E-4</v>
      </c>
      <c r="M462" s="317">
        <v>2.7153754961119483E-3</v>
      </c>
      <c r="N462" s="318">
        <v>2.0000005732018797E-3</v>
      </c>
      <c r="O462" s="317">
        <v>2.7918531952665061E-2</v>
      </c>
      <c r="P462" s="318">
        <v>1.6290379124692181E-2</v>
      </c>
      <c r="Q462" s="319">
        <v>1.6880734172308776E-2</v>
      </c>
    </row>
    <row r="463" spans="2:17" ht="15.75" x14ac:dyDescent="0.25">
      <c r="B463" s="176">
        <v>2024</v>
      </c>
      <c r="C463" s="177">
        <v>2011</v>
      </c>
      <c r="D463" s="178" t="s">
        <v>3309</v>
      </c>
      <c r="E463" s="461">
        <v>5.3535099219607439E-2</v>
      </c>
      <c r="F463" s="462">
        <v>5.6725338784330698E-2</v>
      </c>
      <c r="G463" s="316">
        <v>8.0826877638648834E-2</v>
      </c>
      <c r="H463" s="317">
        <v>7.0260104889305879E-3</v>
      </c>
      <c r="I463" s="317">
        <v>0.19521808469576921</v>
      </c>
      <c r="J463" s="317">
        <v>3.020949770890536E-2</v>
      </c>
      <c r="K463" s="317">
        <v>1.576517448540821E-2</v>
      </c>
      <c r="L463" s="318">
        <v>4.1941057417512671E-4</v>
      </c>
      <c r="M463" s="317">
        <v>2.7293606546759468E-3</v>
      </c>
      <c r="N463" s="318">
        <v>2.0000005732018801E-3</v>
      </c>
      <c r="O463" s="317">
        <v>2.8156419499838683E-2</v>
      </c>
      <c r="P463" s="318">
        <v>1.6397130258593937E-2</v>
      </c>
      <c r="Q463" s="319">
        <v>1.6478005718712722E-2</v>
      </c>
    </row>
    <row r="464" spans="2:17" ht="15.75" x14ac:dyDescent="0.25">
      <c r="B464" s="176">
        <v>2024</v>
      </c>
      <c r="C464" s="177">
        <v>2012</v>
      </c>
      <c r="D464" s="178" t="s">
        <v>3310</v>
      </c>
      <c r="E464" s="461">
        <v>5.1163465998692904E-2</v>
      </c>
      <c r="F464" s="462">
        <v>5.6455424059586846E-2</v>
      </c>
      <c r="G464" s="316">
        <v>6.7130791510750867E-2</v>
      </c>
      <c r="H464" s="317">
        <v>6.5118863092739725E-3</v>
      </c>
      <c r="I464" s="317">
        <v>0.15927550212770952</v>
      </c>
      <c r="J464" s="317">
        <v>3.0052184325364918E-2</v>
      </c>
      <c r="K464" s="317">
        <v>1.3174003330558199E-2</v>
      </c>
      <c r="L464" s="318">
        <v>6.0964751003113999E-4</v>
      </c>
      <c r="M464" s="317">
        <v>2.5815293995359442E-3</v>
      </c>
      <c r="N464" s="318">
        <v>2.0000005732018801E-3</v>
      </c>
      <c r="O464" s="317">
        <v>2.5641809849907229E-2</v>
      </c>
      <c r="P464" s="318">
        <v>1.6713838949722448E-2</v>
      </c>
      <c r="Q464" s="319">
        <v>1.3769673302392047E-2</v>
      </c>
    </row>
    <row r="465" spans="2:17" ht="15.75" x14ac:dyDescent="0.25">
      <c r="B465" s="176">
        <v>2024</v>
      </c>
      <c r="C465" s="177">
        <v>2013</v>
      </c>
      <c r="D465" s="178" t="s">
        <v>3311</v>
      </c>
      <c r="E465" s="461">
        <v>5.3297464247561217E-2</v>
      </c>
      <c r="F465" s="462">
        <v>5.5094688683221378E-2</v>
      </c>
      <c r="G465" s="316">
        <v>8.1471560697499071E-2</v>
      </c>
      <c r="H465" s="317">
        <v>7.3377576477031258E-3</v>
      </c>
      <c r="I465" s="317">
        <v>0.19262896201183552</v>
      </c>
      <c r="J465" s="317">
        <v>3.007869671159006E-2</v>
      </c>
      <c r="K465" s="317">
        <v>1.4962576303908069E-2</v>
      </c>
      <c r="L465" s="318">
        <v>9.1074096074997225E-4</v>
      </c>
      <c r="M465" s="317">
        <v>2.7570103566237855E-3</v>
      </c>
      <c r="N465" s="318">
        <v>2.0000005732018801E-3</v>
      </c>
      <c r="O465" s="317">
        <v>2.8626740929971417E-2</v>
      </c>
      <c r="P465" s="318">
        <v>1.6792134011512447E-2</v>
      </c>
      <c r="Q465" s="319">
        <v>1.5639117608921824E-2</v>
      </c>
    </row>
    <row r="466" spans="2:17" ht="15.75" x14ac:dyDescent="0.25">
      <c r="B466" s="176">
        <v>2024</v>
      </c>
      <c r="C466" s="177">
        <v>2014</v>
      </c>
      <c r="D466" s="178" t="s">
        <v>3312</v>
      </c>
      <c r="E466" s="461">
        <v>5.040212551919343E-2</v>
      </c>
      <c r="F466" s="462">
        <v>5.3173099176594525E-2</v>
      </c>
      <c r="G466" s="316">
        <v>6.9112566135786771E-2</v>
      </c>
      <c r="H466" s="317">
        <v>7.3446463912726929E-3</v>
      </c>
      <c r="I466" s="317">
        <v>0.16104899239521825</v>
      </c>
      <c r="J466" s="317">
        <v>2.8957603267380328E-2</v>
      </c>
      <c r="K466" s="317">
        <v>1.268148900827094E-2</v>
      </c>
      <c r="L466" s="318">
        <v>1.2775157587099114E-3</v>
      </c>
      <c r="M466" s="317">
        <v>2.6302781190908875E-3</v>
      </c>
      <c r="N466" s="318">
        <v>2.0000005732018801E-3</v>
      </c>
      <c r="O466" s="317">
        <v>2.6471025569536826E-2</v>
      </c>
      <c r="P466" s="318">
        <v>1.6379112077416935E-2</v>
      </c>
      <c r="Q466" s="319">
        <v>1.3254889667950907E-2</v>
      </c>
    </row>
    <row r="467" spans="2:17" ht="15.75" x14ac:dyDescent="0.25">
      <c r="B467" s="176">
        <v>2024</v>
      </c>
      <c r="C467" s="177">
        <v>2015</v>
      </c>
      <c r="D467" s="178" t="s">
        <v>3313</v>
      </c>
      <c r="E467" s="461">
        <v>4.9171221809075218E-2</v>
      </c>
      <c r="F467" s="462">
        <v>5.4981862261047745E-2</v>
      </c>
      <c r="G467" s="316">
        <v>6.4249644368106706E-2</v>
      </c>
      <c r="H467" s="317">
        <v>7.1787874757726486E-3</v>
      </c>
      <c r="I467" s="317">
        <v>0.14874667867175539</v>
      </c>
      <c r="J467" s="317">
        <v>2.9616317901505797E-2</v>
      </c>
      <c r="K467" s="317">
        <v>1.1607961765369634E-2</v>
      </c>
      <c r="L467" s="318">
        <v>1.591662694157334E-3</v>
      </c>
      <c r="M467" s="317">
        <v>2.5994028418401421E-3</v>
      </c>
      <c r="N467" s="318">
        <v>2.0000005732018801E-3</v>
      </c>
      <c r="O467" s="317">
        <v>2.5945837103501644E-2</v>
      </c>
      <c r="P467" s="318">
        <v>1.7224740428268642E-2</v>
      </c>
      <c r="Q467" s="319">
        <v>1.2132822286832176E-2</v>
      </c>
    </row>
    <row r="468" spans="2:17" ht="15.75" x14ac:dyDescent="0.25">
      <c r="B468" s="176">
        <v>2024</v>
      </c>
      <c r="C468" s="177">
        <v>2016</v>
      </c>
      <c r="D468" s="178" t="s">
        <v>3314</v>
      </c>
      <c r="E468" s="461">
        <v>5.0323872261458145E-2</v>
      </c>
      <c r="F468" s="462">
        <v>5.6012357765408291E-2</v>
      </c>
      <c r="G468" s="316">
        <v>7.8683145678583713E-2</v>
      </c>
      <c r="H468" s="317">
        <v>6.9071966506997935E-3</v>
      </c>
      <c r="I468" s="317">
        <v>0.15898946850919471</v>
      </c>
      <c r="J468" s="317">
        <v>2.9358775649674051E-2</v>
      </c>
      <c r="K468" s="317">
        <v>1.304313134735758E-2</v>
      </c>
      <c r="L468" s="318">
        <v>1.8249456519454309E-3</v>
      </c>
      <c r="M468" s="317">
        <v>2.795912463529351E-3</v>
      </c>
      <c r="N468" s="318">
        <v>2.0000005732018801E-3</v>
      </c>
      <c r="O468" s="317">
        <v>2.928846576843509E-2</v>
      </c>
      <c r="P468" s="318">
        <v>1.8073034235890455E-2</v>
      </c>
      <c r="Q468" s="319">
        <v>1.3632883868846936E-2</v>
      </c>
    </row>
    <row r="469" spans="2:17" ht="15.75" x14ac:dyDescent="0.25">
      <c r="B469" s="176">
        <v>2024</v>
      </c>
      <c r="C469" s="177">
        <v>2017</v>
      </c>
      <c r="D469" s="178" t="s">
        <v>3315</v>
      </c>
      <c r="E469" s="461">
        <v>4.6660283197853099E-2</v>
      </c>
      <c r="F469" s="462">
        <v>5.0604929177809427E-2</v>
      </c>
      <c r="G469" s="316">
        <v>5.9638379221915234E-2</v>
      </c>
      <c r="H469" s="317">
        <v>6.7802279037338835E-3</v>
      </c>
      <c r="I469" s="317">
        <v>0.11186373341238132</v>
      </c>
      <c r="J469" s="317">
        <v>2.7255581173695354E-2</v>
      </c>
      <c r="K469" s="317">
        <v>1.0907952438343431E-2</v>
      </c>
      <c r="L469" s="318">
        <v>2.0072957895902674E-3</v>
      </c>
      <c r="M469" s="317">
        <v>2.7207958838160748E-3</v>
      </c>
      <c r="N469" s="318">
        <v>2.0000005732018801E-3</v>
      </c>
      <c r="O469" s="317">
        <v>2.8010732747512253E-2</v>
      </c>
      <c r="P469" s="318">
        <v>1.7116943228546899E-2</v>
      </c>
      <c r="Q469" s="319">
        <v>1.1401161644283269E-2</v>
      </c>
    </row>
    <row r="470" spans="2:17" ht="15.75" x14ac:dyDescent="0.25">
      <c r="B470" s="176">
        <v>2024</v>
      </c>
      <c r="C470" s="177">
        <v>2018</v>
      </c>
      <c r="D470" s="178" t="s">
        <v>3316</v>
      </c>
      <c r="E470" s="461">
        <v>4.3782292083712052E-2</v>
      </c>
      <c r="F470" s="462">
        <v>4.8355723889247991E-2</v>
      </c>
      <c r="G470" s="316">
        <v>5.8217660500993446E-2</v>
      </c>
      <c r="H470" s="317">
        <v>6.3660082301422692E-3</v>
      </c>
      <c r="I470" s="317">
        <v>8.9157283415469829E-2</v>
      </c>
      <c r="J470" s="317">
        <v>2.5628223406181396E-2</v>
      </c>
      <c r="K470" s="317">
        <v>9.4762264809240306E-3</v>
      </c>
      <c r="L470" s="318">
        <v>2.0912088033675251E-3</v>
      </c>
      <c r="M470" s="317">
        <v>2.7181510052663375E-3</v>
      </c>
      <c r="N470" s="318">
        <v>2.0000005732018801E-3</v>
      </c>
      <c r="O470" s="317">
        <v>2.7965743363381226E-2</v>
      </c>
      <c r="P470" s="318">
        <v>1.7106908380995482E-2</v>
      </c>
      <c r="Q470" s="319">
        <v>9.9046993922591552E-3</v>
      </c>
    </row>
    <row r="471" spans="2:17" ht="15.75" x14ac:dyDescent="0.25">
      <c r="B471" s="176">
        <v>2024</v>
      </c>
      <c r="C471" s="177">
        <v>2019</v>
      </c>
      <c r="D471" s="178" t="s">
        <v>3317</v>
      </c>
      <c r="E471" s="461">
        <v>4.3263469924036825E-2</v>
      </c>
      <c r="F471" s="462">
        <v>4.6460800143499605E-2</v>
      </c>
      <c r="G471" s="316">
        <v>5.6648130877153972E-2</v>
      </c>
      <c r="H471" s="317">
        <v>5.630167844781769E-3</v>
      </c>
      <c r="I471" s="317">
        <v>7.4518815447189579E-2</v>
      </c>
      <c r="J471" s="317">
        <v>2.2827415253400343E-2</v>
      </c>
      <c r="K471" s="317">
        <v>7.5917795133777204E-3</v>
      </c>
      <c r="L471" s="318">
        <v>1.9860401486402409E-3</v>
      </c>
      <c r="M471" s="317">
        <v>2.7141318114694449E-3</v>
      </c>
      <c r="N471" s="318">
        <v>2.0000005732018801E-3</v>
      </c>
      <c r="O471" s="317">
        <v>2.7897376876896082E-2</v>
      </c>
      <c r="P471" s="318">
        <v>1.7094864598600386E-2</v>
      </c>
      <c r="Q471" s="319">
        <v>7.9350460949500039E-3</v>
      </c>
    </row>
    <row r="472" spans="2:17" ht="15.75" x14ac:dyDescent="0.25">
      <c r="B472" s="176">
        <v>2024</v>
      </c>
      <c r="C472" s="177">
        <v>2020</v>
      </c>
      <c r="D472" s="178" t="s">
        <v>3318</v>
      </c>
      <c r="E472" s="461">
        <v>4.2774448207556173E-2</v>
      </c>
      <c r="F472" s="462">
        <v>4.4664102059492269E-2</v>
      </c>
      <c r="G472" s="316">
        <v>5.5197752601833613E-2</v>
      </c>
      <c r="H472" s="317">
        <v>4.7964999049763925E-3</v>
      </c>
      <c r="I472" s="317">
        <v>6.0830006453239216E-2</v>
      </c>
      <c r="J472" s="317">
        <v>2.0056781906324404E-2</v>
      </c>
      <c r="K472" s="317">
        <v>5.8956197946330481E-3</v>
      </c>
      <c r="L472" s="318">
        <v>1.4603874127243437E-3</v>
      </c>
      <c r="M472" s="317">
        <v>2.7131748819610012E-3</v>
      </c>
      <c r="N472" s="318">
        <v>2.0000005732018801E-3</v>
      </c>
      <c r="O472" s="317">
        <v>2.7881099505957463E-2</v>
      </c>
      <c r="P472" s="318">
        <v>1.7111702104383363E-2</v>
      </c>
      <c r="Q472" s="319">
        <v>6.1621935603209761E-3</v>
      </c>
    </row>
    <row r="473" spans="2:17" ht="15.75" x14ac:dyDescent="0.25">
      <c r="B473" s="176">
        <v>2024</v>
      </c>
      <c r="C473" s="177">
        <v>2021</v>
      </c>
      <c r="D473" s="178" t="s">
        <v>3319</v>
      </c>
      <c r="E473" s="461">
        <v>4.1458590693790383E-2</v>
      </c>
      <c r="F473" s="462">
        <v>4.2667924038142194E-2</v>
      </c>
      <c r="G473" s="316">
        <v>5.1425563356931193E-2</v>
      </c>
      <c r="H473" s="317">
        <v>4.1822350779853468E-3</v>
      </c>
      <c r="I473" s="317">
        <v>4.2140881143774352E-2</v>
      </c>
      <c r="J473" s="317">
        <v>1.8129818757479627E-2</v>
      </c>
      <c r="K473" s="317">
        <v>3.5640736082771757E-3</v>
      </c>
      <c r="L473" s="318">
        <v>9.5599363543198376E-4</v>
      </c>
      <c r="M473" s="317">
        <v>2.7128374701190154E-3</v>
      </c>
      <c r="N473" s="318">
        <v>2.0000005732018801E-3</v>
      </c>
      <c r="O473" s="317">
        <v>2.7875360130525276E-2</v>
      </c>
      <c r="P473" s="318">
        <v>1.7127086740129329E-2</v>
      </c>
      <c r="Q473" s="319">
        <v>3.7252252015010619E-3</v>
      </c>
    </row>
    <row r="474" spans="2:17" ht="15.75" x14ac:dyDescent="0.25">
      <c r="B474" s="176">
        <v>2024</v>
      </c>
      <c r="C474" s="177">
        <v>2022</v>
      </c>
      <c r="D474" s="178" t="s">
        <v>3320</v>
      </c>
      <c r="E474" s="461">
        <v>4.0270655289796682E-2</v>
      </c>
      <c r="F474" s="462">
        <v>4.1111448725754361E-2</v>
      </c>
      <c r="G474" s="316">
        <v>4.979371695357563E-2</v>
      </c>
      <c r="H474" s="317">
        <v>3.5125835630490554E-3</v>
      </c>
      <c r="I474" s="317">
        <v>3.0345318968670168E-2</v>
      </c>
      <c r="J474" s="317">
        <v>1.5910207198373463E-2</v>
      </c>
      <c r="K474" s="317">
        <v>2.33561235312641E-3</v>
      </c>
      <c r="L474" s="318">
        <v>9.5712395612389484E-4</v>
      </c>
      <c r="M474" s="317">
        <v>2.7101156036522718E-3</v>
      </c>
      <c r="N474" s="318">
        <v>2.0000005732018801E-3</v>
      </c>
      <c r="O474" s="317">
        <v>2.782906118192597E-2</v>
      </c>
      <c r="P474" s="318">
        <v>1.7122601440843568E-2</v>
      </c>
      <c r="Q474" s="319">
        <v>2.4412183796084703E-3</v>
      </c>
    </row>
    <row r="475" spans="2:17" ht="15.75" x14ac:dyDescent="0.25">
      <c r="B475" s="176">
        <v>2024</v>
      </c>
      <c r="C475" s="177">
        <v>2023</v>
      </c>
      <c r="D475" s="178" t="s">
        <v>3321</v>
      </c>
      <c r="E475" s="461">
        <v>3.90948193700646E-2</v>
      </c>
      <c r="F475" s="462">
        <v>3.9524158419322573E-2</v>
      </c>
      <c r="G475" s="316">
        <v>4.8167118446512752E-2</v>
      </c>
      <c r="H475" s="317">
        <v>3.040509310213759E-3</v>
      </c>
      <c r="I475" s="317">
        <v>2.8231742874908355E-2</v>
      </c>
      <c r="J475" s="317">
        <v>1.4619283679420704E-2</v>
      </c>
      <c r="K475" s="317">
        <v>1.9406572809796772E-3</v>
      </c>
      <c r="L475" s="318">
        <v>9.5728816878219952E-4</v>
      </c>
      <c r="M475" s="317">
        <v>2.7084655209271349E-3</v>
      </c>
      <c r="N475" s="318">
        <v>2.0000005732018801E-3</v>
      </c>
      <c r="O475" s="317">
        <v>2.7800993274771393E-2</v>
      </c>
      <c r="P475" s="318">
        <v>1.7112723064205203E-2</v>
      </c>
      <c r="Q475" s="319">
        <v>2.028405191686432E-3</v>
      </c>
    </row>
    <row r="476" spans="2:17" ht="15.75" x14ac:dyDescent="0.25">
      <c r="B476" s="176">
        <v>2024</v>
      </c>
      <c r="C476" s="177">
        <v>2024</v>
      </c>
      <c r="D476" s="178" t="s">
        <v>3322</v>
      </c>
      <c r="E476" s="461">
        <v>3.7554037875750283E-2</v>
      </c>
      <c r="F476" s="462">
        <v>3.7275778490945849E-2</v>
      </c>
      <c r="G476" s="316">
        <v>4.4789302680608885E-2</v>
      </c>
      <c r="H476" s="317">
        <v>2.5228069552694276E-3</v>
      </c>
      <c r="I476" s="317">
        <v>2.5251008941094673E-2</v>
      </c>
      <c r="J476" s="317">
        <v>1.2879856299214449E-2</v>
      </c>
      <c r="K476" s="317">
        <v>1.4885110992462981E-3</v>
      </c>
      <c r="L476" s="318">
        <v>9.528155869578149E-4</v>
      </c>
      <c r="M476" s="317">
        <v>2.6793277601653721E-3</v>
      </c>
      <c r="N476" s="318">
        <v>2.0000005732018801E-3</v>
      </c>
      <c r="O476" s="317">
        <v>2.7305359964213804E-2</v>
      </c>
      <c r="P476" s="318">
        <v>1.689416011804926E-2</v>
      </c>
      <c r="Q476" s="319">
        <v>1.5558149659840412E-3</v>
      </c>
    </row>
    <row r="477" spans="2:17" ht="15.75" x14ac:dyDescent="0.25">
      <c r="B477" s="176">
        <v>2025</v>
      </c>
      <c r="C477" s="177">
        <v>1981</v>
      </c>
      <c r="D477" s="178" t="s">
        <v>3323</v>
      </c>
      <c r="E477" s="461">
        <v>5.9301529812482094E-2</v>
      </c>
      <c r="F477" s="462">
        <v>0.106971101042975</v>
      </c>
      <c r="G477" s="316">
        <v>0.34583582441935062</v>
      </c>
      <c r="H477" s="317">
        <v>2.1081806465309341</v>
      </c>
      <c r="I477" s="317">
        <v>2.1730323341432056</v>
      </c>
      <c r="J477" s="317">
        <v>3.5953395200829212</v>
      </c>
      <c r="K477" s="317">
        <v>0.27578390359696714</v>
      </c>
      <c r="L477" s="318">
        <v>1.7914731955725443E-2</v>
      </c>
      <c r="M477" s="317">
        <v>2.1309685109026514E-3</v>
      </c>
      <c r="N477" s="318">
        <v>2.0000005732018801E-3</v>
      </c>
      <c r="O477" s="317">
        <v>1.7977769134254917E-2</v>
      </c>
      <c r="P477" s="318">
        <v>2.528711592634152E-2</v>
      </c>
      <c r="Q477" s="319">
        <v>0.28825362794467457</v>
      </c>
    </row>
    <row r="478" spans="2:17" ht="15.75" x14ac:dyDescent="0.25">
      <c r="B478" s="176">
        <v>2025</v>
      </c>
      <c r="C478" s="177">
        <v>1982</v>
      </c>
      <c r="D478" s="178" t="s">
        <v>3324</v>
      </c>
      <c r="E478" s="461">
        <v>5.7353508503812899E-2</v>
      </c>
      <c r="F478" s="462">
        <v>0.10455740590393961</v>
      </c>
      <c r="G478" s="316">
        <v>0.31365026335427537</v>
      </c>
      <c r="H478" s="317">
        <v>2.021256581238835</v>
      </c>
      <c r="I478" s="317">
        <v>2.6483750819472318</v>
      </c>
      <c r="J478" s="317">
        <v>3.5216720290302543</v>
      </c>
      <c r="K478" s="317">
        <v>0.24860355586538013</v>
      </c>
      <c r="L478" s="318">
        <v>1.8115225237866819E-2</v>
      </c>
      <c r="M478" s="317">
        <v>2.254640896629695E-3</v>
      </c>
      <c r="N478" s="318">
        <v>2.0000005732018801E-3</v>
      </c>
      <c r="O478" s="317">
        <v>2.0081436415471936E-2</v>
      </c>
      <c r="P478" s="318">
        <v>2.4403525269151797E-2</v>
      </c>
      <c r="Q478" s="319">
        <v>0.25984430549967136</v>
      </c>
    </row>
    <row r="479" spans="2:17" ht="15.75" x14ac:dyDescent="0.25">
      <c r="B479" s="176">
        <v>2025</v>
      </c>
      <c r="C479" s="177">
        <v>1983</v>
      </c>
      <c r="D479" s="178" t="s">
        <v>3325</v>
      </c>
      <c r="E479" s="461">
        <v>5.7064617877583941E-2</v>
      </c>
      <c r="F479" s="462">
        <v>0.10058690548151883</v>
      </c>
      <c r="G479" s="316">
        <v>0.21102151075545175</v>
      </c>
      <c r="H479" s="317">
        <v>1.7493562662187965</v>
      </c>
      <c r="I479" s="317">
        <v>2.8234522936335864</v>
      </c>
      <c r="J479" s="317">
        <v>3.0522444695292248</v>
      </c>
      <c r="K479" s="317">
        <v>0.22336430689649411</v>
      </c>
      <c r="L479" s="318">
        <v>1.7924059982264935E-2</v>
      </c>
      <c r="M479" s="317">
        <v>2.3653288705812749E-3</v>
      </c>
      <c r="N479" s="318">
        <v>2.0000005732018801E-3</v>
      </c>
      <c r="O479" s="317">
        <v>2.1964238852388306E-2</v>
      </c>
      <c r="P479" s="318">
        <v>2.3104428010465548E-2</v>
      </c>
      <c r="Q479" s="319">
        <v>0.23346384968992148</v>
      </c>
    </row>
    <row r="480" spans="2:17" ht="15.75" x14ac:dyDescent="0.25">
      <c r="B480" s="176">
        <v>2025</v>
      </c>
      <c r="C480" s="177">
        <v>1984</v>
      </c>
      <c r="D480" s="178" t="s">
        <v>3326</v>
      </c>
      <c r="E480" s="461">
        <v>5.5404924972284178E-2</v>
      </c>
      <c r="F480" s="462">
        <v>0.10145152012003515</v>
      </c>
      <c r="G480" s="316">
        <v>0.2744644893208143</v>
      </c>
      <c r="H480" s="317">
        <v>1.4898008104403115</v>
      </c>
      <c r="I480" s="317">
        <v>3.595539200156372</v>
      </c>
      <c r="J480" s="317">
        <v>3.5173731598262914</v>
      </c>
      <c r="K480" s="317">
        <v>0.18896870956783499</v>
      </c>
      <c r="L480" s="318">
        <v>1.8487215617506277E-2</v>
      </c>
      <c r="M480" s="317">
        <v>2.6089653558049228E-3</v>
      </c>
      <c r="N480" s="318">
        <v>2.0000005732018801E-3</v>
      </c>
      <c r="O480" s="317">
        <v>2.6108495466042558E-2</v>
      </c>
      <c r="P480" s="318">
        <v>2.2989679262571273E-2</v>
      </c>
      <c r="Q480" s="319">
        <v>0.19751303607826284</v>
      </c>
    </row>
    <row r="481" spans="2:17" ht="15.75" x14ac:dyDescent="0.25">
      <c r="B481" s="176">
        <v>2025</v>
      </c>
      <c r="C481" s="177">
        <v>1985</v>
      </c>
      <c r="D481" s="178" t="s">
        <v>3327</v>
      </c>
      <c r="E481" s="461">
        <v>5.6553069961710695E-2</v>
      </c>
      <c r="F481" s="462">
        <v>9.8571564107221177E-2</v>
      </c>
      <c r="G481" s="316">
        <v>0.25622059737996666</v>
      </c>
      <c r="H481" s="317">
        <v>1.1110062592182144</v>
      </c>
      <c r="I481" s="317">
        <v>4.2331024301297662</v>
      </c>
      <c r="J481" s="317">
        <v>2.9259976388384357</v>
      </c>
      <c r="K481" s="317">
        <v>0.18317259088100438</v>
      </c>
      <c r="L481" s="318">
        <v>1.731321798344837E-2</v>
      </c>
      <c r="M481" s="317">
        <v>2.7806190066330754E-3</v>
      </c>
      <c r="N481" s="318">
        <v>2.0000005732018805E-3</v>
      </c>
      <c r="O481" s="317">
        <v>2.9028324066629439E-2</v>
      </c>
      <c r="P481" s="318">
        <v>2.3051346592079493E-2</v>
      </c>
      <c r="Q481" s="319">
        <v>0.1914548426243099</v>
      </c>
    </row>
    <row r="482" spans="2:17" ht="15.75" x14ac:dyDescent="0.25">
      <c r="B482" s="176">
        <v>2025</v>
      </c>
      <c r="C482" s="177">
        <v>1986</v>
      </c>
      <c r="D482" s="178" t="s">
        <v>3328</v>
      </c>
      <c r="E482" s="461">
        <v>5.7402165331628584E-2</v>
      </c>
      <c r="F482" s="462">
        <v>9.3018256530682686E-2</v>
      </c>
      <c r="G482" s="316">
        <v>0.2463001001337026</v>
      </c>
      <c r="H482" s="317">
        <v>1.0571437814848936</v>
      </c>
      <c r="I482" s="317">
        <v>4.6152234279534792</v>
      </c>
      <c r="J482" s="317">
        <v>2.7414286777943979</v>
      </c>
      <c r="K482" s="317">
        <v>0.18047332851301098</v>
      </c>
      <c r="L482" s="318">
        <v>1.7469804410697821E-2</v>
      </c>
      <c r="M482" s="317">
        <v>2.8868918526871448E-3</v>
      </c>
      <c r="N482" s="318">
        <v>2.0000005732018805E-3</v>
      </c>
      <c r="O482" s="317">
        <v>3.0836025178009166E-2</v>
      </c>
      <c r="P482" s="318">
        <v>2.241173657319568E-2</v>
      </c>
      <c r="Q482" s="319">
        <v>0.18863353158983434</v>
      </c>
    </row>
    <row r="483" spans="2:17" ht="15.75" x14ac:dyDescent="0.25">
      <c r="B483" s="176">
        <v>2025</v>
      </c>
      <c r="C483" s="177">
        <v>1987</v>
      </c>
      <c r="D483" s="178" t="s">
        <v>3329</v>
      </c>
      <c r="E483" s="461">
        <v>5.7691429471925411E-2</v>
      </c>
      <c r="F483" s="462">
        <v>8.9133486661951949E-2</v>
      </c>
      <c r="G483" s="316">
        <v>0.29563011139708473</v>
      </c>
      <c r="H483" s="317">
        <v>0.96803720718037134</v>
      </c>
      <c r="I483" s="317">
        <v>4.9378219659939173</v>
      </c>
      <c r="J483" s="317">
        <v>2.6233329518265207</v>
      </c>
      <c r="K483" s="317">
        <v>0.20023506645795303</v>
      </c>
      <c r="L483" s="318">
        <v>1.7731263203656467E-2</v>
      </c>
      <c r="M483" s="317">
        <v>2.9473342182088679E-3</v>
      </c>
      <c r="N483" s="318">
        <v>2.0000005732018805E-3</v>
      </c>
      <c r="O483" s="317">
        <v>3.1864149815533677E-2</v>
      </c>
      <c r="P483" s="318">
        <v>2.1306758365125765E-2</v>
      </c>
      <c r="Q483" s="319">
        <v>0.20928880763323315</v>
      </c>
    </row>
    <row r="484" spans="2:17" ht="15.75" x14ac:dyDescent="0.25">
      <c r="B484" s="176">
        <v>2025</v>
      </c>
      <c r="C484" s="177">
        <v>1988</v>
      </c>
      <c r="D484" s="178" t="s">
        <v>3330</v>
      </c>
      <c r="E484" s="461">
        <v>5.7586067036479741E-2</v>
      </c>
      <c r="F484" s="462">
        <v>8.7920467806378175E-2</v>
      </c>
      <c r="G484" s="316">
        <v>0.29192414270913669</v>
      </c>
      <c r="H484" s="317">
        <v>0.5061843932130059</v>
      </c>
      <c r="I484" s="317">
        <v>5.0483096193819472</v>
      </c>
      <c r="J484" s="317">
        <v>1.9055532876027286</v>
      </c>
      <c r="K484" s="317">
        <v>0.19817520183249937</v>
      </c>
      <c r="L484" s="318">
        <v>1.7212469848300983E-2</v>
      </c>
      <c r="M484" s="317">
        <v>2.9702528999979408E-3</v>
      </c>
      <c r="N484" s="318">
        <v>2.0000005732018801E-3</v>
      </c>
      <c r="O484" s="317">
        <v>3.2253996592765809E-2</v>
      </c>
      <c r="P484" s="318">
        <v>2.1767866693664796E-2</v>
      </c>
      <c r="Q484" s="319">
        <v>0.20713580506993151</v>
      </c>
    </row>
    <row r="485" spans="2:17" ht="15.75" x14ac:dyDescent="0.25">
      <c r="B485" s="176">
        <v>2025</v>
      </c>
      <c r="C485" s="177">
        <v>1989</v>
      </c>
      <c r="D485" s="178" t="s">
        <v>3331</v>
      </c>
      <c r="E485" s="461">
        <v>5.7765316791122998E-2</v>
      </c>
      <c r="F485" s="462">
        <v>9.0560264581918473E-2</v>
      </c>
      <c r="G485" s="316">
        <v>0.29277329231848098</v>
      </c>
      <c r="H485" s="317">
        <v>0.50393958107772197</v>
      </c>
      <c r="I485" s="317">
        <v>5.0962162860863645</v>
      </c>
      <c r="J485" s="317">
        <v>1.8993937791410704</v>
      </c>
      <c r="K485" s="317">
        <v>0.19904561339816854</v>
      </c>
      <c r="L485" s="318">
        <v>1.6961766948295532E-2</v>
      </c>
      <c r="M485" s="317">
        <v>2.9832775396452867E-3</v>
      </c>
      <c r="N485" s="318">
        <v>2.0000005732018801E-3</v>
      </c>
      <c r="O485" s="317">
        <v>3.2475545713167166E-2</v>
      </c>
      <c r="P485" s="318">
        <v>2.2699886623626941E-2</v>
      </c>
      <c r="Q485" s="319">
        <v>0.20804557278420568</v>
      </c>
    </row>
    <row r="486" spans="2:17" ht="15.75" x14ac:dyDescent="0.25">
      <c r="B486" s="176">
        <v>2025</v>
      </c>
      <c r="C486" s="177">
        <v>1990</v>
      </c>
      <c r="D486" s="178" t="s">
        <v>3332</v>
      </c>
      <c r="E486" s="461">
        <v>5.8232572334274535E-2</v>
      </c>
      <c r="F486" s="462">
        <v>8.8519407991398721E-2</v>
      </c>
      <c r="G486" s="316">
        <v>0.29745852549271834</v>
      </c>
      <c r="H486" s="317">
        <v>0.50470360858456076</v>
      </c>
      <c r="I486" s="317">
        <v>5.0544880472770259</v>
      </c>
      <c r="J486" s="317">
        <v>1.8893499392644233</v>
      </c>
      <c r="K486" s="317">
        <v>0.20228100970289989</v>
      </c>
      <c r="L486" s="318">
        <v>1.7187104226495449E-2</v>
      </c>
      <c r="M486" s="317">
        <v>2.9858727757500229E-3</v>
      </c>
      <c r="N486" s="318">
        <v>2.0000005732018801E-3</v>
      </c>
      <c r="O486" s="317">
        <v>3.2519690679308717E-2</v>
      </c>
      <c r="P486" s="318">
        <v>2.1978460099823943E-2</v>
      </c>
      <c r="Q486" s="319">
        <v>0.21142725935297826</v>
      </c>
    </row>
    <row r="487" spans="2:17" ht="15.75" x14ac:dyDescent="0.25">
      <c r="B487" s="176">
        <v>2025</v>
      </c>
      <c r="C487" s="177">
        <v>1991</v>
      </c>
      <c r="D487" s="178" t="s">
        <v>3333</v>
      </c>
      <c r="E487" s="461">
        <v>5.8128043495422707E-2</v>
      </c>
      <c r="F487" s="462">
        <v>8.6659571167494787E-2</v>
      </c>
      <c r="G487" s="316">
        <v>0.37999988288754893</v>
      </c>
      <c r="H487" s="317">
        <v>0.52579874767414647</v>
      </c>
      <c r="I487" s="317">
        <v>8.9031553451147438</v>
      </c>
      <c r="J487" s="317">
        <v>2.3219487983259666</v>
      </c>
      <c r="K487" s="317">
        <v>5.6582889193573405E-2</v>
      </c>
      <c r="L487" s="318">
        <v>9.6560443592036745E-3</v>
      </c>
      <c r="M487" s="317">
        <v>2.9832003827458876E-3</v>
      </c>
      <c r="N487" s="318">
        <v>2.0000005732018801E-3</v>
      </c>
      <c r="O487" s="317">
        <v>3.2474233274308373E-2</v>
      </c>
      <c r="P487" s="318">
        <v>2.1268312087131116E-2</v>
      </c>
      <c r="Q487" s="319">
        <v>5.9141316360054687E-2</v>
      </c>
    </row>
    <row r="488" spans="2:17" ht="15.75" x14ac:dyDescent="0.25">
      <c r="B488" s="176">
        <v>2025</v>
      </c>
      <c r="C488" s="177">
        <v>1992</v>
      </c>
      <c r="D488" s="178" t="s">
        <v>3334</v>
      </c>
      <c r="E488" s="461">
        <v>5.8110772267358439E-2</v>
      </c>
      <c r="F488" s="462">
        <v>8.3975762694449146E-2</v>
      </c>
      <c r="G488" s="316">
        <v>0.3805188426133283</v>
      </c>
      <c r="H488" s="317">
        <v>0.52692135115234973</v>
      </c>
      <c r="I488" s="317">
        <v>8.8302688540204439</v>
      </c>
      <c r="J488" s="317">
        <v>2.2601449542595162</v>
      </c>
      <c r="K488" s="317">
        <v>5.795223235660122E-2</v>
      </c>
      <c r="L488" s="318">
        <v>9.7742568892075343E-3</v>
      </c>
      <c r="M488" s="317">
        <v>2.9749617311041203E-3</v>
      </c>
      <c r="N488" s="318">
        <v>2.0000005732018801E-3</v>
      </c>
      <c r="O488" s="317">
        <v>3.233409380988192E-2</v>
      </c>
      <c r="P488" s="318">
        <v>2.0384900809395496E-2</v>
      </c>
      <c r="Q488" s="319">
        <v>6.0572575144544373E-2</v>
      </c>
    </row>
    <row r="489" spans="2:17" ht="15.75" x14ac:dyDescent="0.25">
      <c r="B489" s="176">
        <v>2025</v>
      </c>
      <c r="C489" s="177">
        <v>1993</v>
      </c>
      <c r="D489" s="178" t="s">
        <v>3335</v>
      </c>
      <c r="E489" s="461">
        <v>5.7991311800746723E-2</v>
      </c>
      <c r="F489" s="462">
        <v>7.5207992199117002E-2</v>
      </c>
      <c r="G489" s="316">
        <v>0.37513179644434685</v>
      </c>
      <c r="H489" s="317">
        <v>0.53126144730129454</v>
      </c>
      <c r="I489" s="317">
        <v>8.8940480137381961</v>
      </c>
      <c r="J489" s="317">
        <v>2.2115954967243265</v>
      </c>
      <c r="K489" s="317">
        <v>5.3933614354282976E-2</v>
      </c>
      <c r="L489" s="318">
        <v>9.9130564462441423E-3</v>
      </c>
      <c r="M489" s="317">
        <v>2.9805897786161209E-3</v>
      </c>
      <c r="N489" s="318">
        <v>2.0000005732018805E-3</v>
      </c>
      <c r="O489" s="317">
        <v>3.2429826898061044E-2</v>
      </c>
      <c r="P489" s="318">
        <v>1.9930122426968365E-2</v>
      </c>
      <c r="Q489" s="319">
        <v>5.6372253068514552E-2</v>
      </c>
    </row>
    <row r="490" spans="2:17" ht="15.75" x14ac:dyDescent="0.25">
      <c r="B490" s="176">
        <v>2025</v>
      </c>
      <c r="C490" s="177">
        <v>1994</v>
      </c>
      <c r="D490" s="178" t="s">
        <v>3336</v>
      </c>
      <c r="E490" s="461">
        <v>5.775967582226179E-2</v>
      </c>
      <c r="F490" s="462">
        <v>7.1890621376933916E-2</v>
      </c>
      <c r="G490" s="316">
        <v>0.370408529384818</v>
      </c>
      <c r="H490" s="317">
        <v>0.53207687315072405</v>
      </c>
      <c r="I490" s="317">
        <v>8.8618681945563988</v>
      </c>
      <c r="J490" s="317">
        <v>2.1459083557005676</v>
      </c>
      <c r="K490" s="317">
        <v>5.4104807075049617E-2</v>
      </c>
      <c r="L490" s="318">
        <v>1.0017415769755688E-2</v>
      </c>
      <c r="M490" s="317">
        <v>2.9726399662360031E-3</v>
      </c>
      <c r="N490" s="318">
        <v>2.0000005732018801E-3</v>
      </c>
      <c r="O490" s="317">
        <v>3.2294600589475246E-2</v>
      </c>
      <c r="P490" s="318">
        <v>1.9006120364228191E-2</v>
      </c>
      <c r="Q490" s="319">
        <v>5.655118636445769E-2</v>
      </c>
    </row>
    <row r="491" spans="2:17" ht="15.75" x14ac:dyDescent="0.25">
      <c r="B491" s="176">
        <v>2025</v>
      </c>
      <c r="C491" s="177">
        <v>1995</v>
      </c>
      <c r="D491" s="178" t="s">
        <v>3337</v>
      </c>
      <c r="E491" s="461">
        <v>5.748315138891285E-2</v>
      </c>
      <c r="F491" s="462">
        <v>7.3489108698042219E-2</v>
      </c>
      <c r="G491" s="316">
        <v>0.36782278587442635</v>
      </c>
      <c r="H491" s="317">
        <v>0.40179855832398048</v>
      </c>
      <c r="I491" s="317">
        <v>8.9815397389374318</v>
      </c>
      <c r="J491" s="317">
        <v>1.6786142943876978</v>
      </c>
      <c r="K491" s="317">
        <v>5.3455126440513145E-2</v>
      </c>
      <c r="L491" s="318">
        <v>9.2319205514396416E-3</v>
      </c>
      <c r="M491" s="317">
        <v>2.9799553993020821E-3</v>
      </c>
      <c r="N491" s="318">
        <v>2.0000005732018797E-3</v>
      </c>
      <c r="O491" s="317">
        <v>3.2419036105929257E-2</v>
      </c>
      <c r="P491" s="318">
        <v>1.9734220649810778E-2</v>
      </c>
      <c r="Q491" s="319">
        <v>5.5872130054542703E-2</v>
      </c>
    </row>
    <row r="492" spans="2:17" ht="15.75" x14ac:dyDescent="0.25">
      <c r="B492" s="176">
        <v>2025</v>
      </c>
      <c r="C492" s="177">
        <v>1996</v>
      </c>
      <c r="D492" s="178" t="s">
        <v>3338</v>
      </c>
      <c r="E492" s="461">
        <v>5.7599333451115856E-2</v>
      </c>
      <c r="F492" s="462">
        <v>7.3193483961841221E-2</v>
      </c>
      <c r="G492" s="316">
        <v>0.36991815194997646</v>
      </c>
      <c r="H492" s="317">
        <v>0.1386401207032599</v>
      </c>
      <c r="I492" s="317">
        <v>8.9717740726163999</v>
      </c>
      <c r="J492" s="317">
        <v>1.0162007422018149</v>
      </c>
      <c r="K492" s="317">
        <v>5.3683314997822112E-2</v>
      </c>
      <c r="L492" s="318">
        <v>2.8287515908996309E-3</v>
      </c>
      <c r="M492" s="317">
        <v>2.9815773108579592E-3</v>
      </c>
      <c r="N492" s="318">
        <v>2.0000005732018801E-3</v>
      </c>
      <c r="O492" s="317">
        <v>3.244662482149472E-2</v>
      </c>
      <c r="P492" s="318">
        <v>1.9982088520531575E-2</v>
      </c>
      <c r="Q492" s="319">
        <v>5.6110636285841384E-2</v>
      </c>
    </row>
    <row r="493" spans="2:17" ht="15.75" x14ac:dyDescent="0.25">
      <c r="B493" s="176">
        <v>2025</v>
      </c>
      <c r="C493" s="177">
        <v>1997</v>
      </c>
      <c r="D493" s="178" t="s">
        <v>3339</v>
      </c>
      <c r="E493" s="461">
        <v>5.7729608720032966E-2</v>
      </c>
      <c r="F493" s="462">
        <v>7.1032762914502723E-2</v>
      </c>
      <c r="G493" s="316">
        <v>0.37231090211828743</v>
      </c>
      <c r="H493" s="317">
        <v>0.14380964103631591</v>
      </c>
      <c r="I493" s="317">
        <v>8.9787873983441511</v>
      </c>
      <c r="J493" s="317">
        <v>1.0447256655230177</v>
      </c>
      <c r="K493" s="317">
        <v>5.3899204449360194E-2</v>
      </c>
      <c r="L493" s="318">
        <v>2.8506859175853518E-3</v>
      </c>
      <c r="M493" s="317">
        <v>2.985005605036025E-3</v>
      </c>
      <c r="N493" s="318">
        <v>2.0000005732018805E-3</v>
      </c>
      <c r="O493" s="317">
        <v>3.2504940105463613E-2</v>
      </c>
      <c r="P493" s="318">
        <v>1.9378262877831558E-2</v>
      </c>
      <c r="Q493" s="319">
        <v>5.6336287300382759E-2</v>
      </c>
    </row>
    <row r="494" spans="2:17" ht="15.75" x14ac:dyDescent="0.25">
      <c r="B494" s="176">
        <v>2025</v>
      </c>
      <c r="C494" s="177">
        <v>1998</v>
      </c>
      <c r="D494" s="178" t="s">
        <v>3340</v>
      </c>
      <c r="E494" s="461">
        <v>5.7597820544450694E-2</v>
      </c>
      <c r="F494" s="462">
        <v>6.775797723532398E-2</v>
      </c>
      <c r="G494" s="316">
        <v>0.37024900909324454</v>
      </c>
      <c r="H494" s="317">
        <v>0.13370942906552938</v>
      </c>
      <c r="I494" s="317">
        <v>8.9527881753424587</v>
      </c>
      <c r="J494" s="317">
        <v>0.92299447878082197</v>
      </c>
      <c r="K494" s="317">
        <v>5.3761391660520817E-2</v>
      </c>
      <c r="L494" s="318">
        <v>2.8949370295787142E-3</v>
      </c>
      <c r="M494" s="317">
        <v>2.9807736094830312E-3</v>
      </c>
      <c r="N494" s="318">
        <v>2.0000005732018797E-3</v>
      </c>
      <c r="O494" s="317">
        <v>3.2432953861107186E-2</v>
      </c>
      <c r="P494" s="318">
        <v>1.8451933035179384E-2</v>
      </c>
      <c r="Q494" s="319">
        <v>5.6192243228767307E-2</v>
      </c>
    </row>
    <row r="495" spans="2:17" ht="15.75" x14ac:dyDescent="0.25">
      <c r="B495" s="176">
        <v>2025</v>
      </c>
      <c r="C495" s="177">
        <v>1999</v>
      </c>
      <c r="D495" s="178" t="s">
        <v>3341</v>
      </c>
      <c r="E495" s="461">
        <v>5.7727335146460827E-2</v>
      </c>
      <c r="F495" s="462">
        <v>6.8310262430156976E-2</v>
      </c>
      <c r="G495" s="316">
        <v>0.37406390052399652</v>
      </c>
      <c r="H495" s="317">
        <v>0.11700955046093212</v>
      </c>
      <c r="I495" s="317">
        <v>9.0658999222232826</v>
      </c>
      <c r="J495" s="317">
        <v>0.76601080030525581</v>
      </c>
      <c r="K495" s="317">
        <v>5.3778186647999209E-2</v>
      </c>
      <c r="L495" s="318">
        <v>2.9010874437521658E-3</v>
      </c>
      <c r="M495" s="317">
        <v>2.9945358839103308E-3</v>
      </c>
      <c r="N495" s="318">
        <v>2.0000005732018801E-3</v>
      </c>
      <c r="O495" s="317">
        <v>3.2667050149115549E-2</v>
      </c>
      <c r="P495" s="318">
        <v>1.8633693527788101E-2</v>
      </c>
      <c r="Q495" s="319">
        <v>5.6209797611052777E-2</v>
      </c>
    </row>
    <row r="496" spans="2:17" ht="15.75" x14ac:dyDescent="0.25">
      <c r="B496" s="176">
        <v>2025</v>
      </c>
      <c r="C496" s="177">
        <v>2000</v>
      </c>
      <c r="D496" s="178" t="s">
        <v>3342</v>
      </c>
      <c r="E496" s="461">
        <v>5.7582902033498778E-2</v>
      </c>
      <c r="F496" s="462">
        <v>7.4214000096601659E-2</v>
      </c>
      <c r="G496" s="316">
        <v>0.37276619762162844</v>
      </c>
      <c r="H496" s="317">
        <v>0.10079310806538697</v>
      </c>
      <c r="I496" s="317">
        <v>9.1207067853213122</v>
      </c>
      <c r="J496" s="317">
        <v>0.61508755513890334</v>
      </c>
      <c r="K496" s="317">
        <v>5.3448652351496401E-2</v>
      </c>
      <c r="L496" s="318">
        <v>2.8985710603919843E-3</v>
      </c>
      <c r="M496" s="317">
        <v>2.9981252751457321E-3</v>
      </c>
      <c r="N496" s="318">
        <v>2.0000005732018801E-3</v>
      </c>
      <c r="O496" s="317">
        <v>3.272810569402973E-2</v>
      </c>
      <c r="P496" s="318">
        <v>1.8760926879791879E-2</v>
      </c>
      <c r="Q496" s="319">
        <v>5.5865363235948831E-2</v>
      </c>
    </row>
    <row r="497" spans="2:17" ht="15.75" x14ac:dyDescent="0.25">
      <c r="B497" s="176">
        <v>2025</v>
      </c>
      <c r="C497" s="177">
        <v>2001</v>
      </c>
      <c r="D497" s="178" t="s">
        <v>3343</v>
      </c>
      <c r="E497" s="461">
        <v>5.7663134292028309E-2</v>
      </c>
      <c r="F497" s="462">
        <v>7.2797239149684043E-2</v>
      </c>
      <c r="G497" s="316">
        <v>0.37348586906845177</v>
      </c>
      <c r="H497" s="317">
        <v>8.7167655551832535E-2</v>
      </c>
      <c r="I497" s="317">
        <v>9.0594969468085669</v>
      </c>
      <c r="J497" s="317">
        <v>0.47524911537281178</v>
      </c>
      <c r="K497" s="317">
        <v>5.3735606871276695E-2</v>
      </c>
      <c r="L497" s="318">
        <v>2.9232212208205486E-3</v>
      </c>
      <c r="M497" s="317">
        <v>2.9934387497831229E-3</v>
      </c>
      <c r="N497" s="318">
        <v>2.0000005732018801E-3</v>
      </c>
      <c r="O497" s="317">
        <v>3.2648387897611757E-2</v>
      </c>
      <c r="P497" s="318">
        <v>1.8298554675098392E-2</v>
      </c>
      <c r="Q497" s="319">
        <v>5.6165292565771886E-2</v>
      </c>
    </row>
    <row r="498" spans="2:17" ht="15.75" x14ac:dyDescent="0.25">
      <c r="B498" s="176">
        <v>2025</v>
      </c>
      <c r="C498" s="177">
        <v>2002</v>
      </c>
      <c r="D498" s="178" t="s">
        <v>3344</v>
      </c>
      <c r="E498" s="461">
        <v>5.7489600258214313E-2</v>
      </c>
      <c r="F498" s="462">
        <v>7.0896901508108276E-2</v>
      </c>
      <c r="G498" s="316">
        <v>0.28808761925429227</v>
      </c>
      <c r="H498" s="317">
        <v>8.7145888334996729E-2</v>
      </c>
      <c r="I498" s="317">
        <v>7.0228110045242005</v>
      </c>
      <c r="J498" s="317">
        <v>0.45788966586344959</v>
      </c>
      <c r="K498" s="317">
        <v>5.3829393870410157E-2</v>
      </c>
      <c r="L498" s="318">
        <v>2.951250960054773E-3</v>
      </c>
      <c r="M498" s="317">
        <v>2.9970757122951223E-3</v>
      </c>
      <c r="N498" s="318">
        <v>2.0000005732018801E-3</v>
      </c>
      <c r="O498" s="317">
        <v>3.2710252629940852E-2</v>
      </c>
      <c r="P498" s="318">
        <v>1.7682084822863729E-2</v>
      </c>
      <c r="Q498" s="319">
        <v>5.6263320196832493E-2</v>
      </c>
    </row>
    <row r="499" spans="2:17" ht="15.75" x14ac:dyDescent="0.25">
      <c r="B499" s="176">
        <v>2025</v>
      </c>
      <c r="C499" s="177">
        <v>2003</v>
      </c>
      <c r="D499" s="178" t="s">
        <v>3345</v>
      </c>
      <c r="E499" s="461">
        <v>5.7278019467592929E-2</v>
      </c>
      <c r="F499" s="462">
        <v>7.1795805879561789E-2</v>
      </c>
      <c r="G499" s="316">
        <v>0.28480817461059826</v>
      </c>
      <c r="H499" s="317">
        <v>7.0447959878803187E-2</v>
      </c>
      <c r="I499" s="317">
        <v>7.0189902918854745</v>
      </c>
      <c r="J499" s="317">
        <v>0.39093313360242671</v>
      </c>
      <c r="K499" s="317">
        <v>5.3412303374600047E-2</v>
      </c>
      <c r="L499" s="318">
        <v>2.9351638779636742E-3</v>
      </c>
      <c r="M499" s="317">
        <v>2.9933382821020912E-3</v>
      </c>
      <c r="N499" s="318">
        <v>2.0000005732018801E-3</v>
      </c>
      <c r="O499" s="317">
        <v>3.2646678942357406E-2</v>
      </c>
      <c r="P499" s="318">
        <v>1.8012867475197078E-2</v>
      </c>
      <c r="Q499" s="319">
        <v>5.5827370719613495E-2</v>
      </c>
    </row>
    <row r="500" spans="2:17" ht="15.75" x14ac:dyDescent="0.25">
      <c r="B500" s="176">
        <v>2025</v>
      </c>
      <c r="C500" s="177">
        <v>2004</v>
      </c>
      <c r="D500" s="178" t="s">
        <v>3346</v>
      </c>
      <c r="E500" s="461">
        <v>5.717438726504287E-2</v>
      </c>
      <c r="F500" s="462">
        <v>7.1639228427757287E-2</v>
      </c>
      <c r="G500" s="316">
        <v>0.23390949105949618</v>
      </c>
      <c r="H500" s="317">
        <v>1.8073239795255179E-2</v>
      </c>
      <c r="I500" s="317">
        <v>5.8520171904390246</v>
      </c>
      <c r="J500" s="317">
        <v>0.11240689670485779</v>
      </c>
      <c r="K500" s="317">
        <v>5.301348772751014E-2</v>
      </c>
      <c r="L500" s="318">
        <v>1.9610640803802487E-4</v>
      </c>
      <c r="M500" s="317">
        <v>2.9906143183715023E-3</v>
      </c>
      <c r="N500" s="318">
        <v>2.0000005732018801E-3</v>
      </c>
      <c r="O500" s="317">
        <v>3.2600344319300083E-2</v>
      </c>
      <c r="P500" s="318">
        <v>1.7643697154722148E-2</v>
      </c>
      <c r="Q500" s="319">
        <v>5.5410522398680509E-2</v>
      </c>
    </row>
    <row r="501" spans="2:17" ht="15.75" x14ac:dyDescent="0.25">
      <c r="B501" s="176">
        <v>2025</v>
      </c>
      <c r="C501" s="177">
        <v>2005</v>
      </c>
      <c r="D501" s="178" t="s">
        <v>3347</v>
      </c>
      <c r="E501" s="461">
        <v>5.6926382183758888E-2</v>
      </c>
      <c r="F501" s="462">
        <v>6.8209711212332561E-2</v>
      </c>
      <c r="G501" s="316">
        <v>0.2296248634534892</v>
      </c>
      <c r="H501" s="317">
        <v>1.5773551713186319E-2</v>
      </c>
      <c r="I501" s="317">
        <v>5.8346828946342324</v>
      </c>
      <c r="J501" s="317">
        <v>9.1444364747824386E-2</v>
      </c>
      <c r="K501" s="317">
        <v>5.2440308822131951E-2</v>
      </c>
      <c r="L501" s="318">
        <v>1.9676800764335532E-4</v>
      </c>
      <c r="M501" s="317">
        <v>2.9823132959729804E-3</v>
      </c>
      <c r="N501" s="318">
        <v>2.0000005732018801E-3</v>
      </c>
      <c r="O501" s="317">
        <v>3.245914392830123E-2</v>
      </c>
      <c r="P501" s="318">
        <v>1.7004077485438578E-2</v>
      </c>
      <c r="Q501" s="319">
        <v>5.4811426886644747E-2</v>
      </c>
    </row>
    <row r="502" spans="2:17" ht="15.75" x14ac:dyDescent="0.25">
      <c r="B502" s="176">
        <v>2025</v>
      </c>
      <c r="C502" s="177">
        <v>2006</v>
      </c>
      <c r="D502" s="178" t="s">
        <v>3348</v>
      </c>
      <c r="E502" s="461">
        <v>5.6859845526598202E-2</v>
      </c>
      <c r="F502" s="462">
        <v>7.0836350861500988E-2</v>
      </c>
      <c r="G502" s="316">
        <v>0.22727685206250292</v>
      </c>
      <c r="H502" s="317">
        <v>5.6560437666194905E-3</v>
      </c>
      <c r="I502" s="317">
        <v>5.8227966166189455</v>
      </c>
      <c r="J502" s="317">
        <v>5.6805710849646994E-2</v>
      </c>
      <c r="K502" s="317">
        <v>5.2136099265720139E-2</v>
      </c>
      <c r="L502" s="318">
        <v>1.9323584726597238E-4</v>
      </c>
      <c r="M502" s="317">
        <v>2.9801912736217551E-3</v>
      </c>
      <c r="N502" s="318">
        <v>2.0000005732018805E-3</v>
      </c>
      <c r="O502" s="317">
        <v>3.2423048328106885E-2</v>
      </c>
      <c r="P502" s="318">
        <v>1.8542976437437859E-2</v>
      </c>
      <c r="Q502" s="319">
        <v>5.4493462324001887E-2</v>
      </c>
    </row>
    <row r="503" spans="2:17" ht="15.75" x14ac:dyDescent="0.25">
      <c r="B503" s="176">
        <v>2025</v>
      </c>
      <c r="C503" s="177">
        <v>2007</v>
      </c>
      <c r="D503" s="178" t="s">
        <v>3349</v>
      </c>
      <c r="E503" s="461">
        <v>5.6649116920086631E-2</v>
      </c>
      <c r="F503" s="462">
        <v>6.6856152547335054E-2</v>
      </c>
      <c r="G503" s="316">
        <v>0.16132649757871889</v>
      </c>
      <c r="H503" s="317">
        <v>8.2509793791136782E-3</v>
      </c>
      <c r="I503" s="317">
        <v>2.9511484679038231</v>
      </c>
      <c r="J503" s="317">
        <v>5.1979126600936995E-2</v>
      </c>
      <c r="K503" s="317">
        <v>3.5628706887015693E-2</v>
      </c>
      <c r="L503" s="318">
        <v>1.9632265617842119E-4</v>
      </c>
      <c r="M503" s="317">
        <v>2.9545627312232434E-3</v>
      </c>
      <c r="N503" s="318">
        <v>2.0000005732018801E-3</v>
      </c>
      <c r="O503" s="317">
        <v>3.1987106821908196E-2</v>
      </c>
      <c r="P503" s="318">
        <v>1.7234108989870305E-2</v>
      </c>
      <c r="Q503" s="319">
        <v>3.7239678912401333E-2</v>
      </c>
    </row>
    <row r="504" spans="2:17" ht="15.75" x14ac:dyDescent="0.25">
      <c r="B504" s="176">
        <v>2025</v>
      </c>
      <c r="C504" s="177">
        <v>2008</v>
      </c>
      <c r="D504" s="178" t="s">
        <v>3350</v>
      </c>
      <c r="E504" s="461">
        <v>5.6658397811874733E-2</v>
      </c>
      <c r="F504" s="462">
        <v>6.5056994964633616E-2</v>
      </c>
      <c r="G504" s="316">
        <v>0.16138984700662704</v>
      </c>
      <c r="H504" s="317">
        <v>8.0360556825649892E-3</v>
      </c>
      <c r="I504" s="317">
        <v>2.976449888108796</v>
      </c>
      <c r="J504" s="317">
        <v>4.2061259941565968E-2</v>
      </c>
      <c r="K504" s="317">
        <v>3.5593635256926458E-2</v>
      </c>
      <c r="L504" s="318">
        <v>2.2438816726724778E-4</v>
      </c>
      <c r="M504" s="317">
        <v>2.9655491068930635E-3</v>
      </c>
      <c r="N504" s="318">
        <v>2.0000005732018801E-3</v>
      </c>
      <c r="O504" s="317">
        <v>3.2173985072051839E-2</v>
      </c>
      <c r="P504" s="318">
        <v>1.7183190708357145E-2</v>
      </c>
      <c r="Q504" s="319">
        <v>3.7203021498827413E-2</v>
      </c>
    </row>
    <row r="505" spans="2:17" ht="15.75" x14ac:dyDescent="0.25">
      <c r="B505" s="176">
        <v>2025</v>
      </c>
      <c r="C505" s="177">
        <v>2009</v>
      </c>
      <c r="D505" s="178" t="s">
        <v>3351</v>
      </c>
      <c r="E505" s="461">
        <v>5.5494968723368399E-2</v>
      </c>
      <c r="F505" s="462">
        <v>5.9904201770609511E-2</v>
      </c>
      <c r="G505" s="316">
        <v>0.14359943024134034</v>
      </c>
      <c r="H505" s="317">
        <v>7.9648792193840311E-3</v>
      </c>
      <c r="I505" s="317">
        <v>2.5731304933546428</v>
      </c>
      <c r="J505" s="317">
        <v>3.2179778741196492E-2</v>
      </c>
      <c r="K505" s="317">
        <v>3.1647109110085413E-2</v>
      </c>
      <c r="L505" s="318">
        <v>2.5351470731103677E-4</v>
      </c>
      <c r="M505" s="317">
        <v>2.8388811114886591E-3</v>
      </c>
      <c r="N505" s="318">
        <v>2.0000005732018801E-3</v>
      </c>
      <c r="O505" s="317">
        <v>3.001936247022292E-2</v>
      </c>
      <c r="P505" s="318">
        <v>1.6607319079915916E-2</v>
      </c>
      <c r="Q505" s="319">
        <v>3.3078050952076672E-2</v>
      </c>
    </row>
    <row r="506" spans="2:17" ht="15.75" x14ac:dyDescent="0.25">
      <c r="B506" s="176">
        <v>2025</v>
      </c>
      <c r="C506" s="177">
        <v>2010</v>
      </c>
      <c r="D506" s="178" t="s">
        <v>3352</v>
      </c>
      <c r="E506" s="461">
        <v>5.3969756418308069E-2</v>
      </c>
      <c r="F506" s="462">
        <v>5.8214367584789845E-2</v>
      </c>
      <c r="G506" s="316">
        <v>8.2843280331496003E-2</v>
      </c>
      <c r="H506" s="317">
        <v>6.9990920068392776E-3</v>
      </c>
      <c r="I506" s="317">
        <v>0.20215600083396004</v>
      </c>
      <c r="J506" s="317">
        <v>3.0655347873043769E-2</v>
      </c>
      <c r="K506" s="317">
        <v>1.6708240314322133E-2</v>
      </c>
      <c r="L506" s="318">
        <v>3.0941646779728259E-4</v>
      </c>
      <c r="M506" s="317">
        <v>2.7209252664228689E-3</v>
      </c>
      <c r="N506" s="318">
        <v>2.0000005732018801E-3</v>
      </c>
      <c r="O506" s="317">
        <v>2.8012933545653838E-2</v>
      </c>
      <c r="P506" s="318">
        <v>1.629885788542907E-2</v>
      </c>
      <c r="Q506" s="319">
        <v>1.7463712799617458E-2</v>
      </c>
    </row>
    <row r="507" spans="2:17" ht="15.75" x14ac:dyDescent="0.25">
      <c r="B507" s="176">
        <v>2025</v>
      </c>
      <c r="C507" s="177">
        <v>2011</v>
      </c>
      <c r="D507" s="178" t="s">
        <v>3353</v>
      </c>
      <c r="E507" s="461">
        <v>5.362542430975497E-2</v>
      </c>
      <c r="F507" s="462">
        <v>5.6809188776594889E-2</v>
      </c>
      <c r="G507" s="316">
        <v>8.2331328603182902E-2</v>
      </c>
      <c r="H507" s="317">
        <v>7.076140012855974E-3</v>
      </c>
      <c r="I507" s="317">
        <v>0.2005529215841696</v>
      </c>
      <c r="J507" s="317">
        <v>3.060156663583059E-2</v>
      </c>
      <c r="K507" s="317">
        <v>1.6379761809315021E-2</v>
      </c>
      <c r="L507" s="318">
        <v>4.1933810317952623E-4</v>
      </c>
      <c r="M507" s="317">
        <v>2.7353683142105306E-3</v>
      </c>
      <c r="N507" s="318">
        <v>2.0000005732018801E-3</v>
      </c>
      <c r="O507" s="317">
        <v>2.8258609788521953E-2</v>
      </c>
      <c r="P507" s="318">
        <v>1.6404058359653681E-2</v>
      </c>
      <c r="Q507" s="319">
        <v>1.7120381954215707E-2</v>
      </c>
    </row>
    <row r="508" spans="2:17" ht="15.75" x14ac:dyDescent="0.25">
      <c r="B508" s="176">
        <v>2025</v>
      </c>
      <c r="C508" s="177">
        <v>2012</v>
      </c>
      <c r="D508" s="178" t="s">
        <v>3354</v>
      </c>
      <c r="E508" s="461">
        <v>5.1231293593413114E-2</v>
      </c>
      <c r="F508" s="462">
        <v>5.6542696894041095E-2</v>
      </c>
      <c r="G508" s="316">
        <v>6.8411790957253971E-2</v>
      </c>
      <c r="H508" s="317">
        <v>6.5678729129479878E-3</v>
      </c>
      <c r="I508" s="317">
        <v>0.1637321077272571</v>
      </c>
      <c r="J508" s="317">
        <v>3.0537195008471407E-2</v>
      </c>
      <c r="K508" s="317">
        <v>1.3718957924016423E-2</v>
      </c>
      <c r="L508" s="318">
        <v>6.0953617505536792E-4</v>
      </c>
      <c r="M508" s="317">
        <v>2.5856145295880071E-3</v>
      </c>
      <c r="N508" s="318">
        <v>2.0000005732018801E-3</v>
      </c>
      <c r="O508" s="317">
        <v>2.5711297912092829E-2</v>
      </c>
      <c r="P508" s="318">
        <v>1.6722111710836866E-2</v>
      </c>
      <c r="Q508" s="319">
        <v>1.433926832436629E-2</v>
      </c>
    </row>
    <row r="509" spans="2:17" ht="15.75" x14ac:dyDescent="0.25">
      <c r="B509" s="176">
        <v>2025</v>
      </c>
      <c r="C509" s="177">
        <v>2013</v>
      </c>
      <c r="D509" s="178" t="s">
        <v>3355</v>
      </c>
      <c r="E509" s="461">
        <v>5.3379891365648073E-2</v>
      </c>
      <c r="F509" s="462">
        <v>5.5181779040762477E-2</v>
      </c>
      <c r="G509" s="316">
        <v>8.3041481617064775E-2</v>
      </c>
      <c r="H509" s="317">
        <v>7.4046850647637467E-3</v>
      </c>
      <c r="I509" s="317">
        <v>0.19847532094945555</v>
      </c>
      <c r="J509" s="317">
        <v>3.0400218158376825E-2</v>
      </c>
      <c r="K509" s="317">
        <v>1.5664932675934086E-2</v>
      </c>
      <c r="L509" s="318">
        <v>9.1053914527204692E-4</v>
      </c>
      <c r="M509" s="317">
        <v>2.7614692078659353E-3</v>
      </c>
      <c r="N509" s="318">
        <v>2.0000005732018801E-3</v>
      </c>
      <c r="O509" s="317">
        <v>2.8702585989600387E-2</v>
      </c>
      <c r="P509" s="318">
        <v>1.6800377276736493E-2</v>
      </c>
      <c r="Q509" s="319">
        <v>1.6373231419430513E-2</v>
      </c>
    </row>
    <row r="510" spans="2:17" ht="15.75" x14ac:dyDescent="0.25">
      <c r="B510" s="176">
        <v>2025</v>
      </c>
      <c r="C510" s="177">
        <v>2014</v>
      </c>
      <c r="D510" s="178" t="s">
        <v>3356</v>
      </c>
      <c r="E510" s="461">
        <v>5.0455616857241807E-2</v>
      </c>
      <c r="F510" s="462">
        <v>5.3255938348837427E-2</v>
      </c>
      <c r="G510" s="316">
        <v>7.0489382785554652E-2</v>
      </c>
      <c r="H510" s="317">
        <v>7.4268848062052899E-3</v>
      </c>
      <c r="I510" s="317">
        <v>0.16611257363223905</v>
      </c>
      <c r="J510" s="317">
        <v>2.9268237159238372E-2</v>
      </c>
      <c r="K510" s="317">
        <v>1.3321574463247056E-2</v>
      </c>
      <c r="L510" s="318">
        <v>1.2771846232161716E-3</v>
      </c>
      <c r="M510" s="317">
        <v>2.6332298269734714E-3</v>
      </c>
      <c r="N510" s="318">
        <v>2.0000005732018801E-3</v>
      </c>
      <c r="O510" s="317">
        <v>2.6521234120619571E-2</v>
      </c>
      <c r="P510" s="318">
        <v>1.6387371952395344E-2</v>
      </c>
      <c r="Q510" s="319">
        <v>1.3923916946863922E-2</v>
      </c>
    </row>
    <row r="511" spans="2:17" ht="15.75" x14ac:dyDescent="0.25">
      <c r="B511" s="176">
        <v>2025</v>
      </c>
      <c r="C511" s="177">
        <v>2015</v>
      </c>
      <c r="D511" s="178" t="s">
        <v>3357</v>
      </c>
      <c r="E511" s="461">
        <v>4.9242798357559542E-2</v>
      </c>
      <c r="F511" s="462">
        <v>5.5068209876486224E-2</v>
      </c>
      <c r="G511" s="316">
        <v>6.5745428588298085E-2</v>
      </c>
      <c r="H511" s="317">
        <v>7.2700963811117457E-3</v>
      </c>
      <c r="I511" s="317">
        <v>0.15410241209588099</v>
      </c>
      <c r="J511" s="317">
        <v>2.9948436504286333E-2</v>
      </c>
      <c r="K511" s="317">
        <v>1.2277419201731239E-2</v>
      </c>
      <c r="L511" s="318">
        <v>1.5909438122424433E-3</v>
      </c>
      <c r="M511" s="317">
        <v>2.6036077417715899E-3</v>
      </c>
      <c r="N511" s="318">
        <v>2.0000005732018801E-3</v>
      </c>
      <c r="O511" s="317">
        <v>2.6017362451335565E-2</v>
      </c>
      <c r="P511" s="318">
        <v>1.7234046524738474E-2</v>
      </c>
      <c r="Q511" s="319">
        <v>1.2832549617792715E-2</v>
      </c>
    </row>
    <row r="512" spans="2:17" ht="15.75" x14ac:dyDescent="0.25">
      <c r="B512" s="176">
        <v>2025</v>
      </c>
      <c r="C512" s="177">
        <v>2016</v>
      </c>
      <c r="D512" s="178" t="s">
        <v>3358</v>
      </c>
      <c r="E512" s="461">
        <v>5.0355230515515645E-2</v>
      </c>
      <c r="F512" s="462">
        <v>5.6063346095661194E-2</v>
      </c>
      <c r="G512" s="316">
        <v>8.0232042376790602E-2</v>
      </c>
      <c r="H512" s="317">
        <v>7.0020960646951479E-3</v>
      </c>
      <c r="I512" s="317">
        <v>0.16461480670780471</v>
      </c>
      <c r="J512" s="317">
        <v>2.9740164383691054E-2</v>
      </c>
      <c r="K512" s="317">
        <v>1.3869659617924525E-2</v>
      </c>
      <c r="L512" s="318">
        <v>1.824991344714997E-3</v>
      </c>
      <c r="M512" s="317">
        <v>2.7969517339826245E-3</v>
      </c>
      <c r="N512" s="318">
        <v>2.0000005732018797E-3</v>
      </c>
      <c r="O512" s="317">
        <v>2.9306143758845275E-2</v>
      </c>
      <c r="P512" s="318">
        <v>1.8072352706828797E-2</v>
      </c>
      <c r="Q512" s="319">
        <v>1.4496784080144045E-2</v>
      </c>
    </row>
    <row r="513" spans="2:17" ht="15.75" x14ac:dyDescent="0.25">
      <c r="B513" s="176">
        <v>2025</v>
      </c>
      <c r="C513" s="177">
        <v>2017</v>
      </c>
      <c r="D513" s="178" t="s">
        <v>3359</v>
      </c>
      <c r="E513" s="461">
        <v>4.6715127976682709E-2</v>
      </c>
      <c r="F513" s="462">
        <v>5.0661499450473428E-2</v>
      </c>
      <c r="G513" s="316">
        <v>6.1072476816393648E-2</v>
      </c>
      <c r="H513" s="317">
        <v>6.8906601392379604E-3</v>
      </c>
      <c r="I513" s="317">
        <v>0.11637576719459791</v>
      </c>
      <c r="J513" s="317">
        <v>2.7636808325750117E-2</v>
      </c>
      <c r="K513" s="317">
        <v>1.1702396422097142E-2</v>
      </c>
      <c r="L513" s="318">
        <v>2.0068405370700518E-3</v>
      </c>
      <c r="M513" s="317">
        <v>2.7240601750019369E-3</v>
      </c>
      <c r="N513" s="318">
        <v>2.0000005732018801E-3</v>
      </c>
      <c r="O513" s="317">
        <v>2.8066258340583763E-2</v>
      </c>
      <c r="P513" s="318">
        <v>1.7121951960204843E-2</v>
      </c>
      <c r="Q513" s="319">
        <v>1.2231526859689333E-2</v>
      </c>
    </row>
    <row r="514" spans="2:17" ht="15.75" x14ac:dyDescent="0.25">
      <c r="B514" s="176">
        <v>2025</v>
      </c>
      <c r="C514" s="177">
        <v>2018</v>
      </c>
      <c r="D514" s="178" t="s">
        <v>3360</v>
      </c>
      <c r="E514" s="461">
        <v>4.3822728982828109E-2</v>
      </c>
      <c r="F514" s="462">
        <v>4.8424086112471967E-2</v>
      </c>
      <c r="G514" s="316">
        <v>5.9673347890510479E-2</v>
      </c>
      <c r="H514" s="317">
        <v>6.4783233563751449E-3</v>
      </c>
      <c r="I514" s="317">
        <v>9.2966704470532457E-2</v>
      </c>
      <c r="J514" s="317">
        <v>2.6022931140472778E-2</v>
      </c>
      <c r="K514" s="317">
        <v>1.0251768636873803E-2</v>
      </c>
      <c r="L514" s="318">
        <v>2.0901931972810311E-3</v>
      </c>
      <c r="M514" s="317">
        <v>2.7207229693083446E-3</v>
      </c>
      <c r="N514" s="318">
        <v>2.0000005732018801E-3</v>
      </c>
      <c r="O514" s="317">
        <v>2.8009492471735765E-2</v>
      </c>
      <c r="P514" s="318">
        <v>1.7116704468672986E-2</v>
      </c>
      <c r="Q514" s="319">
        <v>1.0715308123083668E-2</v>
      </c>
    </row>
    <row r="515" spans="2:17" ht="15.75" x14ac:dyDescent="0.25">
      <c r="B515" s="176">
        <v>2025</v>
      </c>
      <c r="C515" s="177">
        <v>2019</v>
      </c>
      <c r="D515" s="178" t="s">
        <v>3361</v>
      </c>
      <c r="E515" s="461">
        <v>4.3324625731569033E-2</v>
      </c>
      <c r="F515" s="462">
        <v>4.6560234226022443E-2</v>
      </c>
      <c r="G515" s="316">
        <v>5.8252479343250022E-2</v>
      </c>
      <c r="H515" s="317">
        <v>5.7305695112585394E-3</v>
      </c>
      <c r="I515" s="317">
        <v>7.8051129606024533E-2</v>
      </c>
      <c r="J515" s="317">
        <v>2.3175296745495188E-2</v>
      </c>
      <c r="K515" s="317">
        <v>8.3045947463319305E-3</v>
      </c>
      <c r="L515" s="318">
        <v>1.9844058750336391E-3</v>
      </c>
      <c r="M515" s="317">
        <v>2.7180766176779824E-3</v>
      </c>
      <c r="N515" s="318">
        <v>2.0000005732018801E-3</v>
      </c>
      <c r="O515" s="317">
        <v>2.7964478030503309E-2</v>
      </c>
      <c r="P515" s="318">
        <v>1.7114564541115328E-2</v>
      </c>
      <c r="Q515" s="319">
        <v>8.680091669667633E-3</v>
      </c>
    </row>
    <row r="516" spans="2:17" ht="15.75" x14ac:dyDescent="0.25">
      <c r="B516" s="176">
        <v>2025</v>
      </c>
      <c r="C516" s="177">
        <v>2020</v>
      </c>
      <c r="D516" s="178" t="s">
        <v>3362</v>
      </c>
      <c r="E516" s="461">
        <v>4.2798963813508097E-2</v>
      </c>
      <c r="F516" s="462">
        <v>4.468063685538072E-2</v>
      </c>
      <c r="G516" s="316">
        <v>5.6682636588877434E-2</v>
      </c>
      <c r="H516" s="317">
        <v>4.8736907401277377E-3</v>
      </c>
      <c r="I516" s="317">
        <v>6.3781023269300838E-2</v>
      </c>
      <c r="J516" s="317">
        <v>2.0320103410167697E-2</v>
      </c>
      <c r="K516" s="317">
        <v>6.5148008858401706E-3</v>
      </c>
      <c r="L516" s="318">
        <v>1.4596121205004481E-3</v>
      </c>
      <c r="M516" s="317">
        <v>2.7140593951929209E-3</v>
      </c>
      <c r="N516" s="318">
        <v>2.0000005732018801E-3</v>
      </c>
      <c r="O516" s="317">
        <v>2.7896145076032414E-2</v>
      </c>
      <c r="P516" s="318">
        <v>1.7107517532000061E-2</v>
      </c>
      <c r="Q516" s="319">
        <v>6.8093712728970936E-3</v>
      </c>
    </row>
    <row r="517" spans="2:17" ht="15.75" x14ac:dyDescent="0.25">
      <c r="B517" s="176">
        <v>2025</v>
      </c>
      <c r="C517" s="177">
        <v>2021</v>
      </c>
      <c r="D517" s="178" t="s">
        <v>3363</v>
      </c>
      <c r="E517" s="461">
        <v>4.1473166977372952E-2</v>
      </c>
      <c r="F517" s="462">
        <v>4.2693417660286372E-2</v>
      </c>
      <c r="G517" s="316">
        <v>5.2871392044747854E-2</v>
      </c>
      <c r="H517" s="317">
        <v>4.2305384348743334E-3</v>
      </c>
      <c r="I517" s="317">
        <v>4.4615892554457449E-2</v>
      </c>
      <c r="J517" s="317">
        <v>1.8313119169380419E-2</v>
      </c>
      <c r="K517" s="317">
        <v>4.0393461294211987E-3</v>
      </c>
      <c r="L517" s="318">
        <v>9.5517933208340603E-4</v>
      </c>
      <c r="M517" s="317">
        <v>2.7131035090092676E-3</v>
      </c>
      <c r="N517" s="318">
        <v>2.0000005732018801E-3</v>
      </c>
      <c r="O517" s="317">
        <v>2.7879885452048465E-2</v>
      </c>
      <c r="P517" s="318">
        <v>1.7127135157409202E-2</v>
      </c>
      <c r="Q517" s="319">
        <v>4.2219874370606463E-3</v>
      </c>
    </row>
    <row r="518" spans="2:17" ht="15.75" x14ac:dyDescent="0.25">
      <c r="B518" s="176">
        <v>2025</v>
      </c>
      <c r="C518" s="177">
        <v>2022</v>
      </c>
      <c r="D518" s="178" t="s">
        <v>3364</v>
      </c>
      <c r="E518" s="461">
        <v>4.0318227625567374E-2</v>
      </c>
      <c r="F518" s="462">
        <v>4.1172203867793862E-2</v>
      </c>
      <c r="G518" s="316">
        <v>5.1461043477750011E-2</v>
      </c>
      <c r="H518" s="317">
        <v>3.5352608736124972E-3</v>
      </c>
      <c r="I518" s="317">
        <v>3.2419176573935275E-2</v>
      </c>
      <c r="J518" s="317">
        <v>1.6062170858150107E-2</v>
      </c>
      <c r="K518" s="317">
        <v>2.7182579402577063E-3</v>
      </c>
      <c r="L518" s="318">
        <v>9.5606563532949212E-4</v>
      </c>
      <c r="M518" s="317">
        <v>2.7127730928411496E-3</v>
      </c>
      <c r="N518" s="318">
        <v>2.0000005732018801E-3</v>
      </c>
      <c r="O518" s="317">
        <v>2.7874265073028787E-2</v>
      </c>
      <c r="P518" s="318">
        <v>1.7134812141808467E-2</v>
      </c>
      <c r="Q518" s="319">
        <v>2.8411655022251982E-3</v>
      </c>
    </row>
    <row r="519" spans="2:17" ht="15.75" x14ac:dyDescent="0.25">
      <c r="B519" s="176">
        <v>2025</v>
      </c>
      <c r="C519" s="177">
        <v>2023</v>
      </c>
      <c r="D519" s="178" t="s">
        <v>3365</v>
      </c>
      <c r="E519" s="461">
        <v>3.9130077255566192E-2</v>
      </c>
      <c r="F519" s="462">
        <v>3.961077683447059E-2</v>
      </c>
      <c r="G519" s="316">
        <v>4.9829714495733868E-2</v>
      </c>
      <c r="H519" s="317">
        <v>3.0648123814926414E-3</v>
      </c>
      <c r="I519" s="317">
        <v>3.0354108018791421E-2</v>
      </c>
      <c r="J519" s="317">
        <v>1.48738785743927E-2</v>
      </c>
      <c r="K519" s="317">
        <v>2.335874617880658E-3</v>
      </c>
      <c r="L519" s="318">
        <v>9.5715131459179819E-4</v>
      </c>
      <c r="M519" s="317">
        <v>2.7100651471628785E-3</v>
      </c>
      <c r="N519" s="318">
        <v>2.0000005732018801E-3</v>
      </c>
      <c r="O519" s="317">
        <v>2.7828202917041394E-2</v>
      </c>
      <c r="P519" s="318">
        <v>1.7129337694391324E-2</v>
      </c>
      <c r="Q519" s="319">
        <v>2.4414925028111152E-3</v>
      </c>
    </row>
    <row r="520" spans="2:17" ht="15.75" x14ac:dyDescent="0.25">
      <c r="B520" s="176">
        <v>2025</v>
      </c>
      <c r="C520" s="177">
        <v>2024</v>
      </c>
      <c r="D520" s="178" t="s">
        <v>3366</v>
      </c>
      <c r="E520" s="461">
        <v>3.7987273917462601E-2</v>
      </c>
      <c r="F520" s="462">
        <v>3.8029202756868399E-2</v>
      </c>
      <c r="G520" s="316">
        <v>4.8202720410166884E-2</v>
      </c>
      <c r="H520" s="317">
        <v>2.6463923669006158E-3</v>
      </c>
      <c r="I520" s="317">
        <v>2.824028562158977E-2</v>
      </c>
      <c r="J520" s="317">
        <v>1.3864586022441915E-2</v>
      </c>
      <c r="K520" s="317">
        <v>1.9408968897563824E-3</v>
      </c>
      <c r="L520" s="318">
        <v>9.5729724124905922E-4</v>
      </c>
      <c r="M520" s="317">
        <v>2.7084274740693031E-3</v>
      </c>
      <c r="N520" s="318">
        <v>2.0000005732018801E-3</v>
      </c>
      <c r="O520" s="317">
        <v>2.7800346097719603E-2</v>
      </c>
      <c r="P520" s="318">
        <v>1.7119100925183546E-2</v>
      </c>
      <c r="Q520" s="319">
        <v>2.0286556345087739E-3</v>
      </c>
    </row>
    <row r="521" spans="2:17" ht="15.75" x14ac:dyDescent="0.25">
      <c r="B521" s="176">
        <v>2025</v>
      </c>
      <c r="C521" s="177">
        <v>2025</v>
      </c>
      <c r="D521" s="178" t="s">
        <v>3367</v>
      </c>
      <c r="E521" s="461">
        <v>3.6442725161605578E-2</v>
      </c>
      <c r="F521" s="462">
        <v>3.5785378404437893E-2</v>
      </c>
      <c r="G521" s="316">
        <v>4.4825229571865029E-2</v>
      </c>
      <c r="H521" s="317">
        <v>2.2808588069245994E-3</v>
      </c>
      <c r="I521" s="317">
        <v>2.525972481807422E-2</v>
      </c>
      <c r="J521" s="317">
        <v>1.2712135544005618E-2</v>
      </c>
      <c r="K521" s="317">
        <v>1.4887448368444917E-3</v>
      </c>
      <c r="L521" s="318">
        <v>9.5276996218966823E-4</v>
      </c>
      <c r="M521" s="317">
        <v>2.6793277601653725E-3</v>
      </c>
      <c r="N521" s="318">
        <v>2.0000005732018801E-3</v>
      </c>
      <c r="O521" s="317">
        <v>2.7305359964213804E-2</v>
      </c>
      <c r="P521" s="318">
        <v>1.6899480239277322E-2</v>
      </c>
      <c r="Q521" s="319">
        <v>1.5560592721592323E-3</v>
      </c>
    </row>
    <row r="522" spans="2:17" ht="15.75" x14ac:dyDescent="0.25">
      <c r="B522" s="176">
        <v>2026</v>
      </c>
      <c r="C522" s="177">
        <v>1982</v>
      </c>
      <c r="D522" s="178" t="s">
        <v>3368</v>
      </c>
      <c r="E522" s="461">
        <v>5.737962955147341E-2</v>
      </c>
      <c r="F522" s="462">
        <v>0.10465591162288884</v>
      </c>
      <c r="G522" s="316">
        <v>0.31448398498149915</v>
      </c>
      <c r="H522" s="317">
        <v>2.0213876533490036</v>
      </c>
      <c r="I522" s="317">
        <v>2.6285752225100154</v>
      </c>
      <c r="J522" s="317">
        <v>3.5206366597859318</v>
      </c>
      <c r="K522" s="317">
        <v>0.24933029955166044</v>
      </c>
      <c r="L522" s="318">
        <v>1.8118211874511889E-2</v>
      </c>
      <c r="M522" s="317">
        <v>2.2491158008982499E-3</v>
      </c>
      <c r="N522" s="318">
        <v>2.0000005732018801E-3</v>
      </c>
      <c r="O522" s="317">
        <v>1.9987454537080056E-2</v>
      </c>
      <c r="P522" s="318">
        <v>2.4403525269151797E-2</v>
      </c>
      <c r="Q522" s="319">
        <v>0.26060390931056782</v>
      </c>
    </row>
    <row r="523" spans="2:17" ht="15.75" x14ac:dyDescent="0.25">
      <c r="B523" s="176">
        <v>2026</v>
      </c>
      <c r="C523" s="177">
        <v>1983</v>
      </c>
      <c r="D523" s="178" t="s">
        <v>3369</v>
      </c>
      <c r="E523" s="461">
        <v>5.7075701026434493E-2</v>
      </c>
      <c r="F523" s="462">
        <v>0.10069214454881728</v>
      </c>
      <c r="G523" s="316">
        <v>0.2107832382394238</v>
      </c>
      <c r="H523" s="317">
        <v>1.7497006406468829</v>
      </c>
      <c r="I523" s="317">
        <v>2.7867612534076951</v>
      </c>
      <c r="J523" s="317">
        <v>3.0514493233154529</v>
      </c>
      <c r="K523" s="317">
        <v>0.22425105781165461</v>
      </c>
      <c r="L523" s="318">
        <v>1.7931677407954854E-2</v>
      </c>
      <c r="M523" s="317">
        <v>2.3551768219218275E-3</v>
      </c>
      <c r="N523" s="318">
        <v>2.0000005732018801E-3</v>
      </c>
      <c r="O523" s="317">
        <v>2.1791552504691104E-2</v>
      </c>
      <c r="P523" s="318">
        <v>2.3104428010465548E-2</v>
      </c>
      <c r="Q523" s="319">
        <v>0.2343906955465663</v>
      </c>
    </row>
    <row r="524" spans="2:17" ht="15.75" x14ac:dyDescent="0.25">
      <c r="B524" s="176">
        <v>2026</v>
      </c>
      <c r="C524" s="177">
        <v>1984</v>
      </c>
      <c r="D524" s="178" t="s">
        <v>3370</v>
      </c>
      <c r="E524" s="461">
        <v>5.5117977421569479E-2</v>
      </c>
      <c r="F524" s="462">
        <v>0.10157206386639885</v>
      </c>
      <c r="G524" s="316">
        <v>0.2801549322803647</v>
      </c>
      <c r="H524" s="317">
        <v>1.4898738037302746</v>
      </c>
      <c r="I524" s="317">
        <v>3.4051158467703102</v>
      </c>
      <c r="J524" s="317">
        <v>3.5160128269934328</v>
      </c>
      <c r="K524" s="317">
        <v>0.19094103001029766</v>
      </c>
      <c r="L524" s="318">
        <v>1.8491414121316701E-2</v>
      </c>
      <c r="M524" s="317">
        <v>2.558595752376045E-3</v>
      </c>
      <c r="N524" s="318">
        <v>2.0000005732018801E-3</v>
      </c>
      <c r="O524" s="317">
        <v>2.525170851171735E-2</v>
      </c>
      <c r="P524" s="318">
        <v>2.2989679262571273E-2</v>
      </c>
      <c r="Q524" s="319">
        <v>0.19957453609909148</v>
      </c>
    </row>
    <row r="525" spans="2:17" ht="15.75" x14ac:dyDescent="0.25">
      <c r="B525" s="176">
        <v>2026</v>
      </c>
      <c r="C525" s="177">
        <v>1985</v>
      </c>
      <c r="D525" s="178" t="s">
        <v>3371</v>
      </c>
      <c r="E525" s="461">
        <v>5.6447146580526679E-2</v>
      </c>
      <c r="F525" s="462">
        <v>9.8685509210067343E-2</v>
      </c>
      <c r="G525" s="316">
        <v>0.25833365622766352</v>
      </c>
      <c r="H525" s="317">
        <v>1.1114363782074288</v>
      </c>
      <c r="I525" s="317">
        <v>4.1590408377799051</v>
      </c>
      <c r="J525" s="317">
        <v>2.9255125217595701</v>
      </c>
      <c r="K525" s="317">
        <v>0.18387026682927751</v>
      </c>
      <c r="L525" s="318">
        <v>1.7322391970864225E-2</v>
      </c>
      <c r="M525" s="317">
        <v>2.7609381505840224E-3</v>
      </c>
      <c r="N525" s="318">
        <v>2.0000005732018805E-3</v>
      </c>
      <c r="O525" s="317">
        <v>2.8693552705235048E-2</v>
      </c>
      <c r="P525" s="318">
        <v>2.3051895531377927E-2</v>
      </c>
      <c r="Q525" s="319">
        <v>0.19218406438307245</v>
      </c>
    </row>
    <row r="526" spans="2:17" ht="15.75" x14ac:dyDescent="0.25">
      <c r="B526" s="176">
        <v>2026</v>
      </c>
      <c r="C526" s="177">
        <v>1986</v>
      </c>
      <c r="D526" s="178" t="s">
        <v>3372</v>
      </c>
      <c r="E526" s="461">
        <v>5.7250129959106104E-2</v>
      </c>
      <c r="F526" s="462">
        <v>9.3198539290179461E-2</v>
      </c>
      <c r="G526" s="316">
        <v>0.24931459148690327</v>
      </c>
      <c r="H526" s="317">
        <v>1.0592823541838425</v>
      </c>
      <c r="I526" s="317">
        <v>4.5114396873031808</v>
      </c>
      <c r="J526" s="317">
        <v>2.743172483055079</v>
      </c>
      <c r="K526" s="317">
        <v>0.18147638665144708</v>
      </c>
      <c r="L526" s="318">
        <v>1.7482740390591275E-2</v>
      </c>
      <c r="M526" s="317">
        <v>2.8592169327153749E-3</v>
      </c>
      <c r="N526" s="318">
        <v>2.0000005732018805E-3</v>
      </c>
      <c r="O526" s="317">
        <v>3.0365274789289357E-2</v>
      </c>
      <c r="P526" s="318">
        <v>2.2431704345641866E-2</v>
      </c>
      <c r="Q526" s="319">
        <v>0.18968194356628668</v>
      </c>
    </row>
    <row r="527" spans="2:17" ht="15.75" x14ac:dyDescent="0.25">
      <c r="B527" s="176">
        <v>2026</v>
      </c>
      <c r="C527" s="177">
        <v>1987</v>
      </c>
      <c r="D527" s="178" t="s">
        <v>3373</v>
      </c>
      <c r="E527" s="461">
        <v>5.7690659395409571E-2</v>
      </c>
      <c r="F527" s="462">
        <v>8.9506216871164473E-2</v>
      </c>
      <c r="G527" s="316">
        <v>0.29587281336990556</v>
      </c>
      <c r="H527" s="317">
        <v>0.97470878408755435</v>
      </c>
      <c r="I527" s="317">
        <v>4.9197776606168508</v>
      </c>
      <c r="J527" s="317">
        <v>2.6295381529932893</v>
      </c>
      <c r="K527" s="317">
        <v>0.20030310345927357</v>
      </c>
      <c r="L527" s="318">
        <v>1.7745651860414907E-2</v>
      </c>
      <c r="M527" s="317">
        <v>2.9426734949509572E-3</v>
      </c>
      <c r="N527" s="318">
        <v>2.0000005732018801E-3</v>
      </c>
      <c r="O527" s="317">
        <v>3.178487091291661E-2</v>
      </c>
      <c r="P527" s="318">
        <v>2.1367527393775457E-2</v>
      </c>
      <c r="Q527" s="319">
        <v>0.20935992096584505</v>
      </c>
    </row>
    <row r="528" spans="2:17" ht="15.75" x14ac:dyDescent="0.25">
      <c r="B528" s="176">
        <v>2026</v>
      </c>
      <c r="C528" s="177">
        <v>1988</v>
      </c>
      <c r="D528" s="178" t="s">
        <v>3374</v>
      </c>
      <c r="E528" s="461">
        <v>5.7586549721356545E-2</v>
      </c>
      <c r="F528" s="462">
        <v>8.812548142844108E-2</v>
      </c>
      <c r="G528" s="316">
        <v>0.29226374571552449</v>
      </c>
      <c r="H528" s="317">
        <v>0.50679399382384638</v>
      </c>
      <c r="I528" s="317">
        <v>5.0272894904568908</v>
      </c>
      <c r="J528" s="317">
        <v>1.906009946264043</v>
      </c>
      <c r="K528" s="317">
        <v>0.198291772225719</v>
      </c>
      <c r="L528" s="318">
        <v>1.7231949445212905E-2</v>
      </c>
      <c r="M528" s="317">
        <v>2.9648843746765572E-3</v>
      </c>
      <c r="N528" s="318">
        <v>2.0000005732018797E-3</v>
      </c>
      <c r="O528" s="317">
        <v>3.2162677977049067E-2</v>
      </c>
      <c r="P528" s="318">
        <v>2.1788095233922739E-2</v>
      </c>
      <c r="Q528" s="319">
        <v>0.2072576462590586</v>
      </c>
    </row>
    <row r="529" spans="2:17" ht="15.75" x14ac:dyDescent="0.25">
      <c r="B529" s="176">
        <v>2026</v>
      </c>
      <c r="C529" s="177">
        <v>1989</v>
      </c>
      <c r="D529" s="178" t="s">
        <v>3375</v>
      </c>
      <c r="E529" s="461">
        <v>5.7787150710967072E-2</v>
      </c>
      <c r="F529" s="462">
        <v>9.0482852638001404E-2</v>
      </c>
      <c r="G529" s="316">
        <v>0.29284046304114397</v>
      </c>
      <c r="H529" s="317">
        <v>0.50530294002977927</v>
      </c>
      <c r="I529" s="317">
        <v>5.0918144113912591</v>
      </c>
      <c r="J529" s="317">
        <v>1.9026153774955132</v>
      </c>
      <c r="K529" s="317">
        <v>0.19906847581516476</v>
      </c>
      <c r="L529" s="318">
        <v>1.7012286424255937E-2</v>
      </c>
      <c r="M529" s="317">
        <v>2.98215625905816E-3</v>
      </c>
      <c r="N529" s="318">
        <v>2.0000005732018801E-3</v>
      </c>
      <c r="O529" s="317">
        <v>3.2456472730380131E-2</v>
      </c>
      <c r="P529" s="318">
        <v>2.26100393305134E-2</v>
      </c>
      <c r="Q529" s="319">
        <v>0.20806946893824754</v>
      </c>
    </row>
    <row r="530" spans="2:17" ht="15.75" x14ac:dyDescent="0.25">
      <c r="B530" s="176">
        <v>2026</v>
      </c>
      <c r="C530" s="177">
        <v>1990</v>
      </c>
      <c r="D530" s="178" t="s">
        <v>3376</v>
      </c>
      <c r="E530" s="461">
        <v>5.8250079480315589E-2</v>
      </c>
      <c r="F530" s="462">
        <v>8.8418885217447243E-2</v>
      </c>
      <c r="G530" s="316">
        <v>0.29756506803360799</v>
      </c>
      <c r="H530" s="317">
        <v>0.50569986543661094</v>
      </c>
      <c r="I530" s="317">
        <v>5.0475289616361962</v>
      </c>
      <c r="J530" s="317">
        <v>1.8915759612828671</v>
      </c>
      <c r="K530" s="317">
        <v>0.20231503164134379</v>
      </c>
      <c r="L530" s="318">
        <v>1.7226914500918924E-2</v>
      </c>
      <c r="M530" s="317">
        <v>2.9840647150549599E-3</v>
      </c>
      <c r="N530" s="318">
        <v>2.0000005732018801E-3</v>
      </c>
      <c r="O530" s="317">
        <v>3.2488935566885702E-2</v>
      </c>
      <c r="P530" s="318">
        <v>2.1896885799341109E-2</v>
      </c>
      <c r="Q530" s="319">
        <v>0.2114628196125086</v>
      </c>
    </row>
    <row r="531" spans="2:17" ht="15.75" x14ac:dyDescent="0.25">
      <c r="B531" s="176">
        <v>2026</v>
      </c>
      <c r="C531" s="177">
        <v>1991</v>
      </c>
      <c r="D531" s="178" t="s">
        <v>3377</v>
      </c>
      <c r="E531" s="461">
        <v>5.8150917341433732E-2</v>
      </c>
      <c r="F531" s="462">
        <v>8.6631609338468113E-2</v>
      </c>
      <c r="G531" s="316">
        <v>0.37998893464005429</v>
      </c>
      <c r="H531" s="317">
        <v>0.5266630546964538</v>
      </c>
      <c r="I531" s="317">
        <v>8.8978816790253976</v>
      </c>
      <c r="J531" s="317">
        <v>2.3199168050266952</v>
      </c>
      <c r="K531" s="317">
        <v>5.6688863538850519E-2</v>
      </c>
      <c r="L531" s="318">
        <v>9.6780314873304782E-3</v>
      </c>
      <c r="M531" s="317">
        <v>2.9825299376402708E-3</v>
      </c>
      <c r="N531" s="318">
        <v>2.0000005732018801E-3</v>
      </c>
      <c r="O531" s="317">
        <v>3.2462829003061841E-2</v>
      </c>
      <c r="P531" s="318">
        <v>2.1208445012122254E-2</v>
      </c>
      <c r="Q531" s="319">
        <v>5.9252082394971047E-2</v>
      </c>
    </row>
    <row r="532" spans="2:17" ht="15.75" x14ac:dyDescent="0.25">
      <c r="B532" s="176">
        <v>2026</v>
      </c>
      <c r="C532" s="177">
        <v>1992</v>
      </c>
      <c r="D532" s="178" t="s">
        <v>3378</v>
      </c>
      <c r="E532" s="461">
        <v>5.811825016774768E-2</v>
      </c>
      <c r="F532" s="462">
        <v>8.3968013883234535E-2</v>
      </c>
      <c r="G532" s="316">
        <v>0.38041648130581068</v>
      </c>
      <c r="H532" s="317">
        <v>0.52755576346194311</v>
      </c>
      <c r="I532" s="317">
        <v>8.8100829781875003</v>
      </c>
      <c r="J532" s="317">
        <v>2.2583342935497108</v>
      </c>
      <c r="K532" s="317">
        <v>5.8358877181559812E-2</v>
      </c>
      <c r="L532" s="318">
        <v>9.7906152775562166E-3</v>
      </c>
      <c r="M532" s="317">
        <v>2.9723499991195159E-3</v>
      </c>
      <c r="N532" s="318">
        <v>2.0000005732018805E-3</v>
      </c>
      <c r="O532" s="317">
        <v>3.2289668248823795E-2</v>
      </c>
      <c r="P532" s="318">
        <v>2.0339399729241186E-2</v>
      </c>
      <c r="Q532" s="319">
        <v>6.0997606644027869E-2</v>
      </c>
    </row>
    <row r="533" spans="2:17" ht="15.75" x14ac:dyDescent="0.25">
      <c r="B533" s="176">
        <v>2026</v>
      </c>
      <c r="C533" s="177">
        <v>1993</v>
      </c>
      <c r="D533" s="178" t="s">
        <v>3379</v>
      </c>
      <c r="E533" s="461">
        <v>5.8007179009908677E-2</v>
      </c>
      <c r="F533" s="462">
        <v>7.5381709723447182E-2</v>
      </c>
      <c r="G533" s="316">
        <v>0.37487371476126263</v>
      </c>
      <c r="H533" s="317">
        <v>0.53194908671987584</v>
      </c>
      <c r="I533" s="317">
        <v>8.8872174582563304</v>
      </c>
      <c r="J533" s="317">
        <v>2.2138329472865386</v>
      </c>
      <c r="K533" s="317">
        <v>5.3934491880688142E-2</v>
      </c>
      <c r="L533" s="318">
        <v>9.924509879843859E-3</v>
      </c>
      <c r="M533" s="317">
        <v>2.9796582979205667E-3</v>
      </c>
      <c r="N533" s="318">
        <v>2.0000005732018801E-3</v>
      </c>
      <c r="O533" s="317">
        <v>3.2413982411429669E-2</v>
      </c>
      <c r="P533" s="318">
        <v>1.9945306099857622E-2</v>
      </c>
      <c r="Q533" s="319">
        <v>5.6373170272769738E-2</v>
      </c>
    </row>
    <row r="534" spans="2:17" ht="15.75" x14ac:dyDescent="0.25">
      <c r="B534" s="176">
        <v>2026</v>
      </c>
      <c r="C534" s="177">
        <v>1994</v>
      </c>
      <c r="D534" s="178" t="s">
        <v>3380</v>
      </c>
      <c r="E534" s="461">
        <v>5.777686853272794E-2</v>
      </c>
      <c r="F534" s="462">
        <v>7.1877134081814509E-2</v>
      </c>
      <c r="G534" s="316">
        <v>0.37020037984202775</v>
      </c>
      <c r="H534" s="317">
        <v>0.53294384338136158</v>
      </c>
      <c r="I534" s="317">
        <v>8.8559962479096725</v>
      </c>
      <c r="J534" s="317">
        <v>2.1444849287872541</v>
      </c>
      <c r="K534" s="317">
        <v>5.41063705401051E-2</v>
      </c>
      <c r="L534" s="318">
        <v>1.0037060419601052E-2</v>
      </c>
      <c r="M534" s="317">
        <v>2.9718561028582555E-3</v>
      </c>
      <c r="N534" s="318">
        <v>2.0000005732018801E-3</v>
      </c>
      <c r="O534" s="317">
        <v>3.2281267073419752E-2</v>
      </c>
      <c r="P534" s="318">
        <v>1.8972877394190089E-2</v>
      </c>
      <c r="Q534" s="319">
        <v>5.6552820522465248E-2</v>
      </c>
    </row>
    <row r="535" spans="2:17" ht="15.75" x14ac:dyDescent="0.25">
      <c r="B535" s="176">
        <v>2026</v>
      </c>
      <c r="C535" s="177">
        <v>1995</v>
      </c>
      <c r="D535" s="178" t="s">
        <v>3381</v>
      </c>
      <c r="E535" s="461">
        <v>5.7499811938577616E-2</v>
      </c>
      <c r="F535" s="462">
        <v>7.3599019635084278E-2</v>
      </c>
      <c r="G535" s="316">
        <v>0.36760928629846473</v>
      </c>
      <c r="H535" s="317">
        <v>0.40217563861162292</v>
      </c>
      <c r="I535" s="317">
        <v>8.9752934161214935</v>
      </c>
      <c r="J535" s="317">
        <v>1.67906414094645</v>
      </c>
      <c r="K535" s="317">
        <v>5.3456997893358726E-2</v>
      </c>
      <c r="L535" s="318">
        <v>9.2396548787583629E-3</v>
      </c>
      <c r="M535" s="317">
        <v>2.9791300347604935E-3</v>
      </c>
      <c r="N535" s="318">
        <v>2.0000005732018801E-3</v>
      </c>
      <c r="O535" s="317">
        <v>3.2404996655076831E-2</v>
      </c>
      <c r="P535" s="318">
        <v>1.9735912052487158E-2</v>
      </c>
      <c r="Q535" s="319">
        <v>5.5874086126181513E-2</v>
      </c>
    </row>
    <row r="536" spans="2:17" ht="15.75" x14ac:dyDescent="0.25">
      <c r="B536" s="176">
        <v>2026</v>
      </c>
      <c r="C536" s="177">
        <v>1996</v>
      </c>
      <c r="D536" s="178" t="s">
        <v>3382</v>
      </c>
      <c r="E536" s="461">
        <v>5.7629466341597775E-2</v>
      </c>
      <c r="F536" s="462">
        <v>7.331879235743248E-2</v>
      </c>
      <c r="G536" s="316">
        <v>0.37005819318873756</v>
      </c>
      <c r="H536" s="317">
        <v>0.13858490037843971</v>
      </c>
      <c r="I536" s="317">
        <v>8.974709491965509</v>
      </c>
      <c r="J536" s="317">
        <v>1.0155293731615969</v>
      </c>
      <c r="K536" s="317">
        <v>5.3687166613641209E-2</v>
      </c>
      <c r="L536" s="318">
        <v>2.8293983419543146E-3</v>
      </c>
      <c r="M536" s="317">
        <v>2.9819915002300378E-3</v>
      </c>
      <c r="N536" s="318">
        <v>2.0000005732018801E-3</v>
      </c>
      <c r="O536" s="317">
        <v>3.2453670182713772E-2</v>
      </c>
      <c r="P536" s="318">
        <v>1.9994672776187189E-2</v>
      </c>
      <c r="Q536" s="319">
        <v>5.6114662054636534E-2</v>
      </c>
    </row>
    <row r="537" spans="2:17" ht="15.75" x14ac:dyDescent="0.25">
      <c r="B537" s="176">
        <v>2026</v>
      </c>
      <c r="C537" s="177">
        <v>1997</v>
      </c>
      <c r="D537" s="178" t="s">
        <v>3383</v>
      </c>
      <c r="E537" s="461">
        <v>5.7760748841773256E-2</v>
      </c>
      <c r="F537" s="462">
        <v>7.1221983941282943E-2</v>
      </c>
      <c r="G537" s="316">
        <v>0.37248570284065713</v>
      </c>
      <c r="H537" s="317">
        <v>0.14364938726698873</v>
      </c>
      <c r="I537" s="317">
        <v>8.9826762905451449</v>
      </c>
      <c r="J537" s="317">
        <v>1.043374102892503</v>
      </c>
      <c r="K537" s="317">
        <v>5.3903144239007758E-2</v>
      </c>
      <c r="L537" s="318">
        <v>2.8519598127147985E-3</v>
      </c>
      <c r="M537" s="317">
        <v>2.9855470517702316E-3</v>
      </c>
      <c r="N537" s="318">
        <v>2.0000005732018801E-3</v>
      </c>
      <c r="O537" s="317">
        <v>3.2514150114412464E-2</v>
      </c>
      <c r="P537" s="318">
        <v>1.9405982449917637E-2</v>
      </c>
      <c r="Q537" s="319">
        <v>5.6340405229835709E-2</v>
      </c>
    </row>
    <row r="538" spans="2:17" ht="15.75" x14ac:dyDescent="0.25">
      <c r="B538" s="176">
        <v>2026</v>
      </c>
      <c r="C538" s="177">
        <v>1998</v>
      </c>
      <c r="D538" s="178" t="s">
        <v>3384</v>
      </c>
      <c r="E538" s="461">
        <v>5.7635033833487406E-2</v>
      </c>
      <c r="F538" s="462">
        <v>6.7890931650043521E-2</v>
      </c>
      <c r="G538" s="316">
        <v>0.37058445557015451</v>
      </c>
      <c r="H538" s="317">
        <v>0.13360791282957712</v>
      </c>
      <c r="I538" s="317">
        <v>8.960685163827895</v>
      </c>
      <c r="J538" s="317">
        <v>0.92259738478558151</v>
      </c>
      <c r="K538" s="317">
        <v>5.3767179076294046E-2</v>
      </c>
      <c r="L538" s="318">
        <v>2.8950425920207701E-3</v>
      </c>
      <c r="M538" s="317">
        <v>2.9818634348641447E-3</v>
      </c>
      <c r="N538" s="318">
        <v>2.0000005732018801E-3</v>
      </c>
      <c r="O538" s="317">
        <v>3.2451491790839934E-2</v>
      </c>
      <c r="P538" s="318">
        <v>1.8465526128820846E-2</v>
      </c>
      <c r="Q538" s="319">
        <v>5.6198292325800488E-2</v>
      </c>
    </row>
    <row r="539" spans="2:17" ht="15.75" x14ac:dyDescent="0.25">
      <c r="B539" s="176">
        <v>2026</v>
      </c>
      <c r="C539" s="177">
        <v>1999</v>
      </c>
      <c r="D539" s="178" t="s">
        <v>3385</v>
      </c>
      <c r="E539" s="461">
        <v>5.7751526683827069E-2</v>
      </c>
      <c r="F539" s="462">
        <v>6.844147195122352E-2</v>
      </c>
      <c r="G539" s="316">
        <v>0.37407972594209066</v>
      </c>
      <c r="H539" s="317">
        <v>0.11700105998759289</v>
      </c>
      <c r="I539" s="317">
        <v>9.0656052860249137</v>
      </c>
      <c r="J539" s="317">
        <v>0.76566201810674051</v>
      </c>
      <c r="K539" s="317">
        <v>5.3781428958679857E-2</v>
      </c>
      <c r="L539" s="318">
        <v>2.9028357371146279E-3</v>
      </c>
      <c r="M539" s="317">
        <v>2.9945141801232113E-3</v>
      </c>
      <c r="N539" s="318">
        <v>2.0000005732018805E-3</v>
      </c>
      <c r="O539" s="317">
        <v>3.2666680967696662E-2</v>
      </c>
      <c r="P539" s="318">
        <v>1.8648959937512428E-2</v>
      </c>
      <c r="Q539" s="319">
        <v>5.6213186524634869E-2</v>
      </c>
    </row>
    <row r="540" spans="2:17" ht="15.75" x14ac:dyDescent="0.25">
      <c r="B540" s="176">
        <v>2026</v>
      </c>
      <c r="C540" s="177">
        <v>2000</v>
      </c>
      <c r="D540" s="178" t="s">
        <v>3386</v>
      </c>
      <c r="E540" s="461">
        <v>5.7607977000453482E-2</v>
      </c>
      <c r="F540" s="462">
        <v>7.4531775802005554E-2</v>
      </c>
      <c r="G540" s="316">
        <v>0.37280881915592257</v>
      </c>
      <c r="H540" s="317">
        <v>0.10044025336172396</v>
      </c>
      <c r="I540" s="317">
        <v>9.1210854711868645</v>
      </c>
      <c r="J540" s="317">
        <v>0.61396181741313893</v>
      </c>
      <c r="K540" s="317">
        <v>5.3452078029924584E-2</v>
      </c>
      <c r="L540" s="318">
        <v>2.8978591050783939E-3</v>
      </c>
      <c r="M540" s="317">
        <v>2.9981948682111692E-3</v>
      </c>
      <c r="N540" s="318">
        <v>2.0000005732018801E-3</v>
      </c>
      <c r="O540" s="317">
        <v>3.272928947207282E-2</v>
      </c>
      <c r="P540" s="318">
        <v>1.8841237732260891E-2</v>
      </c>
      <c r="Q540" s="319">
        <v>5.586894380835427E-2</v>
      </c>
    </row>
    <row r="541" spans="2:17" ht="15.75" x14ac:dyDescent="0.25">
      <c r="B541" s="176">
        <v>2026</v>
      </c>
      <c r="C541" s="177">
        <v>2001</v>
      </c>
      <c r="D541" s="178" t="s">
        <v>3387</v>
      </c>
      <c r="E541" s="461">
        <v>5.7688932119285267E-2</v>
      </c>
      <c r="F541" s="462">
        <v>7.3091784213615521E-2</v>
      </c>
      <c r="G541" s="316">
        <v>0.37356351926192433</v>
      </c>
      <c r="H541" s="317">
        <v>8.7026916323101611E-2</v>
      </c>
      <c r="I541" s="317">
        <v>9.0608506443619685</v>
      </c>
      <c r="J541" s="317">
        <v>0.4751085550666182</v>
      </c>
      <c r="K541" s="317">
        <v>5.3738928648439106E-2</v>
      </c>
      <c r="L541" s="318">
        <v>2.923493814613405E-3</v>
      </c>
      <c r="M541" s="317">
        <v>2.9936383114762674E-3</v>
      </c>
      <c r="N541" s="318">
        <v>2.0000005732018801E-3</v>
      </c>
      <c r="O541" s="317">
        <v>3.2651782442012139E-2</v>
      </c>
      <c r="P541" s="318">
        <v>1.8369071964549944E-2</v>
      </c>
      <c r="Q541" s="319">
        <v>5.6168764538957368E-2</v>
      </c>
    </row>
    <row r="542" spans="2:17" ht="15.75" x14ac:dyDescent="0.25">
      <c r="B542" s="176">
        <v>2026</v>
      </c>
      <c r="C542" s="177">
        <v>2002</v>
      </c>
      <c r="D542" s="178" t="s">
        <v>3388</v>
      </c>
      <c r="E542" s="461">
        <v>5.7514326419051992E-2</v>
      </c>
      <c r="F542" s="462">
        <v>7.111354505652441E-2</v>
      </c>
      <c r="G542" s="316">
        <v>0.28852863443395121</v>
      </c>
      <c r="H542" s="317">
        <v>8.7275762192085077E-2</v>
      </c>
      <c r="I542" s="317">
        <v>7.0241907137467763</v>
      </c>
      <c r="J542" s="317">
        <v>0.45791392559201483</v>
      </c>
      <c r="K542" s="317">
        <v>5.3879378695893113E-2</v>
      </c>
      <c r="L542" s="318">
        <v>2.9523011368884559E-3</v>
      </c>
      <c r="M542" s="317">
        <v>2.9971900914027324E-3</v>
      </c>
      <c r="N542" s="318">
        <v>2.0000005732018801E-3</v>
      </c>
      <c r="O542" s="317">
        <v>3.2712198218561313E-2</v>
      </c>
      <c r="P542" s="318">
        <v>1.7729140195823487E-2</v>
      </c>
      <c r="Q542" s="319">
        <v>5.6315565114319455E-2</v>
      </c>
    </row>
    <row r="543" spans="2:17" ht="15.75" x14ac:dyDescent="0.25">
      <c r="B543" s="176">
        <v>2026</v>
      </c>
      <c r="C543" s="177">
        <v>2003</v>
      </c>
      <c r="D543" s="178" t="s">
        <v>3389</v>
      </c>
      <c r="E543" s="461">
        <v>5.7304365724559651E-2</v>
      </c>
      <c r="F543" s="462">
        <v>7.2003916345722063E-2</v>
      </c>
      <c r="G543" s="316">
        <v>0.28576460695169376</v>
      </c>
      <c r="H543" s="317">
        <v>7.065219461211357E-2</v>
      </c>
      <c r="I543" s="317">
        <v>7.0222535642396178</v>
      </c>
      <c r="J543" s="317">
        <v>0.39135666477042219</v>
      </c>
      <c r="K543" s="317">
        <v>5.3518840547621307E-2</v>
      </c>
      <c r="L543" s="318">
        <v>2.9359894134846237E-3</v>
      </c>
      <c r="M543" s="317">
        <v>2.993613653602531E-3</v>
      </c>
      <c r="N543" s="318">
        <v>2.0000005732018801E-3</v>
      </c>
      <c r="O543" s="317">
        <v>3.2651363011579893E-2</v>
      </c>
      <c r="P543" s="318">
        <v>1.8056293496369398E-2</v>
      </c>
      <c r="Q543" s="319">
        <v>5.593872503084709E-2</v>
      </c>
    </row>
    <row r="544" spans="2:17" ht="15.75" x14ac:dyDescent="0.25">
      <c r="B544" s="176">
        <v>2026</v>
      </c>
      <c r="C544" s="177">
        <v>2004</v>
      </c>
      <c r="D544" s="178" t="s">
        <v>3390</v>
      </c>
      <c r="E544" s="461">
        <v>5.7199044018226598E-2</v>
      </c>
      <c r="F544" s="462">
        <v>7.1824986763098911E-2</v>
      </c>
      <c r="G544" s="316">
        <v>0.23510680561847255</v>
      </c>
      <c r="H544" s="317">
        <v>1.8081734546163523E-2</v>
      </c>
      <c r="I544" s="317">
        <v>5.8560501938167002</v>
      </c>
      <c r="J544" s="317">
        <v>0.11320524529278332</v>
      </c>
      <c r="K544" s="317">
        <v>5.3175306138142864E-2</v>
      </c>
      <c r="L544" s="318">
        <v>1.9619446439343675E-4</v>
      </c>
      <c r="M544" s="317">
        <v>2.9910089963040894E-3</v>
      </c>
      <c r="N544" s="318">
        <v>2.0000005732018801E-3</v>
      </c>
      <c r="O544" s="317">
        <v>3.260705779093339E-2</v>
      </c>
      <c r="P544" s="318">
        <v>1.7680556077584265E-2</v>
      </c>
      <c r="Q544" s="319">
        <v>5.5579657519783415E-2</v>
      </c>
    </row>
    <row r="545" spans="2:17" ht="15.75" x14ac:dyDescent="0.25">
      <c r="B545" s="176">
        <v>2026</v>
      </c>
      <c r="C545" s="177">
        <v>2005</v>
      </c>
      <c r="D545" s="178" t="s">
        <v>3391</v>
      </c>
      <c r="E545" s="461">
        <v>5.6952208494916216E-2</v>
      </c>
      <c r="F545" s="462">
        <v>6.8327439762617889E-2</v>
      </c>
      <c r="G545" s="316">
        <v>0.23122589661756029</v>
      </c>
      <c r="H545" s="317">
        <v>1.5774995713388838E-2</v>
      </c>
      <c r="I545" s="317">
        <v>5.8404320130680443</v>
      </c>
      <c r="J545" s="317">
        <v>9.201102298778159E-2</v>
      </c>
      <c r="K545" s="317">
        <v>5.2654959606028083E-2</v>
      </c>
      <c r="L545" s="318">
        <v>1.9690663600965851E-4</v>
      </c>
      <c r="M545" s="317">
        <v>2.9829101886766295E-3</v>
      </c>
      <c r="N545" s="318">
        <v>2.0000005732018801E-3</v>
      </c>
      <c r="O545" s="317">
        <v>3.2469297073190302E-2</v>
      </c>
      <c r="P545" s="318">
        <v>1.7017378911918631E-2</v>
      </c>
      <c r="Q545" s="319">
        <v>5.5035783226489936E-2</v>
      </c>
    </row>
    <row r="546" spans="2:17" ht="15.75" x14ac:dyDescent="0.25">
      <c r="B546" s="176">
        <v>2026</v>
      </c>
      <c r="C546" s="177">
        <v>2006</v>
      </c>
      <c r="D546" s="178" t="s">
        <v>3392</v>
      </c>
      <c r="E546" s="461">
        <v>5.6886987413875607E-2</v>
      </c>
      <c r="F546" s="462">
        <v>7.1066903378184512E-2</v>
      </c>
      <c r="G546" s="316">
        <v>0.22928318009780399</v>
      </c>
      <c r="H546" s="317">
        <v>5.6883923175026201E-3</v>
      </c>
      <c r="I546" s="317">
        <v>5.8299921062479587</v>
      </c>
      <c r="J546" s="317">
        <v>5.8446536359191469E-2</v>
      </c>
      <c r="K546" s="317">
        <v>5.2405172699089522E-2</v>
      </c>
      <c r="L546" s="318">
        <v>1.9325961045892117E-4</v>
      </c>
      <c r="M546" s="317">
        <v>2.9809250040618443E-3</v>
      </c>
      <c r="N546" s="318">
        <v>2.0000005732018801E-3</v>
      </c>
      <c r="O546" s="317">
        <v>3.2435529082892801E-2</v>
      </c>
      <c r="P546" s="318">
        <v>1.8592391668162369E-2</v>
      </c>
      <c r="Q546" s="319">
        <v>5.4774702064032649E-2</v>
      </c>
    </row>
    <row r="547" spans="2:17" ht="15.75" x14ac:dyDescent="0.25">
      <c r="B547" s="176">
        <v>2026</v>
      </c>
      <c r="C547" s="177">
        <v>2007</v>
      </c>
      <c r="D547" s="178" t="s">
        <v>3393</v>
      </c>
      <c r="E547" s="461">
        <v>5.6679257101972171E-2</v>
      </c>
      <c r="F547" s="462">
        <v>6.6995723840976712E-2</v>
      </c>
      <c r="G547" s="316">
        <v>0.16297224365162047</v>
      </c>
      <c r="H547" s="317">
        <v>8.2858569247799309E-3</v>
      </c>
      <c r="I547" s="317">
        <v>2.9591204238966018</v>
      </c>
      <c r="J547" s="317">
        <v>5.29137487714611E-2</v>
      </c>
      <c r="K547" s="317">
        <v>3.6004743350213191E-2</v>
      </c>
      <c r="L547" s="318">
        <v>1.9640001223136772E-4</v>
      </c>
      <c r="M547" s="317">
        <v>2.9559214185661546E-3</v>
      </c>
      <c r="N547" s="318">
        <v>2.0000005732018805E-3</v>
      </c>
      <c r="O547" s="317">
        <v>3.2010218093611126E-2</v>
      </c>
      <c r="P547" s="318">
        <v>1.7254708664142207E-2</v>
      </c>
      <c r="Q547" s="319">
        <v>3.763271807582752E-2</v>
      </c>
    </row>
    <row r="548" spans="2:17" ht="15.75" x14ac:dyDescent="0.25">
      <c r="B548" s="176">
        <v>2026</v>
      </c>
      <c r="C548" s="177">
        <v>2008</v>
      </c>
      <c r="D548" s="178" t="s">
        <v>3394</v>
      </c>
      <c r="E548" s="461">
        <v>5.6693537745947542E-2</v>
      </c>
      <c r="F548" s="462">
        <v>6.5250055351596031E-2</v>
      </c>
      <c r="G548" s="316">
        <v>0.16334363355567402</v>
      </c>
      <c r="H548" s="317">
        <v>8.0661084084277558E-3</v>
      </c>
      <c r="I548" s="317">
        <v>2.9861461366531947</v>
      </c>
      <c r="J548" s="317">
        <v>4.286406635379595E-2</v>
      </c>
      <c r="K548" s="317">
        <v>3.6039996910782149E-2</v>
      </c>
      <c r="L548" s="318">
        <v>2.2439180182763624E-4</v>
      </c>
      <c r="M548" s="317">
        <v>2.9672419336870446E-3</v>
      </c>
      <c r="N548" s="318">
        <v>2.0000005732018801E-3</v>
      </c>
      <c r="O548" s="317">
        <v>3.2202780055817455E-2</v>
      </c>
      <c r="P548" s="318">
        <v>1.7220469776410625E-2</v>
      </c>
      <c r="Q548" s="319">
        <v>3.7669565645970009E-2</v>
      </c>
    </row>
    <row r="549" spans="2:17" ht="15.75" x14ac:dyDescent="0.25">
      <c r="B549" s="176">
        <v>2026</v>
      </c>
      <c r="C549" s="177">
        <v>2009</v>
      </c>
      <c r="D549" s="178" t="s">
        <v>3395</v>
      </c>
      <c r="E549" s="461">
        <v>5.5572748431410968E-2</v>
      </c>
      <c r="F549" s="462">
        <v>6.0037896050440721E-2</v>
      </c>
      <c r="G549" s="316">
        <v>0.14619303651739404</v>
      </c>
      <c r="H549" s="317">
        <v>7.9885542457530795E-3</v>
      </c>
      <c r="I549" s="317">
        <v>2.5946338449718347</v>
      </c>
      <c r="J549" s="317">
        <v>3.2459759848025162E-2</v>
      </c>
      <c r="K549" s="317">
        <v>3.2230144077116621E-2</v>
      </c>
      <c r="L549" s="318">
        <v>2.5364056617800267E-4</v>
      </c>
      <c r="M549" s="317">
        <v>2.8444670664784545E-3</v>
      </c>
      <c r="N549" s="318">
        <v>2.0000005732018801E-3</v>
      </c>
      <c r="O549" s="317">
        <v>3.0114379564599336E-2</v>
      </c>
      <c r="P549" s="318">
        <v>1.6625946433520195E-2</v>
      </c>
      <c r="Q549" s="319">
        <v>3.3687448173137617E-2</v>
      </c>
    </row>
    <row r="550" spans="2:17" ht="15.75" x14ac:dyDescent="0.25">
      <c r="B550" s="176">
        <v>2026</v>
      </c>
      <c r="C550" s="177">
        <v>2010</v>
      </c>
      <c r="D550" s="178" t="s">
        <v>3396</v>
      </c>
      <c r="E550" s="461">
        <v>5.4069461053027915E-2</v>
      </c>
      <c r="F550" s="462">
        <v>5.8304744371941816E-2</v>
      </c>
      <c r="G550" s="316">
        <v>8.4340982613198168E-2</v>
      </c>
      <c r="H550" s="317">
        <v>7.0487679216555948E-3</v>
      </c>
      <c r="I550" s="317">
        <v>0.20719700576282829</v>
      </c>
      <c r="J550" s="317">
        <v>3.1032580046379151E-2</v>
      </c>
      <c r="K550" s="317">
        <v>1.725622058815688E-2</v>
      </c>
      <c r="L550" s="318">
        <v>3.0953593894467212E-4</v>
      </c>
      <c r="M550" s="317">
        <v>2.7285651669376955E-3</v>
      </c>
      <c r="N550" s="318">
        <v>2.0000005732018801E-3</v>
      </c>
      <c r="O550" s="317">
        <v>2.8142888253411026E-2</v>
      </c>
      <c r="P550" s="318">
        <v>1.6306307859884895E-2</v>
      </c>
      <c r="Q550" s="319">
        <v>1.8036470309808504E-2</v>
      </c>
    </row>
    <row r="551" spans="2:17" ht="15.75" x14ac:dyDescent="0.25">
      <c r="B551" s="176">
        <v>2026</v>
      </c>
      <c r="C551" s="177">
        <v>2011</v>
      </c>
      <c r="D551" s="178" t="s">
        <v>3397</v>
      </c>
      <c r="E551" s="461">
        <v>5.3705321693961153E-2</v>
      </c>
      <c r="F551" s="462">
        <v>5.6907663735951554E-2</v>
      </c>
      <c r="G551" s="316">
        <v>8.3681180368421704E-2</v>
      </c>
      <c r="H551" s="317">
        <v>7.1261953702026013E-3</v>
      </c>
      <c r="I551" s="317">
        <v>0.20537925849183725</v>
      </c>
      <c r="J551" s="317">
        <v>3.0990434187104218E-2</v>
      </c>
      <c r="K551" s="317">
        <v>1.6939118372698663E-2</v>
      </c>
      <c r="L551" s="318">
        <v>4.1944329935314593E-4</v>
      </c>
      <c r="M551" s="317">
        <v>2.7405111317672418E-3</v>
      </c>
      <c r="N551" s="318">
        <v>2.0000005732018801E-3</v>
      </c>
      <c r="O551" s="317">
        <v>2.8346089115161607E-2</v>
      </c>
      <c r="P551" s="318">
        <v>1.6414190286802827E-2</v>
      </c>
      <c r="Q551" s="319">
        <v>1.7705030139287571E-2</v>
      </c>
    </row>
    <row r="552" spans="2:17" ht="15.75" x14ac:dyDescent="0.25">
      <c r="B552" s="176">
        <v>2026</v>
      </c>
      <c r="C552" s="177">
        <v>2012</v>
      </c>
      <c r="D552" s="178" t="s">
        <v>3398</v>
      </c>
      <c r="E552" s="461">
        <v>5.1332538405139239E-2</v>
      </c>
      <c r="F552" s="462">
        <v>5.6638930196182942E-2</v>
      </c>
      <c r="G552" s="316">
        <v>6.9864425222792098E-2</v>
      </c>
      <c r="H552" s="317">
        <v>6.6234836983038257E-3</v>
      </c>
      <c r="I552" s="317">
        <v>0.16852326163759018</v>
      </c>
      <c r="J552" s="317">
        <v>3.1019288788460966E-2</v>
      </c>
      <c r="K552" s="317">
        <v>1.4266926472889812E-2</v>
      </c>
      <c r="L552" s="318">
        <v>6.0963387570027146E-4</v>
      </c>
      <c r="M552" s="317">
        <v>2.5922353808896289E-3</v>
      </c>
      <c r="N552" s="318">
        <v>2.0000005732018805E-3</v>
      </c>
      <c r="O552" s="317">
        <v>2.5823918592733412E-2</v>
      </c>
      <c r="P552" s="318">
        <v>1.6731727939144896E-2</v>
      </c>
      <c r="Q552" s="319">
        <v>1.4912013579445325E-2</v>
      </c>
    </row>
    <row r="553" spans="2:17" ht="15.75" x14ac:dyDescent="0.25">
      <c r="B553" s="176">
        <v>2026</v>
      </c>
      <c r="C553" s="177">
        <v>2013</v>
      </c>
      <c r="D553" s="178" t="s">
        <v>3399</v>
      </c>
      <c r="E553" s="461">
        <v>5.3450903603027351E-2</v>
      </c>
      <c r="F553" s="462">
        <v>5.5275400173329832E-2</v>
      </c>
      <c r="G553" s="316">
        <v>8.446390542856809E-2</v>
      </c>
      <c r="H553" s="317">
        <v>7.4710797987078562E-3</v>
      </c>
      <c r="I553" s="317">
        <v>0.20383270876016432</v>
      </c>
      <c r="J553" s="317">
        <v>3.0719108780514887E-2</v>
      </c>
      <c r="K553" s="317">
        <v>1.6312702015070197E-2</v>
      </c>
      <c r="L553" s="318">
        <v>9.1077928136209033E-4</v>
      </c>
      <c r="M553" s="317">
        <v>2.7652218217989071E-3</v>
      </c>
      <c r="N553" s="318">
        <v>2.0000005732018801E-3</v>
      </c>
      <c r="O553" s="317">
        <v>2.876641795260023E-2</v>
      </c>
      <c r="P553" s="318">
        <v>1.6809337749800271E-2</v>
      </c>
      <c r="Q553" s="319">
        <v>1.7050290013648554E-2</v>
      </c>
    </row>
    <row r="554" spans="2:17" ht="15.75" x14ac:dyDescent="0.25">
      <c r="B554" s="176">
        <v>2026</v>
      </c>
      <c r="C554" s="177">
        <v>2014</v>
      </c>
      <c r="D554" s="178" t="s">
        <v>3400</v>
      </c>
      <c r="E554" s="461">
        <v>5.0538588295447842E-2</v>
      </c>
      <c r="F554" s="462">
        <v>5.333513737531044E-2</v>
      </c>
      <c r="G554" s="316">
        <v>7.1983213814769478E-2</v>
      </c>
      <c r="H554" s="317">
        <v>7.5065217324973383E-3</v>
      </c>
      <c r="I554" s="317">
        <v>0.17135899144466246</v>
      </c>
      <c r="J554" s="317">
        <v>2.9564741002889694E-2</v>
      </c>
      <c r="K554" s="317">
        <v>1.3952073363592598E-2</v>
      </c>
      <c r="L554" s="318">
        <v>1.2775439804746408E-3</v>
      </c>
      <c r="M554" s="317">
        <v>2.6383193556511002E-3</v>
      </c>
      <c r="N554" s="318">
        <v>2.0000005732018801E-3</v>
      </c>
      <c r="O554" s="317">
        <v>2.6607807003426034E-2</v>
      </c>
      <c r="P554" s="318">
        <v>1.639288794712504E-2</v>
      </c>
      <c r="Q554" s="319">
        <v>1.4582924209685634E-2</v>
      </c>
    </row>
    <row r="555" spans="2:17" ht="15.75" x14ac:dyDescent="0.25">
      <c r="B555" s="176">
        <v>2026</v>
      </c>
      <c r="C555" s="177">
        <v>2015</v>
      </c>
      <c r="D555" s="178" t="s">
        <v>3401</v>
      </c>
      <c r="E555" s="461">
        <v>4.9293067066942288E-2</v>
      </c>
      <c r="F555" s="462">
        <v>5.5190144563419592E-2</v>
      </c>
      <c r="G555" s="316">
        <v>6.7054534466323187E-2</v>
      </c>
      <c r="H555" s="317">
        <v>7.3577963773340067E-3</v>
      </c>
      <c r="I555" s="317">
        <v>0.15890339548516733</v>
      </c>
      <c r="J555" s="317">
        <v>3.0268744300958706E-2</v>
      </c>
      <c r="K555" s="317">
        <v>1.2892862372557986E-2</v>
      </c>
      <c r="L555" s="318">
        <v>1.5909992146264013E-3</v>
      </c>
      <c r="M555" s="317">
        <v>2.6062934224749443E-3</v>
      </c>
      <c r="N555" s="318">
        <v>2.0000005732018797E-3</v>
      </c>
      <c r="O555" s="317">
        <v>2.6063045880099632E-2</v>
      </c>
      <c r="P555" s="318">
        <v>1.7251449267551833E-2</v>
      </c>
      <c r="Q555" s="319">
        <v>1.3475820397815618E-2</v>
      </c>
    </row>
    <row r="556" spans="2:17" ht="15.75" x14ac:dyDescent="0.25">
      <c r="B556" s="176">
        <v>2026</v>
      </c>
      <c r="C556" s="177">
        <v>2016</v>
      </c>
      <c r="D556" s="178" t="s">
        <v>3402</v>
      </c>
      <c r="E556" s="461">
        <v>5.0412075395192046E-2</v>
      </c>
      <c r="F556" s="462">
        <v>5.6178961081438349E-2</v>
      </c>
      <c r="G556" s="316">
        <v>8.1850071987181763E-2</v>
      </c>
      <c r="H556" s="317">
        <v>7.0883087022809094E-3</v>
      </c>
      <c r="I556" s="317">
        <v>0.17023683241690846</v>
      </c>
      <c r="J556" s="317">
        <v>3.0093324903887695E-2</v>
      </c>
      <c r="K556" s="317">
        <v>1.4669774209105466E-2</v>
      </c>
      <c r="L556" s="318">
        <v>1.82471975040891E-3</v>
      </c>
      <c r="M556" s="317">
        <v>2.7998833497965962E-3</v>
      </c>
      <c r="N556" s="318">
        <v>2.0000005732018801E-3</v>
      </c>
      <c r="O556" s="317">
        <v>2.9356010543840932E-2</v>
      </c>
      <c r="P556" s="318">
        <v>1.8088006248794388E-2</v>
      </c>
      <c r="Q556" s="319">
        <v>1.5333076302682257E-2</v>
      </c>
    </row>
    <row r="557" spans="2:17" ht="15.75" x14ac:dyDescent="0.25">
      <c r="B557" s="176">
        <v>2026</v>
      </c>
      <c r="C557" s="177">
        <v>2017</v>
      </c>
      <c r="D557" s="178" t="s">
        <v>3403</v>
      </c>
      <c r="E557" s="461">
        <v>4.6752390690924468E-2</v>
      </c>
      <c r="F557" s="462">
        <v>5.0716432649601698E-2</v>
      </c>
      <c r="G557" s="316">
        <v>6.2351565536139193E-2</v>
      </c>
      <c r="H557" s="317">
        <v>6.9967004439477013E-3</v>
      </c>
      <c r="I557" s="317">
        <v>0.12050398408283521</v>
      </c>
      <c r="J557" s="317">
        <v>2.7983689742390624E-2</v>
      </c>
      <c r="K557" s="317">
        <v>1.2441813489976274E-2</v>
      </c>
      <c r="L557" s="318">
        <v>2.007372350836934E-3</v>
      </c>
      <c r="M557" s="317">
        <v>2.7258649887501353E-3</v>
      </c>
      <c r="N557" s="318">
        <v>2.0000005732018801E-3</v>
      </c>
      <c r="O557" s="317">
        <v>2.8096958222440627E-2</v>
      </c>
      <c r="P557" s="318">
        <v>1.712255727170155E-2</v>
      </c>
      <c r="Q557" s="319">
        <v>1.3004377086263284E-2</v>
      </c>
    </row>
    <row r="558" spans="2:17" ht="15.75" x14ac:dyDescent="0.25">
      <c r="B558" s="176">
        <v>2026</v>
      </c>
      <c r="C558" s="177">
        <v>2018</v>
      </c>
      <c r="D558" s="178" t="s">
        <v>3404</v>
      </c>
      <c r="E558" s="461">
        <v>4.3871124776969972E-2</v>
      </c>
      <c r="F558" s="462">
        <v>4.8482138230110695E-2</v>
      </c>
      <c r="G558" s="316">
        <v>6.1111815768510838E-2</v>
      </c>
      <c r="H558" s="317">
        <v>6.5876839304459282E-3</v>
      </c>
      <c r="I558" s="317">
        <v>9.6664775974280234E-2</v>
      </c>
      <c r="J558" s="317">
        <v>2.6403123533255548E-2</v>
      </c>
      <c r="K558" s="317">
        <v>1.0995564983436155E-2</v>
      </c>
      <c r="L558" s="318">
        <v>2.0902632487963778E-3</v>
      </c>
      <c r="M558" s="317">
        <v>2.7239859383193783E-3</v>
      </c>
      <c r="N558" s="318">
        <v>2.0000005732018801E-3</v>
      </c>
      <c r="O558" s="317">
        <v>2.8064995574613446E-2</v>
      </c>
      <c r="P558" s="318">
        <v>1.7121720137122782E-2</v>
      </c>
      <c r="Q558" s="319">
        <v>1.1492735639890223E-2</v>
      </c>
    </row>
    <row r="559" spans="2:17" ht="15.75" x14ac:dyDescent="0.25">
      <c r="B559" s="176">
        <v>2026</v>
      </c>
      <c r="C559" s="177">
        <v>2019</v>
      </c>
      <c r="D559" s="178" t="s">
        <v>3405</v>
      </c>
      <c r="E559" s="461">
        <v>4.3369298136501901E-2</v>
      </c>
      <c r="F559" s="462">
        <v>4.6632652592807675E-2</v>
      </c>
      <c r="G559" s="316">
        <v>5.9712444982159232E-2</v>
      </c>
      <c r="H559" s="317">
        <v>5.8349814088450086E-3</v>
      </c>
      <c r="I559" s="317">
        <v>8.1350143098502511E-2</v>
      </c>
      <c r="J559" s="317">
        <v>2.3553672894547992E-2</v>
      </c>
      <c r="K559" s="317">
        <v>8.977728319933485E-3</v>
      </c>
      <c r="L559" s="318">
        <v>1.9840643491170922E-3</v>
      </c>
      <c r="M559" s="317">
        <v>2.7206459338041463E-3</v>
      </c>
      <c r="N559" s="318">
        <v>2.0000005732018801E-3</v>
      </c>
      <c r="O559" s="317">
        <v>2.8008182097809354E-2</v>
      </c>
      <c r="P559" s="318">
        <v>1.7124401036187311E-2</v>
      </c>
      <c r="Q559" s="319">
        <v>9.3836613564814604E-3</v>
      </c>
    </row>
    <row r="560" spans="2:17" ht="15.75" x14ac:dyDescent="0.25">
      <c r="B560" s="176">
        <v>2026</v>
      </c>
      <c r="C560" s="177">
        <v>2020</v>
      </c>
      <c r="D560" s="178" t="s">
        <v>3406</v>
      </c>
      <c r="E560" s="461">
        <v>4.2866678203721892E-2</v>
      </c>
      <c r="F560" s="462">
        <v>4.4785806167468606E-2</v>
      </c>
      <c r="G560" s="316">
        <v>5.8291272795721411E-2</v>
      </c>
      <c r="H560" s="317">
        <v>4.963121396117225E-3</v>
      </c>
      <c r="I560" s="317">
        <v>6.6749537980807586E-2</v>
      </c>
      <c r="J560" s="317">
        <v>2.0696428007814256E-2</v>
      </c>
      <c r="K560" s="317">
        <v>7.1168044624465576E-3</v>
      </c>
      <c r="L560" s="318">
        <v>1.4593964336258897E-3</v>
      </c>
      <c r="M560" s="317">
        <v>2.7180002692409316E-3</v>
      </c>
      <c r="N560" s="318">
        <v>2.0000005732018801E-3</v>
      </c>
      <c r="O560" s="317">
        <v>2.7963179343589075E-2</v>
      </c>
      <c r="P560" s="318">
        <v>1.712738000044969E-2</v>
      </c>
      <c r="Q560" s="319">
        <v>7.4385947798863107E-3</v>
      </c>
    </row>
    <row r="561" spans="2:17" ht="15.75" x14ac:dyDescent="0.25">
      <c r="B561" s="176">
        <v>2026</v>
      </c>
      <c r="C561" s="177">
        <v>2021</v>
      </c>
      <c r="D561" s="178" t="s">
        <v>3407</v>
      </c>
      <c r="E561" s="461">
        <v>4.1497818487907595E-2</v>
      </c>
      <c r="F561" s="462">
        <v>4.2712571048480565E-2</v>
      </c>
      <c r="G561" s="316">
        <v>5.4295435183729798E-2</v>
      </c>
      <c r="H561" s="317">
        <v>4.300783355883399E-3</v>
      </c>
      <c r="I561" s="317">
        <v>4.7010537841779526E-2</v>
      </c>
      <c r="J561" s="317">
        <v>1.8637137783089421E-2</v>
      </c>
      <c r="K561" s="317">
        <v>4.4956396614827306E-3</v>
      </c>
      <c r="L561" s="318">
        <v>9.5492013992209816E-4</v>
      </c>
      <c r="M561" s="317">
        <v>2.7139828460080724E-3</v>
      </c>
      <c r="N561" s="318">
        <v>2.0000005732018801E-3</v>
      </c>
      <c r="O561" s="317">
        <v>2.7894842974398131E-2</v>
      </c>
      <c r="P561" s="318">
        <v>1.7122914108435791E-2</v>
      </c>
      <c r="Q561" s="319">
        <v>4.6989125378694343E-3</v>
      </c>
    </row>
    <row r="562" spans="2:17" ht="15.75" x14ac:dyDescent="0.25">
      <c r="B562" s="176">
        <v>2026</v>
      </c>
      <c r="C562" s="177">
        <v>2022</v>
      </c>
      <c r="D562" s="178" t="s">
        <v>3408</v>
      </c>
      <c r="E562" s="461">
        <v>4.0332547157715386E-2</v>
      </c>
      <c r="F562" s="462">
        <v>4.120059794610164E-2</v>
      </c>
      <c r="G562" s="316">
        <v>5.2908678559885618E-2</v>
      </c>
      <c r="H562" s="317">
        <v>3.5768512068212327E-3</v>
      </c>
      <c r="I562" s="317">
        <v>3.4326767806513156E-2</v>
      </c>
      <c r="J562" s="317">
        <v>1.6331692706819122E-2</v>
      </c>
      <c r="K562" s="317">
        <v>3.0780352128682176E-3</v>
      </c>
      <c r="L562" s="318">
        <v>9.5550135457306805E-4</v>
      </c>
      <c r="M562" s="317">
        <v>2.7130299990595513E-3</v>
      </c>
      <c r="N562" s="318">
        <v>2.0000005732018801E-3</v>
      </c>
      <c r="O562" s="317">
        <v>2.7878635047803791E-2</v>
      </c>
      <c r="P562" s="318">
        <v>1.7134844414114215E-2</v>
      </c>
      <c r="Q562" s="319">
        <v>3.2172103066151559E-3</v>
      </c>
    </row>
    <row r="563" spans="2:17" ht="15.75" x14ac:dyDescent="0.25">
      <c r="B563" s="176">
        <v>2026</v>
      </c>
      <c r="C563" s="177">
        <v>2023</v>
      </c>
      <c r="D563" s="178" t="s">
        <v>3409</v>
      </c>
      <c r="E563" s="461">
        <v>3.9177624407402661E-2</v>
      </c>
      <c r="F563" s="462">
        <v>3.9674045163119565E-2</v>
      </c>
      <c r="G563" s="316">
        <v>5.1498581502428101E-2</v>
      </c>
      <c r="H563" s="317">
        <v>3.0799479366300253E-3</v>
      </c>
      <c r="I563" s="317">
        <v>3.2429361787607094E-2</v>
      </c>
      <c r="J563" s="317">
        <v>1.5120161633094842E-2</v>
      </c>
      <c r="K563" s="317">
        <v>2.7185959168367245E-3</v>
      </c>
      <c r="L563" s="318">
        <v>9.5634700407881234E-4</v>
      </c>
      <c r="M563" s="317">
        <v>2.7127071891172683E-3</v>
      </c>
      <c r="N563" s="318">
        <v>2.0000005732018801E-3</v>
      </c>
      <c r="O563" s="317">
        <v>2.7873144050685562E-2</v>
      </c>
      <c r="P563" s="318">
        <v>1.7141551485927151E-2</v>
      </c>
      <c r="Q563" s="319">
        <v>2.8415187606053733E-3</v>
      </c>
    </row>
    <row r="564" spans="2:17" ht="15.75" x14ac:dyDescent="0.25">
      <c r="B564" s="176">
        <v>2026</v>
      </c>
      <c r="C564" s="177">
        <v>2024</v>
      </c>
      <c r="D564" s="178" t="s">
        <v>3410</v>
      </c>
      <c r="E564" s="461">
        <v>3.8022497293633425E-2</v>
      </c>
      <c r="F564" s="462">
        <v>3.8117963998944029E-2</v>
      </c>
      <c r="G564" s="316">
        <v>4.9866953421392232E-2</v>
      </c>
      <c r="H564" s="317">
        <v>2.6642982821564625E-3</v>
      </c>
      <c r="I564" s="317">
        <v>3.0364103943924706E-2</v>
      </c>
      <c r="J564" s="317">
        <v>1.4248284484831399E-2</v>
      </c>
      <c r="K564" s="317">
        <v>2.3362045233229949E-3</v>
      </c>
      <c r="L564" s="318">
        <v>9.5741700187709235E-4</v>
      </c>
      <c r="M564" s="317">
        <v>2.7100144403161609E-3</v>
      </c>
      <c r="N564" s="318">
        <v>2.0000005732018801E-3</v>
      </c>
      <c r="O564" s="317">
        <v>2.7827340393578721E-2</v>
      </c>
      <c r="P564" s="318">
        <v>1.7135761381346763E-2</v>
      </c>
      <c r="Q564" s="319">
        <v>2.4418373251136214E-3</v>
      </c>
    </row>
    <row r="565" spans="2:17" ht="15.75" x14ac:dyDescent="0.25">
      <c r="B565" s="176">
        <v>2026</v>
      </c>
      <c r="C565" s="177">
        <v>2025</v>
      </c>
      <c r="D565" s="178" t="s">
        <v>3411</v>
      </c>
      <c r="E565" s="461">
        <v>3.6879582979231461E-2</v>
      </c>
      <c r="F565" s="462">
        <v>3.6534381201930255E-2</v>
      </c>
      <c r="G565" s="316">
        <v>4.8240208580537659E-2</v>
      </c>
      <c r="H565" s="317">
        <v>2.4068497313713294E-3</v>
      </c>
      <c r="I565" s="317">
        <v>2.8250134136903957E-2</v>
      </c>
      <c r="J565" s="317">
        <v>1.383791898144951E-2</v>
      </c>
      <c r="K565" s="317">
        <v>1.9412039039988828E-3</v>
      </c>
      <c r="L565" s="318">
        <v>9.5754250127080874E-4</v>
      </c>
      <c r="M565" s="317">
        <v>2.7083885827905128E-3</v>
      </c>
      <c r="N565" s="318">
        <v>2.0000005732018801E-3</v>
      </c>
      <c r="O565" s="317">
        <v>2.7799684557067449E-2</v>
      </c>
      <c r="P565" s="318">
        <v>1.7125196757042244E-2</v>
      </c>
      <c r="Q565" s="319">
        <v>2.0289765305729654E-3</v>
      </c>
    </row>
    <row r="566" spans="2:17" ht="15.75" x14ac:dyDescent="0.25">
      <c r="B566" s="176">
        <v>2026</v>
      </c>
      <c r="C566" s="177">
        <v>2026</v>
      </c>
      <c r="D566" s="178" t="s">
        <v>3412</v>
      </c>
      <c r="E566" s="461">
        <v>3.5747374590150136E-2</v>
      </c>
      <c r="F566" s="462">
        <v>3.5646785962638129E-2</v>
      </c>
      <c r="G566" s="316">
        <v>4.4862232801862016E-2</v>
      </c>
      <c r="H566" s="317">
        <v>2.280976296402218E-3</v>
      </c>
      <c r="I566" s="317">
        <v>2.5269478399133058E-2</v>
      </c>
      <c r="J566" s="317">
        <v>1.2717949017846867E-2</v>
      </c>
      <c r="K566" s="317">
        <v>1.4890342819211268E-3</v>
      </c>
      <c r="L566" s="318">
        <v>8.286613057160077E-4</v>
      </c>
      <c r="M566" s="317">
        <v>2.6793277601653716E-3</v>
      </c>
      <c r="N566" s="318">
        <v>2.0000005732018801E-3</v>
      </c>
      <c r="O566" s="317">
        <v>2.7305359964213793E-2</v>
      </c>
      <c r="P566" s="318">
        <v>1.6899480239277322E-2</v>
      </c>
      <c r="Q566" s="319">
        <v>1.5563618046578358E-3</v>
      </c>
    </row>
    <row r="567" spans="2:17" ht="15.75" x14ac:dyDescent="0.25">
      <c r="B567" s="176">
        <v>2027</v>
      </c>
      <c r="C567" s="177">
        <v>1983</v>
      </c>
      <c r="D567" s="178" t="s">
        <v>3413</v>
      </c>
      <c r="E567" s="461">
        <v>5.7086262592929829E-2</v>
      </c>
      <c r="F567" s="462">
        <v>0.10079192906172812</v>
      </c>
      <c r="G567" s="316">
        <v>0.21061341312222034</v>
      </c>
      <c r="H567" s="317">
        <v>1.7499259335035016</v>
      </c>
      <c r="I567" s="317">
        <v>2.7627830154189144</v>
      </c>
      <c r="J567" s="317">
        <v>3.0508278287650694</v>
      </c>
      <c r="K567" s="317">
        <v>0.22481822314951355</v>
      </c>
      <c r="L567" s="318">
        <v>1.7937384831685877E-2</v>
      </c>
      <c r="M567" s="317">
        <v>2.3484902335804553E-3</v>
      </c>
      <c r="N567" s="318">
        <v>2.0000005732018758E-3</v>
      </c>
      <c r="O567" s="317">
        <v>2.1677813637004373E-2</v>
      </c>
      <c r="P567" s="318">
        <v>2.3104428010465541E-2</v>
      </c>
      <c r="Q567" s="319">
        <v>0.23498350558424441</v>
      </c>
    </row>
    <row r="568" spans="2:17" ht="15.75" x14ac:dyDescent="0.25">
      <c r="B568" s="176">
        <v>2027</v>
      </c>
      <c r="C568" s="177">
        <v>1984</v>
      </c>
      <c r="D568" s="178" t="s">
        <v>3414</v>
      </c>
      <c r="E568" s="461">
        <v>5.5073451630070887E-2</v>
      </c>
      <c r="F568" s="462">
        <v>0.1016900459792683</v>
      </c>
      <c r="G568" s="316">
        <v>0.28141785579381706</v>
      </c>
      <c r="H568" s="317">
        <v>1.4899336130574823</v>
      </c>
      <c r="I568" s="317">
        <v>3.3638367635837909</v>
      </c>
      <c r="J568" s="317">
        <v>3.5148888834638572</v>
      </c>
      <c r="K568" s="317">
        <v>0.19138853849156912</v>
      </c>
      <c r="L568" s="318">
        <v>1.8495853913805281E-2</v>
      </c>
      <c r="M568" s="317">
        <v>2.5477077986248483E-3</v>
      </c>
      <c r="N568" s="318">
        <v>2.0000005732018801E-3</v>
      </c>
      <c r="O568" s="317">
        <v>2.5066504418409491E-2</v>
      </c>
      <c r="P568" s="318">
        <v>2.2989679262571273E-2</v>
      </c>
      <c r="Q568" s="319">
        <v>0.20004227892809626</v>
      </c>
    </row>
    <row r="569" spans="2:17" ht="15.75" x14ac:dyDescent="0.25">
      <c r="B569" s="176">
        <v>2027</v>
      </c>
      <c r="C569" s="177">
        <v>1985</v>
      </c>
      <c r="D569" s="178" t="s">
        <v>3415</v>
      </c>
      <c r="E569" s="461">
        <v>5.6205198585655418E-2</v>
      </c>
      <c r="F569" s="462">
        <v>9.8795527827274812E-2</v>
      </c>
      <c r="G569" s="316">
        <v>0.26258473681748351</v>
      </c>
      <c r="H569" s="317">
        <v>1.1117665662695619</v>
      </c>
      <c r="I569" s="317">
        <v>4.0096533301074517</v>
      </c>
      <c r="J569" s="317">
        <v>2.9251469403940424</v>
      </c>
      <c r="K569" s="317">
        <v>0.18526718460974806</v>
      </c>
      <c r="L569" s="318">
        <v>1.733037712980846E-2</v>
      </c>
      <c r="M569" s="317">
        <v>2.7211813752563915E-3</v>
      </c>
      <c r="N569" s="318">
        <v>2.0000005732018805E-3</v>
      </c>
      <c r="O569" s="317">
        <v>2.8017289956912047E-2</v>
      </c>
      <c r="P569" s="318">
        <v>2.3051895531377927E-2</v>
      </c>
      <c r="Q569" s="319">
        <v>0.19364414458684487</v>
      </c>
    </row>
    <row r="570" spans="2:17" ht="15.75" x14ac:dyDescent="0.25">
      <c r="B570" s="176">
        <v>2027</v>
      </c>
      <c r="C570" s="177">
        <v>1986</v>
      </c>
      <c r="D570" s="178" t="s">
        <v>3416</v>
      </c>
      <c r="E570" s="461">
        <v>5.7186510494416899E-2</v>
      </c>
      <c r="F570" s="462">
        <v>9.330677732047736E-2</v>
      </c>
      <c r="G570" s="316">
        <v>0.25084975302529033</v>
      </c>
      <c r="H570" s="317">
        <v>1.0596664396963993</v>
      </c>
      <c r="I570" s="317">
        <v>4.458827542129506</v>
      </c>
      <c r="J570" s="317">
        <v>2.7428871930914656</v>
      </c>
      <c r="K570" s="317">
        <v>0.18198981569753211</v>
      </c>
      <c r="L570" s="318">
        <v>1.749117205448961E-2</v>
      </c>
      <c r="M570" s="317">
        <v>2.8451947836480229E-3</v>
      </c>
      <c r="N570" s="318">
        <v>2.0000005732018797E-3</v>
      </c>
      <c r="O570" s="317">
        <v>3.0126758033653698E-2</v>
      </c>
      <c r="P570" s="318">
        <v>2.2432190158004413E-2</v>
      </c>
      <c r="Q570" s="319">
        <v>0.19021858759552737</v>
      </c>
    </row>
    <row r="571" spans="2:17" ht="15.75" x14ac:dyDescent="0.25">
      <c r="B571" s="176">
        <v>2027</v>
      </c>
      <c r="C571" s="177">
        <v>1987</v>
      </c>
      <c r="D571" s="178" t="s">
        <v>3417</v>
      </c>
      <c r="E571" s="461">
        <v>5.7622220696776007E-2</v>
      </c>
      <c r="F571" s="462">
        <v>8.9681001680925923E-2</v>
      </c>
      <c r="G571" s="316">
        <v>0.29663992860051935</v>
      </c>
      <c r="H571" s="317">
        <v>0.97681913873189119</v>
      </c>
      <c r="I571" s="317">
        <v>4.8610309972948036</v>
      </c>
      <c r="J571" s="317">
        <v>2.6316790066556219</v>
      </c>
      <c r="K571" s="317">
        <v>0.20050733768100504</v>
      </c>
      <c r="L571" s="318">
        <v>1.7757004477446416E-2</v>
      </c>
      <c r="M571" s="317">
        <v>2.9274756572424841E-3</v>
      </c>
      <c r="N571" s="318">
        <v>2.0000005732018801E-3</v>
      </c>
      <c r="O571" s="317">
        <v>3.1526355693495482E-2</v>
      </c>
      <c r="P571" s="318">
        <v>2.1388452796969649E-2</v>
      </c>
      <c r="Q571" s="319">
        <v>0.20957338975280623</v>
      </c>
    </row>
    <row r="572" spans="2:17" ht="15.75" x14ac:dyDescent="0.25">
      <c r="B572" s="176">
        <v>2027</v>
      </c>
      <c r="C572" s="177">
        <v>1988</v>
      </c>
      <c r="D572" s="178" t="s">
        <v>3418</v>
      </c>
      <c r="E572" s="461">
        <v>5.7598138978796926E-2</v>
      </c>
      <c r="F572" s="462">
        <v>8.8461529364919078E-2</v>
      </c>
      <c r="G572" s="316">
        <v>0.29248771514626287</v>
      </c>
      <c r="H572" s="317">
        <v>0.50731925458029525</v>
      </c>
      <c r="I572" s="317">
        <v>5.0139219345547108</v>
      </c>
      <c r="J572" s="317">
        <v>1.9059883360704259</v>
      </c>
      <c r="K572" s="317">
        <v>0.19837119947211238</v>
      </c>
      <c r="L572" s="318">
        <v>1.7244984216576466E-2</v>
      </c>
      <c r="M572" s="317">
        <v>2.9614756569921645E-3</v>
      </c>
      <c r="N572" s="318">
        <v>2.0000005732018801E-3</v>
      </c>
      <c r="O572" s="317">
        <v>3.2104695689237545E-2</v>
      </c>
      <c r="P572" s="318">
        <v>2.1850726165016654E-2</v>
      </c>
      <c r="Q572" s="319">
        <v>0.20734066485308017</v>
      </c>
    </row>
    <row r="573" spans="2:17" ht="15.75" x14ac:dyDescent="0.25">
      <c r="B573" s="176">
        <v>2027</v>
      </c>
      <c r="C573" s="177">
        <v>1989</v>
      </c>
      <c r="D573" s="178" t="s">
        <v>3419</v>
      </c>
      <c r="E573" s="461">
        <v>5.7795143336367691E-2</v>
      </c>
      <c r="F573" s="462">
        <v>9.0693793067968986E-2</v>
      </c>
      <c r="G573" s="316">
        <v>0.29299859427395469</v>
      </c>
      <c r="H573" s="317">
        <v>0.50580573036592902</v>
      </c>
      <c r="I573" s="317">
        <v>5.0795224887031756</v>
      </c>
      <c r="J573" s="317">
        <v>1.9031639886224634</v>
      </c>
      <c r="K573" s="317">
        <v>0.19911104453475112</v>
      </c>
      <c r="L573" s="318">
        <v>1.7028737614490429E-2</v>
      </c>
      <c r="M573" s="317">
        <v>2.978990383045639E-3</v>
      </c>
      <c r="N573" s="318">
        <v>2.0000005732018801E-3</v>
      </c>
      <c r="O573" s="317">
        <v>3.2402621179407044E-2</v>
      </c>
      <c r="P573" s="318">
        <v>2.2631727167316693E-2</v>
      </c>
      <c r="Q573" s="319">
        <v>0.20811396242643829</v>
      </c>
    </row>
    <row r="574" spans="2:17" ht="15.75" x14ac:dyDescent="0.25">
      <c r="B574" s="176">
        <v>2027</v>
      </c>
      <c r="C574" s="177">
        <v>1990</v>
      </c>
      <c r="D574" s="178" t="s">
        <v>3420</v>
      </c>
      <c r="E574" s="461">
        <v>5.8272389367160463E-2</v>
      </c>
      <c r="F574" s="462">
        <v>8.8333743455246916E-2</v>
      </c>
      <c r="G574" s="316">
        <v>0.29762253632970842</v>
      </c>
      <c r="H574" s="317">
        <v>0.50678044870197569</v>
      </c>
      <c r="I574" s="317">
        <v>5.0437658805287082</v>
      </c>
      <c r="J574" s="317">
        <v>1.8944086010930887</v>
      </c>
      <c r="K574" s="317">
        <v>0.20233352744221883</v>
      </c>
      <c r="L574" s="318">
        <v>1.726874915112106E-2</v>
      </c>
      <c r="M574" s="317">
        <v>2.9830854523472694E-3</v>
      </c>
      <c r="N574" s="318">
        <v>2.0000005732018797E-3</v>
      </c>
      <c r="O574" s="317">
        <v>3.2472278308227881E-2</v>
      </c>
      <c r="P574" s="318">
        <v>2.1811702474020589E-2</v>
      </c>
      <c r="Q574" s="319">
        <v>0.21148215171142568</v>
      </c>
    </row>
    <row r="575" spans="2:17" ht="15.75" x14ac:dyDescent="0.25">
      <c r="B575" s="176">
        <v>2027</v>
      </c>
      <c r="C575" s="177">
        <v>1991</v>
      </c>
      <c r="D575" s="178" t="s">
        <v>3421</v>
      </c>
      <c r="E575" s="461">
        <v>5.816263417695252E-2</v>
      </c>
      <c r="F575" s="462">
        <v>8.654477317742186E-2</v>
      </c>
      <c r="G575" s="316">
        <v>0.3799092241597265</v>
      </c>
      <c r="H575" s="317">
        <v>0.52723395020091501</v>
      </c>
      <c r="I575" s="317">
        <v>8.8795921528810453</v>
      </c>
      <c r="J575" s="317">
        <v>2.3168651090259749</v>
      </c>
      <c r="K575" s="317">
        <v>5.7061012246659513E-2</v>
      </c>
      <c r="L575" s="318">
        <v>9.6963068555802629E-3</v>
      </c>
      <c r="M575" s="317">
        <v>2.9801721053931405E-3</v>
      </c>
      <c r="N575" s="318">
        <v>2.0000005732018801E-3</v>
      </c>
      <c r="O575" s="317">
        <v>3.242272227653805E-2</v>
      </c>
      <c r="P575" s="318">
        <v>2.1134167447612116E-2</v>
      </c>
      <c r="Q575" s="319">
        <v>5.9641058015961687E-2</v>
      </c>
    </row>
    <row r="576" spans="2:17" ht="15.75" x14ac:dyDescent="0.25">
      <c r="B576" s="176">
        <v>2027</v>
      </c>
      <c r="C576" s="177">
        <v>1992</v>
      </c>
      <c r="D576" s="178" t="s">
        <v>3422</v>
      </c>
      <c r="E576" s="461">
        <v>5.8136240994319334E-2</v>
      </c>
      <c r="F576" s="462">
        <v>8.3935226483606865E-2</v>
      </c>
      <c r="G576" s="316">
        <v>0.38037400089496581</v>
      </c>
      <c r="H576" s="317">
        <v>0.52820207686261145</v>
      </c>
      <c r="I576" s="317">
        <v>8.8010126224169021</v>
      </c>
      <c r="J576" s="317">
        <v>2.2564046293349955</v>
      </c>
      <c r="K576" s="317">
        <v>5.8542114666383656E-2</v>
      </c>
      <c r="L576" s="318">
        <v>9.8084893641474831E-3</v>
      </c>
      <c r="M576" s="317">
        <v>2.9711732864478235E-3</v>
      </c>
      <c r="N576" s="318">
        <v>2.0000005732018801E-3</v>
      </c>
      <c r="O576" s="317">
        <v>3.2269652366278316E-2</v>
      </c>
      <c r="P576" s="318">
        <v>2.0283278959137809E-2</v>
      </c>
      <c r="Q576" s="319">
        <v>6.1189129314811061E-2</v>
      </c>
    </row>
    <row r="577" spans="2:17" ht="15.75" x14ac:dyDescent="0.25">
      <c r="B577" s="176">
        <v>2027</v>
      </c>
      <c r="C577" s="177">
        <v>1993</v>
      </c>
      <c r="D577" s="178" t="s">
        <v>3423</v>
      </c>
      <c r="E577" s="461">
        <v>5.8009111453240628E-2</v>
      </c>
      <c r="F577" s="462">
        <v>7.5348784756785053E-2</v>
      </c>
      <c r="G577" s="316">
        <v>0.37425829248911324</v>
      </c>
      <c r="H577" s="317">
        <v>0.53243053562329945</v>
      </c>
      <c r="I577" s="317">
        <v>8.8715355360849681</v>
      </c>
      <c r="J577" s="317">
        <v>2.2123770675911199</v>
      </c>
      <c r="K577" s="317">
        <v>5.3932729669735537E-2</v>
      </c>
      <c r="L577" s="318">
        <v>9.9374966882478481E-3</v>
      </c>
      <c r="M577" s="317">
        <v>2.9775120564328643E-3</v>
      </c>
      <c r="N577" s="318">
        <v>2.0000005732018801E-3</v>
      </c>
      <c r="O577" s="317">
        <v>3.2377474843723851E-2</v>
      </c>
      <c r="P577" s="318">
        <v>1.9905082194841512E-2</v>
      </c>
      <c r="Q577" s="319">
        <v>5.6371328382457557E-2</v>
      </c>
    </row>
    <row r="578" spans="2:17" ht="15.75" x14ac:dyDescent="0.25">
      <c r="B578" s="176">
        <v>2027</v>
      </c>
      <c r="C578" s="177">
        <v>1994</v>
      </c>
      <c r="D578" s="178" t="s">
        <v>3424</v>
      </c>
      <c r="E578" s="461">
        <v>5.7787916866678994E-2</v>
      </c>
      <c r="F578" s="462">
        <v>7.2038133487643555E-2</v>
      </c>
      <c r="G578" s="316">
        <v>0.36984696922089544</v>
      </c>
      <c r="H578" s="317">
        <v>0.53335974221144677</v>
      </c>
      <c r="I578" s="317">
        <v>8.8466454214848902</v>
      </c>
      <c r="J578" s="317">
        <v>2.1465665667789673</v>
      </c>
      <c r="K578" s="317">
        <v>5.4105178516574752E-2</v>
      </c>
      <c r="L578" s="318">
        <v>1.0043618661308061E-2</v>
      </c>
      <c r="M578" s="317">
        <v>2.9705891962861033E-3</v>
      </c>
      <c r="N578" s="318">
        <v>2.0000005732018801E-3</v>
      </c>
      <c r="O578" s="317">
        <v>3.2259716992627446E-2</v>
      </c>
      <c r="P578" s="318">
        <v>1.8988710547736244E-2</v>
      </c>
      <c r="Q578" s="319">
        <v>5.6551574600920494E-2</v>
      </c>
    </row>
    <row r="579" spans="2:17" ht="15.75" x14ac:dyDescent="0.25">
      <c r="B579" s="176">
        <v>2027</v>
      </c>
      <c r="C579" s="177">
        <v>1995</v>
      </c>
      <c r="D579" s="178" t="s">
        <v>3425</v>
      </c>
      <c r="E579" s="461">
        <v>5.7519684710985577E-2</v>
      </c>
      <c r="F579" s="462">
        <v>7.3558097971752348E-2</v>
      </c>
      <c r="G579" s="316">
        <v>0.36746315888410674</v>
      </c>
      <c r="H579" s="317">
        <v>0.40302758519562631</v>
      </c>
      <c r="I579" s="317">
        <v>8.9709052927796851</v>
      </c>
      <c r="J579" s="317">
        <v>1.6794323325405929</v>
      </c>
      <c r="K579" s="317">
        <v>5.3459374263494348E-2</v>
      </c>
      <c r="L579" s="318">
        <v>9.2620950827075436E-3</v>
      </c>
      <c r="M579" s="317">
        <v>2.9785497067033877E-3</v>
      </c>
      <c r="N579" s="318">
        <v>2.0000005732018801E-3</v>
      </c>
      <c r="O579" s="317">
        <v>3.2395125274825451E-2</v>
      </c>
      <c r="P579" s="318">
        <v>1.9696285982350532E-2</v>
      </c>
      <c r="Q579" s="319">
        <v>5.5876569945229625E-2</v>
      </c>
    </row>
    <row r="580" spans="2:17" ht="15.75" x14ac:dyDescent="0.25">
      <c r="B580" s="176">
        <v>2027</v>
      </c>
      <c r="C580" s="177">
        <v>1996</v>
      </c>
      <c r="D580" s="178" t="s">
        <v>3426</v>
      </c>
      <c r="E580" s="461">
        <v>5.7645809181458688E-2</v>
      </c>
      <c r="F580" s="462">
        <v>7.3439839774946836E-2</v>
      </c>
      <c r="G580" s="316">
        <v>0.36984821280274593</v>
      </c>
      <c r="H580" s="317">
        <v>0.13860138654117354</v>
      </c>
      <c r="I580" s="317">
        <v>8.9687673100753571</v>
      </c>
      <c r="J580" s="317">
        <v>1.0154464405417802</v>
      </c>
      <c r="K580" s="317">
        <v>5.3687856161290654E-2</v>
      </c>
      <c r="L580" s="318">
        <v>2.8312917725908204E-3</v>
      </c>
      <c r="M580" s="317">
        <v>2.9811990422258594E-3</v>
      </c>
      <c r="N580" s="318">
        <v>2.0000005732018801E-3</v>
      </c>
      <c r="O580" s="317">
        <v>3.2440190472062702E-2</v>
      </c>
      <c r="P580" s="318">
        <v>1.9998986128665738E-2</v>
      </c>
      <c r="Q580" s="319">
        <v>5.6115382780570849E-2</v>
      </c>
    </row>
    <row r="581" spans="2:17" ht="15.75" x14ac:dyDescent="0.25">
      <c r="B581" s="176">
        <v>2027</v>
      </c>
      <c r="C581" s="177">
        <v>1997</v>
      </c>
      <c r="D581" s="178" t="s">
        <v>3427</v>
      </c>
      <c r="E581" s="461">
        <v>5.7789541983679936E-2</v>
      </c>
      <c r="F581" s="462">
        <v>7.1339847218850894E-2</v>
      </c>
      <c r="G581" s="316">
        <v>0.37260061975120834</v>
      </c>
      <c r="H581" s="317">
        <v>0.14353313940365339</v>
      </c>
      <c r="I581" s="317">
        <v>8.9851643891341926</v>
      </c>
      <c r="J581" s="317">
        <v>1.0428157604999317</v>
      </c>
      <c r="K581" s="317">
        <v>5.390587194283826E-2</v>
      </c>
      <c r="L581" s="318">
        <v>2.8516428001935335E-3</v>
      </c>
      <c r="M581" s="317">
        <v>2.9858933760393354E-3</v>
      </c>
      <c r="N581" s="318">
        <v>2.0000005732018779E-3</v>
      </c>
      <c r="O581" s="317">
        <v>3.2520041090229927E-2</v>
      </c>
      <c r="P581" s="318">
        <v>1.9418476059725433E-2</v>
      </c>
      <c r="Q581" s="319">
        <v>5.6343256268329402E-2</v>
      </c>
    </row>
    <row r="582" spans="2:17" ht="15.75" x14ac:dyDescent="0.25">
      <c r="B582" s="176">
        <v>2027</v>
      </c>
      <c r="C582" s="177">
        <v>1998</v>
      </c>
      <c r="D582" s="178" t="s">
        <v>3428</v>
      </c>
      <c r="E582" s="461">
        <v>5.7665964235990408E-2</v>
      </c>
      <c r="F582" s="462">
        <v>6.8041986586022979E-2</v>
      </c>
      <c r="G582" s="316">
        <v>0.3707577157713185</v>
      </c>
      <c r="H582" s="317">
        <v>0.13347460240535028</v>
      </c>
      <c r="I582" s="317">
        <v>8.9645721172075081</v>
      </c>
      <c r="J582" s="317">
        <v>0.92193683558217665</v>
      </c>
      <c r="K582" s="317">
        <v>5.3771036686266337E-2</v>
      </c>
      <c r="L582" s="318">
        <v>2.8953375807668049E-3</v>
      </c>
      <c r="M582" s="317">
        <v>2.9824031990788313E-3</v>
      </c>
      <c r="N582" s="318">
        <v>2.0000005732018801E-3</v>
      </c>
      <c r="O582" s="317">
        <v>3.2460673180131759E-2</v>
      </c>
      <c r="P582" s="318">
        <v>1.8485888047225608E-2</v>
      </c>
      <c r="Q582" s="319">
        <v>5.6202324359777907E-2</v>
      </c>
    </row>
    <row r="583" spans="2:17" ht="15.75" x14ac:dyDescent="0.25">
      <c r="B583" s="176">
        <v>2027</v>
      </c>
      <c r="C583" s="177">
        <v>1999</v>
      </c>
      <c r="D583" s="178" t="s">
        <v>3429</v>
      </c>
      <c r="E583" s="461">
        <v>5.7779483446989931E-2</v>
      </c>
      <c r="F583" s="462">
        <v>6.8578722328586389E-2</v>
      </c>
      <c r="G583" s="316">
        <v>0.37419038652842856</v>
      </c>
      <c r="H583" s="317">
        <v>0.11685103509102225</v>
      </c>
      <c r="I583" s="317">
        <v>9.0679088563176222</v>
      </c>
      <c r="J583" s="317">
        <v>0.76539470701955592</v>
      </c>
      <c r="K583" s="317">
        <v>5.3784436790360358E-2</v>
      </c>
      <c r="L583" s="318">
        <v>2.9019960497091678E-3</v>
      </c>
      <c r="M583" s="317">
        <v>2.9948378172264993E-3</v>
      </c>
      <c r="N583" s="318">
        <v>2.0000005732018801E-3</v>
      </c>
      <c r="O583" s="317">
        <v>3.2672186034823594E-2</v>
      </c>
      <c r="P583" s="318">
        <v>1.8665158486712803E-2</v>
      </c>
      <c r="Q583" s="319">
        <v>5.6216330357116921E-2</v>
      </c>
    </row>
    <row r="584" spans="2:17" ht="15.75" x14ac:dyDescent="0.25">
      <c r="B584" s="176">
        <v>2027</v>
      </c>
      <c r="C584" s="177">
        <v>2000</v>
      </c>
      <c r="D584" s="178" t="s">
        <v>3430</v>
      </c>
      <c r="E584" s="461">
        <v>5.7632364179663102E-2</v>
      </c>
      <c r="F584" s="462">
        <v>7.4657277371937378E-2</v>
      </c>
      <c r="G584" s="316">
        <v>0.37282976940208779</v>
      </c>
      <c r="H584" s="317">
        <v>0.10039164333115831</v>
      </c>
      <c r="I584" s="317">
        <v>9.1210265699741768</v>
      </c>
      <c r="J584" s="317">
        <v>0.61379693303002414</v>
      </c>
      <c r="K584" s="317">
        <v>5.3454872573275275E-2</v>
      </c>
      <c r="L584" s="318">
        <v>2.8986138463009616E-3</v>
      </c>
      <c r="M584" s="317">
        <v>2.9982006521412519E-3</v>
      </c>
      <c r="N584" s="318">
        <v>2.0000005732018801E-3</v>
      </c>
      <c r="O584" s="317">
        <v>3.2729387856723531E-2</v>
      </c>
      <c r="P584" s="318">
        <v>1.8856738957092948E-2</v>
      </c>
      <c r="Q584" s="319">
        <v>5.5871864708554819E-2</v>
      </c>
    </row>
    <row r="585" spans="2:17" ht="15.75" x14ac:dyDescent="0.25">
      <c r="B585" s="176">
        <v>2027</v>
      </c>
      <c r="C585" s="177">
        <v>2001</v>
      </c>
      <c r="D585" s="178" t="s">
        <v>3431</v>
      </c>
      <c r="E585" s="461">
        <v>5.7714703648795961E-2</v>
      </c>
      <c r="F585" s="462">
        <v>7.3380496447392141E-2</v>
      </c>
      <c r="G585" s="316">
        <v>0.37363544720780129</v>
      </c>
      <c r="H585" s="317">
        <v>8.6748925181143841E-2</v>
      </c>
      <c r="I585" s="317">
        <v>9.0621804505832113</v>
      </c>
      <c r="J585" s="317">
        <v>0.47482883155725297</v>
      </c>
      <c r="K585" s="317">
        <v>5.3741771578928475E-2</v>
      </c>
      <c r="L585" s="318">
        <v>2.9221456436645571E-3</v>
      </c>
      <c r="M585" s="317">
        <v>2.993829478204927E-3</v>
      </c>
      <c r="N585" s="318">
        <v>2.0000005732018801E-3</v>
      </c>
      <c r="O585" s="317">
        <v>3.2655034188066631E-2</v>
      </c>
      <c r="P585" s="318">
        <v>1.8441595425897725E-2</v>
      </c>
      <c r="Q585" s="319">
        <v>5.6171736014148176E-2</v>
      </c>
    </row>
    <row r="586" spans="2:17" ht="15.75" x14ac:dyDescent="0.25">
      <c r="B586" s="176">
        <v>2027</v>
      </c>
      <c r="C586" s="177">
        <v>2002</v>
      </c>
      <c r="D586" s="178" t="s">
        <v>3432</v>
      </c>
      <c r="E586" s="461">
        <v>5.7538958978589697E-2</v>
      </c>
      <c r="F586" s="462">
        <v>7.1359899253596343E-2</v>
      </c>
      <c r="G586" s="316">
        <v>0.28856334969626429</v>
      </c>
      <c r="H586" s="317">
        <v>8.716911864054569E-2</v>
      </c>
      <c r="I586" s="317">
        <v>7.0246465875938924</v>
      </c>
      <c r="J586" s="317">
        <v>0.45755115849615063</v>
      </c>
      <c r="K586" s="317">
        <v>5.3882391195540877E-2</v>
      </c>
      <c r="L586" s="318">
        <v>2.9520961981982989E-3</v>
      </c>
      <c r="M586" s="317">
        <v>2.9972898014859212E-3</v>
      </c>
      <c r="N586" s="318">
        <v>2.0000005732018801E-3</v>
      </c>
      <c r="O586" s="317">
        <v>3.2713894287076516E-2</v>
      </c>
      <c r="P586" s="318">
        <v>1.7786269610800411E-2</v>
      </c>
      <c r="Q586" s="319">
        <v>5.631871382583345E-2</v>
      </c>
    </row>
    <row r="587" spans="2:17" ht="15.75" x14ac:dyDescent="0.25">
      <c r="B587" s="176">
        <v>2027</v>
      </c>
      <c r="C587" s="177">
        <v>2003</v>
      </c>
      <c r="D587" s="178" t="s">
        <v>3433</v>
      </c>
      <c r="E587" s="461">
        <v>5.733037341063759E-2</v>
      </c>
      <c r="F587" s="462">
        <v>7.2233890858912089E-2</v>
      </c>
      <c r="G587" s="316">
        <v>0.2862272028906771</v>
      </c>
      <c r="H587" s="317">
        <v>7.0691773919611123E-2</v>
      </c>
      <c r="I587" s="317">
        <v>7.024286268364003</v>
      </c>
      <c r="J587" s="317">
        <v>0.39143928611292717</v>
      </c>
      <c r="K587" s="317">
        <v>5.3568740180083868E-2</v>
      </c>
      <c r="L587" s="318">
        <v>2.9356041479434063E-3</v>
      </c>
      <c r="M587" s="317">
        <v>2.9938524636845001E-3</v>
      </c>
      <c r="N587" s="318">
        <v>2.0000005732018805E-3</v>
      </c>
      <c r="O587" s="317">
        <v>3.2655425171074177E-2</v>
      </c>
      <c r="P587" s="318">
        <v>1.8110223971249569E-2</v>
      </c>
      <c r="Q587" s="319">
        <v>5.5990880903263242E-2</v>
      </c>
    </row>
    <row r="588" spans="2:17" ht="15.75" x14ac:dyDescent="0.25">
      <c r="B588" s="176">
        <v>2027</v>
      </c>
      <c r="C588" s="177">
        <v>2004</v>
      </c>
      <c r="D588" s="178" t="s">
        <v>3434</v>
      </c>
      <c r="E588" s="461">
        <v>5.7223604828380528E-2</v>
      </c>
      <c r="F588" s="462">
        <v>7.2001720503337474E-2</v>
      </c>
      <c r="G588" s="316">
        <v>0.23590280806650707</v>
      </c>
      <c r="H588" s="317">
        <v>1.8080911411729208E-2</v>
      </c>
      <c r="I588" s="317">
        <v>5.8591698425185115</v>
      </c>
      <c r="J588" s="317">
        <v>0.11387892573831616</v>
      </c>
      <c r="K588" s="317">
        <v>5.3280846390925389E-2</v>
      </c>
      <c r="L588" s="318">
        <v>1.961936305145153E-4</v>
      </c>
      <c r="M588" s="317">
        <v>2.9913910138119181E-3</v>
      </c>
      <c r="N588" s="318">
        <v>2.0000005732018797E-3</v>
      </c>
      <c r="O588" s="317">
        <v>3.2613555908741564E-2</v>
      </c>
      <c r="P588" s="318">
        <v>1.7717738268771956E-2</v>
      </c>
      <c r="Q588" s="319">
        <v>5.5689969834468771E-2</v>
      </c>
    </row>
    <row r="589" spans="2:17" ht="15.75" x14ac:dyDescent="0.25">
      <c r="B589" s="176">
        <v>2027</v>
      </c>
      <c r="C589" s="177">
        <v>2005</v>
      </c>
      <c r="D589" s="178" t="s">
        <v>3435</v>
      </c>
      <c r="E589" s="461">
        <v>5.6978586396392313E-2</v>
      </c>
      <c r="F589" s="462">
        <v>6.8469318285401301E-2</v>
      </c>
      <c r="G589" s="316">
        <v>0.23245362775842204</v>
      </c>
      <c r="H589" s="317">
        <v>1.577190471931271E-2</v>
      </c>
      <c r="I589" s="317">
        <v>5.8458961087077936</v>
      </c>
      <c r="J589" s="317">
        <v>9.2600785425259416E-2</v>
      </c>
      <c r="K589" s="317">
        <v>5.2814296475055221E-2</v>
      </c>
      <c r="L589" s="318">
        <v>1.9694129229290072E-4</v>
      </c>
      <c r="M589" s="317">
        <v>2.9836405718841508E-3</v>
      </c>
      <c r="N589" s="318">
        <v>2.0000005732018805E-3</v>
      </c>
      <c r="O589" s="317">
        <v>3.2481720891550228E-2</v>
      </c>
      <c r="P589" s="318">
        <v>1.7041560460688353E-2</v>
      </c>
      <c r="Q589" s="319">
        <v>5.5202324601687607E-2</v>
      </c>
    </row>
    <row r="590" spans="2:17" ht="15.75" x14ac:dyDescent="0.25">
      <c r="B590" s="176">
        <v>2027</v>
      </c>
      <c r="C590" s="177">
        <v>2006</v>
      </c>
      <c r="D590" s="178" t="s">
        <v>3436</v>
      </c>
      <c r="E590" s="461">
        <v>5.6913308893739349E-2</v>
      </c>
      <c r="F590" s="462">
        <v>7.1235515536899191E-2</v>
      </c>
      <c r="G590" s="316">
        <v>0.23088598389854875</v>
      </c>
      <c r="H590" s="317">
        <v>5.7142831802233611E-3</v>
      </c>
      <c r="I590" s="317">
        <v>5.8359871956920859</v>
      </c>
      <c r="J590" s="317">
        <v>5.9664687872237013E-2</v>
      </c>
      <c r="K590" s="317">
        <v>5.2618807150228576E-2</v>
      </c>
      <c r="L590" s="318">
        <v>1.9327802907728186E-4</v>
      </c>
      <c r="M590" s="317">
        <v>2.9815730096103841E-3</v>
      </c>
      <c r="N590" s="318">
        <v>2.0000005732018801E-3</v>
      </c>
      <c r="O590" s="317">
        <v>3.2446551657273462E-2</v>
      </c>
      <c r="P590" s="318">
        <v>1.8622442000945524E-2</v>
      </c>
      <c r="Q590" s="319">
        <v>5.4997996117063297E-2</v>
      </c>
    </row>
    <row r="591" spans="2:17" ht="15.75" x14ac:dyDescent="0.25">
      <c r="B591" s="176">
        <v>2027</v>
      </c>
      <c r="C591" s="177">
        <v>2007</v>
      </c>
      <c r="D591" s="178" t="s">
        <v>3437</v>
      </c>
      <c r="E591" s="461">
        <v>5.6711770333667075E-2</v>
      </c>
      <c r="F591" s="462">
        <v>6.7153713645051669E-2</v>
      </c>
      <c r="G591" s="316">
        <v>0.164413878970672</v>
      </c>
      <c r="H591" s="317">
        <v>8.323520543196716E-3</v>
      </c>
      <c r="I591" s="317">
        <v>2.9672268232142835</v>
      </c>
      <c r="J591" s="317">
        <v>5.3856452697073683E-2</v>
      </c>
      <c r="K591" s="317">
        <v>3.6332349719037156E-2</v>
      </c>
      <c r="L591" s="318">
        <v>1.9641103999852412E-4</v>
      </c>
      <c r="M591" s="317">
        <v>2.9575350927542729E-3</v>
      </c>
      <c r="N591" s="318">
        <v>2.0000005732018801E-3</v>
      </c>
      <c r="O591" s="317">
        <v>3.2037666691551003E-2</v>
      </c>
      <c r="P591" s="318">
        <v>1.7282871485496676E-2</v>
      </c>
      <c r="Q591" s="319">
        <v>3.797513735091796E-2</v>
      </c>
    </row>
    <row r="592" spans="2:17" ht="15.75" x14ac:dyDescent="0.25">
      <c r="B592" s="176">
        <v>2027</v>
      </c>
      <c r="C592" s="177">
        <v>2008</v>
      </c>
      <c r="D592" s="178" t="s">
        <v>3438</v>
      </c>
      <c r="E592" s="461">
        <v>5.6723356876010954E-2</v>
      </c>
      <c r="F592" s="462">
        <v>6.5386769312301737E-2</v>
      </c>
      <c r="G592" s="316">
        <v>0.16494733334683109</v>
      </c>
      <c r="H592" s="317">
        <v>8.0924895039000931E-3</v>
      </c>
      <c r="I592" s="317">
        <v>2.9930683121952222</v>
      </c>
      <c r="J592" s="317">
        <v>4.3498185276227862E-2</v>
      </c>
      <c r="K592" s="317">
        <v>3.6407742702618637E-2</v>
      </c>
      <c r="L592" s="318">
        <v>2.2437590273836214E-4</v>
      </c>
      <c r="M592" s="317">
        <v>2.9682393841030811E-3</v>
      </c>
      <c r="N592" s="318">
        <v>2.0000005732018801E-3</v>
      </c>
      <c r="O592" s="317">
        <v>3.2219746687394239E-2</v>
      </c>
      <c r="P592" s="318">
        <v>1.7241544817195423E-2</v>
      </c>
      <c r="Q592" s="319">
        <v>3.8053939270665527E-2</v>
      </c>
    </row>
    <row r="593" spans="2:17" ht="15.75" x14ac:dyDescent="0.25">
      <c r="B593" s="176">
        <v>2027</v>
      </c>
      <c r="C593" s="177">
        <v>2009</v>
      </c>
      <c r="D593" s="178" t="s">
        <v>3439</v>
      </c>
      <c r="E593" s="461">
        <v>5.5666666412131E-2</v>
      </c>
      <c r="F593" s="462">
        <v>6.0181931672920637E-2</v>
      </c>
      <c r="G593" s="316">
        <v>0.14880046267625105</v>
      </c>
      <c r="H593" s="317">
        <v>8.0059375374991297E-3</v>
      </c>
      <c r="I593" s="317">
        <v>2.6199202137657851</v>
      </c>
      <c r="J593" s="317">
        <v>3.2737608180480583E-2</v>
      </c>
      <c r="K593" s="317">
        <v>3.2809663197382162E-2</v>
      </c>
      <c r="L593" s="318">
        <v>2.5358042600223858E-4</v>
      </c>
      <c r="M593" s="317">
        <v>2.8514737850554913E-3</v>
      </c>
      <c r="N593" s="318">
        <v>2.0000005732018801E-3</v>
      </c>
      <c r="O593" s="317">
        <v>3.0233563847594739E-2</v>
      </c>
      <c r="P593" s="318">
        <v>1.6649573895866451E-2</v>
      </c>
      <c r="Q593" s="319">
        <v>3.4293170576443613E-2</v>
      </c>
    </row>
    <row r="594" spans="2:17" ht="15.75" x14ac:dyDescent="0.25">
      <c r="B594" s="176">
        <v>2027</v>
      </c>
      <c r="C594" s="177">
        <v>2010</v>
      </c>
      <c r="D594" s="178" t="s">
        <v>3440</v>
      </c>
      <c r="E594" s="461">
        <v>5.4178014656334351E-2</v>
      </c>
      <c r="F594" s="462">
        <v>5.8408636743836007E-2</v>
      </c>
      <c r="G594" s="316">
        <v>8.5822509288910664E-2</v>
      </c>
      <c r="H594" s="317">
        <v>7.092238131937453E-3</v>
      </c>
      <c r="I594" s="317">
        <v>0.21209085126569349</v>
      </c>
      <c r="J594" s="317">
        <v>3.1395165173651075E-2</v>
      </c>
      <c r="K594" s="317">
        <v>1.7773026495320306E-2</v>
      </c>
      <c r="L594" s="318">
        <v>3.0953652957357316E-4</v>
      </c>
      <c r="M594" s="317">
        <v>2.7368854543913307E-3</v>
      </c>
      <c r="N594" s="318">
        <v>2.0000005732018801E-3</v>
      </c>
      <c r="O594" s="317">
        <v>2.8284416342997363E-2</v>
      </c>
      <c r="P594" s="318">
        <v>1.6318406475298756E-2</v>
      </c>
      <c r="Q594" s="319">
        <v>1.8576643886801639E-2</v>
      </c>
    </row>
    <row r="595" spans="2:17" ht="15.75" x14ac:dyDescent="0.25">
      <c r="B595" s="176">
        <v>2027</v>
      </c>
      <c r="C595" s="177">
        <v>2011</v>
      </c>
      <c r="D595" s="178" t="s">
        <v>3441</v>
      </c>
      <c r="E595" s="461">
        <v>5.3811108012095057E-2</v>
      </c>
      <c r="F595" s="462">
        <v>5.6997851480738174E-2</v>
      </c>
      <c r="G595" s="316">
        <v>8.5131389183956907E-2</v>
      </c>
      <c r="H595" s="317">
        <v>7.16995079995168E-3</v>
      </c>
      <c r="I595" s="317">
        <v>0.21035320616200112</v>
      </c>
      <c r="J595" s="317">
        <v>3.1359198761572837E-2</v>
      </c>
      <c r="K595" s="317">
        <v>1.7486045685854965E-2</v>
      </c>
      <c r="L595" s="318">
        <v>4.1941371247330821E-4</v>
      </c>
      <c r="M595" s="317">
        <v>2.7476889791199716E-3</v>
      </c>
      <c r="N595" s="318">
        <v>2.0000005732018801E-3</v>
      </c>
      <c r="O595" s="317">
        <v>2.8468184298631547E-2</v>
      </c>
      <c r="P595" s="318">
        <v>1.6422970051772044E-2</v>
      </c>
      <c r="Q595" s="319">
        <v>1.8276687078590845E-2</v>
      </c>
    </row>
    <row r="596" spans="2:17" ht="15.75" x14ac:dyDescent="0.25">
      <c r="B596" s="176">
        <v>2027</v>
      </c>
      <c r="C596" s="177">
        <v>2012</v>
      </c>
      <c r="D596" s="178" t="s">
        <v>3442</v>
      </c>
      <c r="E596" s="461">
        <v>5.142312068165563E-2</v>
      </c>
      <c r="F596" s="462">
        <v>5.6748515868769465E-2</v>
      </c>
      <c r="G596" s="316">
        <v>7.115270192285722E-2</v>
      </c>
      <c r="H596" s="317">
        <v>6.6743133715058941E-3</v>
      </c>
      <c r="I596" s="317">
        <v>0.17284145002058926</v>
      </c>
      <c r="J596" s="317">
        <v>3.1495874112200194E-2</v>
      </c>
      <c r="K596" s="317">
        <v>1.4764471438078446E-2</v>
      </c>
      <c r="L596" s="318">
        <v>6.0947468012645715E-4</v>
      </c>
      <c r="M596" s="317">
        <v>2.5979232487679488E-3</v>
      </c>
      <c r="N596" s="318">
        <v>2.0000005732018801E-3</v>
      </c>
      <c r="O596" s="317">
        <v>2.592066922534363E-2</v>
      </c>
      <c r="P596" s="318">
        <v>1.6746206001825623E-2</v>
      </c>
      <c r="Q596" s="319">
        <v>1.5432055320136674E-2</v>
      </c>
    </row>
    <row r="597" spans="2:17" ht="15.75" x14ac:dyDescent="0.25">
      <c r="B597" s="176">
        <v>2027</v>
      </c>
      <c r="C597" s="177">
        <v>2013</v>
      </c>
      <c r="D597" s="178" t="s">
        <v>3443</v>
      </c>
      <c r="E597" s="461">
        <v>5.3551118421111883E-2</v>
      </c>
      <c r="F597" s="462">
        <v>5.5371818584693873E-2</v>
      </c>
      <c r="G597" s="316">
        <v>8.5970861418520755E-2</v>
      </c>
      <c r="H597" s="317">
        <v>7.5308187859702462E-3</v>
      </c>
      <c r="I597" s="317">
        <v>0.20927259946357762</v>
      </c>
      <c r="J597" s="317">
        <v>3.1036703141870188E-2</v>
      </c>
      <c r="K597" s="317">
        <v>1.6942306950485091E-2</v>
      </c>
      <c r="L597" s="318">
        <v>9.1059560601341799E-4</v>
      </c>
      <c r="M597" s="317">
        <v>2.7708552266760647E-3</v>
      </c>
      <c r="N597" s="318">
        <v>2.0000005732018801E-3</v>
      </c>
      <c r="O597" s="317">
        <v>2.8862242169560695E-2</v>
      </c>
      <c r="P597" s="318">
        <v>1.6819959216025228E-2</v>
      </c>
      <c r="Q597" s="319">
        <v>1.7708362890412381E-2</v>
      </c>
    </row>
    <row r="598" spans="2:17" ht="15.75" x14ac:dyDescent="0.25">
      <c r="B598" s="176">
        <v>2027</v>
      </c>
      <c r="C598" s="177">
        <v>2014</v>
      </c>
      <c r="D598" s="178" t="s">
        <v>3444</v>
      </c>
      <c r="E598" s="461">
        <v>5.0611505857787335E-2</v>
      </c>
      <c r="F598" s="462">
        <v>5.3410163410217031E-2</v>
      </c>
      <c r="G598" s="316">
        <v>7.3333899801780345E-2</v>
      </c>
      <c r="H598" s="317">
        <v>7.5773264122130958E-3</v>
      </c>
      <c r="I598" s="317">
        <v>0.17616157976224661</v>
      </c>
      <c r="J598" s="317">
        <v>2.9847800753205672E-2</v>
      </c>
      <c r="K598" s="317">
        <v>1.4533577877369142E-2</v>
      </c>
      <c r="L598" s="318">
        <v>1.2773506001806441E-3</v>
      </c>
      <c r="M598" s="317">
        <v>2.6426361635935557E-3</v>
      </c>
      <c r="N598" s="318">
        <v>2.0000005732018801E-3</v>
      </c>
      <c r="O598" s="317">
        <v>2.6681235906527209E-2</v>
      </c>
      <c r="P598" s="318">
        <v>1.6398726575041375E-2</v>
      </c>
      <c r="Q598" s="319">
        <v>1.5190721777187121E-2</v>
      </c>
    </row>
    <row r="599" spans="2:17" ht="15.75" x14ac:dyDescent="0.25">
      <c r="B599" s="176">
        <v>2027</v>
      </c>
      <c r="C599" s="177">
        <v>2015</v>
      </c>
      <c r="D599" s="178" t="s">
        <v>3445</v>
      </c>
      <c r="E599" s="461">
        <v>4.9373961870845064E-2</v>
      </c>
      <c r="F599" s="462">
        <v>5.5284063525703052E-2</v>
      </c>
      <c r="G599" s="316">
        <v>6.8462690547931498E-2</v>
      </c>
      <c r="H599" s="317">
        <v>7.4368180222713492E-3</v>
      </c>
      <c r="I599" s="317">
        <v>0.16386472466277802</v>
      </c>
      <c r="J599" s="317">
        <v>3.0563507780236338E-2</v>
      </c>
      <c r="K599" s="317">
        <v>1.3497232383134841E-2</v>
      </c>
      <c r="L599" s="318">
        <v>1.5906117469893593E-3</v>
      </c>
      <c r="M599" s="317">
        <v>2.6110549395679098E-3</v>
      </c>
      <c r="N599" s="318">
        <v>2.0000005732018801E-3</v>
      </c>
      <c r="O599" s="317">
        <v>2.6144039285850969E-2</v>
      </c>
      <c r="P599" s="318">
        <v>1.7262216690759939E-2</v>
      </c>
      <c r="Q599" s="319">
        <v>1.410751733841851E-2</v>
      </c>
    </row>
    <row r="600" spans="2:17" ht="15.75" x14ac:dyDescent="0.25">
      <c r="B600" s="176">
        <v>2027</v>
      </c>
      <c r="C600" s="177">
        <v>2016</v>
      </c>
      <c r="D600" s="178" t="s">
        <v>3446</v>
      </c>
      <c r="E600" s="461">
        <v>5.0454978415942361E-2</v>
      </c>
      <c r="F600" s="462">
        <v>5.6331725213867818E-2</v>
      </c>
      <c r="G600" s="316">
        <v>8.3292374181811804E-2</v>
      </c>
      <c r="H600" s="317">
        <v>7.1649273971991058E-3</v>
      </c>
      <c r="I600" s="317">
        <v>0.17535970605231019</v>
      </c>
      <c r="J600" s="317">
        <v>3.0426101511796092E-2</v>
      </c>
      <c r="K600" s="317">
        <v>1.5408946003390224E-2</v>
      </c>
      <c r="L600" s="318">
        <v>1.8238946141635977E-3</v>
      </c>
      <c r="M600" s="317">
        <v>2.8017895523120761E-3</v>
      </c>
      <c r="N600" s="318">
        <v>2.0000005732018805E-3</v>
      </c>
      <c r="O600" s="317">
        <v>2.9388435048629244E-2</v>
      </c>
      <c r="P600" s="318">
        <v>1.811505286340152E-2</v>
      </c>
      <c r="Q600" s="319">
        <v>1.6105670165478325E-2</v>
      </c>
    </row>
    <row r="601" spans="2:17" ht="15.75" x14ac:dyDescent="0.25">
      <c r="B601" s="176">
        <v>2027</v>
      </c>
      <c r="C601" s="177">
        <v>2017</v>
      </c>
      <c r="D601" s="178" t="s">
        <v>3447</v>
      </c>
      <c r="E601" s="461">
        <v>4.6822358509883061E-2</v>
      </c>
      <c r="F601" s="462">
        <v>5.0804477533293931E-2</v>
      </c>
      <c r="G601" s="316">
        <v>6.3734547480004344E-2</v>
      </c>
      <c r="H601" s="317">
        <v>7.0897761783472943E-3</v>
      </c>
      <c r="I601" s="317">
        <v>0.12473690845767474</v>
      </c>
      <c r="J601" s="317">
        <v>2.8305154835908834E-2</v>
      </c>
      <c r="K601" s="317">
        <v>1.3168139104178408E-2</v>
      </c>
      <c r="L601" s="318">
        <v>2.0064056900708162E-3</v>
      </c>
      <c r="M601" s="317">
        <v>2.7303847369328131E-3</v>
      </c>
      <c r="N601" s="318">
        <v>2.0000005732018801E-3</v>
      </c>
      <c r="O601" s="317">
        <v>2.8173839139027979E-2</v>
      </c>
      <c r="P601" s="318">
        <v>1.7134046546075275E-2</v>
      </c>
      <c r="Q601" s="319">
        <v>1.376354392171752E-2</v>
      </c>
    </row>
    <row r="602" spans="2:17" ht="15.75" x14ac:dyDescent="0.25">
      <c r="B602" s="176">
        <v>2027</v>
      </c>
      <c r="C602" s="177">
        <v>2018</v>
      </c>
      <c r="D602" s="178" t="s">
        <v>3448</v>
      </c>
      <c r="E602" s="461">
        <v>4.3904453292512656E-2</v>
      </c>
      <c r="F602" s="462">
        <v>4.8530134847429546E-2</v>
      </c>
      <c r="G602" s="316">
        <v>6.2389287174434399E-2</v>
      </c>
      <c r="H602" s="317">
        <v>6.6887358885557944E-3</v>
      </c>
      <c r="I602" s="317">
        <v>0.10004816505108879</v>
      </c>
      <c r="J602" s="317">
        <v>2.6747404311087259E-2</v>
      </c>
      <c r="K602" s="317">
        <v>1.1687364302365093E-2</v>
      </c>
      <c r="L602" s="318">
        <v>2.090282911011699E-3</v>
      </c>
      <c r="M602" s="317">
        <v>2.7257900078103067E-3</v>
      </c>
      <c r="N602" s="318">
        <v>2.0000005732018801E-3</v>
      </c>
      <c r="O602" s="317">
        <v>2.8095682796654146E-2</v>
      </c>
      <c r="P602" s="318">
        <v>1.712231492749813E-2</v>
      </c>
      <c r="Q602" s="319">
        <v>1.2215815054207059E-2</v>
      </c>
    </row>
    <row r="603" spans="2:17" ht="15.75" x14ac:dyDescent="0.25">
      <c r="B603" s="176">
        <v>2027</v>
      </c>
      <c r="C603" s="177">
        <v>2019</v>
      </c>
      <c r="D603" s="178" t="s">
        <v>3449</v>
      </c>
      <c r="E603" s="461">
        <v>4.342312916920902E-2</v>
      </c>
      <c r="F603" s="462">
        <v>4.6685506981550488E-2</v>
      </c>
      <c r="G603" s="316">
        <v>6.1149418998693451E-2</v>
      </c>
      <c r="H603" s="317">
        <v>5.9329591196990699E-3</v>
      </c>
      <c r="I603" s="317">
        <v>8.4540516852119829E-2</v>
      </c>
      <c r="J603" s="317">
        <v>2.391519682452373E-2</v>
      </c>
      <c r="K603" s="317">
        <v>9.6217434920048972E-3</v>
      </c>
      <c r="L603" s="318">
        <v>1.9836656498573302E-3</v>
      </c>
      <c r="M603" s="317">
        <v>2.7239074797605002E-3</v>
      </c>
      <c r="N603" s="318">
        <v>2.0000005732018792E-3</v>
      </c>
      <c r="O603" s="317">
        <v>2.8063660994526941E-2</v>
      </c>
      <c r="P603" s="318">
        <v>1.7129451173510075E-2</v>
      </c>
      <c r="Q603" s="319">
        <v>1.0056796036859002E-2</v>
      </c>
    </row>
    <row r="604" spans="2:17" ht="15.75" x14ac:dyDescent="0.25">
      <c r="B604" s="176">
        <v>2027</v>
      </c>
      <c r="C604" s="177">
        <v>2020</v>
      </c>
      <c r="D604" s="178" t="s">
        <v>3450</v>
      </c>
      <c r="E604" s="461">
        <v>4.2915640345889565E-2</v>
      </c>
      <c r="F604" s="462">
        <v>4.4853937633762338E-2</v>
      </c>
      <c r="G604" s="316">
        <v>5.974970316859228E-2</v>
      </c>
      <c r="H604" s="317">
        <v>5.0534996870101045E-3</v>
      </c>
      <c r="I604" s="317">
        <v>6.9519736914554209E-2</v>
      </c>
      <c r="J604" s="317">
        <v>2.1099661057578815E-2</v>
      </c>
      <c r="K604" s="317">
        <v>7.6851665389152208E-3</v>
      </c>
      <c r="L604" s="318">
        <v>1.4590957222723683E-3</v>
      </c>
      <c r="M604" s="317">
        <v>2.7205668823296033E-3</v>
      </c>
      <c r="N604" s="318">
        <v>2.0000005732018801E-3</v>
      </c>
      <c r="O604" s="317">
        <v>2.8006837432227386E-2</v>
      </c>
      <c r="P604" s="318">
        <v>1.7137290575429908E-2</v>
      </c>
      <c r="Q604" s="319">
        <v>8.0326556673835248E-3</v>
      </c>
    </row>
    <row r="605" spans="2:17" ht="15.75" x14ac:dyDescent="0.25">
      <c r="B605" s="176">
        <v>2027</v>
      </c>
      <c r="C605" s="177">
        <v>2021</v>
      </c>
      <c r="D605" s="178" t="s">
        <v>3451</v>
      </c>
      <c r="E605" s="461">
        <v>4.1567126487686637E-2</v>
      </c>
      <c r="F605" s="462">
        <v>4.2812152693078503E-2</v>
      </c>
      <c r="G605" s="316">
        <v>5.5869876522020454E-2</v>
      </c>
      <c r="H605" s="317">
        <v>4.3799113819902851E-3</v>
      </c>
      <c r="I605" s="317">
        <v>4.9464739592695782E-2</v>
      </c>
      <c r="J605" s="317">
        <v>1.9059919753536485E-2</v>
      </c>
      <c r="K605" s="317">
        <v>4.948214706019468E-3</v>
      </c>
      <c r="L605" s="318">
        <v>9.5532701610061992E-4</v>
      </c>
      <c r="M605" s="317">
        <v>2.7179194964811965E-3</v>
      </c>
      <c r="N605" s="318">
        <v>2.0000005732018801E-3</v>
      </c>
      <c r="O605" s="317">
        <v>2.7961805398945983E-2</v>
      </c>
      <c r="P605" s="318">
        <v>1.7142974636601253E-2</v>
      </c>
      <c r="Q605" s="319">
        <v>5.1719510176481158E-3</v>
      </c>
    </row>
    <row r="606" spans="2:17" ht="15.75" x14ac:dyDescent="0.25">
      <c r="B606" s="176">
        <v>2027</v>
      </c>
      <c r="C606" s="177">
        <v>2022</v>
      </c>
      <c r="D606" s="178" t="s">
        <v>3452</v>
      </c>
      <c r="E606" s="461">
        <v>4.0356939196681693E-2</v>
      </c>
      <c r="F606" s="462">
        <v>4.1214475972606593E-2</v>
      </c>
      <c r="G606" s="316">
        <v>5.4332958883091954E-2</v>
      </c>
      <c r="H606" s="317">
        <v>3.6359258785035788E-3</v>
      </c>
      <c r="I606" s="317">
        <v>3.6169037839267899E-2</v>
      </c>
      <c r="J606" s="317">
        <v>1.6723556358266195E-2</v>
      </c>
      <c r="K606" s="317">
        <v>3.4232282127722021E-3</v>
      </c>
      <c r="L606" s="318">
        <v>9.550021960432586E-4</v>
      </c>
      <c r="M606" s="317">
        <v>2.7139040113407474E-3</v>
      </c>
      <c r="N606" s="318">
        <v>2.0000005732018801E-3</v>
      </c>
      <c r="O606" s="317">
        <v>2.7893501996706937E-2</v>
      </c>
      <c r="P606" s="318">
        <v>1.7130608741752797E-2</v>
      </c>
      <c r="Q606" s="319">
        <v>3.5780114022035468E-3</v>
      </c>
    </row>
    <row r="607" spans="2:17" ht="15.75" x14ac:dyDescent="0.25">
      <c r="B607" s="176">
        <v>2027</v>
      </c>
      <c r="C607" s="177">
        <v>2023</v>
      </c>
      <c r="D607" s="178" t="s">
        <v>3453</v>
      </c>
      <c r="E607" s="461">
        <v>3.9191628666159085E-2</v>
      </c>
      <c r="F607" s="462">
        <v>3.9697206026217957E-2</v>
      </c>
      <c r="G607" s="316">
        <v>5.2946285943609596E-2</v>
      </c>
      <c r="H607" s="317">
        <v>3.112146946707296E-3</v>
      </c>
      <c r="I607" s="317">
        <v>3.4336286405019227E-2</v>
      </c>
      <c r="J607" s="317">
        <v>1.5486403790759154E-2</v>
      </c>
      <c r="K607" s="317">
        <v>3.0783309720836078E-3</v>
      </c>
      <c r="L607" s="318">
        <v>9.5554290525487159E-4</v>
      </c>
      <c r="M607" s="317">
        <v>2.7129547214531083E-3</v>
      </c>
      <c r="N607" s="318">
        <v>2.0000005732018801E-3</v>
      </c>
      <c r="O607" s="317">
        <v>2.7877354575718206E-2</v>
      </c>
      <c r="P607" s="318">
        <v>1.7141566953229444E-2</v>
      </c>
      <c r="Q607" s="319">
        <v>3.2175194387498466E-3</v>
      </c>
    </row>
    <row r="608" spans="2:17" ht="15.75" x14ac:dyDescent="0.25">
      <c r="B608" s="176">
        <v>2027</v>
      </c>
      <c r="C608" s="177">
        <v>2024</v>
      </c>
      <c r="D608" s="178" t="s">
        <v>3454</v>
      </c>
      <c r="E608" s="461">
        <v>3.8070062659107222E-2</v>
      </c>
      <c r="F608" s="462">
        <v>3.8175863409935042E-2</v>
      </c>
      <c r="G608" s="316">
        <v>5.1535766573121838E-2</v>
      </c>
      <c r="H608" s="317">
        <v>2.6720128101488938E-3</v>
      </c>
      <c r="I608" s="317">
        <v>3.2438658354792968E-2</v>
      </c>
      <c r="J608" s="317">
        <v>1.4629101791096791E-2</v>
      </c>
      <c r="K608" s="317">
        <v>2.7188830077812644E-3</v>
      </c>
      <c r="L608" s="318">
        <v>9.5637605728827297E-4</v>
      </c>
      <c r="M608" s="317">
        <v>2.7126409481082062E-3</v>
      </c>
      <c r="N608" s="318">
        <v>2.0000005732018801E-3</v>
      </c>
      <c r="O608" s="317">
        <v>2.7872017291121459E-2</v>
      </c>
      <c r="P608" s="318">
        <v>1.7147974916143061E-2</v>
      </c>
      <c r="Q608" s="319">
        <v>2.8418188325284683E-3</v>
      </c>
    </row>
    <row r="609" spans="2:17" ht="15.75" x14ac:dyDescent="0.25">
      <c r="B609" s="176">
        <v>2027</v>
      </c>
      <c r="C609" s="177">
        <v>2025</v>
      </c>
      <c r="D609" s="178" t="s">
        <v>3455</v>
      </c>
      <c r="E609" s="461">
        <v>3.6914636411801871E-2</v>
      </c>
      <c r="F609" s="462">
        <v>3.6617533647732001E-2</v>
      </c>
      <c r="G609" s="316">
        <v>4.9904665377773522E-2</v>
      </c>
      <c r="H609" s="317">
        <v>2.421411358380417E-3</v>
      </c>
      <c r="I609" s="317">
        <v>3.0373482418042812E-2</v>
      </c>
      <c r="J609" s="317">
        <v>1.4366349875146131E-2</v>
      </c>
      <c r="K609" s="317">
        <v>2.3364939032152077E-3</v>
      </c>
      <c r="L609" s="318">
        <v>9.5742958658123203E-4</v>
      </c>
      <c r="M609" s="317">
        <v>2.7099625503043171E-3</v>
      </c>
      <c r="N609" s="318">
        <v>2.000000573201871E-3</v>
      </c>
      <c r="O609" s="317">
        <v>2.7826457744477267E-2</v>
      </c>
      <c r="P609" s="318">
        <v>1.7141900060944761E-2</v>
      </c>
      <c r="Q609" s="319">
        <v>2.4421397894804622E-3</v>
      </c>
    </row>
    <row r="610" spans="2:17" ht="15.75" x14ac:dyDescent="0.25">
      <c r="B610" s="176">
        <v>2027</v>
      </c>
      <c r="C610" s="177">
        <v>2026</v>
      </c>
      <c r="D610" s="178" t="s">
        <v>3456</v>
      </c>
      <c r="E610" s="461">
        <v>3.6153535177141136E-2</v>
      </c>
      <c r="F610" s="462">
        <v>3.6361781613146751E-2</v>
      </c>
      <c r="G610" s="316">
        <v>4.8277469213274811E-2</v>
      </c>
      <c r="H610" s="317">
        <v>2.4064991590861608E-3</v>
      </c>
      <c r="I610" s="317">
        <v>2.8259212576908728E-2</v>
      </c>
      <c r="J610" s="317">
        <v>1.384955878675383E-2</v>
      </c>
      <c r="K610" s="317">
        <v>1.9414650903584339E-3</v>
      </c>
      <c r="L610" s="318">
        <v>8.3559971187105637E-4</v>
      </c>
      <c r="M610" s="317">
        <v>2.708348857310406E-3</v>
      </c>
      <c r="N610" s="318">
        <v>2.0000005732018792E-3</v>
      </c>
      <c r="O610" s="317">
        <v>2.7799008826650831E-2</v>
      </c>
      <c r="P610" s="318">
        <v>1.7125013694601905E-2</v>
      </c>
      <c r="Q610" s="319">
        <v>2.0292495266206914E-3</v>
      </c>
    </row>
    <row r="611" spans="2:17" ht="15.75" x14ac:dyDescent="0.25">
      <c r="B611" s="176">
        <v>2027</v>
      </c>
      <c r="C611" s="177">
        <v>2027</v>
      </c>
      <c r="D611" s="178" t="s">
        <v>3457</v>
      </c>
      <c r="E611" s="461">
        <v>3.5083534142637589E-2</v>
      </c>
      <c r="F611" s="462">
        <v>3.5510541046229332E-2</v>
      </c>
      <c r="G611" s="316">
        <v>4.4900457344498157E-2</v>
      </c>
      <c r="H611" s="317">
        <v>2.2805077713377048E-3</v>
      </c>
      <c r="I611" s="317">
        <v>2.5278906671917348E-2</v>
      </c>
      <c r="J611" s="317">
        <v>1.2714166389573215E-2</v>
      </c>
      <c r="K611" s="317">
        <v>1.4892932016653153E-3</v>
      </c>
      <c r="L611" s="318">
        <v>6.8372687613034206E-4</v>
      </c>
      <c r="M611" s="317">
        <v>2.6793277601653708E-3</v>
      </c>
      <c r="N611" s="318">
        <v>2.0000005732018801E-3</v>
      </c>
      <c r="O611" s="317">
        <v>2.730535996421379E-2</v>
      </c>
      <c r="P611" s="318">
        <v>1.6899480239277322E-2</v>
      </c>
      <c r="Q611" s="319">
        <v>1.5566324316039154E-3</v>
      </c>
    </row>
    <row r="612" spans="2:17" ht="15.75" x14ac:dyDescent="0.25">
      <c r="B612" s="176">
        <v>2028</v>
      </c>
      <c r="C612" s="177">
        <v>1984</v>
      </c>
      <c r="D612" s="178" t="s">
        <v>3458</v>
      </c>
      <c r="E612" s="461">
        <v>5.5051378868535353E-2</v>
      </c>
      <c r="F612" s="462">
        <v>0.10180632823505263</v>
      </c>
      <c r="G612" s="316">
        <v>0.28227740775363225</v>
      </c>
      <c r="H612" s="317">
        <v>1.4899682973102268</v>
      </c>
      <c r="I612" s="317">
        <v>3.3361968912794504</v>
      </c>
      <c r="J612" s="317">
        <v>3.5137613203030127</v>
      </c>
      <c r="K612" s="317">
        <v>0.19169747764097161</v>
      </c>
      <c r="L612" s="318">
        <v>1.8500086289955555E-2</v>
      </c>
      <c r="M612" s="317">
        <v>2.5404344242874297E-3</v>
      </c>
      <c r="N612" s="318">
        <v>2.0000005732018801E-3</v>
      </c>
      <c r="O612" s="317">
        <v>2.4942784320930007E-2</v>
      </c>
      <c r="P612" s="318">
        <v>2.2989679262571273E-2</v>
      </c>
      <c r="Q612" s="319">
        <v>0.20036518693493746</v>
      </c>
    </row>
    <row r="613" spans="2:17" ht="15.75" x14ac:dyDescent="0.25">
      <c r="B613" s="176">
        <v>2028</v>
      </c>
      <c r="C613" s="177">
        <v>1985</v>
      </c>
      <c r="D613" s="178" t="s">
        <v>3459</v>
      </c>
      <c r="E613" s="461">
        <v>5.6171536818289285E-2</v>
      </c>
      <c r="F613" s="462">
        <v>9.8904757706148538E-2</v>
      </c>
      <c r="G613" s="316">
        <v>0.26356854267356744</v>
      </c>
      <c r="H613" s="317">
        <v>1.112079027367769</v>
      </c>
      <c r="I613" s="317">
        <v>3.9759572369981426</v>
      </c>
      <c r="J613" s="317">
        <v>2.9247790039449648</v>
      </c>
      <c r="K613" s="317">
        <v>0.18559897572870027</v>
      </c>
      <c r="L613" s="318">
        <v>1.7338206650417635E-2</v>
      </c>
      <c r="M613" s="317">
        <v>2.7122378596546193E-3</v>
      </c>
      <c r="N613" s="318">
        <v>2.0000005732018805E-3</v>
      </c>
      <c r="O613" s="317">
        <v>2.7865160756525904E-2</v>
      </c>
      <c r="P613" s="318">
        <v>2.3051895531377927E-2</v>
      </c>
      <c r="Q613" s="319">
        <v>0.19399093782789473</v>
      </c>
    </row>
    <row r="614" spans="2:17" ht="15.75" x14ac:dyDescent="0.25">
      <c r="B614" s="176">
        <v>2028</v>
      </c>
      <c r="C614" s="177">
        <v>1986</v>
      </c>
      <c r="D614" s="178" t="s">
        <v>3460</v>
      </c>
      <c r="E614" s="461">
        <v>5.7022528121180825E-2</v>
      </c>
      <c r="F614" s="462">
        <v>9.3412517212228305E-2</v>
      </c>
      <c r="G614" s="316">
        <v>0.25401577368545042</v>
      </c>
      <c r="H614" s="317">
        <v>1.0599930559702346</v>
      </c>
      <c r="I614" s="317">
        <v>4.3496021759281565</v>
      </c>
      <c r="J614" s="317">
        <v>2.7425413846536464</v>
      </c>
      <c r="K614" s="317">
        <v>0.18304057321077349</v>
      </c>
      <c r="L614" s="318">
        <v>1.7499369687302795E-2</v>
      </c>
      <c r="M614" s="317">
        <v>2.8160630345369134E-3</v>
      </c>
      <c r="N614" s="318">
        <v>2.0000005732018797E-3</v>
      </c>
      <c r="O614" s="317">
        <v>2.9631226981273722E-2</v>
      </c>
      <c r="P614" s="318">
        <v>2.2432190158004413E-2</v>
      </c>
      <c r="Q614" s="319">
        <v>0.19131685570085108</v>
      </c>
    </row>
    <row r="615" spans="2:17" ht="15.75" x14ac:dyDescent="0.25">
      <c r="B615" s="176">
        <v>2028</v>
      </c>
      <c r="C615" s="177">
        <v>1987</v>
      </c>
      <c r="D615" s="178" t="s">
        <v>3461</v>
      </c>
      <c r="E615" s="461">
        <v>5.7601455571778051E-2</v>
      </c>
      <c r="F615" s="462">
        <v>8.978282443785647E-2</v>
      </c>
      <c r="G615" s="316">
        <v>0.29704509135284157</v>
      </c>
      <c r="H615" s="317">
        <v>0.97717156429855279</v>
      </c>
      <c r="I615" s="317">
        <v>4.8306281418206005</v>
      </c>
      <c r="J615" s="317">
        <v>2.631432950718982</v>
      </c>
      <c r="K615" s="317">
        <v>0.20061846773895001</v>
      </c>
      <c r="L615" s="318">
        <v>1.7765480867914473E-2</v>
      </c>
      <c r="M615" s="317">
        <v>2.9196160371919889E-3</v>
      </c>
      <c r="N615" s="318">
        <v>2.0000005732018801E-3</v>
      </c>
      <c r="O615" s="317">
        <v>3.1392663556436565E-2</v>
      </c>
      <c r="P615" s="318">
        <v>2.1388898701676692E-2</v>
      </c>
      <c r="Q615" s="319">
        <v>0.20968954461884001</v>
      </c>
    </row>
    <row r="616" spans="2:17" ht="15.75" x14ac:dyDescent="0.25">
      <c r="B616" s="176">
        <v>2028</v>
      </c>
      <c r="C616" s="177">
        <v>1988</v>
      </c>
      <c r="D616" s="178" t="s">
        <v>3462</v>
      </c>
      <c r="E616" s="461">
        <v>5.7570919554214631E-2</v>
      </c>
      <c r="F616" s="462">
        <v>8.861400923018134E-2</v>
      </c>
      <c r="G616" s="316">
        <v>0.29313817462353037</v>
      </c>
      <c r="H616" s="317">
        <v>0.50762980116787715</v>
      </c>
      <c r="I616" s="317">
        <v>4.9728237366513879</v>
      </c>
      <c r="J616" s="317">
        <v>1.9054045952216596</v>
      </c>
      <c r="K616" s="317">
        <v>0.19858862569740601</v>
      </c>
      <c r="L616" s="318">
        <v>1.7254537367478385E-2</v>
      </c>
      <c r="M616" s="317">
        <v>2.9509507707937595E-3</v>
      </c>
      <c r="N616" s="318">
        <v>2.0000005732018801E-3</v>
      </c>
      <c r="O616" s="317">
        <v>3.1925667375002673E-2</v>
      </c>
      <c r="P616" s="318">
        <v>2.187179115678288E-2</v>
      </c>
      <c r="Q616" s="319">
        <v>0.2075679221274673</v>
      </c>
    </row>
    <row r="617" spans="2:17" ht="15.75" x14ac:dyDescent="0.25">
      <c r="B617" s="176">
        <v>2028</v>
      </c>
      <c r="C617" s="177">
        <v>1989</v>
      </c>
      <c r="D617" s="178" t="s">
        <v>3463</v>
      </c>
      <c r="E617" s="461">
        <v>5.7811112930371791E-2</v>
      </c>
      <c r="F617" s="462">
        <v>9.1050138301968023E-2</v>
      </c>
      <c r="G617" s="316">
        <v>0.29309891117957143</v>
      </c>
      <c r="H617" s="317">
        <v>0.50630321653684052</v>
      </c>
      <c r="I617" s="317">
        <v>5.0717144131471903</v>
      </c>
      <c r="J617" s="317">
        <v>1.9030306148000566</v>
      </c>
      <c r="K617" s="317">
        <v>0.1991381934175048</v>
      </c>
      <c r="L617" s="318">
        <v>1.7041985013854396E-2</v>
      </c>
      <c r="M617" s="317">
        <v>2.9769788653896154E-3</v>
      </c>
      <c r="N617" s="318">
        <v>2.0000005732018801E-3</v>
      </c>
      <c r="O617" s="317">
        <v>3.2368405264078179E-2</v>
      </c>
      <c r="P617" s="318">
        <v>2.2699338518560389E-2</v>
      </c>
      <c r="Q617" s="319">
        <v>0.2081423388611981</v>
      </c>
    </row>
    <row r="618" spans="2:17" ht="15.75" x14ac:dyDescent="0.25">
      <c r="B618" s="176">
        <v>2028</v>
      </c>
      <c r="C618" s="177">
        <v>1990</v>
      </c>
      <c r="D618" s="178" t="s">
        <v>3464</v>
      </c>
      <c r="E618" s="461">
        <v>5.8282447193924738E-2</v>
      </c>
      <c r="F618" s="462">
        <v>8.8536155706752356E-2</v>
      </c>
      <c r="G618" s="316">
        <v>0.29778225956962739</v>
      </c>
      <c r="H618" s="317">
        <v>0.50720253586166042</v>
      </c>
      <c r="I618" s="317">
        <v>5.0321728711983376</v>
      </c>
      <c r="J618" s="317">
        <v>1.8948847205962798</v>
      </c>
      <c r="K618" s="317">
        <v>0.20237810669176923</v>
      </c>
      <c r="L618" s="318">
        <v>1.7282572340858785E-2</v>
      </c>
      <c r="M618" s="317">
        <v>2.9800565316498409E-3</v>
      </c>
      <c r="N618" s="318">
        <v>2.0000005732018801E-3</v>
      </c>
      <c r="O618" s="317">
        <v>3.2420756367164627E-2</v>
      </c>
      <c r="P618" s="318">
        <v>2.1833635100019944E-2</v>
      </c>
      <c r="Q618" s="319">
        <v>0.2115287466368232</v>
      </c>
    </row>
    <row r="619" spans="2:17" ht="15.75" x14ac:dyDescent="0.25">
      <c r="B619" s="176">
        <v>2028</v>
      </c>
      <c r="C619" s="177">
        <v>1991</v>
      </c>
      <c r="D619" s="178" t="s">
        <v>3465</v>
      </c>
      <c r="E619" s="461">
        <v>5.8181146357895154E-2</v>
      </c>
      <c r="F619" s="462">
        <v>8.6473908822993606E-2</v>
      </c>
      <c r="G619" s="316">
        <v>0.37986371398590391</v>
      </c>
      <c r="H619" s="317">
        <v>0.52799825038368797</v>
      </c>
      <c r="I619" s="317">
        <v>8.8686203805844617</v>
      </c>
      <c r="J619" s="317">
        <v>2.3142997499227946</v>
      </c>
      <c r="K619" s="317">
        <v>5.7284189310516917E-2</v>
      </c>
      <c r="L619" s="318">
        <v>9.7169952718740276E-3</v>
      </c>
      <c r="M619" s="317">
        <v>2.978756814374929E-3</v>
      </c>
      <c r="N619" s="318">
        <v>2.0000005732018797E-3</v>
      </c>
      <c r="O619" s="317">
        <v>3.2398648176318372E-2</v>
      </c>
      <c r="P619" s="318">
        <v>2.1056626099647004E-2</v>
      </c>
      <c r="Q619" s="319">
        <v>5.9874326156313051E-2</v>
      </c>
    </row>
    <row r="620" spans="2:17" ht="15.75" x14ac:dyDescent="0.25">
      <c r="B620" s="176">
        <v>2028</v>
      </c>
      <c r="C620" s="177">
        <v>1992</v>
      </c>
      <c r="D620" s="178" t="s">
        <v>3466</v>
      </c>
      <c r="E620" s="461">
        <v>5.8134014622463197E-2</v>
      </c>
      <c r="F620" s="462">
        <v>8.3852381437515777E-2</v>
      </c>
      <c r="G620" s="316">
        <v>0.38020256020827886</v>
      </c>
      <c r="H620" s="317">
        <v>0.52871767134389813</v>
      </c>
      <c r="I620" s="317">
        <v>8.7706839516312911</v>
      </c>
      <c r="J620" s="317">
        <v>2.2533500633980501</v>
      </c>
      <c r="K620" s="317">
        <v>5.9150034998506226E-2</v>
      </c>
      <c r="L620" s="318">
        <v>9.8253066277032616E-3</v>
      </c>
      <c r="M620" s="317">
        <v>2.9672391694591368E-3</v>
      </c>
      <c r="N620" s="318">
        <v>2.0000005732018801E-3</v>
      </c>
      <c r="O620" s="317">
        <v>3.2202733036300647E-2</v>
      </c>
      <c r="P620" s="318">
        <v>2.0213596539923388E-2</v>
      </c>
      <c r="Q620" s="319">
        <v>6.182453710674566E-2</v>
      </c>
    </row>
    <row r="621" spans="2:17" ht="15.75" x14ac:dyDescent="0.25">
      <c r="B621" s="176">
        <v>2028</v>
      </c>
      <c r="C621" s="177">
        <v>1993</v>
      </c>
      <c r="D621" s="178" t="s">
        <v>3467</v>
      </c>
      <c r="E621" s="461">
        <v>5.8024976914661006E-2</v>
      </c>
      <c r="F621" s="462">
        <v>7.5294160978974567E-2</v>
      </c>
      <c r="G621" s="316">
        <v>0.37398556873897015</v>
      </c>
      <c r="H621" s="317">
        <v>0.5330837741507608</v>
      </c>
      <c r="I621" s="317">
        <v>8.8645427176048504</v>
      </c>
      <c r="J621" s="317">
        <v>2.2107251539766981</v>
      </c>
      <c r="K621" s="317">
        <v>5.393258865460053E-2</v>
      </c>
      <c r="L621" s="318">
        <v>9.9547049346899712E-3</v>
      </c>
      <c r="M621" s="317">
        <v>2.9765506455397364E-3</v>
      </c>
      <c r="N621" s="318">
        <v>2.0000005732018801E-3</v>
      </c>
      <c r="O621" s="317">
        <v>3.2361121244431752E-2</v>
      </c>
      <c r="P621" s="318">
        <v>1.9855958880862862E-2</v>
      </c>
      <c r="Q621" s="319">
        <v>5.6371180991243906E-2</v>
      </c>
    </row>
    <row r="622" spans="2:17" ht="15.75" x14ac:dyDescent="0.25">
      <c r="B622" s="176">
        <v>2028</v>
      </c>
      <c r="C622" s="177">
        <v>1994</v>
      </c>
      <c r="D622" s="178" t="s">
        <v>3468</v>
      </c>
      <c r="E622" s="461">
        <v>5.7778560635556225E-2</v>
      </c>
      <c r="F622" s="462">
        <v>7.2033080931389604E-2</v>
      </c>
      <c r="G622" s="316">
        <v>0.36897693014766703</v>
      </c>
      <c r="H622" s="317">
        <v>0.5337840528168738</v>
      </c>
      <c r="I622" s="317">
        <v>8.8243418656861223</v>
      </c>
      <c r="J622" s="317">
        <v>2.1455651174062749</v>
      </c>
      <c r="K622" s="317">
        <v>5.4099054545381747E-2</v>
      </c>
      <c r="L622" s="318">
        <v>1.0054503527155841E-2</v>
      </c>
      <c r="M622" s="317">
        <v>2.9675531676033348E-3</v>
      </c>
      <c r="N622" s="318">
        <v>2.0000005732018801E-3</v>
      </c>
      <c r="O622" s="317">
        <v>3.2208074144733555E-2</v>
      </c>
      <c r="P622" s="318">
        <v>1.8958630615158633E-2</v>
      </c>
      <c r="Q622" s="319">
        <v>5.6545173730924755E-2</v>
      </c>
    </row>
    <row r="623" spans="2:17" ht="15.75" x14ac:dyDescent="0.25">
      <c r="B623" s="176">
        <v>2028</v>
      </c>
      <c r="C623" s="177">
        <v>1995</v>
      </c>
      <c r="D623" s="178" t="s">
        <v>3469</v>
      </c>
      <c r="E623" s="461">
        <v>5.7535215489388954E-2</v>
      </c>
      <c r="F623" s="462">
        <v>7.3725348525132975E-2</v>
      </c>
      <c r="G623" s="316">
        <v>0.36720041406657328</v>
      </c>
      <c r="H623" s="317">
        <v>0.40313570695315248</v>
      </c>
      <c r="I623" s="317">
        <v>8.9636255239872185</v>
      </c>
      <c r="J623" s="317">
        <v>1.680211560594409</v>
      </c>
      <c r="K623" s="317">
        <v>5.3460312499121941E-2</v>
      </c>
      <c r="L623" s="318">
        <v>9.263762982542844E-3</v>
      </c>
      <c r="M623" s="317">
        <v>2.9775743681436017E-3</v>
      </c>
      <c r="N623" s="318">
        <v>2.0000005732018801E-3</v>
      </c>
      <c r="O623" s="317">
        <v>3.2378534765923485E-2</v>
      </c>
      <c r="P623" s="318">
        <v>1.9714275827452277E-2</v>
      </c>
      <c r="Q623" s="319">
        <v>5.5877550603708963E-2</v>
      </c>
    </row>
    <row r="624" spans="2:17" ht="15.75" x14ac:dyDescent="0.25">
      <c r="B624" s="176">
        <v>2028</v>
      </c>
      <c r="C624" s="177">
        <v>1996</v>
      </c>
      <c r="D624" s="178" t="s">
        <v>3470</v>
      </c>
      <c r="E624" s="461">
        <v>5.7665389052466383E-2</v>
      </c>
      <c r="F624" s="462">
        <v>7.3401472405832349E-2</v>
      </c>
      <c r="G624" s="316">
        <v>0.369703424041531</v>
      </c>
      <c r="H624" s="317">
        <v>0.13910251670639584</v>
      </c>
      <c r="I624" s="317">
        <v>8.9645923954648161</v>
      </c>
      <c r="J624" s="317">
        <v>1.0174914872097234</v>
      </c>
      <c r="K624" s="317">
        <v>5.3688968063546776E-2</v>
      </c>
      <c r="L624" s="318">
        <v>2.8360925807852794E-3</v>
      </c>
      <c r="M624" s="317">
        <v>2.9806424228406856E-3</v>
      </c>
      <c r="N624" s="318">
        <v>2.0000005732018801E-3</v>
      </c>
      <c r="O624" s="317">
        <v>3.2430722376320796E-2</v>
      </c>
      <c r="P624" s="318">
        <v>1.9958440704860868E-2</v>
      </c>
      <c r="Q624" s="319">
        <v>5.6116544958113003E-2</v>
      </c>
    </row>
    <row r="625" spans="2:17" ht="15.75" x14ac:dyDescent="0.25">
      <c r="B625" s="176">
        <v>2028</v>
      </c>
      <c r="C625" s="177">
        <v>1997</v>
      </c>
      <c r="D625" s="178" t="s">
        <v>3471</v>
      </c>
      <c r="E625" s="461">
        <v>5.7807963400121946E-2</v>
      </c>
      <c r="F625" s="462">
        <v>7.1460751732834282E-2</v>
      </c>
      <c r="G625" s="316">
        <v>0.37243890085044473</v>
      </c>
      <c r="H625" s="317">
        <v>0.14353913011627795</v>
      </c>
      <c r="I625" s="317">
        <v>8.9806608499079328</v>
      </c>
      <c r="J625" s="317">
        <v>1.042660499969994</v>
      </c>
      <c r="K625" s="317">
        <v>5.3906464468557548E-2</v>
      </c>
      <c r="L625" s="318">
        <v>2.8533768646456085E-3</v>
      </c>
      <c r="M625" s="317">
        <v>2.9852880412435541E-3</v>
      </c>
      <c r="N625" s="318">
        <v>2.0000005732018801E-3</v>
      </c>
      <c r="O625" s="317">
        <v>3.2509744345353697E-2</v>
      </c>
      <c r="P625" s="318">
        <v>1.9424036531198095E-2</v>
      </c>
      <c r="Q625" s="319">
        <v>5.6343875585432468E-2</v>
      </c>
    </row>
    <row r="626" spans="2:17" ht="15.75" x14ac:dyDescent="0.25">
      <c r="B626" s="176">
        <v>2028</v>
      </c>
      <c r="C626" s="177">
        <v>1998</v>
      </c>
      <c r="D626" s="178" t="s">
        <v>3472</v>
      </c>
      <c r="E626" s="461">
        <v>5.7694376835421793E-2</v>
      </c>
      <c r="F626" s="462">
        <v>6.8143988402739247E-2</v>
      </c>
      <c r="G626" s="316">
        <v>0.37086101940715654</v>
      </c>
      <c r="H626" s="317">
        <v>0.13340057256567231</v>
      </c>
      <c r="I626" s="317">
        <v>8.966793010699968</v>
      </c>
      <c r="J626" s="317">
        <v>0.92164541352774376</v>
      </c>
      <c r="K626" s="317">
        <v>5.3773701659993969E-2</v>
      </c>
      <c r="L626" s="318">
        <v>2.8950257348041666E-3</v>
      </c>
      <c r="M626" s="317">
        <v>2.9827129247478297E-3</v>
      </c>
      <c r="N626" s="318">
        <v>2.0000005732018801E-3</v>
      </c>
      <c r="O626" s="317">
        <v>3.2465941613761422E-2</v>
      </c>
      <c r="P626" s="318">
        <v>1.8494933926864309E-2</v>
      </c>
      <c r="Q626" s="319">
        <v>5.6205109831791812E-2</v>
      </c>
    </row>
    <row r="627" spans="2:17" ht="15.75" x14ac:dyDescent="0.25">
      <c r="B627" s="176">
        <v>2028</v>
      </c>
      <c r="C627" s="177">
        <v>1999</v>
      </c>
      <c r="D627" s="178" t="s">
        <v>3473</v>
      </c>
      <c r="E627" s="461">
        <v>5.780589855766851E-2</v>
      </c>
      <c r="F627" s="462">
        <v>6.8735757021416502E-2</v>
      </c>
      <c r="G627" s="316">
        <v>0.37424939184723743</v>
      </c>
      <c r="H627" s="317">
        <v>0.11672581887413146</v>
      </c>
      <c r="I627" s="317">
        <v>9.0689911720360499</v>
      </c>
      <c r="J627" s="317">
        <v>0.76490001620142589</v>
      </c>
      <c r="K627" s="317">
        <v>5.3786791024432637E-2</v>
      </c>
      <c r="L627" s="318">
        <v>2.902267142260561E-3</v>
      </c>
      <c r="M627" s="317">
        <v>2.9949922128295666E-3</v>
      </c>
      <c r="N627" s="318">
        <v>2.0000005732018801E-3</v>
      </c>
      <c r="O627" s="317">
        <v>3.2674812304031756E-2</v>
      </c>
      <c r="P627" s="318">
        <v>1.8687376954594603E-2</v>
      </c>
      <c r="Q627" s="319">
        <v>5.6218791039207176E-2</v>
      </c>
    </row>
    <row r="628" spans="2:17" ht="15.75" x14ac:dyDescent="0.25">
      <c r="B628" s="176">
        <v>2028</v>
      </c>
      <c r="C628" s="177">
        <v>2000</v>
      </c>
      <c r="D628" s="178" t="s">
        <v>3474</v>
      </c>
      <c r="E628" s="461">
        <v>5.7658218229181088E-2</v>
      </c>
      <c r="F628" s="462">
        <v>7.4792003825784034E-2</v>
      </c>
      <c r="G628" s="316">
        <v>0.37287803890474047</v>
      </c>
      <c r="H628" s="317">
        <v>0.10026994138977419</v>
      </c>
      <c r="I628" s="317">
        <v>9.1217956213125593</v>
      </c>
      <c r="J628" s="317">
        <v>0.61368149266846317</v>
      </c>
      <c r="K628" s="317">
        <v>5.34573729308589E-2</v>
      </c>
      <c r="L628" s="318">
        <v>2.897860495165125E-3</v>
      </c>
      <c r="M628" s="317">
        <v>2.9983138690769084E-3</v>
      </c>
      <c r="N628" s="318">
        <v>2.0000005732018719E-3</v>
      </c>
      <c r="O628" s="317">
        <v>3.2731313676799045E-2</v>
      </c>
      <c r="P628" s="318">
        <v>1.8872716888174212E-2</v>
      </c>
      <c r="Q628" s="319">
        <v>5.5874478121213156E-2</v>
      </c>
    </row>
    <row r="629" spans="2:17" ht="15.75" x14ac:dyDescent="0.25">
      <c r="B629" s="176">
        <v>2028</v>
      </c>
      <c r="C629" s="177">
        <v>2001</v>
      </c>
      <c r="D629" s="178" t="s">
        <v>3475</v>
      </c>
      <c r="E629" s="461">
        <v>5.7738415401338283E-2</v>
      </c>
      <c r="F629" s="462">
        <v>7.3499745239684514E-2</v>
      </c>
      <c r="G629" s="316">
        <v>0.37364509799698692</v>
      </c>
      <c r="H629" s="317">
        <v>8.671857906440178E-2</v>
      </c>
      <c r="I629" s="317">
        <v>9.0620111889032398</v>
      </c>
      <c r="J629" s="317">
        <v>0.47482083864760966</v>
      </c>
      <c r="K629" s="317">
        <v>5.374380108349458E-2</v>
      </c>
      <c r="L629" s="318">
        <v>2.9229321552288316E-3</v>
      </c>
      <c r="M629" s="317">
        <v>2.993813949426636E-3</v>
      </c>
      <c r="N629" s="318">
        <v>2.0000005732018801E-3</v>
      </c>
      <c r="O629" s="317">
        <v>3.2654770043547908E-2</v>
      </c>
      <c r="P629" s="318">
        <v>1.8455762685083123E-2</v>
      </c>
      <c r="Q629" s="319">
        <v>5.6173857283904949E-2</v>
      </c>
    </row>
    <row r="630" spans="2:17" ht="15.75" x14ac:dyDescent="0.25">
      <c r="B630" s="176">
        <v>2028</v>
      </c>
      <c r="C630" s="177">
        <v>2002</v>
      </c>
      <c r="D630" s="178" t="s">
        <v>3476</v>
      </c>
      <c r="E630" s="461">
        <v>5.7563769580920646E-2</v>
      </c>
      <c r="F630" s="462">
        <v>7.1605565652758205E-2</v>
      </c>
      <c r="G630" s="316">
        <v>0.28859487592438371</v>
      </c>
      <c r="H630" s="317">
        <v>8.6958558275630454E-2</v>
      </c>
      <c r="I630" s="317">
        <v>7.0251094020141993</v>
      </c>
      <c r="J630" s="317">
        <v>0.45709345377481464</v>
      </c>
      <c r="K630" s="317">
        <v>5.3884910292239699E-2</v>
      </c>
      <c r="L630" s="318">
        <v>2.9512123786985004E-3</v>
      </c>
      <c r="M630" s="317">
        <v>2.9973864452153055E-3</v>
      </c>
      <c r="N630" s="318">
        <v>2.0000005732018801E-3</v>
      </c>
      <c r="O630" s="317">
        <v>3.2715538196913176E-2</v>
      </c>
      <c r="P630" s="318">
        <v>1.7845479104482063E-2</v>
      </c>
      <c r="Q630" s="319">
        <v>5.6321346824906714E-2</v>
      </c>
    </row>
    <row r="631" spans="2:17" ht="15.75" x14ac:dyDescent="0.25">
      <c r="B631" s="176">
        <v>2028</v>
      </c>
      <c r="C631" s="177">
        <v>2003</v>
      </c>
      <c r="D631" s="178" t="s">
        <v>3477</v>
      </c>
      <c r="E631" s="461">
        <v>5.7356196056324207E-2</v>
      </c>
      <c r="F631" s="462">
        <v>7.2504389500314959E-2</v>
      </c>
      <c r="G631" s="316">
        <v>0.28628277965610932</v>
      </c>
      <c r="H631" s="317">
        <v>7.0582155583655853E-2</v>
      </c>
      <c r="I631" s="317">
        <v>7.0252775079886618</v>
      </c>
      <c r="J631" s="317">
        <v>0.39125030442243519</v>
      </c>
      <c r="K631" s="317">
        <v>5.3572011531710387E-2</v>
      </c>
      <c r="L631" s="318">
        <v>2.9349825849083427E-3</v>
      </c>
      <c r="M631" s="317">
        <v>2.9940550673316865E-3</v>
      </c>
      <c r="N631" s="318">
        <v>2.0000005732018801E-3</v>
      </c>
      <c r="O631" s="317">
        <v>3.2658871459112809E-2</v>
      </c>
      <c r="P631" s="318">
        <v>1.8175891803575549E-2</v>
      </c>
      <c r="Q631" s="319">
        <v>5.5994300170893976E-2</v>
      </c>
    </row>
    <row r="632" spans="2:17" ht="15.75" x14ac:dyDescent="0.25">
      <c r="B632" s="176">
        <v>2028</v>
      </c>
      <c r="C632" s="177">
        <v>2004</v>
      </c>
      <c r="D632" s="178" t="s">
        <v>3478</v>
      </c>
      <c r="E632" s="461">
        <v>5.7248162765186475E-2</v>
      </c>
      <c r="F632" s="462">
        <v>7.2201129193257316E-2</v>
      </c>
      <c r="G632" s="316">
        <v>0.23629208718295441</v>
      </c>
      <c r="H632" s="317">
        <v>1.8081793049188947E-2</v>
      </c>
      <c r="I632" s="317">
        <v>5.8612242089502482</v>
      </c>
      <c r="J632" s="317">
        <v>0.11451894819922245</v>
      </c>
      <c r="K632" s="317">
        <v>5.3330056835964139E-2</v>
      </c>
      <c r="L632" s="318">
        <v>1.961848146600172E-4</v>
      </c>
      <c r="M632" s="317">
        <v>2.9917262258339346E-3</v>
      </c>
      <c r="N632" s="318">
        <v>2.0000005732018801E-3</v>
      </c>
      <c r="O632" s="317">
        <v>3.2619257865236062E-2</v>
      </c>
      <c r="P632" s="318">
        <v>1.776392351756266E-2</v>
      </c>
      <c r="Q632" s="319">
        <v>5.5741405357464129E-2</v>
      </c>
    </row>
    <row r="633" spans="2:17" ht="15.75" x14ac:dyDescent="0.25">
      <c r="B633" s="176">
        <v>2028</v>
      </c>
      <c r="C633" s="177">
        <v>2005</v>
      </c>
      <c r="D633" s="178" t="s">
        <v>3479</v>
      </c>
      <c r="E633" s="461">
        <v>5.700506190080018E-2</v>
      </c>
      <c r="F633" s="462">
        <v>6.8610176091307415E-2</v>
      </c>
      <c r="G633" s="316">
        <v>0.23328739216113104</v>
      </c>
      <c r="H633" s="317">
        <v>1.5770223043755277E-2</v>
      </c>
      <c r="I633" s="317">
        <v>5.8504690747110422</v>
      </c>
      <c r="J633" s="317">
        <v>9.3110686945283072E-2</v>
      </c>
      <c r="K633" s="317">
        <v>5.2918285090345012E-2</v>
      </c>
      <c r="L633" s="318">
        <v>1.9696613654339372E-4</v>
      </c>
      <c r="M633" s="317">
        <v>2.9843643814319396E-3</v>
      </c>
      <c r="N633" s="318">
        <v>2.0000005732018801E-3</v>
      </c>
      <c r="O633" s="317">
        <v>3.2494032891958131E-2</v>
      </c>
      <c r="P633" s="318">
        <v>1.70667190953811E-2</v>
      </c>
      <c r="Q633" s="319">
        <v>5.5311015120718079E-2</v>
      </c>
    </row>
    <row r="634" spans="2:17" ht="15.75" x14ac:dyDescent="0.25">
      <c r="B634" s="176">
        <v>2028</v>
      </c>
      <c r="C634" s="177">
        <v>2006</v>
      </c>
      <c r="D634" s="178" t="s">
        <v>3480</v>
      </c>
      <c r="E634" s="461">
        <v>5.694065970488485E-2</v>
      </c>
      <c r="F634" s="462">
        <v>7.1473187160256052E-2</v>
      </c>
      <c r="G634" s="316">
        <v>0.23211888118525323</v>
      </c>
      <c r="H634" s="317">
        <v>5.760016580563858E-3</v>
      </c>
      <c r="I634" s="317">
        <v>5.8417362995786384</v>
      </c>
      <c r="J634" s="317">
        <v>6.1057279358818099E-2</v>
      </c>
      <c r="K634" s="317">
        <v>5.2777515440484875E-2</v>
      </c>
      <c r="L634" s="318">
        <v>1.9325690181922804E-4</v>
      </c>
      <c r="M634" s="317">
        <v>2.9823679481339846E-3</v>
      </c>
      <c r="N634" s="318">
        <v>2.0000005732018784E-3</v>
      </c>
      <c r="O634" s="317">
        <v>3.2460073561559805E-2</v>
      </c>
      <c r="P634" s="318">
        <v>1.8674570106519239E-2</v>
      </c>
      <c r="Q634" s="319">
        <v>5.5163880491947412E-2</v>
      </c>
    </row>
    <row r="635" spans="2:17" ht="15.75" x14ac:dyDescent="0.25">
      <c r="B635" s="176">
        <v>2028</v>
      </c>
      <c r="C635" s="177">
        <v>2007</v>
      </c>
      <c r="D635" s="178" t="s">
        <v>3481</v>
      </c>
      <c r="E635" s="461">
        <v>5.6743123001567954E-2</v>
      </c>
      <c r="F635" s="462">
        <v>6.7276625011410268E-2</v>
      </c>
      <c r="G635" s="316">
        <v>0.16558246977940771</v>
      </c>
      <c r="H635" s="317">
        <v>8.3563941028998029E-3</v>
      </c>
      <c r="I635" s="317">
        <v>2.9740972676084585</v>
      </c>
      <c r="J635" s="317">
        <v>5.4546013715647726E-2</v>
      </c>
      <c r="K635" s="317">
        <v>3.6597302896166299E-2</v>
      </c>
      <c r="L635" s="318">
        <v>1.9645744840158364E-4</v>
      </c>
      <c r="M635" s="317">
        <v>2.9589572132055833E-3</v>
      </c>
      <c r="N635" s="318">
        <v>2.0000005732018801E-3</v>
      </c>
      <c r="O635" s="317">
        <v>3.2061856960427806E-2</v>
      </c>
      <c r="P635" s="318">
        <v>1.7299376871449217E-2</v>
      </c>
      <c r="Q635" s="319">
        <v>3.8252070535004533E-2</v>
      </c>
    </row>
    <row r="636" spans="2:17" ht="15.75" x14ac:dyDescent="0.25">
      <c r="B636" s="176">
        <v>2028</v>
      </c>
      <c r="C636" s="177">
        <v>2008</v>
      </c>
      <c r="D636" s="178" t="s">
        <v>3482</v>
      </c>
      <c r="E636" s="461">
        <v>5.675486684085608E-2</v>
      </c>
      <c r="F636" s="462">
        <v>6.5548011823307425E-2</v>
      </c>
      <c r="G636" s="316">
        <v>0.16633206637421791</v>
      </c>
      <c r="H636" s="317">
        <v>8.1233361738434363E-3</v>
      </c>
      <c r="I636" s="317">
        <v>2.9998829448870152</v>
      </c>
      <c r="J636" s="317">
        <v>4.4137373453286242E-2</v>
      </c>
      <c r="K636" s="317">
        <v>3.6723990559195854E-2</v>
      </c>
      <c r="L636" s="318">
        <v>2.2439019550521072E-4</v>
      </c>
      <c r="M636" s="317">
        <v>2.9694166114008313E-3</v>
      </c>
      <c r="N636" s="318">
        <v>2.0000005732018801E-3</v>
      </c>
      <c r="O636" s="317">
        <v>3.2239771323728968E-2</v>
      </c>
      <c r="P636" s="318">
        <v>1.7270076407426789E-2</v>
      </c>
      <c r="Q636" s="319">
        <v>3.8384486451988102E-2</v>
      </c>
    </row>
    <row r="637" spans="2:17" ht="15.75" x14ac:dyDescent="0.25">
      <c r="B637" s="176">
        <v>2028</v>
      </c>
      <c r="C637" s="177">
        <v>2009</v>
      </c>
      <c r="D637" s="178" t="s">
        <v>3483</v>
      </c>
      <c r="E637" s="461">
        <v>5.5732129781554257E-2</v>
      </c>
      <c r="F637" s="462">
        <v>6.0291863486049466E-2</v>
      </c>
      <c r="G637" s="316">
        <v>0.15078687703280935</v>
      </c>
      <c r="H637" s="317">
        <v>8.0239710349836423E-3</v>
      </c>
      <c r="I637" s="317">
        <v>2.6365021825220771</v>
      </c>
      <c r="J637" s="317">
        <v>3.2986065961705863E-2</v>
      </c>
      <c r="K637" s="317">
        <v>3.3255111145847019E-2</v>
      </c>
      <c r="L637" s="318">
        <v>2.5358505798622603E-4</v>
      </c>
      <c r="M637" s="317">
        <v>2.8557911226446001E-3</v>
      </c>
      <c r="N637" s="318">
        <v>2.0000005732018801E-3</v>
      </c>
      <c r="O637" s="317">
        <v>3.0307001759985477E-2</v>
      </c>
      <c r="P637" s="318">
        <v>1.6662932806523156E-2</v>
      </c>
      <c r="Q637" s="319">
        <v>3.4758759704492069E-2</v>
      </c>
    </row>
    <row r="638" spans="2:17" ht="15.75" x14ac:dyDescent="0.25">
      <c r="B638" s="176">
        <v>2028</v>
      </c>
      <c r="C638" s="177">
        <v>2010</v>
      </c>
      <c r="D638" s="178" t="s">
        <v>3484</v>
      </c>
      <c r="E638" s="461">
        <v>5.4310688523205926E-2</v>
      </c>
      <c r="F638" s="462">
        <v>5.8522849643358486E-2</v>
      </c>
      <c r="G638" s="316">
        <v>8.7423505892772285E-2</v>
      </c>
      <c r="H638" s="317">
        <v>7.1308836265036616E-3</v>
      </c>
      <c r="I638" s="317">
        <v>0.21719809255578734</v>
      </c>
      <c r="J638" s="317">
        <v>3.1741806627582136E-2</v>
      </c>
      <c r="K638" s="317">
        <v>1.82829328050679E-2</v>
      </c>
      <c r="L638" s="318">
        <v>3.0948683144000244E-4</v>
      </c>
      <c r="M638" s="317">
        <v>2.7473943193646426E-3</v>
      </c>
      <c r="N638" s="318">
        <v>2.0000005732018801E-3</v>
      </c>
      <c r="O638" s="317">
        <v>2.8463172136193399E-2</v>
      </c>
      <c r="P638" s="318">
        <v>1.6333856100996181E-2</v>
      </c>
      <c r="Q638" s="319">
        <v>1.9109605897200295E-2</v>
      </c>
    </row>
    <row r="639" spans="2:17" ht="15.75" x14ac:dyDescent="0.25">
      <c r="B639" s="176">
        <v>2028</v>
      </c>
      <c r="C639" s="177">
        <v>2011</v>
      </c>
      <c r="D639" s="178" t="s">
        <v>3485</v>
      </c>
      <c r="E639" s="461">
        <v>5.3925739936912666E-2</v>
      </c>
      <c r="F639" s="462">
        <v>5.7110065788744863E-2</v>
      </c>
      <c r="G639" s="316">
        <v>8.6559272741425039E-2</v>
      </c>
      <c r="H639" s="317">
        <v>7.2111806916679835E-3</v>
      </c>
      <c r="I639" s="317">
        <v>0.21515882089079094</v>
      </c>
      <c r="J639" s="317">
        <v>3.1721262321990039E-2</v>
      </c>
      <c r="K639" s="317">
        <v>1.7999960442120454E-2</v>
      </c>
      <c r="L639" s="318">
        <v>4.1940372233238471E-4</v>
      </c>
      <c r="M639" s="317">
        <v>2.7555023034838912E-3</v>
      </c>
      <c r="N639" s="318">
        <v>2.0000005732018801E-3</v>
      </c>
      <c r="O639" s="317">
        <v>2.8601088946061823E-2</v>
      </c>
      <c r="P639" s="318">
        <v>1.6437363122577625E-2</v>
      </c>
      <c r="Q639" s="319">
        <v>1.8813838779671611E-2</v>
      </c>
    </row>
    <row r="640" spans="2:17" ht="15.75" x14ac:dyDescent="0.25">
      <c r="B640" s="176">
        <v>2028</v>
      </c>
      <c r="C640" s="177">
        <v>2012</v>
      </c>
      <c r="D640" s="178" t="s">
        <v>3486</v>
      </c>
      <c r="E640" s="461">
        <v>5.1551206783243791E-2</v>
      </c>
      <c r="F640" s="462">
        <v>5.6852647424528585E-2</v>
      </c>
      <c r="G640" s="316">
        <v>7.2615761306909096E-2</v>
      </c>
      <c r="H640" s="317">
        <v>6.7228194171256228E-3</v>
      </c>
      <c r="I640" s="317">
        <v>0.17752904404849151</v>
      </c>
      <c r="J640" s="317">
        <v>3.1957024592823603E-2</v>
      </c>
      <c r="K640" s="317">
        <v>1.5267766418847499E-2</v>
      </c>
      <c r="L640" s="318">
        <v>6.0939840263882184E-4</v>
      </c>
      <c r="M640" s="317">
        <v>2.6062563343126474E-3</v>
      </c>
      <c r="N640" s="318">
        <v>2.0000005732018801E-3</v>
      </c>
      <c r="O640" s="317">
        <v>2.6062415010458952E-2</v>
      </c>
      <c r="P640" s="318">
        <v>1.6758946033131886E-2</v>
      </c>
      <c r="Q640" s="319">
        <v>1.595810706659772E-2</v>
      </c>
    </row>
    <row r="641" spans="2:17" ht="15.75" x14ac:dyDescent="0.25">
      <c r="B641" s="176">
        <v>2028</v>
      </c>
      <c r="C641" s="177">
        <v>2013</v>
      </c>
      <c r="D641" s="178" t="s">
        <v>3487</v>
      </c>
      <c r="E641" s="461">
        <v>5.3639822804837124E-2</v>
      </c>
      <c r="F641" s="462">
        <v>5.5486481310902079E-2</v>
      </c>
      <c r="G641" s="316">
        <v>8.7322384519434776E-2</v>
      </c>
      <c r="H641" s="317">
        <v>7.5876456594728596E-3</v>
      </c>
      <c r="I641" s="317">
        <v>0.21419505698671998</v>
      </c>
      <c r="J641" s="317">
        <v>3.1362483309260523E-2</v>
      </c>
      <c r="K641" s="317">
        <v>1.7515037196613011E-2</v>
      </c>
      <c r="L641" s="318">
        <v>9.1035810075601746E-4</v>
      </c>
      <c r="M641" s="317">
        <v>2.7756949348069471E-3</v>
      </c>
      <c r="N641" s="318">
        <v>2.0000005732018805E-3</v>
      </c>
      <c r="O641" s="317">
        <v>2.8944565604866999E-2</v>
      </c>
      <c r="P641" s="318">
        <v>1.6835484036979653E-2</v>
      </c>
      <c r="Q641" s="319">
        <v>1.8306989456817427E-2</v>
      </c>
    </row>
    <row r="642" spans="2:17" ht="15.75" x14ac:dyDescent="0.25">
      <c r="B642" s="176">
        <v>2028</v>
      </c>
      <c r="C642" s="177">
        <v>2014</v>
      </c>
      <c r="D642" s="178" t="s">
        <v>3488</v>
      </c>
      <c r="E642" s="461">
        <v>5.0718550901911401E-2</v>
      </c>
      <c r="F642" s="462">
        <v>5.3491216945051059E-2</v>
      </c>
      <c r="G642" s="316">
        <v>7.4826466656210885E-2</v>
      </c>
      <c r="H642" s="317">
        <v>7.6433522633557582E-3</v>
      </c>
      <c r="I642" s="317">
        <v>0.18123033987616075</v>
      </c>
      <c r="J642" s="317">
        <v>3.0128064589946092E-2</v>
      </c>
      <c r="K642" s="317">
        <v>1.5111869671063828E-2</v>
      </c>
      <c r="L642" s="318">
        <v>1.2771440640360616E-3</v>
      </c>
      <c r="M642" s="317">
        <v>2.6493689288709294E-3</v>
      </c>
      <c r="N642" s="318">
        <v>2.0000005732018797E-3</v>
      </c>
      <c r="O642" s="317">
        <v>2.6795760243895333E-2</v>
      </c>
      <c r="P642" s="318">
        <v>1.6405861222574876E-2</v>
      </c>
      <c r="Q642" s="319">
        <v>1.5795161359660814E-2</v>
      </c>
    </row>
    <row r="643" spans="2:17" ht="15.75" x14ac:dyDescent="0.25">
      <c r="B643" s="176">
        <v>2028</v>
      </c>
      <c r="C643" s="177">
        <v>2015</v>
      </c>
      <c r="D643" s="178" t="s">
        <v>3489</v>
      </c>
      <c r="E643" s="461">
        <v>4.944463968125333E-2</v>
      </c>
      <c r="F643" s="462">
        <v>5.5383736708849565E-2</v>
      </c>
      <c r="G643" s="316">
        <v>6.9738830273106803E-2</v>
      </c>
      <c r="H643" s="317">
        <v>7.5122377003500338E-3</v>
      </c>
      <c r="I643" s="317">
        <v>0.16840983195341003</v>
      </c>
      <c r="J643" s="317">
        <v>3.0863366810640131E-2</v>
      </c>
      <c r="K643" s="317">
        <v>1.4055060049174716E-2</v>
      </c>
      <c r="L643" s="318">
        <v>1.5902568459236111E-3</v>
      </c>
      <c r="M643" s="317">
        <v>2.6150857237706789E-3</v>
      </c>
      <c r="N643" s="318">
        <v>2.0000005732018801E-3</v>
      </c>
      <c r="O643" s="317">
        <v>2.621260292514007E-2</v>
      </c>
      <c r="P643" s="318">
        <v>1.7274611627063109E-2</v>
      </c>
      <c r="Q643" s="319">
        <v>1.4690567496193152E-2</v>
      </c>
    </row>
    <row r="644" spans="2:17" ht="15.75" x14ac:dyDescent="0.25">
      <c r="B644" s="176">
        <v>2028</v>
      </c>
      <c r="C644" s="177">
        <v>2016</v>
      </c>
      <c r="D644" s="178" t="s">
        <v>3490</v>
      </c>
      <c r="E644" s="461">
        <v>5.0517457195369778E-2</v>
      </c>
      <c r="F644" s="462">
        <v>5.6452503866946717E-2</v>
      </c>
      <c r="G644" s="316">
        <v>8.4761604189086445E-2</v>
      </c>
      <c r="H644" s="317">
        <v>7.2364801790701372E-3</v>
      </c>
      <c r="I644" s="317">
        <v>0.18040376129291405</v>
      </c>
      <c r="J644" s="317">
        <v>3.0738073733867544E-2</v>
      </c>
      <c r="K644" s="317">
        <v>1.6117369004670926E-2</v>
      </c>
      <c r="L644" s="318">
        <v>1.8233849753008138E-3</v>
      </c>
      <c r="M644" s="317">
        <v>2.8050503704595709E-3</v>
      </c>
      <c r="N644" s="318">
        <v>2.0000005732018801E-3</v>
      </c>
      <c r="O644" s="317">
        <v>2.9443901565318127E-2</v>
      </c>
      <c r="P644" s="318">
        <v>1.813276846668645E-2</v>
      </c>
      <c r="Q644" s="319">
        <v>1.6846124911296445E-2</v>
      </c>
    </row>
    <row r="645" spans="2:17" ht="15.75" x14ac:dyDescent="0.25">
      <c r="B645" s="176">
        <v>2028</v>
      </c>
      <c r="C645" s="177">
        <v>2017</v>
      </c>
      <c r="D645" s="178" t="s">
        <v>3491</v>
      </c>
      <c r="E645" s="461">
        <v>4.6874096037452503E-2</v>
      </c>
      <c r="F645" s="462">
        <v>5.0918094139953664E-2</v>
      </c>
      <c r="G645" s="316">
        <v>6.4952516221298134E-2</v>
      </c>
      <c r="H645" s="317">
        <v>7.1758056627524505E-3</v>
      </c>
      <c r="I645" s="317">
        <v>0.12856397959575241</v>
      </c>
      <c r="J645" s="317">
        <v>2.8610684611566527E-2</v>
      </c>
      <c r="K645" s="317">
        <v>1.3836914600711021E-2</v>
      </c>
      <c r="L645" s="318">
        <v>2.0056785520889972E-3</v>
      </c>
      <c r="M645" s="317">
        <v>2.7333722582600297E-3</v>
      </c>
      <c r="N645" s="318">
        <v>2.0000005732018801E-3</v>
      </c>
      <c r="O645" s="317">
        <v>2.8224656876803943E-2</v>
      </c>
      <c r="P645" s="318">
        <v>1.7152212057659502E-2</v>
      </c>
      <c r="Q645" s="319">
        <v>1.4462558478555985E-2</v>
      </c>
    </row>
    <row r="646" spans="2:17" ht="15.75" x14ac:dyDescent="0.25">
      <c r="B646" s="176">
        <v>2028</v>
      </c>
      <c r="C646" s="177">
        <v>2018</v>
      </c>
      <c r="D646" s="178" t="s">
        <v>3492</v>
      </c>
      <c r="E646" s="461">
        <v>4.3965968137975098E-2</v>
      </c>
      <c r="F646" s="462">
        <v>4.8614495025506063E-2</v>
      </c>
      <c r="G646" s="316">
        <v>6.3772435349368051E-2</v>
      </c>
      <c r="H646" s="317">
        <v>6.7785079704257619E-3</v>
      </c>
      <c r="I646" s="317">
        <v>0.1035007331586216</v>
      </c>
      <c r="J646" s="317">
        <v>2.7068549647224632E-2</v>
      </c>
      <c r="K646" s="317">
        <v>1.2366128783910128E-2</v>
      </c>
      <c r="L646" s="318">
        <v>2.089286396859132E-3</v>
      </c>
      <c r="M646" s="317">
        <v>2.73030695772365E-3</v>
      </c>
      <c r="N646" s="318">
        <v>2.0000005732018801E-3</v>
      </c>
      <c r="O646" s="317">
        <v>2.8172516114680114E-2</v>
      </c>
      <c r="P646" s="318">
        <v>1.7133792962139505E-2</v>
      </c>
      <c r="Q646" s="319">
        <v>1.2925270253634703E-2</v>
      </c>
    </row>
    <row r="647" spans="2:17" ht="15.75" x14ac:dyDescent="0.25">
      <c r="B647" s="176">
        <v>2028</v>
      </c>
      <c r="C647" s="177">
        <v>2019</v>
      </c>
      <c r="D647" s="178" t="s">
        <v>3493</v>
      </c>
      <c r="E647" s="461">
        <v>4.3459417598419384E-2</v>
      </c>
      <c r="F647" s="462">
        <v>4.6731893297413458E-2</v>
      </c>
      <c r="G647" s="316">
        <v>6.2427066466951203E-2</v>
      </c>
      <c r="H647" s="317">
        <v>6.0244370513935957E-3</v>
      </c>
      <c r="I647" s="317">
        <v>8.7467890393399431E-2</v>
      </c>
      <c r="J647" s="317">
        <v>2.4245830213638912E-2</v>
      </c>
      <c r="K647" s="317">
        <v>1.0221849519187426E-2</v>
      </c>
      <c r="L647" s="318">
        <v>1.9837079593863095E-3</v>
      </c>
      <c r="M647" s="317">
        <v>2.7257107731444921E-3</v>
      </c>
      <c r="N647" s="318">
        <v>2.0000005732018801E-3</v>
      </c>
      <c r="O647" s="317">
        <v>2.8094335014988564E-2</v>
      </c>
      <c r="P647" s="318">
        <v>1.7130038031861586E-2</v>
      </c>
      <c r="Q647" s="319">
        <v>1.0684036195659568E-2</v>
      </c>
    </row>
    <row r="648" spans="2:17" ht="15.75" x14ac:dyDescent="0.25">
      <c r="B648" s="176">
        <v>2028</v>
      </c>
      <c r="C648" s="177">
        <v>2020</v>
      </c>
      <c r="D648" s="178" t="s">
        <v>3494</v>
      </c>
      <c r="E648" s="461">
        <v>4.2974870183058761E-2</v>
      </c>
      <c r="F648" s="462">
        <v>4.4906427718665452E-2</v>
      </c>
      <c r="G648" s="316">
        <v>6.1186980602344711E-2</v>
      </c>
      <c r="H648" s="317">
        <v>5.1394935568383994E-3</v>
      </c>
      <c r="I648" s="317">
        <v>7.2197071552390593E-2</v>
      </c>
      <c r="J648" s="317">
        <v>2.1491669024502266E-2</v>
      </c>
      <c r="K648" s="317">
        <v>8.2284010061541828E-3</v>
      </c>
      <c r="L648" s="318">
        <v>1.4590026164202534E-3</v>
      </c>
      <c r="M648" s="317">
        <v>2.7238269580055654E-3</v>
      </c>
      <c r="N648" s="318">
        <v>2.0000005732018801E-3</v>
      </c>
      <c r="O648" s="317">
        <v>2.8062291319475498E-2</v>
      </c>
      <c r="P648" s="318">
        <v>1.7142393098921221E-2</v>
      </c>
      <c r="Q648" s="319">
        <v>8.6004527866637807E-3</v>
      </c>
    </row>
    <row r="649" spans="2:17" ht="15.75" x14ac:dyDescent="0.25">
      <c r="B649" s="176">
        <v>2028</v>
      </c>
      <c r="C649" s="177">
        <v>2021</v>
      </c>
      <c r="D649" s="178" t="s">
        <v>3495</v>
      </c>
      <c r="E649" s="461">
        <v>4.1616994807225867E-2</v>
      </c>
      <c r="F649" s="462">
        <v>4.2879061596379636E-2</v>
      </c>
      <c r="G649" s="316">
        <v>5.7287813832497113E-2</v>
      </c>
      <c r="H649" s="317">
        <v>4.4612145517355364E-3</v>
      </c>
      <c r="I649" s="317">
        <v>5.1738921681448294E-2</v>
      </c>
      <c r="J649" s="317">
        <v>1.9511510257484477E-2</v>
      </c>
      <c r="K649" s="317">
        <v>5.3733162824181682E-3</v>
      </c>
      <c r="L649" s="318">
        <v>9.5558023222244313E-4</v>
      </c>
      <c r="M649" s="317">
        <v>2.7204832051038121E-3</v>
      </c>
      <c r="N649" s="318">
        <v>2.0000005732018801E-3</v>
      </c>
      <c r="O649" s="317">
        <v>2.8005414082616666E-2</v>
      </c>
      <c r="P649" s="318">
        <v>1.7152976619007991E-2</v>
      </c>
      <c r="Q649" s="319">
        <v>5.6162738009712448E-3</v>
      </c>
    </row>
    <row r="650" spans="2:17" ht="15.75" x14ac:dyDescent="0.25">
      <c r="B650" s="176">
        <v>2028</v>
      </c>
      <c r="C650" s="177">
        <v>2022</v>
      </c>
      <c r="D650" s="178" t="s">
        <v>3496</v>
      </c>
      <c r="E650" s="461">
        <v>4.0426246995630515E-2</v>
      </c>
      <c r="F650" s="462">
        <v>4.1312325377741745E-2</v>
      </c>
      <c r="G650" s="316">
        <v>5.590765414032977E-2</v>
      </c>
      <c r="H650" s="317">
        <v>3.7043566958728114E-3</v>
      </c>
      <c r="I650" s="317">
        <v>3.8048772614292709E-2</v>
      </c>
      <c r="J650" s="317">
        <v>1.7204628582320018E-2</v>
      </c>
      <c r="K650" s="317">
        <v>3.764977679526659E-3</v>
      </c>
      <c r="L650" s="318">
        <v>9.5541925600083142E-4</v>
      </c>
      <c r="M650" s="317">
        <v>2.7178362625495949E-3</v>
      </c>
      <c r="N650" s="318">
        <v>2.0000005732018801E-3</v>
      </c>
      <c r="O650" s="317">
        <v>2.7960389589769437E-2</v>
      </c>
      <c r="P650" s="318">
        <v>1.7150764230591215E-2</v>
      </c>
      <c r="Q650" s="319">
        <v>3.935213263353836E-3</v>
      </c>
    </row>
    <row r="651" spans="2:17" ht="15.75" x14ac:dyDescent="0.25">
      <c r="B651" s="176">
        <v>2028</v>
      </c>
      <c r="C651" s="177">
        <v>2023</v>
      </c>
      <c r="D651" s="178" t="s">
        <v>3497</v>
      </c>
      <c r="E651" s="461">
        <v>3.9215770725304293E-2</v>
      </c>
      <c r="F651" s="462">
        <v>3.9710314411231795E-2</v>
      </c>
      <c r="G651" s="316">
        <v>5.437063220276115E-2</v>
      </c>
      <c r="H651" s="317">
        <v>3.1632027902320226E-3</v>
      </c>
      <c r="I651" s="317">
        <v>3.6178745875097854E-2</v>
      </c>
      <c r="J651" s="317">
        <v>1.5982024404376967E-2</v>
      </c>
      <c r="K651" s="317">
        <v>3.4235339511861284E-3</v>
      </c>
      <c r="L651" s="318">
        <v>9.5504922714224666E-4</v>
      </c>
      <c r="M651" s="317">
        <v>2.7138232469277107E-3</v>
      </c>
      <c r="N651" s="318">
        <v>2.000000573201871E-3</v>
      </c>
      <c r="O651" s="317">
        <v>2.7892128194041185E-2</v>
      </c>
      <c r="P651" s="318">
        <v>1.7137319484991746E-2</v>
      </c>
      <c r="Q651" s="319">
        <v>3.5783309647518529E-3</v>
      </c>
    </row>
    <row r="652" spans="2:17" ht="15.75" x14ac:dyDescent="0.25">
      <c r="B652" s="176">
        <v>2028</v>
      </c>
      <c r="C652" s="177">
        <v>2024</v>
      </c>
      <c r="D652" s="178" t="s">
        <v>3498</v>
      </c>
      <c r="E652" s="461">
        <v>3.8083798107556854E-2</v>
      </c>
      <c r="F652" s="462">
        <v>3.8198201826524975E-2</v>
      </c>
      <c r="G652" s="316">
        <v>5.2983304963355224E-2</v>
      </c>
      <c r="H652" s="317">
        <v>2.6976527305216454E-3</v>
      </c>
      <c r="I652" s="317">
        <v>3.4345671286128296E-2</v>
      </c>
      <c r="J652" s="317">
        <v>1.5138017849631357E-2</v>
      </c>
      <c r="K652" s="317">
        <v>3.0786222484140793E-3</v>
      </c>
      <c r="L652" s="318">
        <v>9.5557864959628627E-4</v>
      </c>
      <c r="M652" s="317">
        <v>2.7128790369648527E-3</v>
      </c>
      <c r="N652" s="318">
        <v>2.0000005732018801E-3</v>
      </c>
      <c r="O652" s="317">
        <v>2.7876067182572975E-2</v>
      </c>
      <c r="P652" s="318">
        <v>1.7147973203443058E-2</v>
      </c>
      <c r="Q652" s="319">
        <v>3.2178238853034671E-3</v>
      </c>
    </row>
    <row r="653" spans="2:17" ht="15.75" x14ac:dyDescent="0.25">
      <c r="B653" s="176">
        <v>2028</v>
      </c>
      <c r="C653" s="177">
        <v>2025</v>
      </c>
      <c r="D653" s="178" t="s">
        <v>3499</v>
      </c>
      <c r="E653" s="461">
        <v>3.6962243516795293E-2</v>
      </c>
      <c r="F653" s="462">
        <v>3.6674338928229945E-2</v>
      </c>
      <c r="G653" s="316">
        <v>5.157315073605908E-2</v>
      </c>
      <c r="H653" s="317">
        <v>2.4269757716449398E-3</v>
      </c>
      <c r="I653" s="317">
        <v>3.2448040981499317E-2</v>
      </c>
      <c r="J653" s="317">
        <v>1.4902962451923333E-2</v>
      </c>
      <c r="K653" s="317">
        <v>2.7191740272632437E-3</v>
      </c>
      <c r="L653" s="318">
        <v>9.5639808419463164E-4</v>
      </c>
      <c r="M653" s="317">
        <v>2.7125731501406276E-3</v>
      </c>
      <c r="N653" s="318">
        <v>2.0000005732018801E-3</v>
      </c>
      <c r="O653" s="317">
        <v>2.7870864047692911E-2</v>
      </c>
      <c r="P653" s="318">
        <v>1.715410978377211E-2</v>
      </c>
      <c r="Q653" s="319">
        <v>2.8421230106200472E-3</v>
      </c>
    </row>
    <row r="654" spans="2:17" ht="15.75" x14ac:dyDescent="0.25">
      <c r="B654" s="176">
        <v>2028</v>
      </c>
      <c r="C654" s="177">
        <v>2026</v>
      </c>
      <c r="D654" s="178" t="s">
        <v>3500</v>
      </c>
      <c r="E654" s="461">
        <v>3.6186442607328111E-2</v>
      </c>
      <c r="F654" s="462">
        <v>3.6442146816002059E-2</v>
      </c>
      <c r="G654" s="316">
        <v>4.9941799886515856E-2</v>
      </c>
      <c r="H654" s="317">
        <v>2.4210420961933692E-3</v>
      </c>
      <c r="I654" s="317">
        <v>3.0382717427271944E-2</v>
      </c>
      <c r="J654" s="317">
        <v>1.4384156183874709E-2</v>
      </c>
      <c r="K654" s="317">
        <v>2.3367779748109992E-3</v>
      </c>
      <c r="L654" s="318">
        <v>8.358494035111925E-4</v>
      </c>
      <c r="M654" s="317">
        <v>2.7099095609898049E-3</v>
      </c>
      <c r="N654" s="318">
        <v>2.0000005732018801E-3</v>
      </c>
      <c r="O654" s="317">
        <v>2.7825556396237412E-2</v>
      </c>
      <c r="P654" s="318">
        <v>1.7141689249260992E-2</v>
      </c>
      <c r="Q654" s="319">
        <v>2.4424367055332621E-3</v>
      </c>
    </row>
    <row r="655" spans="2:17" ht="15.75" x14ac:dyDescent="0.25">
      <c r="B655" s="176">
        <v>2028</v>
      </c>
      <c r="C655" s="177">
        <v>2027</v>
      </c>
      <c r="D655" s="178" t="s">
        <v>3501</v>
      </c>
      <c r="E655" s="461">
        <v>3.5460528544222068E-2</v>
      </c>
      <c r="F655" s="462">
        <v>3.6197055312608438E-2</v>
      </c>
      <c r="G655" s="316">
        <v>4.8315708297927126E-2</v>
      </c>
      <c r="H655" s="317">
        <v>2.4061946300872115E-3</v>
      </c>
      <c r="I655" s="317">
        <v>2.8268625846073901E-2</v>
      </c>
      <c r="J655" s="317">
        <v>1.3843135281303154E-2</v>
      </c>
      <c r="K655" s="317">
        <v>1.9417407462002994E-3</v>
      </c>
      <c r="L655" s="318">
        <v>6.9346320070636793E-4</v>
      </c>
      <c r="M655" s="317">
        <v>2.7083090705208764E-3</v>
      </c>
      <c r="N655" s="318">
        <v>2.0000005732018801E-3</v>
      </c>
      <c r="O655" s="317">
        <v>2.7798332053360932E-2</v>
      </c>
      <c r="P655" s="318">
        <v>1.7124830356160498E-2</v>
      </c>
      <c r="Q655" s="319">
        <v>2.0295376463965258E-3</v>
      </c>
    </row>
    <row r="656" spans="2:17" ht="15.75" x14ac:dyDescent="0.25">
      <c r="B656" s="176">
        <v>2028</v>
      </c>
      <c r="C656" s="177">
        <v>2028</v>
      </c>
      <c r="D656" s="178" t="s">
        <v>3502</v>
      </c>
      <c r="E656" s="461">
        <v>3.5086827515756806E-2</v>
      </c>
      <c r="F656" s="462">
        <v>3.5515703404451628E-2</v>
      </c>
      <c r="G656" s="316">
        <v>4.4937870790760948E-2</v>
      </c>
      <c r="H656" s="317">
        <v>2.2800308319700885E-3</v>
      </c>
      <c r="I656" s="317">
        <v>2.5288166212082977E-2</v>
      </c>
      <c r="J656" s="317">
        <v>1.2715098148291557E-2</v>
      </c>
      <c r="K656" s="317">
        <v>1.4895487726536401E-3</v>
      </c>
      <c r="L656" s="318">
        <v>5.5956468594395932E-4</v>
      </c>
      <c r="M656" s="317">
        <v>2.6793277601653725E-3</v>
      </c>
      <c r="N656" s="318">
        <v>2.0000005732018801E-3</v>
      </c>
      <c r="O656" s="317">
        <v>2.7305359964213807E-2</v>
      </c>
      <c r="P656" s="318">
        <v>1.6899480239277322E-2</v>
      </c>
      <c r="Q656" s="319">
        <v>1.5568995583782508E-3</v>
      </c>
    </row>
    <row r="657" spans="2:17" ht="15.75" x14ac:dyDescent="0.25">
      <c r="B657" s="176">
        <v>2029</v>
      </c>
      <c r="C657" s="177">
        <v>1985</v>
      </c>
      <c r="D657" s="178" t="s">
        <v>3503</v>
      </c>
      <c r="E657" s="461">
        <v>5.6157629551071203E-2</v>
      </c>
      <c r="F657" s="462">
        <v>9.9012695933431247E-2</v>
      </c>
      <c r="G657" s="316">
        <v>0.26424501071339679</v>
      </c>
      <c r="H657" s="317">
        <v>1.1123780075600653</v>
      </c>
      <c r="I657" s="317">
        <v>3.953140582076645</v>
      </c>
      <c r="J657" s="317">
        <v>2.9244140869997874</v>
      </c>
      <c r="K657" s="317">
        <v>0.18583039170204305</v>
      </c>
      <c r="L657" s="318">
        <v>1.7345899902260063E-2</v>
      </c>
      <c r="M657" s="317">
        <v>2.706190995023948E-3</v>
      </c>
      <c r="N657" s="318">
        <v>2.0000005732018805E-3</v>
      </c>
      <c r="O657" s="317">
        <v>2.7762303589158176E-2</v>
      </c>
      <c r="P657" s="318">
        <v>2.3051895531377927E-2</v>
      </c>
      <c r="Q657" s="319">
        <v>0.1942328174046595</v>
      </c>
    </row>
    <row r="658" spans="2:17" ht="15.75" x14ac:dyDescent="0.25">
      <c r="B658" s="176">
        <v>2029</v>
      </c>
      <c r="C658" s="177">
        <v>1986</v>
      </c>
      <c r="D658" s="178" t="s">
        <v>3504</v>
      </c>
      <c r="E658" s="461">
        <v>5.7006867775783364E-2</v>
      </c>
      <c r="F658" s="462">
        <v>9.3517018777370342E-2</v>
      </c>
      <c r="G658" s="316">
        <v>0.25476248621852216</v>
      </c>
      <c r="H658" s="317">
        <v>1.0603060271100548</v>
      </c>
      <c r="I658" s="317">
        <v>4.3244126525180473</v>
      </c>
      <c r="J658" s="317">
        <v>2.7422005525087365</v>
      </c>
      <c r="K658" s="317">
        <v>0.18329403527988197</v>
      </c>
      <c r="L658" s="318">
        <v>1.7507461530557978E-2</v>
      </c>
      <c r="M658" s="317">
        <v>2.8093584466738395E-3</v>
      </c>
      <c r="N658" s="318">
        <v>2.0000005732018797E-3</v>
      </c>
      <c r="O658" s="317">
        <v>2.9517181941722839E-2</v>
      </c>
      <c r="P658" s="318">
        <v>2.2432190158004413E-2</v>
      </c>
      <c r="Q658" s="319">
        <v>0.19158177820000344</v>
      </c>
    </row>
    <row r="659" spans="2:17" ht="15.75" x14ac:dyDescent="0.25">
      <c r="B659" s="176">
        <v>2029</v>
      </c>
      <c r="C659" s="177">
        <v>1987</v>
      </c>
      <c r="D659" s="178" t="s">
        <v>3505</v>
      </c>
      <c r="E659" s="461">
        <v>5.7522374171553731E-2</v>
      </c>
      <c r="F659" s="462">
        <v>8.9881462725603933E-2</v>
      </c>
      <c r="G659" s="316">
        <v>0.29788421469792664</v>
      </c>
      <c r="H659" s="317">
        <v>0.97747348120739452</v>
      </c>
      <c r="I659" s="317">
        <v>4.7659721530082573</v>
      </c>
      <c r="J659" s="317">
        <v>2.6311305997483934</v>
      </c>
      <c r="K659" s="317">
        <v>0.2008394802133914</v>
      </c>
      <c r="L659" s="318">
        <v>1.7773713097071594E-2</v>
      </c>
      <c r="M659" s="317">
        <v>2.9028797601247727E-3</v>
      </c>
      <c r="N659" s="318">
        <v>2.0000005732018801E-3</v>
      </c>
      <c r="O659" s="317">
        <v>3.1107979483523215E-2</v>
      </c>
      <c r="P659" s="318">
        <v>2.1388898701676692E-2</v>
      </c>
      <c r="Q659" s="319">
        <v>0.20992055029664761</v>
      </c>
    </row>
    <row r="660" spans="2:17" ht="15.75" x14ac:dyDescent="0.25">
      <c r="B660" s="176">
        <v>2029</v>
      </c>
      <c r="C660" s="177">
        <v>1988</v>
      </c>
      <c r="D660" s="178" t="s">
        <v>3506</v>
      </c>
      <c r="E660" s="461">
        <v>5.7571737409726459E-2</v>
      </c>
      <c r="F660" s="462">
        <v>8.8702436456766287E-2</v>
      </c>
      <c r="G660" s="316">
        <v>0.29348330465776179</v>
      </c>
      <c r="H660" s="317">
        <v>0.50788626682697235</v>
      </c>
      <c r="I660" s="317">
        <v>4.9514453883288203</v>
      </c>
      <c r="J660" s="317">
        <v>1.9051293931893305</v>
      </c>
      <c r="K660" s="317">
        <v>0.19870628931905321</v>
      </c>
      <c r="L660" s="318">
        <v>1.7262618522548064E-2</v>
      </c>
      <c r="M660" s="317">
        <v>2.9454821584173076E-3</v>
      </c>
      <c r="N660" s="318">
        <v>2.0000005732018801E-3</v>
      </c>
      <c r="O660" s="317">
        <v>3.1832646278479225E-2</v>
      </c>
      <c r="P660" s="318">
        <v>2.1872335892379025E-2</v>
      </c>
      <c r="Q660" s="319">
        <v>0.20769090597596099</v>
      </c>
    </row>
    <row r="661" spans="2:17" ht="15.75" x14ac:dyDescent="0.25">
      <c r="B661" s="176">
        <v>2029</v>
      </c>
      <c r="C661" s="177">
        <v>1989</v>
      </c>
      <c r="D661" s="178" t="s">
        <v>3507</v>
      </c>
      <c r="E661" s="461">
        <v>5.779817595608689E-2</v>
      </c>
      <c r="F661" s="462">
        <v>9.1207144899233303E-2</v>
      </c>
      <c r="G661" s="316">
        <v>0.29339475989207853</v>
      </c>
      <c r="H661" s="317">
        <v>0.50656503506945838</v>
      </c>
      <c r="I661" s="317">
        <v>5.0473520042850435</v>
      </c>
      <c r="J661" s="317">
        <v>1.9023938134139415</v>
      </c>
      <c r="K661" s="317">
        <v>0.19920992473738552</v>
      </c>
      <c r="L661" s="318">
        <v>1.7050389672058769E-2</v>
      </c>
      <c r="M661" s="317">
        <v>2.9706819721347401E-3</v>
      </c>
      <c r="N661" s="318">
        <v>2.0000005732018801E-3</v>
      </c>
      <c r="O661" s="317">
        <v>3.2261295109812765E-2</v>
      </c>
      <c r="P661" s="318">
        <v>2.2721495208500891E-2</v>
      </c>
      <c r="Q661" s="319">
        <v>0.20821731355306178</v>
      </c>
    </row>
    <row r="662" spans="2:17" ht="15.75" x14ac:dyDescent="0.25">
      <c r="B662" s="176">
        <v>2029</v>
      </c>
      <c r="C662" s="177">
        <v>1990</v>
      </c>
      <c r="D662" s="178" t="s">
        <v>3508</v>
      </c>
      <c r="E662" s="461">
        <v>5.8299820736665273E-2</v>
      </c>
      <c r="F662" s="462">
        <v>8.8886595785872338E-2</v>
      </c>
      <c r="G662" s="316">
        <v>0.2978804451297784</v>
      </c>
      <c r="H662" s="317">
        <v>0.5076305418176047</v>
      </c>
      <c r="I662" s="317">
        <v>5.0250024968794698</v>
      </c>
      <c r="J662" s="317">
        <v>1.8947730512387675</v>
      </c>
      <c r="K662" s="317">
        <v>0.20240532871356229</v>
      </c>
      <c r="L662" s="318">
        <v>1.7293335245171518E-2</v>
      </c>
      <c r="M662" s="317">
        <v>2.9781796761399826E-3</v>
      </c>
      <c r="N662" s="318">
        <v>2.0000005732018801E-3</v>
      </c>
      <c r="O662" s="317">
        <v>3.2388831054941933E-2</v>
      </c>
      <c r="P662" s="318">
        <v>2.1902625998123908E-2</v>
      </c>
      <c r="Q662" s="319">
        <v>0.21155719951764557</v>
      </c>
    </row>
    <row r="663" spans="2:17" ht="15.75" x14ac:dyDescent="0.25">
      <c r="B663" s="176">
        <v>2029</v>
      </c>
      <c r="C663" s="177">
        <v>1991</v>
      </c>
      <c r="D663" s="178" t="s">
        <v>3509</v>
      </c>
      <c r="E663" s="461">
        <v>5.8182801059854017E-2</v>
      </c>
      <c r="F663" s="462">
        <v>8.6683372815737056E-2</v>
      </c>
      <c r="G663" s="316">
        <v>0.37971539590184239</v>
      </c>
      <c r="H663" s="317">
        <v>0.52853446745135912</v>
      </c>
      <c r="I663" s="317">
        <v>8.8386478432949609</v>
      </c>
      <c r="J663" s="317">
        <v>2.3169413106995065</v>
      </c>
      <c r="K663" s="317">
        <v>5.7893046023472131E-2</v>
      </c>
      <c r="L663" s="318">
        <v>9.7241247497874897E-3</v>
      </c>
      <c r="M663" s="317">
        <v>2.9748798553284024E-3</v>
      </c>
      <c r="N663" s="318">
        <v>2.0000005732018801E-3</v>
      </c>
      <c r="O663" s="317">
        <v>3.2332701102936956E-2</v>
      </c>
      <c r="P663" s="318">
        <v>2.1079915423458943E-2</v>
      </c>
      <c r="Q663" s="319">
        <v>6.0510712668066576E-2</v>
      </c>
    </row>
    <row r="664" spans="2:17" ht="15.75" x14ac:dyDescent="0.25">
      <c r="B664" s="176">
        <v>2029</v>
      </c>
      <c r="C664" s="177">
        <v>1992</v>
      </c>
      <c r="D664" s="178" t="s">
        <v>3510</v>
      </c>
      <c r="E664" s="461">
        <v>5.8142695834970594E-2</v>
      </c>
      <c r="F664" s="462">
        <v>8.3778599410961177E-2</v>
      </c>
      <c r="G664" s="316">
        <v>0.38009252237049101</v>
      </c>
      <c r="H664" s="317">
        <v>0.52934667955029113</v>
      </c>
      <c r="I664" s="317">
        <v>8.7518551171604937</v>
      </c>
      <c r="J664" s="317">
        <v>2.250626202212259</v>
      </c>
      <c r="K664" s="317">
        <v>5.9525831060344807E-2</v>
      </c>
      <c r="L664" s="318">
        <v>9.8431775104313862E-3</v>
      </c>
      <c r="M664" s="317">
        <v>2.964790740469543E-3</v>
      </c>
      <c r="N664" s="318">
        <v>2.0000005732018801E-3</v>
      </c>
      <c r="O664" s="317">
        <v>3.2161085259187761E-2</v>
      </c>
      <c r="P664" s="318">
        <v>2.0140562321719492E-2</v>
      </c>
      <c r="Q664" s="319">
        <v>6.2217324998930366E-2</v>
      </c>
    </row>
    <row r="665" spans="2:17" ht="15.75" x14ac:dyDescent="0.25">
      <c r="B665" s="176">
        <v>2029</v>
      </c>
      <c r="C665" s="177">
        <v>1993</v>
      </c>
      <c r="D665" s="178" t="s">
        <v>3511</v>
      </c>
      <c r="E665" s="461">
        <v>5.8015272659049308E-2</v>
      </c>
      <c r="F665" s="462">
        <v>7.5188661518140895E-2</v>
      </c>
      <c r="G665" s="316">
        <v>0.37305681265986851</v>
      </c>
      <c r="H665" s="317">
        <v>0.53362846988924184</v>
      </c>
      <c r="I665" s="317">
        <v>8.8411712976030383</v>
      </c>
      <c r="J665" s="317">
        <v>2.2080913844614916</v>
      </c>
      <c r="K665" s="317">
        <v>5.3928354429707386E-2</v>
      </c>
      <c r="L665" s="318">
        <v>9.9710360077112214E-3</v>
      </c>
      <c r="M665" s="317">
        <v>2.973346423140788E-3</v>
      </c>
      <c r="N665" s="318">
        <v>2.0000005732018801E-3</v>
      </c>
      <c r="O665" s="317">
        <v>3.2306617421425633E-2</v>
      </c>
      <c r="P665" s="318">
        <v>1.9794924921324866E-2</v>
      </c>
      <c r="Q665" s="319">
        <v>5.6366755313490148E-2</v>
      </c>
    </row>
    <row r="666" spans="2:17" ht="15.75" x14ac:dyDescent="0.25">
      <c r="B666" s="176">
        <v>2029</v>
      </c>
      <c r="C666" s="177">
        <v>1994</v>
      </c>
      <c r="D666" s="178" t="s">
        <v>3512</v>
      </c>
      <c r="E666" s="461">
        <v>5.7789462247712857E-2</v>
      </c>
      <c r="F666" s="462">
        <v>7.2010497937557524E-2</v>
      </c>
      <c r="G666" s="316">
        <v>0.36860051431995888</v>
      </c>
      <c r="H666" s="317">
        <v>0.53435566564262593</v>
      </c>
      <c r="I666" s="317">
        <v>8.8146135382740489</v>
      </c>
      <c r="J666" s="317">
        <v>2.1444245031295353</v>
      </c>
      <c r="K666" s="317">
        <v>5.4096965020671482E-2</v>
      </c>
      <c r="L666" s="318">
        <v>1.0068987225371796E-2</v>
      </c>
      <c r="M666" s="317">
        <v>2.9662261870638871E-3</v>
      </c>
      <c r="N666" s="318">
        <v>2.0000005732018801E-3</v>
      </c>
      <c r="O666" s="317">
        <v>3.2185502205757548E-2</v>
      </c>
      <c r="P666" s="318">
        <v>1.8921602470194459E-2</v>
      </c>
      <c r="Q666" s="319">
        <v>5.6542989727179215E-2</v>
      </c>
    </row>
    <row r="667" spans="2:17" ht="15.75" x14ac:dyDescent="0.25">
      <c r="B667" s="176">
        <v>2029</v>
      </c>
      <c r="C667" s="177">
        <v>1995</v>
      </c>
      <c r="D667" s="178" t="s">
        <v>3513</v>
      </c>
      <c r="E667" s="461">
        <v>5.7535955365487321E-2</v>
      </c>
      <c r="F667" s="462">
        <v>7.3698906054596586E-2</v>
      </c>
      <c r="G667" s="316">
        <v>0.36655094779232844</v>
      </c>
      <c r="H667" s="317">
        <v>0.40375818599042645</v>
      </c>
      <c r="I667" s="317">
        <v>8.9463852813947895</v>
      </c>
      <c r="J667" s="317">
        <v>1.680731413109628</v>
      </c>
      <c r="K667" s="317">
        <v>5.3458911558295345E-2</v>
      </c>
      <c r="L667" s="318">
        <v>9.2804367261911762E-3</v>
      </c>
      <c r="M667" s="317">
        <v>2.9752505847648052E-3</v>
      </c>
      <c r="N667" s="318">
        <v>2.0000005732018801E-3</v>
      </c>
      <c r="O667" s="317">
        <v>3.2339007210650174E-2</v>
      </c>
      <c r="P667" s="318">
        <v>1.9678122980216615E-2</v>
      </c>
      <c r="Q667" s="319">
        <v>5.5876086318554848E-2</v>
      </c>
    </row>
    <row r="668" spans="2:17" ht="15.75" x14ac:dyDescent="0.25">
      <c r="B668" s="176">
        <v>2029</v>
      </c>
      <c r="C668" s="177">
        <v>1996</v>
      </c>
      <c r="D668" s="178" t="s">
        <v>3514</v>
      </c>
      <c r="E668" s="461">
        <v>5.7680289943755819E-2</v>
      </c>
      <c r="F668" s="462">
        <v>7.3582631668356949E-2</v>
      </c>
      <c r="G668" s="316">
        <v>0.36943991753165834</v>
      </c>
      <c r="H668" s="317">
        <v>0.1389865642924322</v>
      </c>
      <c r="I668" s="317">
        <v>8.9574929968696466</v>
      </c>
      <c r="J668" s="317">
        <v>1.0167805020123843</v>
      </c>
      <c r="K668" s="317">
        <v>5.3688414789510301E-2</v>
      </c>
      <c r="L668" s="318">
        <v>2.8380330455950241E-3</v>
      </c>
      <c r="M668" s="317">
        <v>2.9796846383392927E-3</v>
      </c>
      <c r="N668" s="318">
        <v>2.0000005732018801E-3</v>
      </c>
      <c r="O668" s="317">
        <v>3.24144304619522E-2</v>
      </c>
      <c r="P668" s="318">
        <v>1.9978542117864605E-2</v>
      </c>
      <c r="Q668" s="319">
        <v>5.6115966667479721E-2</v>
      </c>
    </row>
    <row r="669" spans="2:17" ht="15.75" x14ac:dyDescent="0.25">
      <c r="B669" s="176">
        <v>2029</v>
      </c>
      <c r="C669" s="177">
        <v>1997</v>
      </c>
      <c r="D669" s="178" t="s">
        <v>3515</v>
      </c>
      <c r="E669" s="461">
        <v>5.7828744979397655E-2</v>
      </c>
      <c r="F669" s="462">
        <v>7.1432201749433974E-2</v>
      </c>
      <c r="G669" s="316">
        <v>0.37232384506109029</v>
      </c>
      <c r="H669" s="317">
        <v>0.14400558519507717</v>
      </c>
      <c r="I669" s="317">
        <v>8.9774285717311617</v>
      </c>
      <c r="J669" s="317">
        <v>1.0444745962659379</v>
      </c>
      <c r="K669" s="317">
        <v>5.3907383706220779E-2</v>
      </c>
      <c r="L669" s="318">
        <v>2.8579735354368127E-3</v>
      </c>
      <c r="M669" s="317">
        <v>2.9848513269687743E-3</v>
      </c>
      <c r="N669" s="318">
        <v>2.0000005732018801E-3</v>
      </c>
      <c r="O669" s="317">
        <v>3.2502315835539676E-2</v>
      </c>
      <c r="P669" s="318">
        <v>1.9387845994147106E-2</v>
      </c>
      <c r="Q669" s="319">
        <v>5.6344836386943604E-2</v>
      </c>
    </row>
    <row r="670" spans="2:17" ht="15.75" x14ac:dyDescent="0.25">
      <c r="B670" s="176">
        <v>2029</v>
      </c>
      <c r="C670" s="177">
        <v>1998</v>
      </c>
      <c r="D670" s="178" t="s">
        <v>3516</v>
      </c>
      <c r="E670" s="461">
        <v>5.7709679679523618E-2</v>
      </c>
      <c r="F670" s="462">
        <v>6.8246148693839132E-2</v>
      </c>
      <c r="G670" s="316">
        <v>0.37063331504360841</v>
      </c>
      <c r="H670" s="317">
        <v>0.13343021818460629</v>
      </c>
      <c r="I670" s="317">
        <v>8.9606394751562313</v>
      </c>
      <c r="J670" s="317">
        <v>0.92164056356874446</v>
      </c>
      <c r="K670" s="317">
        <v>5.3773332062567153E-2</v>
      </c>
      <c r="L670" s="318">
        <v>2.8965580065797325E-3</v>
      </c>
      <c r="M670" s="317">
        <v>2.9818824597852077E-3</v>
      </c>
      <c r="N670" s="318">
        <v>2.0000005732018801E-3</v>
      </c>
      <c r="O670" s="317">
        <v>3.245181540474721E-2</v>
      </c>
      <c r="P670" s="318">
        <v>1.8497649299936553E-2</v>
      </c>
      <c r="Q670" s="319">
        <v>5.6204723522809377E-2</v>
      </c>
    </row>
    <row r="671" spans="2:17" ht="15.75" x14ac:dyDescent="0.25">
      <c r="B671" s="176">
        <v>2029</v>
      </c>
      <c r="C671" s="177">
        <v>1999</v>
      </c>
      <c r="D671" s="178" t="s">
        <v>3517</v>
      </c>
      <c r="E671" s="461">
        <v>5.7831909722629478E-2</v>
      </c>
      <c r="F671" s="462">
        <v>6.8840977129881409E-2</v>
      </c>
      <c r="G671" s="316">
        <v>0.37429002872742473</v>
      </c>
      <c r="H671" s="317">
        <v>0.11664998076000895</v>
      </c>
      <c r="I671" s="317">
        <v>9.0697120202083692</v>
      </c>
      <c r="J671" s="317">
        <v>0.76466378116453515</v>
      </c>
      <c r="K671" s="317">
        <v>5.3788633350346476E-2</v>
      </c>
      <c r="L671" s="318">
        <v>2.9018532320490009E-3</v>
      </c>
      <c r="M671" s="317">
        <v>2.9950925985091845E-3</v>
      </c>
      <c r="N671" s="318">
        <v>2.0000005732018801E-3</v>
      </c>
      <c r="O671" s="317">
        <v>3.2676519864442061E-2</v>
      </c>
      <c r="P671" s="318">
        <v>1.8697971509551162E-2</v>
      </c>
      <c r="Q671" s="319">
        <v>5.6220716666923611E-2</v>
      </c>
    </row>
    <row r="672" spans="2:17" ht="15.75" x14ac:dyDescent="0.25">
      <c r="B672" s="176">
        <v>2029</v>
      </c>
      <c r="C672" s="177">
        <v>2000</v>
      </c>
      <c r="D672" s="178" t="s">
        <v>3518</v>
      </c>
      <c r="E672" s="461">
        <v>5.7683656508666602E-2</v>
      </c>
      <c r="F672" s="462">
        <v>7.4943560466550665E-2</v>
      </c>
      <c r="G672" s="316">
        <v>0.37290800828495413</v>
      </c>
      <c r="H672" s="317">
        <v>0.10016930089573861</v>
      </c>
      <c r="I672" s="317">
        <v>9.1221991105649973</v>
      </c>
      <c r="J672" s="317">
        <v>0.61342472272069148</v>
      </c>
      <c r="K672" s="317">
        <v>5.3459370048991005E-2</v>
      </c>
      <c r="L672" s="318">
        <v>2.8981631730004148E-3</v>
      </c>
      <c r="M672" s="317">
        <v>2.9983728250317491E-3</v>
      </c>
      <c r="N672" s="318">
        <v>2.0000005732018801E-3</v>
      </c>
      <c r="O672" s="317">
        <v>3.2732316517590884E-2</v>
      </c>
      <c r="P672" s="318">
        <v>1.8894677766754263E-2</v>
      </c>
      <c r="Q672" s="319">
        <v>5.587656554016518E-2</v>
      </c>
    </row>
    <row r="673" spans="2:17" ht="15.75" x14ac:dyDescent="0.25">
      <c r="B673" s="176">
        <v>2029</v>
      </c>
      <c r="C673" s="177">
        <v>2001</v>
      </c>
      <c r="D673" s="178" t="s">
        <v>3519</v>
      </c>
      <c r="E673" s="461">
        <v>5.7766559064125526E-2</v>
      </c>
      <c r="F673" s="462">
        <v>7.362654942121899E-2</v>
      </c>
      <c r="G673" s="316">
        <v>0.37376051913956004</v>
      </c>
      <c r="H673" s="317">
        <v>8.6624517905143972E-2</v>
      </c>
      <c r="I673" s="317">
        <v>9.0646753726160796</v>
      </c>
      <c r="J673" s="317">
        <v>0.47484432557180811</v>
      </c>
      <c r="K673" s="317">
        <v>5.3746082768744548E-2</v>
      </c>
      <c r="L673" s="318">
        <v>2.9220280729820697E-3</v>
      </c>
      <c r="M673" s="317">
        <v>2.9941769364505589E-3</v>
      </c>
      <c r="N673" s="318">
        <v>2.0000005732018801E-3</v>
      </c>
      <c r="O673" s="317">
        <v>3.2660944452824844E-2</v>
      </c>
      <c r="P673" s="318">
        <v>1.8470537118383947E-2</v>
      </c>
      <c r="Q673" s="319">
        <v>5.6176242136837098E-2</v>
      </c>
    </row>
    <row r="674" spans="2:17" ht="15.75" x14ac:dyDescent="0.25">
      <c r="B674" s="176">
        <v>2029</v>
      </c>
      <c r="C674" s="177">
        <v>2002</v>
      </c>
      <c r="D674" s="178" t="s">
        <v>3520</v>
      </c>
      <c r="E674" s="461">
        <v>5.7587739802524129E-2</v>
      </c>
      <c r="F674" s="462">
        <v>7.1712601967091255E-2</v>
      </c>
      <c r="G674" s="316">
        <v>0.28860647120610056</v>
      </c>
      <c r="H674" s="317">
        <v>8.6942202095943333E-2</v>
      </c>
      <c r="I674" s="317">
        <v>7.0251327108192525</v>
      </c>
      <c r="J674" s="317">
        <v>0.45704294795660771</v>
      </c>
      <c r="K674" s="317">
        <v>5.3886791430131198E-2</v>
      </c>
      <c r="L674" s="318">
        <v>2.9520504132242121E-3</v>
      </c>
      <c r="M674" s="317">
        <v>2.997395083706752E-3</v>
      </c>
      <c r="N674" s="318">
        <v>2.0000005732018801E-3</v>
      </c>
      <c r="O674" s="317">
        <v>3.2715685137652682E-2</v>
      </c>
      <c r="P674" s="318">
        <v>1.7856773897964712E-2</v>
      </c>
      <c r="Q674" s="319">
        <v>5.6323313019506174E-2</v>
      </c>
    </row>
    <row r="675" spans="2:17" ht="15.75" x14ac:dyDescent="0.25">
      <c r="B675" s="176">
        <v>2029</v>
      </c>
      <c r="C675" s="177">
        <v>2003</v>
      </c>
      <c r="D675" s="178" t="s">
        <v>3521</v>
      </c>
      <c r="E675" s="461">
        <v>5.7382057410261464E-2</v>
      </c>
      <c r="F675" s="462">
        <v>7.2774117695010396E-2</v>
      </c>
      <c r="G675" s="316">
        <v>0.28633465781638712</v>
      </c>
      <c r="H675" s="317">
        <v>7.0395490411714959E-2</v>
      </c>
      <c r="I675" s="317">
        <v>7.026268393703254</v>
      </c>
      <c r="J675" s="317">
        <v>0.39099729011499573</v>
      </c>
      <c r="K675" s="317">
        <v>5.3574792321511605E-2</v>
      </c>
      <c r="L675" s="318">
        <v>2.9336178347915591E-3</v>
      </c>
      <c r="M675" s="317">
        <v>2.9942515757359414E-3</v>
      </c>
      <c r="N675" s="318">
        <v>2.0000005732018801E-3</v>
      </c>
      <c r="O675" s="317">
        <v>3.2662214067069192E-2</v>
      </c>
      <c r="P675" s="318">
        <v>1.8243901628946818E-2</v>
      </c>
      <c r="Q675" s="319">
        <v>5.599720669567039E-2</v>
      </c>
    </row>
    <row r="676" spans="2:17" ht="15.75" x14ac:dyDescent="0.25">
      <c r="B676" s="176">
        <v>2029</v>
      </c>
      <c r="C676" s="177">
        <v>2004</v>
      </c>
      <c r="D676" s="178" t="s">
        <v>3522</v>
      </c>
      <c r="E676" s="461">
        <v>5.7272645837370323E-2</v>
      </c>
      <c r="F676" s="462">
        <v>7.24382345293373E-2</v>
      </c>
      <c r="G676" s="316">
        <v>0.23634429382668798</v>
      </c>
      <c r="H676" s="317">
        <v>1.8083893450863229E-2</v>
      </c>
      <c r="I676" s="317">
        <v>5.8623285970243284</v>
      </c>
      <c r="J676" s="317">
        <v>0.11516853762925183</v>
      </c>
      <c r="K676" s="317">
        <v>5.333299300797617E-2</v>
      </c>
      <c r="L676" s="318">
        <v>1.9616412898612866E-4</v>
      </c>
      <c r="M676" s="317">
        <v>2.9920024348152759E-3</v>
      </c>
      <c r="N676" s="318">
        <v>2.0000005732018805E-3</v>
      </c>
      <c r="O676" s="317">
        <v>3.262395618000867E-2</v>
      </c>
      <c r="P676" s="318">
        <v>1.7820821842441655E-2</v>
      </c>
      <c r="Q676" s="319">
        <v>5.5744474290145472E-2</v>
      </c>
    </row>
    <row r="677" spans="2:17" ht="15.75" x14ac:dyDescent="0.25">
      <c r="B677" s="176">
        <v>2029</v>
      </c>
      <c r="C677" s="177">
        <v>2005</v>
      </c>
      <c r="D677" s="178" t="s">
        <v>3523</v>
      </c>
      <c r="E677" s="461">
        <v>5.7031194301847721E-2</v>
      </c>
      <c r="F677" s="462">
        <v>6.8765915237089026E-2</v>
      </c>
      <c r="G677" s="316">
        <v>0.2337137774790215</v>
      </c>
      <c r="H677" s="317">
        <v>1.5772577517588822E-2</v>
      </c>
      <c r="I677" s="317">
        <v>5.8537902641256112</v>
      </c>
      <c r="J677" s="317">
        <v>9.3589636105417151E-2</v>
      </c>
      <c r="K677" s="317">
        <v>5.2966783530873952E-2</v>
      </c>
      <c r="L677" s="318">
        <v>1.9698865008414029E-4</v>
      </c>
      <c r="M677" s="317">
        <v>2.9849950475943285E-3</v>
      </c>
      <c r="N677" s="318">
        <v>2.0000005732018801E-3</v>
      </c>
      <c r="O677" s="317">
        <v>3.250476052338036E-2</v>
      </c>
      <c r="P677" s="318">
        <v>1.7098157049696121E-2</v>
      </c>
      <c r="Q677" s="319">
        <v>5.5361706445519236E-2</v>
      </c>
    </row>
    <row r="678" spans="2:17" ht="15.75" x14ac:dyDescent="0.25">
      <c r="B678" s="176">
        <v>2029</v>
      </c>
      <c r="C678" s="177">
        <v>2006</v>
      </c>
      <c r="D678" s="178" t="s">
        <v>3524</v>
      </c>
      <c r="E678" s="461">
        <v>5.6968064340486145E-2</v>
      </c>
      <c r="F678" s="462">
        <v>7.1708210144076329E-2</v>
      </c>
      <c r="G678" s="316">
        <v>0.232959556220761</v>
      </c>
      <c r="H678" s="317">
        <v>5.8053006213901834E-3</v>
      </c>
      <c r="I678" s="317">
        <v>5.8466182924908967</v>
      </c>
      <c r="J678" s="317">
        <v>6.2276985971388185E-2</v>
      </c>
      <c r="K678" s="317">
        <v>5.2881067033065117E-2</v>
      </c>
      <c r="L678" s="318">
        <v>1.9322125054015672E-4</v>
      </c>
      <c r="M678" s="317">
        <v>2.9831603722869789E-3</v>
      </c>
      <c r="N678" s="318">
        <v>2.0000005732018801E-3</v>
      </c>
      <c r="O678" s="317">
        <v>3.2473552696402237E-2</v>
      </c>
      <c r="P678" s="318">
        <v>1.8727282096323336E-2</v>
      </c>
      <c r="Q678" s="319">
        <v>5.5272114228040715E-2</v>
      </c>
    </row>
    <row r="679" spans="2:17" ht="15.75" x14ac:dyDescent="0.25">
      <c r="B679" s="176">
        <v>2029</v>
      </c>
      <c r="C679" s="177">
        <v>2007</v>
      </c>
      <c r="D679" s="178" t="s">
        <v>3525</v>
      </c>
      <c r="E679" s="461">
        <v>5.6776784614217049E-2</v>
      </c>
      <c r="F679" s="462">
        <v>6.7440224818090144E-2</v>
      </c>
      <c r="G679" s="316">
        <v>0.16655855296292985</v>
      </c>
      <c r="H679" s="317">
        <v>8.3941025398696356E-3</v>
      </c>
      <c r="I679" s="317">
        <v>2.9813466072057131</v>
      </c>
      <c r="J679" s="317">
        <v>5.532934826929211E-2</v>
      </c>
      <c r="K679" s="317">
        <v>3.6816257573345668E-2</v>
      </c>
      <c r="L679" s="318">
        <v>1.9648948371233358E-4</v>
      </c>
      <c r="M679" s="317">
        <v>2.9607151234986766E-3</v>
      </c>
      <c r="N679" s="318">
        <v>2.0000005732018801E-3</v>
      </c>
      <c r="O679" s="317">
        <v>3.2091759014513319E-2</v>
      </c>
      <c r="P679" s="318">
        <v>1.7329449705901286E-2</v>
      </c>
      <c r="Q679" s="319">
        <v>3.8480925371088964E-2</v>
      </c>
    </row>
    <row r="680" spans="2:17" ht="15.75" x14ac:dyDescent="0.25">
      <c r="B680" s="176">
        <v>2029</v>
      </c>
      <c r="C680" s="177">
        <v>2008</v>
      </c>
      <c r="D680" s="178" t="s">
        <v>3526</v>
      </c>
      <c r="E680" s="461">
        <v>5.6785434164009642E-2</v>
      </c>
      <c r="F680" s="462">
        <v>6.5672210821842728E-2</v>
      </c>
      <c r="G680" s="316">
        <v>0.16745141295043095</v>
      </c>
      <c r="H680" s="317">
        <v>8.1514795382686585E-3</v>
      </c>
      <c r="I680" s="317">
        <v>3.005667219049915</v>
      </c>
      <c r="J680" s="317">
        <v>4.4625261370056776E-2</v>
      </c>
      <c r="K680" s="317">
        <v>3.6979094457287372E-2</v>
      </c>
      <c r="L680" s="318">
        <v>2.2444302745456014E-4</v>
      </c>
      <c r="M680" s="317">
        <v>2.970472089742938E-3</v>
      </c>
      <c r="N680" s="318">
        <v>2.0000005732018801E-3</v>
      </c>
      <c r="O680" s="317">
        <v>3.2257725010328211E-2</v>
      </c>
      <c r="P680" s="318">
        <v>1.7286952724174579E-2</v>
      </c>
      <c r="Q680" s="319">
        <v>3.8651125016344524E-2</v>
      </c>
    </row>
    <row r="681" spans="2:17" ht="15.75" x14ac:dyDescent="0.25">
      <c r="B681" s="176">
        <v>2029</v>
      </c>
      <c r="C681" s="177">
        <v>2009</v>
      </c>
      <c r="D681" s="178" t="s">
        <v>3527</v>
      </c>
      <c r="E681" s="461">
        <v>5.5804934015688624E-2</v>
      </c>
      <c r="F681" s="462">
        <v>6.0418544926050796E-2</v>
      </c>
      <c r="G681" s="316">
        <v>0.15265127247074065</v>
      </c>
      <c r="H681" s="317">
        <v>8.0429359968692132E-3</v>
      </c>
      <c r="I681" s="317">
        <v>2.6543366854879547</v>
      </c>
      <c r="J681" s="317">
        <v>3.3224497979312186E-2</v>
      </c>
      <c r="K681" s="317">
        <v>3.3669125824082005E-2</v>
      </c>
      <c r="L681" s="318">
        <v>2.5363428683861133E-4</v>
      </c>
      <c r="M681" s="317">
        <v>2.8607045838250481E-3</v>
      </c>
      <c r="N681" s="318">
        <v>2.0000005732018801E-3</v>
      </c>
      <c r="O681" s="317">
        <v>3.0390579734664896E-2</v>
      </c>
      <c r="P681" s="318">
        <v>1.6681113140748709E-2</v>
      </c>
      <c r="Q681" s="319">
        <v>3.5191494289313861E-2</v>
      </c>
    </row>
    <row r="682" spans="2:17" ht="15.75" x14ac:dyDescent="0.25">
      <c r="B682" s="176">
        <v>2029</v>
      </c>
      <c r="C682" s="177">
        <v>2010</v>
      </c>
      <c r="D682" s="178" t="s">
        <v>3528</v>
      </c>
      <c r="E682" s="461">
        <v>5.4400338982866558E-2</v>
      </c>
      <c r="F682" s="462">
        <v>5.8614357869327532E-2</v>
      </c>
      <c r="G682" s="316">
        <v>8.8576957298117445E-2</v>
      </c>
      <c r="H682" s="317">
        <v>7.1657234518919472E-3</v>
      </c>
      <c r="I682" s="317">
        <v>0.22101879137003194</v>
      </c>
      <c r="J682" s="317">
        <v>3.204876035563077E-2</v>
      </c>
      <c r="K682" s="317">
        <v>1.8683695138776039E-2</v>
      </c>
      <c r="L682" s="318">
        <v>3.0950092177307133E-4</v>
      </c>
      <c r="M682" s="317">
        <v>2.7539552310186042E-3</v>
      </c>
      <c r="N682" s="318">
        <v>2.0000005732018797E-3</v>
      </c>
      <c r="O682" s="317">
        <v>2.8574773243427287E-2</v>
      </c>
      <c r="P682" s="318">
        <v>1.6342468418628887E-2</v>
      </c>
      <c r="Q682" s="319">
        <v>1.9528488925282271E-2</v>
      </c>
    </row>
    <row r="683" spans="2:17" ht="15.75" x14ac:dyDescent="0.25">
      <c r="B683" s="176">
        <v>2029</v>
      </c>
      <c r="C683" s="177">
        <v>2011</v>
      </c>
      <c r="D683" s="178" t="s">
        <v>3529</v>
      </c>
      <c r="E683" s="461">
        <v>5.4066293520199676E-2</v>
      </c>
      <c r="F683" s="462">
        <v>5.7235450873241195E-2</v>
      </c>
      <c r="G683" s="316">
        <v>8.8093145375878021E-2</v>
      </c>
      <c r="H683" s="317">
        <v>7.2478346040652283E-3</v>
      </c>
      <c r="I683" s="317">
        <v>0.22013561656918668</v>
      </c>
      <c r="J683" s="317">
        <v>3.2069827421369886E-2</v>
      </c>
      <c r="K683" s="317">
        <v>1.8503729836304505E-2</v>
      </c>
      <c r="L683" s="318">
        <v>4.1932232587679394E-4</v>
      </c>
      <c r="M683" s="317">
        <v>2.7653783182905937E-3</v>
      </c>
      <c r="N683" s="318">
        <v>2.0000005732018801E-3</v>
      </c>
      <c r="O683" s="317">
        <v>2.876907995792383E-2</v>
      </c>
      <c r="P683" s="318">
        <v>1.6455796496329656E-2</v>
      </c>
      <c r="Q683" s="319">
        <v>1.9340386390417123E-2</v>
      </c>
    </row>
    <row r="684" spans="2:17" ht="15.75" x14ac:dyDescent="0.25">
      <c r="B684" s="176">
        <v>2029</v>
      </c>
      <c r="C684" s="177">
        <v>2012</v>
      </c>
      <c r="D684" s="178" t="s">
        <v>3530</v>
      </c>
      <c r="E684" s="461">
        <v>5.1693837562712168E-2</v>
      </c>
      <c r="F684" s="462">
        <v>5.6987351354374639E-2</v>
      </c>
      <c r="G684" s="316">
        <v>7.4101241942620133E-2</v>
      </c>
      <c r="H684" s="317">
        <v>6.7692339841810478E-3</v>
      </c>
      <c r="I684" s="317">
        <v>0.18220198087343656</v>
      </c>
      <c r="J684" s="317">
        <v>3.2413772780603554E-2</v>
      </c>
      <c r="K684" s="317">
        <v>1.5751654222196449E-2</v>
      </c>
      <c r="L684" s="318">
        <v>6.0932230244667158E-4</v>
      </c>
      <c r="M684" s="317">
        <v>2.6155520869065841E-3</v>
      </c>
      <c r="N684" s="318">
        <v>2.0000005732018801E-3</v>
      </c>
      <c r="O684" s="317">
        <v>2.6220535762081824E-2</v>
      </c>
      <c r="P684" s="318">
        <v>1.6779682670065906E-2</v>
      </c>
      <c r="Q684" s="319">
        <v>1.6463874129193718E-2</v>
      </c>
    </row>
    <row r="685" spans="2:17" ht="15.75" x14ac:dyDescent="0.25">
      <c r="B685" s="176">
        <v>2029</v>
      </c>
      <c r="C685" s="177">
        <v>2013</v>
      </c>
      <c r="D685" s="178" t="s">
        <v>3531</v>
      </c>
      <c r="E685" s="461">
        <v>5.3756005240142818E-2</v>
      </c>
      <c r="F685" s="462">
        <v>5.5594294986929721E-2</v>
      </c>
      <c r="G685" s="316">
        <v>8.8752399243516036E-2</v>
      </c>
      <c r="H685" s="317">
        <v>7.6416967795672648E-3</v>
      </c>
      <c r="I685" s="317">
        <v>0.21919428554448253</v>
      </c>
      <c r="J685" s="317">
        <v>3.1681640512936031E-2</v>
      </c>
      <c r="K685" s="317">
        <v>1.8069840149318658E-2</v>
      </c>
      <c r="L685" s="318">
        <v>9.1023986449722735E-4</v>
      </c>
      <c r="M685" s="317">
        <v>2.7823314871624509E-3</v>
      </c>
      <c r="N685" s="318">
        <v>2.0000005732018801E-3</v>
      </c>
      <c r="O685" s="317">
        <v>2.9057453360434117E-2</v>
      </c>
      <c r="P685" s="318">
        <v>1.6849040000317311E-2</v>
      </c>
      <c r="Q685" s="319">
        <v>1.8886878137142772E-2</v>
      </c>
    </row>
    <row r="686" spans="2:17" ht="15.75" x14ac:dyDescent="0.25">
      <c r="B686" s="176">
        <v>2029</v>
      </c>
      <c r="C686" s="177">
        <v>2014</v>
      </c>
      <c r="D686" s="178" t="s">
        <v>3532</v>
      </c>
      <c r="E686" s="461">
        <v>5.0812663074448719E-2</v>
      </c>
      <c r="F686" s="462">
        <v>5.3582642021572868E-2</v>
      </c>
      <c r="G686" s="316">
        <v>7.6161483453091636E-2</v>
      </c>
      <c r="H686" s="317">
        <v>7.7048052060839619E-3</v>
      </c>
      <c r="I686" s="317">
        <v>0.18581198899227</v>
      </c>
      <c r="J686" s="317">
        <v>3.0406427564005419E-2</v>
      </c>
      <c r="K686" s="317">
        <v>1.5638235308929365E-2</v>
      </c>
      <c r="L686" s="318">
        <v>1.2769061770571168E-3</v>
      </c>
      <c r="M686" s="317">
        <v>2.6551473686440737E-3</v>
      </c>
      <c r="N686" s="318">
        <v>2.0000005732018801E-3</v>
      </c>
      <c r="O686" s="317">
        <v>2.6894051504436519E-2</v>
      </c>
      <c r="P686" s="318">
        <v>1.6415808556108965E-2</v>
      </c>
      <c r="Q686" s="319">
        <v>1.6345326915957699E-2</v>
      </c>
    </row>
    <row r="687" spans="2:17" ht="15.75" x14ac:dyDescent="0.25">
      <c r="B687" s="176">
        <v>2029</v>
      </c>
      <c r="C687" s="177">
        <v>2015</v>
      </c>
      <c r="D687" s="178" t="s">
        <v>3533</v>
      </c>
      <c r="E687" s="461">
        <v>4.9551937835035906E-2</v>
      </c>
      <c r="F687" s="462">
        <v>5.5491928609945715E-2</v>
      </c>
      <c r="G687" s="316">
        <v>7.1162422439025014E-2</v>
      </c>
      <c r="H687" s="317">
        <v>7.5848081027349934E-3</v>
      </c>
      <c r="I687" s="317">
        <v>0.17324308998217497</v>
      </c>
      <c r="J687" s="317">
        <v>3.1177607514648414E-2</v>
      </c>
      <c r="K687" s="317">
        <v>1.4611776752938496E-2</v>
      </c>
      <c r="L687" s="318">
        <v>1.5898825418988463E-3</v>
      </c>
      <c r="M687" s="317">
        <v>2.6215961674641614E-3</v>
      </c>
      <c r="N687" s="318">
        <v>2.0000005732018801E-3</v>
      </c>
      <c r="O687" s="317">
        <v>2.6323345572366211E-2</v>
      </c>
      <c r="P687" s="318">
        <v>1.7288875840854943E-2</v>
      </c>
      <c r="Q687" s="319">
        <v>1.5272456458907331E-2</v>
      </c>
    </row>
    <row r="688" spans="2:17" ht="15.75" x14ac:dyDescent="0.25">
      <c r="B688" s="176">
        <v>2029</v>
      </c>
      <c r="C688" s="177">
        <v>2016</v>
      </c>
      <c r="D688" s="178" t="s">
        <v>3534</v>
      </c>
      <c r="E688" s="461">
        <v>5.0572114490926148E-2</v>
      </c>
      <c r="F688" s="462">
        <v>5.6578421077119703E-2</v>
      </c>
      <c r="G688" s="316">
        <v>8.6096287629698051E-2</v>
      </c>
      <c r="H688" s="317">
        <v>7.3054419180180966E-3</v>
      </c>
      <c r="I688" s="317">
        <v>0.18502778858185059</v>
      </c>
      <c r="J688" s="317">
        <v>3.1064506595231609E-2</v>
      </c>
      <c r="K688" s="317">
        <v>1.6770163682326974E-2</v>
      </c>
      <c r="L688" s="318">
        <v>1.8228667476898942E-3</v>
      </c>
      <c r="M688" s="317">
        <v>2.8077619056150645E-3</v>
      </c>
      <c r="N688" s="318">
        <v>2.0000005732018801E-3</v>
      </c>
      <c r="O688" s="317">
        <v>2.9490024778313074E-2</v>
      </c>
      <c r="P688" s="318">
        <v>1.8152328497179342E-2</v>
      </c>
      <c r="Q688" s="319">
        <v>1.7528436067542629E-2</v>
      </c>
    </row>
    <row r="689" spans="2:17" ht="15.75" x14ac:dyDescent="0.25">
      <c r="B689" s="176">
        <v>2029</v>
      </c>
      <c r="C689" s="177">
        <v>2017</v>
      </c>
      <c r="D689" s="178" t="s">
        <v>3535</v>
      </c>
      <c r="E689" s="461">
        <v>4.6949578559680988E-2</v>
      </c>
      <c r="F689" s="462">
        <v>5.1013497152729237E-2</v>
      </c>
      <c r="G689" s="316">
        <v>6.6227652507802645E-2</v>
      </c>
      <c r="H689" s="317">
        <v>7.2559935186085455E-3</v>
      </c>
      <c r="I689" s="317">
        <v>0.13241501996905169</v>
      </c>
      <c r="J689" s="317">
        <v>2.889976473571608E-2</v>
      </c>
      <c r="K689" s="317">
        <v>1.4486821934256882E-2</v>
      </c>
      <c r="L689" s="318">
        <v>2.0052039304362126E-3</v>
      </c>
      <c r="M689" s="317">
        <v>2.7382211827407079E-3</v>
      </c>
      <c r="N689" s="318">
        <v>2.0000005732018801E-3</v>
      </c>
      <c r="O689" s="317">
        <v>2.8307137082220268E-2</v>
      </c>
      <c r="P689" s="318">
        <v>1.7164914140627228E-2</v>
      </c>
      <c r="Q689" s="319">
        <v>1.5141851737803715E-2</v>
      </c>
    </row>
    <row r="690" spans="2:17" ht="15.75" x14ac:dyDescent="0.25">
      <c r="B690" s="176">
        <v>2029</v>
      </c>
      <c r="C690" s="177">
        <v>2018</v>
      </c>
      <c r="D690" s="178" t="s">
        <v>3536</v>
      </c>
      <c r="E690" s="461">
        <v>4.4011742836552945E-2</v>
      </c>
      <c r="F690" s="462">
        <v>4.8723207893768529E-2</v>
      </c>
      <c r="G690" s="316">
        <v>6.4990749166065259E-2</v>
      </c>
      <c r="H690" s="317">
        <v>6.8611157592081374E-3</v>
      </c>
      <c r="I690" s="317">
        <v>0.10662958554617567</v>
      </c>
      <c r="J690" s="317">
        <v>2.73735581735834E-2</v>
      </c>
      <c r="K690" s="317">
        <v>1.2991492265354216E-2</v>
      </c>
      <c r="L690" s="318">
        <v>2.0885315948284459E-3</v>
      </c>
      <c r="M690" s="317">
        <v>2.7332927957684832E-3</v>
      </c>
      <c r="N690" s="318">
        <v>2.0000005732018801E-3</v>
      </c>
      <c r="O690" s="317">
        <v>2.822330521982273E-2</v>
      </c>
      <c r="P690" s="318">
        <v>1.7151953997009015E-2</v>
      </c>
      <c r="Q690" s="319">
        <v>1.3578909896700377E-2</v>
      </c>
    </row>
    <row r="691" spans="2:17" ht="15.75" x14ac:dyDescent="0.25">
      <c r="B691" s="176">
        <v>2029</v>
      </c>
      <c r="C691" s="177">
        <v>2019</v>
      </c>
      <c r="D691" s="178" t="s">
        <v>3537</v>
      </c>
      <c r="E691" s="461">
        <v>4.3528388776867245E-2</v>
      </c>
      <c r="F691" s="462">
        <v>4.6816071637935788E-2</v>
      </c>
      <c r="G691" s="316">
        <v>6.3810650108896763E-2</v>
      </c>
      <c r="H691" s="317">
        <v>6.1052645798976238E-3</v>
      </c>
      <c r="I691" s="317">
        <v>9.0440703192019314E-2</v>
      </c>
      <c r="J691" s="317">
        <v>2.4554362581246655E-2</v>
      </c>
      <c r="K691" s="317">
        <v>1.0808269999022603E-2</v>
      </c>
      <c r="L691" s="318">
        <v>1.9828697733371265E-3</v>
      </c>
      <c r="M691" s="317">
        <v>2.7302247083899208E-3</v>
      </c>
      <c r="N691" s="318">
        <v>2.0000005732018801E-3</v>
      </c>
      <c r="O691" s="317">
        <v>2.8171117053513377E-2</v>
      </c>
      <c r="P691" s="318">
        <v>1.7141565099339718E-2</v>
      </c>
      <c r="Q691" s="319">
        <v>1.1296972007390587E-2</v>
      </c>
    </row>
    <row r="692" spans="2:17" ht="15.75" x14ac:dyDescent="0.25">
      <c r="B692" s="176">
        <v>2029</v>
      </c>
      <c r="C692" s="177">
        <v>2020</v>
      </c>
      <c r="D692" s="178" t="s">
        <v>3538</v>
      </c>
      <c r="E692" s="461">
        <v>4.301410277267223E-2</v>
      </c>
      <c r="F692" s="462">
        <v>4.4951011339315325E-2</v>
      </c>
      <c r="G692" s="316">
        <v>6.2465068264780627E-2</v>
      </c>
      <c r="H692" s="317">
        <v>5.2193368981327355E-3</v>
      </c>
      <c r="I692" s="317">
        <v>7.4660438231867535E-2</v>
      </c>
      <c r="J692" s="317">
        <v>2.185672126521657E-2</v>
      </c>
      <c r="K692" s="317">
        <v>8.7355191332973477E-3</v>
      </c>
      <c r="L692" s="318">
        <v>1.4590812977222703E-3</v>
      </c>
      <c r="M692" s="317">
        <v>2.72562945879775E-3</v>
      </c>
      <c r="N692" s="318">
        <v>2.0000005732018801E-3</v>
      </c>
      <c r="O692" s="317">
        <v>2.8092951857950559E-2</v>
      </c>
      <c r="P692" s="318">
        <v>1.7142973604122851E-2</v>
      </c>
      <c r="Q692" s="319">
        <v>9.1305005452130637E-3</v>
      </c>
    </row>
    <row r="693" spans="2:17" ht="15.75" x14ac:dyDescent="0.25">
      <c r="B693" s="176">
        <v>2029</v>
      </c>
      <c r="C693" s="177">
        <v>2021</v>
      </c>
      <c r="D693" s="178" t="s">
        <v>3539</v>
      </c>
      <c r="E693" s="461">
        <v>4.1677437734065001E-2</v>
      </c>
      <c r="F693" s="462">
        <v>4.2930107960537596E-2</v>
      </c>
      <c r="G693" s="316">
        <v>5.8694904587074229E-2</v>
      </c>
      <c r="H693" s="317">
        <v>4.5384282439682958E-3</v>
      </c>
      <c r="I693" s="317">
        <v>5.3949281906565581E-2</v>
      </c>
      <c r="J693" s="317">
        <v>1.9955257549773897E-2</v>
      </c>
      <c r="K693" s="317">
        <v>5.7828993351402048E-3</v>
      </c>
      <c r="L693" s="318">
        <v>9.557762645318118E-4</v>
      </c>
      <c r="M693" s="317">
        <v>2.7237416384132728E-3</v>
      </c>
      <c r="N693" s="318">
        <v>2.0000005732018801E-3</v>
      </c>
      <c r="O693" s="317">
        <v>2.8060840033210594E-2</v>
      </c>
      <c r="P693" s="318">
        <v>1.7158141331386309E-2</v>
      </c>
      <c r="Q693" s="319">
        <v>6.0443763818395007E-3</v>
      </c>
    </row>
    <row r="694" spans="2:17" ht="15.75" x14ac:dyDescent="0.25">
      <c r="B694" s="176">
        <v>2029</v>
      </c>
      <c r="C694" s="177">
        <v>2022</v>
      </c>
      <c r="D694" s="178" t="s">
        <v>3540</v>
      </c>
      <c r="E694" s="461">
        <v>4.047598047718174E-2</v>
      </c>
      <c r="F694" s="462">
        <v>4.1377639335277584E-2</v>
      </c>
      <c r="G694" s="316">
        <v>5.7326043575373332E-2</v>
      </c>
      <c r="H694" s="317">
        <v>3.774689770360684E-3</v>
      </c>
      <c r="I694" s="317">
        <v>3.9793095295450005E-2</v>
      </c>
      <c r="J694" s="317">
        <v>1.7714350195709841E-2</v>
      </c>
      <c r="K694" s="317">
        <v>4.0861555414883118E-3</v>
      </c>
      <c r="L694" s="318">
        <v>9.5567709729780907E-4</v>
      </c>
      <c r="M694" s="317">
        <v>2.7203969537080604E-3</v>
      </c>
      <c r="N694" s="318">
        <v>2.0000005732018801E-3</v>
      </c>
      <c r="O694" s="317">
        <v>2.8003946946374939E-2</v>
      </c>
      <c r="P694" s="318">
        <v>1.7160806207176103E-2</v>
      </c>
      <c r="Q694" s="319">
        <v>4.2709133630277445E-3</v>
      </c>
    </row>
    <row r="695" spans="2:17" ht="15.75" x14ac:dyDescent="0.25">
      <c r="B695" s="176">
        <v>2029</v>
      </c>
      <c r="C695" s="177">
        <v>2023</v>
      </c>
      <c r="D695" s="178" t="s">
        <v>3541</v>
      </c>
      <c r="E695" s="461">
        <v>3.9285064624088289E-2</v>
      </c>
      <c r="F695" s="462">
        <v>3.9806242096773456E-2</v>
      </c>
      <c r="G695" s="316">
        <v>5.5945833610028424E-2</v>
      </c>
      <c r="H695" s="317">
        <v>3.2249437630149087E-3</v>
      </c>
      <c r="I695" s="317">
        <v>3.8058782570904823E-2</v>
      </c>
      <c r="J695" s="317">
        <v>1.6573070648447794E-2</v>
      </c>
      <c r="K695" s="317">
        <v>3.7652960258534839E-3</v>
      </c>
      <c r="L695" s="318">
        <v>9.5547265556267789E-4</v>
      </c>
      <c r="M695" s="317">
        <v>2.7177509569376165E-3</v>
      </c>
      <c r="N695" s="318">
        <v>2.0000005732018801E-3</v>
      </c>
      <c r="O695" s="317">
        <v>2.7958938541309677E-2</v>
      </c>
      <c r="P695" s="318">
        <v>1.7157556514305991E-2</v>
      </c>
      <c r="Q695" s="319">
        <v>3.9355460038889203E-3</v>
      </c>
    </row>
    <row r="696" spans="2:17" ht="15.75" x14ac:dyDescent="0.25">
      <c r="B696" s="176">
        <v>2029</v>
      </c>
      <c r="C696" s="177">
        <v>2024</v>
      </c>
      <c r="D696" s="178" t="s">
        <v>3542</v>
      </c>
      <c r="E696" s="461">
        <v>3.8107734771311977E-2</v>
      </c>
      <c r="F696" s="462">
        <v>3.8210398489851069E-2</v>
      </c>
      <c r="G696" s="316">
        <v>5.4407942737718609E-2</v>
      </c>
      <c r="H696" s="317">
        <v>2.7424266273318103E-3</v>
      </c>
      <c r="I696" s="317">
        <v>3.618836597301376E-2</v>
      </c>
      <c r="J696" s="317">
        <v>1.5782748897969611E-2</v>
      </c>
      <c r="K696" s="317">
        <v>3.4238359793140249E-3</v>
      </c>
      <c r="L696" s="318">
        <v>9.550872428589366E-4</v>
      </c>
      <c r="M696" s="317">
        <v>2.7137420277066689E-3</v>
      </c>
      <c r="N696" s="318">
        <v>2.0000005732018801E-3</v>
      </c>
      <c r="O696" s="317">
        <v>2.7890746655091263E-2</v>
      </c>
      <c r="P696" s="318">
        <v>1.7143714604324851E-2</v>
      </c>
      <c r="Q696" s="319">
        <v>3.5786466492514616E-3</v>
      </c>
    </row>
    <row r="697" spans="2:17" ht="15.75" x14ac:dyDescent="0.25">
      <c r="B697" s="176">
        <v>2029</v>
      </c>
      <c r="C697" s="177">
        <v>2025</v>
      </c>
      <c r="D697" s="178" t="s">
        <v>3543</v>
      </c>
      <c r="E697" s="461">
        <v>3.6975695870812376E-2</v>
      </c>
      <c r="F697" s="462">
        <v>3.6695741147644831E-2</v>
      </c>
      <c r="G697" s="316">
        <v>5.3020750911738718E-2</v>
      </c>
      <c r="H697" s="317">
        <v>2.4506610137578241E-3</v>
      </c>
      <c r="I697" s="317">
        <v>3.4355190320620475E-2</v>
      </c>
      <c r="J697" s="317">
        <v>1.5577274876699302E-2</v>
      </c>
      <c r="K697" s="317">
        <v>3.0789183921923471E-3</v>
      </c>
      <c r="L697" s="318">
        <v>9.556041231871253E-4</v>
      </c>
      <c r="M697" s="317">
        <v>2.7128015376587516E-3</v>
      </c>
      <c r="N697" s="318">
        <v>2.0000005732018801E-3</v>
      </c>
      <c r="O697" s="317">
        <v>2.7874748919376125E-2</v>
      </c>
      <c r="P697" s="318">
        <v>1.715409049820114E-2</v>
      </c>
      <c r="Q697" s="319">
        <v>3.2181334193892666E-3</v>
      </c>
    </row>
    <row r="698" spans="2:17" ht="15.75" x14ac:dyDescent="0.25">
      <c r="B698" s="176">
        <v>2029</v>
      </c>
      <c r="C698" s="177">
        <v>2026</v>
      </c>
      <c r="D698" s="178" t="s">
        <v>3544</v>
      </c>
      <c r="E698" s="461">
        <v>3.6230825364126362E-2</v>
      </c>
      <c r="F698" s="462">
        <v>3.6496763921756992E-2</v>
      </c>
      <c r="G698" s="316">
        <v>5.1610150794523531E-2</v>
      </c>
      <c r="H698" s="317">
        <v>2.4268726789914478E-3</v>
      </c>
      <c r="I698" s="317">
        <v>3.2457309355615284E-2</v>
      </c>
      <c r="J698" s="317">
        <v>1.4929277358976378E-2</v>
      </c>
      <c r="K698" s="317">
        <v>2.7194590777096781E-3</v>
      </c>
      <c r="L698" s="318">
        <v>8.3519406061296304E-4</v>
      </c>
      <c r="M698" s="317">
        <v>2.7125040124533783E-3</v>
      </c>
      <c r="N698" s="318">
        <v>2.0000005732018801E-3</v>
      </c>
      <c r="O698" s="317">
        <v>2.7869688015632794E-2</v>
      </c>
      <c r="P698" s="318">
        <v>1.7153843615501648E-2</v>
      </c>
      <c r="Q698" s="319">
        <v>2.8424209497827763E-3</v>
      </c>
    </row>
    <row r="699" spans="2:17" ht="15.75" x14ac:dyDescent="0.25">
      <c r="B699" s="176">
        <v>2029</v>
      </c>
      <c r="C699" s="177">
        <v>2027</v>
      </c>
      <c r="D699" s="178" t="s">
        <v>3545</v>
      </c>
      <c r="E699" s="461">
        <v>3.549139851514925E-2</v>
      </c>
      <c r="F699" s="462">
        <v>3.6274678825544221E-2</v>
      </c>
      <c r="G699" s="316">
        <v>4.9980152023934958E-2</v>
      </c>
      <c r="H699" s="317">
        <v>2.4208015345097552E-3</v>
      </c>
      <c r="I699" s="317">
        <v>3.0392350810593247E-2</v>
      </c>
      <c r="J699" s="317">
        <v>1.4377193542155128E-2</v>
      </c>
      <c r="K699" s="317">
        <v>2.3370799852604858E-3</v>
      </c>
      <c r="L699" s="318">
        <v>6.9413052022959556E-4</v>
      </c>
      <c r="M699" s="317">
        <v>2.7098563550299148E-3</v>
      </c>
      <c r="N699" s="318">
        <v>2.0000005732018797E-3</v>
      </c>
      <c r="O699" s="317">
        <v>2.7824651362859682E-2</v>
      </c>
      <c r="P699" s="318">
        <v>1.714147902049358E-2</v>
      </c>
      <c r="Q699" s="319">
        <v>2.4427523715551233E-3</v>
      </c>
    </row>
    <row r="700" spans="2:17" ht="15.75" x14ac:dyDescent="0.25">
      <c r="B700" s="176">
        <v>2029</v>
      </c>
      <c r="C700" s="177">
        <v>2028</v>
      </c>
      <c r="D700" s="178" t="s">
        <v>3546</v>
      </c>
      <c r="E700" s="461">
        <v>3.5463659917140955E-2</v>
      </c>
      <c r="F700" s="462">
        <v>3.6201799976021728E-2</v>
      </c>
      <c r="G700" s="316">
        <v>4.835331160941754E-2</v>
      </c>
      <c r="H700" s="317">
        <v>2.4059487925544424E-3</v>
      </c>
      <c r="I700" s="317">
        <v>2.8277900599608954E-2</v>
      </c>
      <c r="J700" s="317">
        <v>1.3846047380798662E-2</v>
      </c>
      <c r="K700" s="317">
        <v>1.9420130835031664E-3</v>
      </c>
      <c r="L700" s="318">
        <v>5.7169304039499601E-4</v>
      </c>
      <c r="M700" s="317">
        <v>2.7082697441765885E-3</v>
      </c>
      <c r="N700" s="318">
        <v>2.0000005732018797E-3</v>
      </c>
      <c r="O700" s="317">
        <v>2.7797663112244603E-2</v>
      </c>
      <c r="P700" s="318">
        <v>1.7124649781762542E-2</v>
      </c>
      <c r="Q700" s="319">
        <v>2.0298222975837546E-3</v>
      </c>
    </row>
    <row r="701" spans="2:17" ht="15.75" x14ac:dyDescent="0.25">
      <c r="B701" s="176">
        <v>2029</v>
      </c>
      <c r="C701" s="177">
        <v>2029</v>
      </c>
      <c r="D701" s="178" t="s">
        <v>3547</v>
      </c>
      <c r="E701" s="461">
        <v>3.5090068863294986E-2</v>
      </c>
      <c r="F701" s="462">
        <v>3.5520589690420989E-2</v>
      </c>
      <c r="G701" s="316">
        <v>4.4975219922368227E-2</v>
      </c>
      <c r="H701" s="317">
        <v>2.2795566813663798E-3</v>
      </c>
      <c r="I701" s="317">
        <v>2.5297426831648793E-2</v>
      </c>
      <c r="J701" s="317">
        <v>1.2717070384259867E-2</v>
      </c>
      <c r="K701" s="317">
        <v>1.4898049789402476E-3</v>
      </c>
      <c r="L701" s="318">
        <v>5.5946196921093983E-4</v>
      </c>
      <c r="M701" s="317">
        <v>2.6793277601653712E-3</v>
      </c>
      <c r="N701" s="318">
        <v>2.0000005732018801E-3</v>
      </c>
      <c r="O701" s="317">
        <v>2.7305359964213797E-2</v>
      </c>
      <c r="P701" s="318">
        <v>1.6899480239277322E-2</v>
      </c>
      <c r="Q701" s="319">
        <v>1.5571673491762464E-3</v>
      </c>
    </row>
    <row r="702" spans="2:17" ht="15.75" x14ac:dyDescent="0.25">
      <c r="B702" s="176">
        <v>2030</v>
      </c>
      <c r="C702" s="177">
        <v>1986</v>
      </c>
      <c r="D702" s="178" t="s">
        <v>3548</v>
      </c>
      <c r="E702" s="461">
        <v>5.7005741780293419E-2</v>
      </c>
      <c r="F702" s="462">
        <v>9.3620460859810212E-2</v>
      </c>
      <c r="G702" s="316">
        <v>0.25527872270065027</v>
      </c>
      <c r="H702" s="317">
        <v>1.0606153616165765</v>
      </c>
      <c r="I702" s="317">
        <v>4.3072253009054569</v>
      </c>
      <c r="J702" s="317">
        <v>2.7418550742153545</v>
      </c>
      <c r="K702" s="317">
        <v>0.18347164854991421</v>
      </c>
      <c r="L702" s="318">
        <v>1.7515538319376963E-2</v>
      </c>
      <c r="M702" s="317">
        <v>2.8047930668579817E-3</v>
      </c>
      <c r="N702" s="318">
        <v>2.0000005732018797E-3</v>
      </c>
      <c r="O702" s="317">
        <v>2.9439524831055091E-2</v>
      </c>
      <c r="P702" s="318">
        <v>2.2432190158004413E-2</v>
      </c>
      <c r="Q702" s="319">
        <v>0.1917674223539593</v>
      </c>
    </row>
    <row r="703" spans="2:17" ht="15.75" x14ac:dyDescent="0.25">
      <c r="B703" s="176">
        <v>2030</v>
      </c>
      <c r="C703" s="177">
        <v>1987</v>
      </c>
      <c r="D703" s="178" t="s">
        <v>3549</v>
      </c>
      <c r="E703" s="461">
        <v>5.7527535331765474E-2</v>
      </c>
      <c r="F703" s="462">
        <v>8.9978751791158593E-2</v>
      </c>
      <c r="G703" s="316">
        <v>0.29809635811014928</v>
      </c>
      <c r="H703" s="317">
        <v>0.97777265254041879</v>
      </c>
      <c r="I703" s="317">
        <v>4.7507299225137354</v>
      </c>
      <c r="J703" s="317">
        <v>2.6308201233382018</v>
      </c>
      <c r="K703" s="317">
        <v>0.20090115131655401</v>
      </c>
      <c r="L703" s="318">
        <v>1.7781923545849992E-2</v>
      </c>
      <c r="M703" s="317">
        <v>2.8989478078740695E-3</v>
      </c>
      <c r="N703" s="318">
        <v>2.0000005732018801E-3</v>
      </c>
      <c r="O703" s="317">
        <v>3.1041096975738751E-2</v>
      </c>
      <c r="P703" s="318">
        <v>2.1388898701676692E-2</v>
      </c>
      <c r="Q703" s="319">
        <v>0.20998500989343316</v>
      </c>
    </row>
    <row r="704" spans="2:17" ht="15.75" x14ac:dyDescent="0.25">
      <c r="B704" s="176">
        <v>2030</v>
      </c>
      <c r="C704" s="177">
        <v>1988</v>
      </c>
      <c r="D704" s="178" t="s">
        <v>3550</v>
      </c>
      <c r="E704" s="461">
        <v>5.7537818094619574E-2</v>
      </c>
      <c r="F704" s="462">
        <v>8.8787805818932808E-2</v>
      </c>
      <c r="G704" s="316">
        <v>0.29420584353086948</v>
      </c>
      <c r="H704" s="317">
        <v>0.50813988252997999</v>
      </c>
      <c r="I704" s="317">
        <v>4.905609496346651</v>
      </c>
      <c r="J704" s="317">
        <v>1.9048513957325666</v>
      </c>
      <c r="K704" s="317">
        <v>0.1989466959477269</v>
      </c>
      <c r="L704" s="318">
        <v>1.7270603418018757E-2</v>
      </c>
      <c r="M704" s="317">
        <v>2.9337432458821783E-3</v>
      </c>
      <c r="N704" s="318">
        <v>2.0000005732018801E-3</v>
      </c>
      <c r="O704" s="317">
        <v>3.1632967376256683E-2</v>
      </c>
      <c r="P704" s="318">
        <v>2.1872335892379025E-2</v>
      </c>
      <c r="Q704" s="319">
        <v>0.20794218272559473</v>
      </c>
    </row>
    <row r="705" spans="2:17" ht="15.75" x14ac:dyDescent="0.25">
      <c r="B705" s="176">
        <v>2030</v>
      </c>
      <c r="C705" s="177">
        <v>1989</v>
      </c>
      <c r="D705" s="178" t="s">
        <v>3551</v>
      </c>
      <c r="E705" s="461">
        <v>5.7806230609779866E-2</v>
      </c>
      <c r="F705" s="462">
        <v>9.1298243576614799E-2</v>
      </c>
      <c r="G705" s="316">
        <v>0.29355843635417661</v>
      </c>
      <c r="H705" s="317">
        <v>0.50680614668269131</v>
      </c>
      <c r="I705" s="317">
        <v>5.0344153243379202</v>
      </c>
      <c r="J705" s="317">
        <v>1.902133770325896</v>
      </c>
      <c r="K705" s="317">
        <v>0.19925250981446044</v>
      </c>
      <c r="L705" s="318">
        <v>1.7058094749051886E-2</v>
      </c>
      <c r="M705" s="317">
        <v>2.9673439514321539E-3</v>
      </c>
      <c r="N705" s="318">
        <v>2.0000005732018801E-3</v>
      </c>
      <c r="O705" s="317">
        <v>3.2204515377661766E-2</v>
      </c>
      <c r="P705" s="318">
        <v>2.2722055301102374E-2</v>
      </c>
      <c r="Q705" s="319">
        <v>0.20826182413835281</v>
      </c>
    </row>
    <row r="706" spans="2:17" ht="15.75" x14ac:dyDescent="0.25">
      <c r="B706" s="176">
        <v>2030</v>
      </c>
      <c r="C706" s="177">
        <v>1990</v>
      </c>
      <c r="D706" s="178" t="s">
        <v>3552</v>
      </c>
      <c r="E706" s="461">
        <v>5.8291991148899207E-2</v>
      </c>
      <c r="F706" s="462">
        <v>8.9043686767198399E-2</v>
      </c>
      <c r="G706" s="316">
        <v>0.29819491250714858</v>
      </c>
      <c r="H706" s="317">
        <v>0.50792388933649868</v>
      </c>
      <c r="I706" s="317">
        <v>5.0018501136623801</v>
      </c>
      <c r="J706" s="317">
        <v>1.8942250877343407</v>
      </c>
      <c r="K706" s="317">
        <v>0.20249100910302234</v>
      </c>
      <c r="L706" s="318">
        <v>1.7302643318230462E-2</v>
      </c>
      <c r="M706" s="317">
        <v>2.9721327226498156E-3</v>
      </c>
      <c r="N706" s="318">
        <v>2.0000005732018801E-3</v>
      </c>
      <c r="O706" s="317">
        <v>3.2285972376074196E-2</v>
      </c>
      <c r="P706" s="318">
        <v>2.1925130678505704E-2</v>
      </c>
      <c r="Q706" s="319">
        <v>0.2116467539941157</v>
      </c>
    </row>
    <row r="707" spans="2:17" ht="15.75" x14ac:dyDescent="0.25">
      <c r="B707" s="176">
        <v>2030</v>
      </c>
      <c r="C707" s="177">
        <v>1991</v>
      </c>
      <c r="D707" s="178" t="s">
        <v>3553</v>
      </c>
      <c r="E707" s="461">
        <v>5.8194317711073154E-2</v>
      </c>
      <c r="F707" s="462">
        <v>8.7032379712326552E-2</v>
      </c>
      <c r="G707" s="316">
        <v>0.37962254727761036</v>
      </c>
      <c r="H707" s="317">
        <v>0.52925971915413306</v>
      </c>
      <c r="I707" s="317">
        <v>8.8191347023361466</v>
      </c>
      <c r="J707" s="317">
        <v>2.3224387519390941</v>
      </c>
      <c r="K707" s="317">
        <v>5.8289611893743307E-2</v>
      </c>
      <c r="L707" s="318">
        <v>9.729761655511468E-3</v>
      </c>
      <c r="M707" s="317">
        <v>2.9723580754193318E-3</v>
      </c>
      <c r="N707" s="318">
        <v>2.0000005732018801E-3</v>
      </c>
      <c r="O707" s="317">
        <v>3.2289805626683668E-2</v>
      </c>
      <c r="P707" s="318">
        <v>2.1146892571897672E-2</v>
      </c>
      <c r="Q707" s="319">
        <v>6.0925209487256472E-2</v>
      </c>
    </row>
    <row r="708" spans="2:17" ht="15.75" x14ac:dyDescent="0.25">
      <c r="B708" s="176">
        <v>2030</v>
      </c>
      <c r="C708" s="177">
        <v>1992</v>
      </c>
      <c r="D708" s="178" t="s">
        <v>3554</v>
      </c>
      <c r="E708" s="461">
        <v>5.8123180001689041E-2</v>
      </c>
      <c r="F708" s="462">
        <v>8.3960510546490591E-2</v>
      </c>
      <c r="G708" s="316">
        <v>0.37981124879896189</v>
      </c>
      <c r="H708" s="317">
        <v>0.52977555917180363</v>
      </c>
      <c r="I708" s="317">
        <v>8.7031905143380843</v>
      </c>
      <c r="J708" s="317">
        <v>2.2527718652697679</v>
      </c>
      <c r="K708" s="317">
        <v>6.0499986417992299E-2</v>
      </c>
      <c r="L708" s="318">
        <v>9.8492527961380975E-3</v>
      </c>
      <c r="M708" s="317">
        <v>2.9584816928322306E-3</v>
      </c>
      <c r="N708" s="318">
        <v>2.0000005732018805E-3</v>
      </c>
      <c r="O708" s="317">
        <v>3.2053768358877077E-2</v>
      </c>
      <c r="P708" s="318">
        <v>2.0158746355047098E-2</v>
      </c>
      <c r="Q708" s="319">
        <v>6.3235527339100261E-2</v>
      </c>
    </row>
    <row r="709" spans="2:17" ht="15.75" x14ac:dyDescent="0.25">
      <c r="B709" s="176">
        <v>2030</v>
      </c>
      <c r="C709" s="177">
        <v>1993</v>
      </c>
      <c r="D709" s="178" t="s">
        <v>3555</v>
      </c>
      <c r="E709" s="461">
        <v>5.8019880886612446E-2</v>
      </c>
      <c r="F709" s="462">
        <v>7.508804024962773E-2</v>
      </c>
      <c r="G709" s="316">
        <v>0.37248441882820377</v>
      </c>
      <c r="H709" s="317">
        <v>0.53426146739166458</v>
      </c>
      <c r="I709" s="317">
        <v>8.8267267124930697</v>
      </c>
      <c r="J709" s="317">
        <v>2.2056942780576896</v>
      </c>
      <c r="K709" s="317">
        <v>5.3925824793594181E-2</v>
      </c>
      <c r="L709" s="318">
        <v>9.9879991346605388E-3</v>
      </c>
      <c r="M709" s="317">
        <v>2.9713652511461452E-3</v>
      </c>
      <c r="N709" s="318">
        <v>2.0000005732018801E-3</v>
      </c>
      <c r="O709" s="317">
        <v>3.2272917685796765E-2</v>
      </c>
      <c r="P709" s="318">
        <v>1.9730159308698567E-2</v>
      </c>
      <c r="Q709" s="319">
        <v>5.6364111298456983E-2</v>
      </c>
    </row>
    <row r="710" spans="2:17" ht="15.75" x14ac:dyDescent="0.25">
      <c r="B710" s="176">
        <v>2030</v>
      </c>
      <c r="C710" s="177">
        <v>1994</v>
      </c>
      <c r="D710" s="178" t="s">
        <v>3556</v>
      </c>
      <c r="E710" s="461">
        <v>5.7763188105873671E-2</v>
      </c>
      <c r="F710" s="462">
        <v>7.1942203540251382E-2</v>
      </c>
      <c r="G710" s="316">
        <v>0.36730070759226702</v>
      </c>
      <c r="H710" s="317">
        <v>0.5348362022753349</v>
      </c>
      <c r="I710" s="317">
        <v>8.7815106514960828</v>
      </c>
      <c r="J710" s="317">
        <v>2.1423926945114156</v>
      </c>
      <c r="K710" s="317">
        <v>5.4086724673603641E-2</v>
      </c>
      <c r="L710" s="318">
        <v>1.0082729093988104E-2</v>
      </c>
      <c r="M710" s="317">
        <v>2.9617178627212057E-3</v>
      </c>
      <c r="N710" s="318">
        <v>2.0000005732018801E-3</v>
      </c>
      <c r="O710" s="317">
        <v>3.2108815608688702E-2</v>
      </c>
      <c r="P710" s="318">
        <v>1.8873695061776989E-2</v>
      </c>
      <c r="Q710" s="319">
        <v>5.6532286357057808E-2</v>
      </c>
    </row>
    <row r="711" spans="2:17" ht="15.75" x14ac:dyDescent="0.25">
      <c r="B711" s="176">
        <v>2030</v>
      </c>
      <c r="C711" s="177">
        <v>1995</v>
      </c>
      <c r="D711" s="178" t="s">
        <v>3557</v>
      </c>
      <c r="E711" s="461">
        <v>5.7552089758916791E-2</v>
      </c>
      <c r="F711" s="462">
        <v>7.3647343341647464E-2</v>
      </c>
      <c r="G711" s="316">
        <v>0.36628210745399276</v>
      </c>
      <c r="H711" s="317">
        <v>0.40458454614198974</v>
      </c>
      <c r="I711" s="317">
        <v>8.939012499560695</v>
      </c>
      <c r="J711" s="317">
        <v>1.6814526091005169</v>
      </c>
      <c r="K711" s="317">
        <v>5.3459669511018292E-2</v>
      </c>
      <c r="L711" s="318">
        <v>9.3026018746717107E-3</v>
      </c>
      <c r="M711" s="317">
        <v>2.9742613497250317E-3</v>
      </c>
      <c r="N711" s="318">
        <v>2.0000005732018801E-3</v>
      </c>
      <c r="O711" s="317">
        <v>3.2322180322623524E-2</v>
      </c>
      <c r="P711" s="318">
        <v>1.9632125269133351E-2</v>
      </c>
      <c r="Q711" s="319">
        <v>5.5876878542536451E-2</v>
      </c>
    </row>
    <row r="712" spans="2:17" ht="15.75" x14ac:dyDescent="0.25">
      <c r="B712" s="176">
        <v>2030</v>
      </c>
      <c r="C712" s="177">
        <v>1996</v>
      </c>
      <c r="D712" s="178" t="s">
        <v>3558</v>
      </c>
      <c r="E712" s="461">
        <v>5.7681916246808976E-2</v>
      </c>
      <c r="F712" s="462">
        <v>7.3563855740437806E-2</v>
      </c>
      <c r="G712" s="316">
        <v>0.36883570537084664</v>
      </c>
      <c r="H712" s="317">
        <v>0.13937211934365973</v>
      </c>
      <c r="I712" s="317">
        <v>8.9416046728432708</v>
      </c>
      <c r="J712" s="317">
        <v>1.0187172437988172</v>
      </c>
      <c r="K712" s="317">
        <v>5.3685337573386512E-2</v>
      </c>
      <c r="L712" s="318">
        <v>2.841478426541632E-3</v>
      </c>
      <c r="M712" s="317">
        <v>2.9775398147049688E-3</v>
      </c>
      <c r="N712" s="318">
        <v>2.0000005732018805E-3</v>
      </c>
      <c r="O712" s="317">
        <v>3.2377947011932341E-2</v>
      </c>
      <c r="P712" s="318">
        <v>1.9942508976171645E-2</v>
      </c>
      <c r="Q712" s="319">
        <v>5.6112750313297793E-2</v>
      </c>
    </row>
    <row r="713" spans="2:17" ht="15.75" x14ac:dyDescent="0.25">
      <c r="B713" s="176">
        <v>2030</v>
      </c>
      <c r="C713" s="177">
        <v>1997</v>
      </c>
      <c r="D713" s="178" t="s">
        <v>3559</v>
      </c>
      <c r="E713" s="461">
        <v>5.7846368030469157E-2</v>
      </c>
      <c r="F713" s="462">
        <v>7.1596612724932784E-2</v>
      </c>
      <c r="G713" s="316">
        <v>0.37212252864119105</v>
      </c>
      <c r="H713" s="317">
        <v>0.14391223501991016</v>
      </c>
      <c r="I713" s="317">
        <v>8.9719702102267576</v>
      </c>
      <c r="J713" s="317">
        <v>1.043852028535001</v>
      </c>
      <c r="K713" s="317">
        <v>5.3907507073306403E-2</v>
      </c>
      <c r="L713" s="318">
        <v>2.8597332504639692E-3</v>
      </c>
      <c r="M713" s="317">
        <v>2.9841154145814901E-3</v>
      </c>
      <c r="N713" s="318">
        <v>2.0000005732018801E-3</v>
      </c>
      <c r="O713" s="317">
        <v>3.2489797965831978E-2</v>
      </c>
      <c r="P713" s="318">
        <v>1.940547160899064E-2</v>
      </c>
      <c r="Q713" s="319">
        <v>5.6344965332141547E-2</v>
      </c>
    </row>
    <row r="714" spans="2:17" ht="15.75" x14ac:dyDescent="0.25">
      <c r="B714" s="176">
        <v>2030</v>
      </c>
      <c r="C714" s="177">
        <v>1998</v>
      </c>
      <c r="D714" s="178" t="s">
        <v>3560</v>
      </c>
      <c r="E714" s="461">
        <v>5.7727193555139764E-2</v>
      </c>
      <c r="F714" s="462">
        <v>6.8231448133579883E-2</v>
      </c>
      <c r="G714" s="316">
        <v>0.37044669258840635</v>
      </c>
      <c r="H714" s="317">
        <v>0.13379246915634863</v>
      </c>
      <c r="I714" s="317">
        <v>8.9555076684513093</v>
      </c>
      <c r="J714" s="317">
        <v>0.92281104614627596</v>
      </c>
      <c r="K714" s="317">
        <v>5.3773583395724606E-2</v>
      </c>
      <c r="L714" s="318">
        <v>2.9008763444839636E-3</v>
      </c>
      <c r="M714" s="317">
        <v>2.9811928392550961E-3</v>
      </c>
      <c r="N714" s="318">
        <v>2.0000005732018801E-3</v>
      </c>
      <c r="O714" s="317">
        <v>3.2440084959530019E-2</v>
      </c>
      <c r="P714" s="318">
        <v>1.8467528136983859E-2</v>
      </c>
      <c r="Q714" s="319">
        <v>5.6204986220136963E-2</v>
      </c>
    </row>
    <row r="715" spans="2:17" ht="15.75" x14ac:dyDescent="0.25">
      <c r="B715" s="176">
        <v>2030</v>
      </c>
      <c r="C715" s="177">
        <v>1999</v>
      </c>
      <c r="D715" s="178" t="s">
        <v>3561</v>
      </c>
      <c r="E715" s="461">
        <v>5.7854723526069643E-2</v>
      </c>
      <c r="F715" s="462">
        <v>6.8947333210697515E-2</v>
      </c>
      <c r="G715" s="316">
        <v>0.37423666242625098</v>
      </c>
      <c r="H715" s="317">
        <v>0.11666533672304935</v>
      </c>
      <c r="I715" s="317">
        <v>9.0679759736650887</v>
      </c>
      <c r="J715" s="317">
        <v>0.76464434473441023</v>
      </c>
      <c r="K715" s="317">
        <v>5.379009543695773E-2</v>
      </c>
      <c r="L715" s="318">
        <v>2.9033485134092474E-3</v>
      </c>
      <c r="M715" s="317">
        <v>2.9948636894598013E-3</v>
      </c>
      <c r="N715" s="318">
        <v>2.0000005732018801E-3</v>
      </c>
      <c r="O715" s="317">
        <v>3.2672626121512061E-2</v>
      </c>
      <c r="P715" s="318">
        <v>1.8702377984174016E-2</v>
      </c>
      <c r="Q715" s="319">
        <v>5.6222244862603528E-2</v>
      </c>
    </row>
    <row r="716" spans="2:17" ht="15.75" x14ac:dyDescent="0.25">
      <c r="B716" s="176">
        <v>2030</v>
      </c>
      <c r="C716" s="177">
        <v>2000</v>
      </c>
      <c r="D716" s="178" t="s">
        <v>3562</v>
      </c>
      <c r="E716" s="461">
        <v>5.7709225098046421E-2</v>
      </c>
      <c r="F716" s="462">
        <v>7.50492698735159E-2</v>
      </c>
      <c r="G716" s="316">
        <v>0.3729310620773516</v>
      </c>
      <c r="H716" s="317">
        <v>0.10010252920168233</v>
      </c>
      <c r="I716" s="317">
        <v>9.1223923420715298</v>
      </c>
      <c r="J716" s="317">
        <v>0.6132974937820832</v>
      </c>
      <c r="K716" s="317">
        <v>5.3461345354571158E-2</v>
      </c>
      <c r="L716" s="318">
        <v>2.8977022203116806E-3</v>
      </c>
      <c r="M716" s="317">
        <v>2.9984064920588944E-3</v>
      </c>
      <c r="N716" s="318">
        <v>2.0000005732018801E-3</v>
      </c>
      <c r="O716" s="317">
        <v>3.2732889193722622E-2</v>
      </c>
      <c r="P716" s="318">
        <v>1.8905794781317101E-2</v>
      </c>
      <c r="Q716" s="319">
        <v>5.5878630160298343E-2</v>
      </c>
    </row>
    <row r="717" spans="2:17" ht="15.75" x14ac:dyDescent="0.25">
      <c r="B717" s="176">
        <v>2030</v>
      </c>
      <c r="C717" s="177">
        <v>2001</v>
      </c>
      <c r="D717" s="178" t="s">
        <v>3563</v>
      </c>
      <c r="E717" s="461">
        <v>5.7793125353421043E-2</v>
      </c>
      <c r="F717" s="462">
        <v>7.3768791922821514E-2</v>
      </c>
      <c r="G717" s="316">
        <v>0.37382442997418319</v>
      </c>
      <c r="H717" s="317">
        <v>8.6552993742441353E-2</v>
      </c>
      <c r="I717" s="317">
        <v>9.0659762807861828</v>
      </c>
      <c r="J717" s="317">
        <v>0.47481250479025922</v>
      </c>
      <c r="K717" s="317">
        <v>5.3748138093530261E-2</v>
      </c>
      <c r="L717" s="318">
        <v>2.9222649312437275E-3</v>
      </c>
      <c r="M717" s="317">
        <v>2.9943585854887238E-3</v>
      </c>
      <c r="N717" s="318">
        <v>2.0000005732018801E-3</v>
      </c>
      <c r="O717" s="317">
        <v>3.2664034302964016E-2</v>
      </c>
      <c r="P717" s="318">
        <v>1.8490692076578844E-2</v>
      </c>
      <c r="Q717" s="319">
        <v>5.61783903942892E-2</v>
      </c>
    </row>
    <row r="718" spans="2:17" ht="15.75" x14ac:dyDescent="0.25">
      <c r="B718" s="176">
        <v>2030</v>
      </c>
      <c r="C718" s="177">
        <v>2002</v>
      </c>
      <c r="D718" s="178" t="s">
        <v>3564</v>
      </c>
      <c r="E718" s="461">
        <v>5.7613955698730721E-2</v>
      </c>
      <c r="F718" s="462">
        <v>7.1825718118888229E-2</v>
      </c>
      <c r="G718" s="316">
        <v>0.28865121744064548</v>
      </c>
      <c r="H718" s="317">
        <v>8.6857580196113671E-2</v>
      </c>
      <c r="I718" s="317">
        <v>7.0260099075109377</v>
      </c>
      <c r="J718" s="317">
        <v>0.45700280695390638</v>
      </c>
      <c r="K718" s="317">
        <v>5.3889093903074149E-2</v>
      </c>
      <c r="L718" s="318">
        <v>2.9509382897153508E-3</v>
      </c>
      <c r="M718" s="317">
        <v>2.9975672650590724E-3</v>
      </c>
      <c r="N718" s="318">
        <v>2.0000005732018801E-3</v>
      </c>
      <c r="O718" s="317">
        <v>3.2718613942455649E-2</v>
      </c>
      <c r="P718" s="318">
        <v>1.786920701490978E-2</v>
      </c>
      <c r="Q718" s="319">
        <v>5.6325719600058527E-2</v>
      </c>
    </row>
    <row r="719" spans="2:17" ht="15.75" x14ac:dyDescent="0.25">
      <c r="B719" s="176">
        <v>2030</v>
      </c>
      <c r="C719" s="177">
        <v>2003</v>
      </c>
      <c r="D719" s="178" t="s">
        <v>3565</v>
      </c>
      <c r="E719" s="461">
        <v>5.7406205154344019E-2</v>
      </c>
      <c r="F719" s="462">
        <v>7.2886603319765125E-2</v>
      </c>
      <c r="G719" s="316">
        <v>0.28634879922492074</v>
      </c>
      <c r="H719" s="317">
        <v>7.0380172862847035E-2</v>
      </c>
      <c r="I719" s="317">
        <v>7.0262285695387146</v>
      </c>
      <c r="J719" s="317">
        <v>0.39098382522652286</v>
      </c>
      <c r="K719" s="317">
        <v>5.3577240605950226E-2</v>
      </c>
      <c r="L719" s="318">
        <v>2.9344101440326067E-3</v>
      </c>
      <c r="M719" s="317">
        <v>2.9942579182155125E-3</v>
      </c>
      <c r="N719" s="318">
        <v>2.0000005732018801E-3</v>
      </c>
      <c r="O719" s="317">
        <v>3.2662321952646699E-2</v>
      </c>
      <c r="P719" s="318">
        <v>1.8257009692330357E-2</v>
      </c>
      <c r="Q719" s="319">
        <v>5.5999765680667175E-2</v>
      </c>
    </row>
    <row r="720" spans="2:17" ht="15.75" x14ac:dyDescent="0.25">
      <c r="B720" s="176">
        <v>2030</v>
      </c>
      <c r="C720" s="177">
        <v>2004</v>
      </c>
      <c r="D720" s="178" t="s">
        <v>3566</v>
      </c>
      <c r="E720" s="461">
        <v>5.7297452455442141E-2</v>
      </c>
      <c r="F720" s="462">
        <v>7.2674502178501799E-2</v>
      </c>
      <c r="G720" s="316">
        <v>0.23639580602496951</v>
      </c>
      <c r="H720" s="317">
        <v>1.8083091673797583E-2</v>
      </c>
      <c r="I720" s="317">
        <v>5.8633955032199312</v>
      </c>
      <c r="J720" s="317">
        <v>0.11582647477206358</v>
      </c>
      <c r="K720" s="317">
        <v>5.3335932773859736E-2</v>
      </c>
      <c r="L720" s="318">
        <v>1.9609762980293537E-4</v>
      </c>
      <c r="M720" s="317">
        <v>2.9922730403624388E-3</v>
      </c>
      <c r="N720" s="318">
        <v>2.0000005732018801E-3</v>
      </c>
      <c r="O720" s="317">
        <v>3.2628559180365925E-2</v>
      </c>
      <c r="P720" s="318">
        <v>1.7879726873944516E-2</v>
      </c>
      <c r="Q720" s="319">
        <v>5.5747546979197232E-2</v>
      </c>
    </row>
    <row r="721" spans="2:17" ht="15.75" x14ac:dyDescent="0.25">
      <c r="B721" s="176">
        <v>2030</v>
      </c>
      <c r="C721" s="177">
        <v>2005</v>
      </c>
      <c r="D721" s="178" t="s">
        <v>3567</v>
      </c>
      <c r="E721" s="461">
        <v>5.705723277130903E-2</v>
      </c>
      <c r="F721" s="462">
        <v>6.8950739575526568E-2</v>
      </c>
      <c r="G721" s="316">
        <v>0.23380251228007592</v>
      </c>
      <c r="H721" s="317">
        <v>1.5778797003895381E-2</v>
      </c>
      <c r="I721" s="317">
        <v>5.8559035165484952</v>
      </c>
      <c r="J721" s="317">
        <v>9.4074803966353329E-2</v>
      </c>
      <c r="K721" s="317">
        <v>5.297016326698116E-2</v>
      </c>
      <c r="L721" s="318">
        <v>1.9700593035285686E-4</v>
      </c>
      <c r="M721" s="317">
        <v>2.9855152627042219E-3</v>
      </c>
      <c r="N721" s="318">
        <v>2.0000005732018801E-3</v>
      </c>
      <c r="O721" s="317">
        <v>3.2513609382399639E-2</v>
      </c>
      <c r="P721" s="318">
        <v>1.713745345493993E-2</v>
      </c>
      <c r="Q721" s="319">
        <v>5.5365238998295693E-2</v>
      </c>
    </row>
    <row r="722" spans="2:17" ht="15.75" x14ac:dyDescent="0.25">
      <c r="B722" s="176">
        <v>2030</v>
      </c>
      <c r="C722" s="177">
        <v>2006</v>
      </c>
      <c r="D722" s="178" t="s">
        <v>3568</v>
      </c>
      <c r="E722" s="461">
        <v>5.69952280254113E-2</v>
      </c>
      <c r="F722" s="462">
        <v>7.1978952362743431E-2</v>
      </c>
      <c r="G722" s="316">
        <v>0.23339441163655661</v>
      </c>
      <c r="H722" s="317">
        <v>5.8559617340871641E-3</v>
      </c>
      <c r="I722" s="317">
        <v>5.8501627100660025</v>
      </c>
      <c r="J722" s="317">
        <v>6.3489091765552952E-2</v>
      </c>
      <c r="K722" s="317">
        <v>5.29297415600153E-2</v>
      </c>
      <c r="L722" s="318">
        <v>1.9316022709749315E-4</v>
      </c>
      <c r="M722" s="317">
        <v>2.9838490748081139E-3</v>
      </c>
      <c r="N722" s="318">
        <v>2.0000005732018805E-3</v>
      </c>
      <c r="O722" s="317">
        <v>3.2485267526286839E-2</v>
      </c>
      <c r="P722" s="318">
        <v>1.8792832450998602E-2</v>
      </c>
      <c r="Q722" s="319">
        <v>5.5322989601109575E-2</v>
      </c>
    </row>
    <row r="723" spans="2:17" ht="15.75" x14ac:dyDescent="0.25">
      <c r="B723" s="176">
        <v>2030</v>
      </c>
      <c r="C723" s="177">
        <v>2007</v>
      </c>
      <c r="D723" s="178" t="s">
        <v>3569</v>
      </c>
      <c r="E723" s="461">
        <v>5.6810824954960107E-2</v>
      </c>
      <c r="F723" s="462">
        <v>6.7597758054295451E-2</v>
      </c>
      <c r="G723" s="316">
        <v>0.16729409576045848</v>
      </c>
      <c r="H723" s="317">
        <v>8.4260901855201763E-3</v>
      </c>
      <c r="I723" s="317">
        <v>2.9879632536868099</v>
      </c>
      <c r="J723" s="317">
        <v>5.6001058367385156E-2</v>
      </c>
      <c r="K723" s="317">
        <v>3.6979048050746595E-2</v>
      </c>
      <c r="L723" s="318">
        <v>1.9651275900444001E-4</v>
      </c>
      <c r="M723" s="317">
        <v>2.9624851168608903E-3</v>
      </c>
      <c r="N723" s="318">
        <v>2.0000005732018801E-3</v>
      </c>
      <c r="O723" s="317">
        <v>3.2121866601604571E-2</v>
      </c>
      <c r="P723" s="318">
        <v>1.7359178707767216E-2</v>
      </c>
      <c r="Q723" s="319">
        <v>3.8651076511505851E-2</v>
      </c>
    </row>
    <row r="724" spans="2:17" ht="15.75" x14ac:dyDescent="0.25">
      <c r="B724" s="176">
        <v>2030</v>
      </c>
      <c r="C724" s="177">
        <v>2008</v>
      </c>
      <c r="D724" s="178" t="s">
        <v>3570</v>
      </c>
      <c r="E724" s="461">
        <v>5.6818122989290475E-2</v>
      </c>
      <c r="F724" s="462">
        <v>6.5838637795169005E-2</v>
      </c>
      <c r="G724" s="316">
        <v>0.16835928532851152</v>
      </c>
      <c r="H724" s="317">
        <v>8.1811980782943525E-3</v>
      </c>
      <c r="I724" s="317">
        <v>3.0114347651408031</v>
      </c>
      <c r="J724" s="317">
        <v>4.5152239675281799E-2</v>
      </c>
      <c r="K724" s="317">
        <v>3.7184018135148184E-2</v>
      </c>
      <c r="L724" s="318">
        <v>2.2447941007383812E-4</v>
      </c>
      <c r="M724" s="317">
        <v>2.971743047239293E-3</v>
      </c>
      <c r="N724" s="318">
        <v>2.0000005732018801E-3</v>
      </c>
      <c r="O724" s="317">
        <v>3.2279343997341205E-2</v>
      </c>
      <c r="P724" s="318">
        <v>1.7317300304543023E-2</v>
      </c>
      <c r="Q724" s="319">
        <v>3.8865314433582911E-2</v>
      </c>
    </row>
    <row r="725" spans="2:17" ht="15.75" x14ac:dyDescent="0.25">
      <c r="B725" s="176">
        <v>2030</v>
      </c>
      <c r="C725" s="177">
        <v>2009</v>
      </c>
      <c r="D725" s="178" t="s">
        <v>3571</v>
      </c>
      <c r="E725" s="461">
        <v>5.5875513723871166E-2</v>
      </c>
      <c r="F725" s="462">
        <v>6.0520084025500347E-2</v>
      </c>
      <c r="G725" s="316">
        <v>0.15426369046063867</v>
      </c>
      <c r="H725" s="317">
        <v>8.0607558499606116E-3</v>
      </c>
      <c r="I725" s="317">
        <v>2.6708759904476094</v>
      </c>
      <c r="J725" s="317">
        <v>3.3424986243208006E-2</v>
      </c>
      <c r="K725" s="317">
        <v>3.402477681202596E-2</v>
      </c>
      <c r="L725" s="318">
        <v>2.5370866702369236E-4</v>
      </c>
      <c r="M725" s="317">
        <v>2.8653837248143695E-3</v>
      </c>
      <c r="N725" s="318">
        <v>2.0000005732018801E-3</v>
      </c>
      <c r="O725" s="317">
        <v>3.0470171922893252E-2</v>
      </c>
      <c r="P725" s="318">
        <v>1.6691841367611752E-2</v>
      </c>
      <c r="Q725" s="319">
        <v>3.5563226236754737E-2</v>
      </c>
    </row>
    <row r="726" spans="2:17" ht="15.75" x14ac:dyDescent="0.25">
      <c r="B726" s="176">
        <v>2030</v>
      </c>
      <c r="C726" s="177">
        <v>2010</v>
      </c>
      <c r="D726" s="178" t="s">
        <v>3572</v>
      </c>
      <c r="E726" s="461">
        <v>5.4502275406827796E-2</v>
      </c>
      <c r="F726" s="462">
        <v>5.8717489485666179E-2</v>
      </c>
      <c r="G726" s="316">
        <v>8.9738298504824676E-2</v>
      </c>
      <c r="H726" s="317">
        <v>7.1976405804758028E-3</v>
      </c>
      <c r="I726" s="317">
        <v>0.22473606701613569</v>
      </c>
      <c r="J726" s="317">
        <v>3.2327788057190263E-2</v>
      </c>
      <c r="K726" s="317">
        <v>1.9054941466547633E-2</v>
      </c>
      <c r="L726" s="318">
        <v>3.0957719210986633E-4</v>
      </c>
      <c r="M726" s="317">
        <v>2.7614813400886739E-3</v>
      </c>
      <c r="N726" s="318">
        <v>2.0000005732018801E-3</v>
      </c>
      <c r="O726" s="317">
        <v>2.8702792358709171E-2</v>
      </c>
      <c r="P726" s="318">
        <v>1.6354289338337154E-2</v>
      </c>
      <c r="Q726" s="319">
        <v>1.9916521364614435E-2</v>
      </c>
    </row>
    <row r="727" spans="2:17" ht="15.75" x14ac:dyDescent="0.25">
      <c r="B727" s="176">
        <v>2030</v>
      </c>
      <c r="C727" s="177">
        <v>2011</v>
      </c>
      <c r="D727" s="178" t="s">
        <v>3573</v>
      </c>
      <c r="E727" s="461">
        <v>5.4160474889920318E-2</v>
      </c>
      <c r="F727" s="462">
        <v>5.7332131923331503E-2</v>
      </c>
      <c r="G727" s="316">
        <v>8.9202137563389877E-2</v>
      </c>
      <c r="H727" s="317">
        <v>7.2807670540493185E-3</v>
      </c>
      <c r="I727" s="317">
        <v>0.22387344233849049</v>
      </c>
      <c r="J727" s="317">
        <v>3.237569928121907E-2</v>
      </c>
      <c r="K727" s="317">
        <v>1.8900852973464152E-2</v>
      </c>
      <c r="L727" s="318">
        <v>4.1933456366620404E-4</v>
      </c>
      <c r="M727" s="317">
        <v>2.7715024706076972E-3</v>
      </c>
      <c r="N727" s="318">
        <v>2.0000005732018801E-3</v>
      </c>
      <c r="O727" s="317">
        <v>2.8873251788837758E-2</v>
      </c>
      <c r="P727" s="318">
        <v>1.6465955767529562E-2</v>
      </c>
      <c r="Q727" s="319">
        <v>1.9755465673631324E-2</v>
      </c>
    </row>
    <row r="728" spans="2:17" ht="15.75" x14ac:dyDescent="0.25">
      <c r="B728" s="176">
        <v>2030</v>
      </c>
      <c r="C728" s="177">
        <v>2012</v>
      </c>
      <c r="D728" s="178" t="s">
        <v>3574</v>
      </c>
      <c r="E728" s="461">
        <v>5.1876490208142507E-2</v>
      </c>
      <c r="F728" s="462">
        <v>5.7141507756017076E-2</v>
      </c>
      <c r="G728" s="316">
        <v>7.578376066665117E-2</v>
      </c>
      <c r="H728" s="317">
        <v>6.8112438726032412E-3</v>
      </c>
      <c r="I728" s="317">
        <v>0.18731951761817317</v>
      </c>
      <c r="J728" s="317">
        <v>3.2855192476005969E-2</v>
      </c>
      <c r="K728" s="317">
        <v>1.6247218305986941E-2</v>
      </c>
      <c r="L728" s="318">
        <v>6.091333293089269E-4</v>
      </c>
      <c r="M728" s="317">
        <v>2.6277050588218226E-3</v>
      </c>
      <c r="N728" s="318">
        <v>2.0000005732018801E-3</v>
      </c>
      <c r="O728" s="317">
        <v>2.6427257814360026E-2</v>
      </c>
      <c r="P728" s="318">
        <v>1.680601879054093E-2</v>
      </c>
      <c r="Q728" s="319">
        <v>1.6981845421820217E-2</v>
      </c>
    </row>
    <row r="729" spans="2:17" ht="15.75" x14ac:dyDescent="0.25">
      <c r="B729" s="176">
        <v>2030</v>
      </c>
      <c r="C729" s="177">
        <v>2013</v>
      </c>
      <c r="D729" s="178" t="s">
        <v>3575</v>
      </c>
      <c r="E729" s="461">
        <v>5.3881154329176645E-2</v>
      </c>
      <c r="F729" s="462">
        <v>5.5738251740101795E-2</v>
      </c>
      <c r="G729" s="316">
        <v>9.0149770711333524E-2</v>
      </c>
      <c r="H729" s="317">
        <v>7.6927035134857595E-3</v>
      </c>
      <c r="I729" s="317">
        <v>0.22398438729497425</v>
      </c>
      <c r="J729" s="317">
        <v>3.2009248979062196E-2</v>
      </c>
      <c r="K729" s="317">
        <v>1.858787551324206E-2</v>
      </c>
      <c r="L729" s="318">
        <v>9.1012241394368486E-4</v>
      </c>
      <c r="M729" s="317">
        <v>2.7895021099173809E-3</v>
      </c>
      <c r="N729" s="318">
        <v>2.0000005732018801E-3</v>
      </c>
      <c r="O729" s="317">
        <v>2.9179425653495478E-2</v>
      </c>
      <c r="P729" s="318">
        <v>1.6871674514965733E-2</v>
      </c>
      <c r="Q729" s="319">
        <v>1.9428336761474901E-2</v>
      </c>
    </row>
    <row r="730" spans="2:17" ht="15.75" x14ac:dyDescent="0.25">
      <c r="B730" s="176">
        <v>2030</v>
      </c>
      <c r="C730" s="177">
        <v>2014</v>
      </c>
      <c r="D730" s="178" t="s">
        <v>3576</v>
      </c>
      <c r="E730" s="461">
        <v>5.0942015408775035E-2</v>
      </c>
      <c r="F730" s="462">
        <v>5.367176883479749E-2</v>
      </c>
      <c r="G730" s="316">
        <v>7.764778347897569E-2</v>
      </c>
      <c r="H730" s="317">
        <v>7.7620895243147E-3</v>
      </c>
      <c r="I730" s="317">
        <v>0.19069002445298963</v>
      </c>
      <c r="J730" s="317">
        <v>3.0674267702299814E-2</v>
      </c>
      <c r="K730" s="317">
        <v>1.6164198495857617E-2</v>
      </c>
      <c r="L730" s="318">
        <v>1.2768327720572654E-3</v>
      </c>
      <c r="M730" s="317">
        <v>2.6633683443262027E-3</v>
      </c>
      <c r="N730" s="318">
        <v>2.0000005732018801E-3</v>
      </c>
      <c r="O730" s="317">
        <v>2.7033890300789527E-2</v>
      </c>
      <c r="P730" s="318">
        <v>1.6424890336093841E-2</v>
      </c>
      <c r="Q730" s="319">
        <v>1.6895071824271773E-2</v>
      </c>
    </row>
    <row r="731" spans="2:17" ht="15.75" x14ac:dyDescent="0.25">
      <c r="B731" s="176">
        <v>2030</v>
      </c>
      <c r="C731" s="177">
        <v>2015</v>
      </c>
      <c r="D731" s="178" t="s">
        <v>3577</v>
      </c>
      <c r="E731" s="461">
        <v>4.9645873315223341E-2</v>
      </c>
      <c r="F731" s="462">
        <v>5.5626072049187764E-2</v>
      </c>
      <c r="G731" s="316">
        <v>7.243500291527899E-2</v>
      </c>
      <c r="H731" s="317">
        <v>7.6542504474991033E-3</v>
      </c>
      <c r="I731" s="317">
        <v>0.1776076960535749</v>
      </c>
      <c r="J731" s="317">
        <v>3.1512776071474305E-2</v>
      </c>
      <c r="K731" s="317">
        <v>1.5118186259202637E-2</v>
      </c>
      <c r="L731" s="318">
        <v>1.5893393748875162E-3</v>
      </c>
      <c r="M731" s="317">
        <v>2.6271530964189073E-3</v>
      </c>
      <c r="N731" s="318">
        <v>2.0000005732018801E-3</v>
      </c>
      <c r="O731" s="317">
        <v>2.6417868933886434E-2</v>
      </c>
      <c r="P731" s="318">
        <v>1.7310528177570433E-2</v>
      </c>
      <c r="Q731" s="319">
        <v>1.580176355588582E-2</v>
      </c>
    </row>
    <row r="732" spans="2:17" ht="15.75" x14ac:dyDescent="0.25">
      <c r="B732" s="176">
        <v>2030</v>
      </c>
      <c r="C732" s="177">
        <v>2016</v>
      </c>
      <c r="D732" s="178" t="s">
        <v>3578</v>
      </c>
      <c r="E732" s="461">
        <v>5.06503512626394E-2</v>
      </c>
      <c r="F732" s="462">
        <v>5.6717619998272815E-2</v>
      </c>
      <c r="G732" s="316">
        <v>8.7484955008569731E-2</v>
      </c>
      <c r="H732" s="317">
        <v>7.3733246863199684E-3</v>
      </c>
      <c r="I732" s="317">
        <v>0.18963792506440511</v>
      </c>
      <c r="J732" s="317">
        <v>3.141851423633546E-2</v>
      </c>
      <c r="K732" s="317">
        <v>1.7397792521863787E-2</v>
      </c>
      <c r="L732" s="318">
        <v>1.8223442312608547E-3</v>
      </c>
      <c r="M732" s="317">
        <v>2.8120766039501119E-3</v>
      </c>
      <c r="N732" s="318">
        <v>2.0000005732018801E-3</v>
      </c>
      <c r="O732" s="317">
        <v>2.9563417796992238E-2</v>
      </c>
      <c r="P732" s="318">
        <v>1.8174764535936364E-2</v>
      </c>
      <c r="Q732" s="319">
        <v>1.8184443498141592E-2</v>
      </c>
    </row>
    <row r="733" spans="2:17" ht="15.75" x14ac:dyDescent="0.25">
      <c r="B733" s="176">
        <v>2030</v>
      </c>
      <c r="C733" s="177">
        <v>2017</v>
      </c>
      <c r="D733" s="178" t="s">
        <v>3579</v>
      </c>
      <c r="E733" s="461">
        <v>4.7015802184971388E-2</v>
      </c>
      <c r="F733" s="462">
        <v>5.111289870400744E-2</v>
      </c>
      <c r="G733" s="316">
        <v>6.7386287000331807E-2</v>
      </c>
      <c r="H733" s="317">
        <v>7.3316854298127636E-3</v>
      </c>
      <c r="I733" s="317">
        <v>0.1359480012216229</v>
      </c>
      <c r="J733" s="317">
        <v>2.9190114581830011E-2</v>
      </c>
      <c r="K733" s="317">
        <v>1.5086425159400082E-2</v>
      </c>
      <c r="L733" s="318">
        <v>2.0047914074643406E-3</v>
      </c>
      <c r="M733" s="317">
        <v>2.7422992856119995E-3</v>
      </c>
      <c r="N733" s="318">
        <v>2.0000005732018801E-3</v>
      </c>
      <c r="O733" s="317">
        <v>2.8376505612060943E-2</v>
      </c>
      <c r="P733" s="318">
        <v>1.7178813998626394E-2</v>
      </c>
      <c r="Q733" s="319">
        <v>1.5768566360087992E-2</v>
      </c>
    </row>
    <row r="734" spans="2:17" ht="15.75" x14ac:dyDescent="0.25">
      <c r="B734" s="176">
        <v>2030</v>
      </c>
      <c r="C734" s="177">
        <v>2018</v>
      </c>
      <c r="D734" s="178" t="s">
        <v>3580</v>
      </c>
      <c r="E734" s="461">
        <v>4.407825697814207E-2</v>
      </c>
      <c r="F734" s="462">
        <v>4.8814535094536933E-2</v>
      </c>
      <c r="G734" s="316">
        <v>6.6267661507794604E-2</v>
      </c>
      <c r="H734" s="317">
        <v>6.9380980269071304E-3</v>
      </c>
      <c r="I734" s="317">
        <v>0.10976579767140278</v>
      </c>
      <c r="J734" s="317">
        <v>2.7662579105440597E-2</v>
      </c>
      <c r="K734" s="317">
        <v>1.3598422808345488E-2</v>
      </c>
      <c r="L734" s="318">
        <v>2.0880457219616534E-3</v>
      </c>
      <c r="M734" s="317">
        <v>2.7381406501491077E-3</v>
      </c>
      <c r="N734" s="318">
        <v>2.0000005732018801E-3</v>
      </c>
      <c r="O734" s="317">
        <v>2.8305767222837144E-2</v>
      </c>
      <c r="P734" s="318">
        <v>1.7164650717608386E-2</v>
      </c>
      <c r="Q734" s="319">
        <v>1.4213283145631327E-2</v>
      </c>
    </row>
    <row r="735" spans="2:17" ht="15.75" x14ac:dyDescent="0.25">
      <c r="B735" s="176">
        <v>2030</v>
      </c>
      <c r="C735" s="177">
        <v>2019</v>
      </c>
      <c r="D735" s="178" t="s">
        <v>3581</v>
      </c>
      <c r="E735" s="461">
        <v>4.3579158049418601E-2</v>
      </c>
      <c r="F735" s="462">
        <v>4.6925503047876585E-2</v>
      </c>
      <c r="G735" s="316">
        <v>6.5030590888615528E-2</v>
      </c>
      <c r="H735" s="317">
        <v>6.1793850268188292E-3</v>
      </c>
      <c r="I735" s="317">
        <v>9.3141150634065376E-2</v>
      </c>
      <c r="J735" s="317">
        <v>2.4846981512473804E-2</v>
      </c>
      <c r="K735" s="317">
        <v>1.1349400959907455E-2</v>
      </c>
      <c r="L735" s="318">
        <v>1.9823126364624799E-3</v>
      </c>
      <c r="M735" s="317">
        <v>2.7332087465174243E-3</v>
      </c>
      <c r="N735" s="318">
        <v>2.0000005732018801E-3</v>
      </c>
      <c r="O735" s="317">
        <v>2.822187554206226E-2</v>
      </c>
      <c r="P735" s="318">
        <v>1.7159817468113011E-2</v>
      </c>
      <c r="Q735" s="319">
        <v>1.1862570509093579E-2</v>
      </c>
    </row>
    <row r="736" spans="2:17" ht="15.75" x14ac:dyDescent="0.25">
      <c r="B736" s="176">
        <v>2030</v>
      </c>
      <c r="C736" s="177">
        <v>2020</v>
      </c>
      <c r="D736" s="178" t="s">
        <v>3582</v>
      </c>
      <c r="E736" s="461">
        <v>4.3090616007703003E-2</v>
      </c>
      <c r="F736" s="462">
        <v>4.5035222557528398E-2</v>
      </c>
      <c r="G736" s="316">
        <v>6.3850339481900303E-2</v>
      </c>
      <c r="H736" s="317">
        <v>5.2896876429256922E-3</v>
      </c>
      <c r="I736" s="317">
        <v>7.7145781447930994E-2</v>
      </c>
      <c r="J736" s="317">
        <v>2.2201294030355187E-2</v>
      </c>
      <c r="K736" s="317">
        <v>9.2283505722163643E-3</v>
      </c>
      <c r="L736" s="318">
        <v>1.4588478187827559E-3</v>
      </c>
      <c r="M736" s="317">
        <v>2.7301402844786167E-3</v>
      </c>
      <c r="N736" s="318">
        <v>2.0000005732018801E-3</v>
      </c>
      <c r="O736" s="317">
        <v>2.8169681002782096E-2</v>
      </c>
      <c r="P736" s="318">
        <v>1.7154589026390187E-2</v>
      </c>
      <c r="Q736" s="319">
        <v>9.6456156348927874E-3</v>
      </c>
    </row>
    <row r="737" spans="2:17" ht="15.75" x14ac:dyDescent="0.25">
      <c r="B737" s="176">
        <v>2030</v>
      </c>
      <c r="C737" s="177">
        <v>2021</v>
      </c>
      <c r="D737" s="178" t="s">
        <v>3583</v>
      </c>
      <c r="E737" s="461">
        <v>4.171724911271088E-2</v>
      </c>
      <c r="F737" s="462">
        <v>4.2972731760344773E-2</v>
      </c>
      <c r="G737" s="316">
        <v>5.9934222712151507E-2</v>
      </c>
      <c r="H737" s="317">
        <v>4.6098737725528529E-3</v>
      </c>
      <c r="I737" s="317">
        <v>5.5963071421243737E-2</v>
      </c>
      <c r="J737" s="317">
        <v>2.0376091210845361E-2</v>
      </c>
      <c r="K737" s="317">
        <v>6.1618380107873894E-3</v>
      </c>
      <c r="L737" s="318">
        <v>9.5589219448992012E-4</v>
      </c>
      <c r="M737" s="317">
        <v>2.7255432360388889E-3</v>
      </c>
      <c r="N737" s="318">
        <v>2.0000005732018801E-3</v>
      </c>
      <c r="O737" s="317">
        <v>2.8091485208822323E-2</v>
      </c>
      <c r="P737" s="318">
        <v>1.715871559297194E-2</v>
      </c>
      <c r="Q737" s="319">
        <v>6.4404489828839744E-3</v>
      </c>
    </row>
    <row r="738" spans="2:17" ht="15.75" x14ac:dyDescent="0.25">
      <c r="B738" s="176">
        <v>2030</v>
      </c>
      <c r="C738" s="177">
        <v>2022</v>
      </c>
      <c r="D738" s="178" t="s">
        <v>3584</v>
      </c>
      <c r="E738" s="461">
        <v>4.0536428736532425E-2</v>
      </c>
      <c r="F738" s="462">
        <v>4.142734247678511E-2</v>
      </c>
      <c r="G738" s="316">
        <v>5.8734853068216554E-2</v>
      </c>
      <c r="H738" s="317">
        <v>3.84134662229502E-3</v>
      </c>
      <c r="I738" s="317">
        <v>4.148608043049818E-2</v>
      </c>
      <c r="J738" s="317">
        <v>1.8219849662990603E-2</v>
      </c>
      <c r="K738" s="317">
        <v>4.395411448221604E-3</v>
      </c>
      <c r="L738" s="318">
        <v>9.5588018169068397E-4</v>
      </c>
      <c r="M738" s="317">
        <v>2.7236536345236748E-3</v>
      </c>
      <c r="N738" s="318">
        <v>2.0000005732018801E-3</v>
      </c>
      <c r="O738" s="317">
        <v>2.8059343087048532E-2</v>
      </c>
      <c r="P738" s="318">
        <v>1.7166007378255865E-2</v>
      </c>
      <c r="Q738" s="319">
        <v>4.5941524495607478E-3</v>
      </c>
    </row>
    <row r="739" spans="2:17" ht="15.75" x14ac:dyDescent="0.25">
      <c r="B739" s="176">
        <v>2030</v>
      </c>
      <c r="C739" s="177">
        <v>2023</v>
      </c>
      <c r="D739" s="178" t="s">
        <v>3585</v>
      </c>
      <c r="E739" s="461">
        <v>3.9334748923276534E-2</v>
      </c>
      <c r="F739" s="462">
        <v>3.987000329207032E-2</v>
      </c>
      <c r="G739" s="316">
        <v>5.7365836450687949E-2</v>
      </c>
      <c r="H739" s="317">
        <v>3.2886964604054427E-3</v>
      </c>
      <c r="I739" s="317">
        <v>3.9803824917634671E-2</v>
      </c>
      <c r="J739" s="317">
        <v>1.7196501722602835E-2</v>
      </c>
      <c r="K739" s="317">
        <v>4.0865126362628051E-3</v>
      </c>
      <c r="L739" s="318">
        <v>9.5573850035310219E-4</v>
      </c>
      <c r="M739" s="317">
        <v>2.7203085216223047E-3</v>
      </c>
      <c r="N739" s="318">
        <v>2.0000005732018801E-3</v>
      </c>
      <c r="O739" s="317">
        <v>2.8002442716596229E-2</v>
      </c>
      <c r="P739" s="318">
        <v>1.7167631638568229E-2</v>
      </c>
      <c r="Q739" s="319">
        <v>4.2712866040433483E-3</v>
      </c>
    </row>
    <row r="740" spans="2:17" ht="15.75" x14ac:dyDescent="0.25">
      <c r="B740" s="176">
        <v>2030</v>
      </c>
      <c r="C740" s="177">
        <v>2024</v>
      </c>
      <c r="D740" s="178" t="s">
        <v>3586</v>
      </c>
      <c r="E740" s="461">
        <v>3.8177294581974441E-2</v>
      </c>
      <c r="F740" s="462">
        <v>3.8304570434267743E-2</v>
      </c>
      <c r="G740" s="316">
        <v>5.5984764300902705E-2</v>
      </c>
      <c r="H740" s="317">
        <v>2.7990316297785518E-3</v>
      </c>
      <c r="I740" s="317">
        <v>3.806910744134951E-2</v>
      </c>
      <c r="J740" s="317">
        <v>1.6529274613048952E-2</v>
      </c>
      <c r="K740" s="317">
        <v>3.7656339612746675E-3</v>
      </c>
      <c r="L740" s="318">
        <v>9.5552055498944997E-4</v>
      </c>
      <c r="M740" s="317">
        <v>2.7176651541351419E-3</v>
      </c>
      <c r="N740" s="318">
        <v>2.0000005732018801E-3</v>
      </c>
      <c r="O740" s="317">
        <v>2.7957479035639585E-2</v>
      </c>
      <c r="P740" s="318">
        <v>1.7164028601138959E-2</v>
      </c>
      <c r="Q740" s="319">
        <v>3.935899219250279E-3</v>
      </c>
    </row>
    <row r="741" spans="2:17" ht="15.75" x14ac:dyDescent="0.25">
      <c r="B741" s="176">
        <v>2030</v>
      </c>
      <c r="C741" s="177">
        <v>2025</v>
      </c>
      <c r="D741" s="178" t="s">
        <v>3587</v>
      </c>
      <c r="E741" s="461">
        <v>3.699950513340327E-2</v>
      </c>
      <c r="F741" s="462">
        <v>3.6707097277558928E-2</v>
      </c>
      <c r="G741" s="316">
        <v>5.4446780354923272E-2</v>
      </c>
      <c r="H741" s="317">
        <v>2.4937076772289478E-3</v>
      </c>
      <c r="I741" s="317">
        <v>3.6198511319775042E-2</v>
      </c>
      <c r="J741" s="317">
        <v>1.639517729533245E-2</v>
      </c>
      <c r="K741" s="317">
        <v>3.4241644884130851E-3</v>
      </c>
      <c r="L741" s="318">
        <v>9.551186595471127E-4</v>
      </c>
      <c r="M741" s="317">
        <v>2.7136588217752527E-3</v>
      </c>
      <c r="N741" s="318">
        <v>2.0000005732018801E-3</v>
      </c>
      <c r="O741" s="317">
        <v>2.7889331322197879E-2</v>
      </c>
      <c r="P741" s="318">
        <v>1.7149821826652516E-2</v>
      </c>
      <c r="Q741" s="319">
        <v>3.5789900120742459E-3</v>
      </c>
    </row>
    <row r="742" spans="2:17" ht="15.75" x14ac:dyDescent="0.25">
      <c r="B742" s="176">
        <v>2030</v>
      </c>
      <c r="C742" s="177">
        <v>2026</v>
      </c>
      <c r="D742" s="178" t="s">
        <v>3588</v>
      </c>
      <c r="E742" s="461">
        <v>3.6243664076669471E-2</v>
      </c>
      <c r="F742" s="462">
        <v>3.6517769763199669E-2</v>
      </c>
      <c r="G742" s="316">
        <v>5.305885995118885E-2</v>
      </c>
      <c r="H742" s="317">
        <v>2.4510721030462043E-3</v>
      </c>
      <c r="I742" s="317">
        <v>3.4364951056334449E-2</v>
      </c>
      <c r="J742" s="317">
        <v>1.5613214239860984E-2</v>
      </c>
      <c r="K742" s="317">
        <v>3.0792265124550454E-3</v>
      </c>
      <c r="L742" s="318">
        <v>8.3457181016775991E-4</v>
      </c>
      <c r="M742" s="317">
        <v>2.712722513493534E-3</v>
      </c>
      <c r="N742" s="318">
        <v>2.0000005732018801E-3</v>
      </c>
      <c r="O742" s="317">
        <v>2.7873404718325844E-2</v>
      </c>
      <c r="P742" s="318">
        <v>1.7153806084359038E-2</v>
      </c>
      <c r="Q742" s="319">
        <v>3.2184554714829879E-3</v>
      </c>
    </row>
    <row r="743" spans="2:17" ht="15.75" x14ac:dyDescent="0.25">
      <c r="B743" s="176">
        <v>2030</v>
      </c>
      <c r="C743" s="177">
        <v>2027</v>
      </c>
      <c r="D743" s="178" t="s">
        <v>3589</v>
      </c>
      <c r="E743" s="461">
        <v>3.5532800086803699E-2</v>
      </c>
      <c r="F743" s="462">
        <v>3.6327276807818894E-2</v>
      </c>
      <c r="G743" s="316">
        <v>5.1649430291612362E-2</v>
      </c>
      <c r="H743" s="317">
        <v>2.4270375392746704E-3</v>
      </c>
      <c r="I743" s="317">
        <v>3.2467342983084672E-2</v>
      </c>
      <c r="J743" s="317">
        <v>1.4925213054974134E-2</v>
      </c>
      <c r="K743" s="317">
        <v>2.7197814610908982E-3</v>
      </c>
      <c r="L743" s="318">
        <v>6.9391441446295182E-4</v>
      </c>
      <c r="M743" s="317">
        <v>2.7124344046512362E-3</v>
      </c>
      <c r="N743" s="318">
        <v>2.0000005732018801E-3</v>
      </c>
      <c r="O743" s="317">
        <v>2.7868503986918359E-2</v>
      </c>
      <c r="P743" s="318">
        <v>1.7153576954846983E-2</v>
      </c>
      <c r="Q743" s="319">
        <v>2.8427579099099408E-3</v>
      </c>
    </row>
    <row r="744" spans="2:17" ht="15.75" x14ac:dyDescent="0.25">
      <c r="B744" s="176">
        <v>2030</v>
      </c>
      <c r="C744" s="177">
        <v>2028</v>
      </c>
      <c r="D744" s="178" t="s">
        <v>3590</v>
      </c>
      <c r="E744" s="461">
        <v>3.5494506485499865E-2</v>
      </c>
      <c r="F744" s="462">
        <v>3.6279350653886024E-2</v>
      </c>
      <c r="G744" s="316">
        <v>5.0018869454121317E-2</v>
      </c>
      <c r="H744" s="317">
        <v>2.4206895706069776E-3</v>
      </c>
      <c r="I744" s="317">
        <v>3.0402167618319941E-2</v>
      </c>
      <c r="J744" s="317">
        <v>1.4385481172077594E-2</v>
      </c>
      <c r="K744" s="317">
        <v>2.3373929309253687E-3</v>
      </c>
      <c r="L744" s="318">
        <v>5.7271984303499648E-4</v>
      </c>
      <c r="M744" s="317">
        <v>2.7098037547379893E-3</v>
      </c>
      <c r="N744" s="318">
        <v>2.0000005732018801E-3</v>
      </c>
      <c r="O744" s="317">
        <v>2.7823756631894028E-2</v>
      </c>
      <c r="P744" s="318">
        <v>1.7141272303265263E-2</v>
      </c>
      <c r="Q744" s="319">
        <v>2.4430794672342972E-3</v>
      </c>
    </row>
    <row r="745" spans="2:17" ht="15.75" x14ac:dyDescent="0.25">
      <c r="B745" s="176">
        <v>2030</v>
      </c>
      <c r="C745" s="177">
        <v>2029</v>
      </c>
      <c r="D745" s="178" t="s">
        <v>3591</v>
      </c>
      <c r="E745" s="461">
        <v>3.5466805899099577E-2</v>
      </c>
      <c r="F745" s="462">
        <v>3.620632657217103E-2</v>
      </c>
      <c r="G745" s="316">
        <v>4.8391783633104181E-2</v>
      </c>
      <c r="H745" s="317">
        <v>2.4056796865116201E-3</v>
      </c>
      <c r="I745" s="317">
        <v>2.8287460981279395E-2</v>
      </c>
      <c r="J745" s="317">
        <v>1.3849641683039567E-2</v>
      </c>
      <c r="K745" s="317">
        <v>1.9422970144630212E-3</v>
      </c>
      <c r="L745" s="318">
        <v>5.715930909478196E-4</v>
      </c>
      <c r="M745" s="317">
        <v>2.708229835767744E-3</v>
      </c>
      <c r="N745" s="318">
        <v>2.0000005732018801E-3</v>
      </c>
      <c r="O745" s="317">
        <v>2.7796984270210157E-2</v>
      </c>
      <c r="P745" s="318">
        <v>1.7124466418791791E-2</v>
      </c>
      <c r="Q745" s="319">
        <v>2.030119066641683E-3</v>
      </c>
    </row>
    <row r="746" spans="2:17" ht="15.75" x14ac:dyDescent="0.25">
      <c r="B746" s="176">
        <v>2030</v>
      </c>
      <c r="C746" s="177">
        <v>2030</v>
      </c>
      <c r="D746" s="178" t="s">
        <v>3592</v>
      </c>
      <c r="E746" s="461">
        <v>3.5093396426322095E-2</v>
      </c>
      <c r="F746" s="462">
        <v>3.552531072976263E-2</v>
      </c>
      <c r="G746" s="316">
        <v>4.5014022072911802E-2</v>
      </c>
      <c r="H746" s="317">
        <v>2.2790563620024989E-3</v>
      </c>
      <c r="I746" s="317">
        <v>2.5307138913309202E-2</v>
      </c>
      <c r="J746" s="317">
        <v>1.2712344519549699E-2</v>
      </c>
      <c r="K746" s="317">
        <v>1.4900769228337473E-3</v>
      </c>
      <c r="L746" s="318">
        <v>5.5936395102088488E-4</v>
      </c>
      <c r="M746" s="317">
        <v>2.6793277601653716E-3</v>
      </c>
      <c r="N746" s="318">
        <v>2.0000005732018801E-3</v>
      </c>
      <c r="O746" s="317">
        <v>2.7305359964213797E-2</v>
      </c>
      <c r="P746" s="318">
        <v>1.6899480239277325E-2</v>
      </c>
      <c r="Q746" s="319">
        <v>1.5574515891658761E-3</v>
      </c>
    </row>
    <row r="747" spans="2:17" ht="15.75" x14ac:dyDescent="0.25">
      <c r="B747" s="176">
        <v>2031</v>
      </c>
      <c r="C747" s="177">
        <v>1987</v>
      </c>
      <c r="D747" s="178" t="s">
        <v>3593</v>
      </c>
      <c r="E747" s="461">
        <v>5.7539469050402053E-2</v>
      </c>
      <c r="F747" s="462">
        <v>9.0086244752296124E-2</v>
      </c>
      <c r="G747" s="316">
        <v>0.29815474650575507</v>
      </c>
      <c r="H747" s="317">
        <v>0.9789241568444158</v>
      </c>
      <c r="I747" s="317">
        <v>4.7369576020915778</v>
      </c>
      <c r="J747" s="317">
        <v>2.6289320686587141</v>
      </c>
      <c r="K747" s="317">
        <v>0.20088349476462189</v>
      </c>
      <c r="L747" s="318">
        <v>1.7822970853207949E-2</v>
      </c>
      <c r="M747" s="317">
        <v>2.8962528426004462E-3</v>
      </c>
      <c r="N747" s="318">
        <v>2.0000005732018801E-3</v>
      </c>
      <c r="O747" s="317">
        <v>3.0995255616434427E-2</v>
      </c>
      <c r="P747" s="318">
        <v>2.1388898701676692E-2</v>
      </c>
      <c r="Q747" s="319">
        <v>0.20996655499057182</v>
      </c>
    </row>
    <row r="748" spans="2:17" ht="15.75" x14ac:dyDescent="0.25">
      <c r="B748" s="176">
        <v>2031</v>
      </c>
      <c r="C748" s="177">
        <v>1988</v>
      </c>
      <c r="D748" s="178" t="s">
        <v>3594</v>
      </c>
      <c r="E748" s="461">
        <v>5.7554798391101246E-2</v>
      </c>
      <c r="F748" s="462">
        <v>8.8891970660804814E-2</v>
      </c>
      <c r="G748" s="316">
        <v>0.29429459332268021</v>
      </c>
      <c r="H748" s="317">
        <v>0.50952090974236297</v>
      </c>
      <c r="I748" s="317">
        <v>4.8908510122058937</v>
      </c>
      <c r="J748" s="317">
        <v>1.9046484180138108</v>
      </c>
      <c r="K748" s="317">
        <v>0.19894559388088529</v>
      </c>
      <c r="L748" s="318">
        <v>1.7316678950238591E-2</v>
      </c>
      <c r="M748" s="317">
        <v>2.9309652637719724E-3</v>
      </c>
      <c r="N748" s="318">
        <v>2.0000005732018801E-3</v>
      </c>
      <c r="O748" s="317">
        <v>3.1585713900562071E-2</v>
      </c>
      <c r="P748" s="318">
        <v>2.1872335892379025E-2</v>
      </c>
      <c r="Q748" s="319">
        <v>0.20794103082818127</v>
      </c>
    </row>
    <row r="749" spans="2:17" ht="15.75" x14ac:dyDescent="0.25">
      <c r="B749" s="176">
        <v>2031</v>
      </c>
      <c r="C749" s="177">
        <v>1989</v>
      </c>
      <c r="D749" s="178" t="s">
        <v>3595</v>
      </c>
      <c r="E749" s="461">
        <v>5.7785913324569747E-2</v>
      </c>
      <c r="F749" s="462">
        <v>9.1403781982674376E-2</v>
      </c>
      <c r="G749" s="316">
        <v>0.2937715368066966</v>
      </c>
      <c r="H749" s="317">
        <v>0.50809065032904943</v>
      </c>
      <c r="I749" s="317">
        <v>5.0024769346873805</v>
      </c>
      <c r="J749" s="317">
        <v>1.9019426000942536</v>
      </c>
      <c r="K749" s="317">
        <v>0.19924770740546346</v>
      </c>
      <c r="L749" s="318">
        <v>1.7100696107561365E-2</v>
      </c>
      <c r="M749" s="317">
        <v>2.9601137126837734E-3</v>
      </c>
      <c r="N749" s="318">
        <v>2.0000005732018801E-3</v>
      </c>
      <c r="O749" s="317">
        <v>3.208152901655182E-2</v>
      </c>
      <c r="P749" s="318">
        <v>2.2722055301102374E-2</v>
      </c>
      <c r="Q749" s="319">
        <v>0.20825680458573195</v>
      </c>
    </row>
    <row r="750" spans="2:17" ht="15.75" x14ac:dyDescent="0.25">
      <c r="B750" s="176">
        <v>2031</v>
      </c>
      <c r="C750" s="177">
        <v>1990</v>
      </c>
      <c r="D750" s="178" t="s">
        <v>3596</v>
      </c>
      <c r="E750" s="461">
        <v>5.8302014428588129E-2</v>
      </c>
      <c r="F750" s="462">
        <v>8.9150289977071945E-2</v>
      </c>
      <c r="G750" s="316">
        <v>0.29828054416030342</v>
      </c>
      <c r="H750" s="317">
        <v>0.5092005358231696</v>
      </c>
      <c r="I750" s="317">
        <v>4.9867195970349192</v>
      </c>
      <c r="J750" s="317">
        <v>1.894172265417474</v>
      </c>
      <c r="K750" s="317">
        <v>0.20248104766579833</v>
      </c>
      <c r="L750" s="318">
        <v>1.7345018559103333E-2</v>
      </c>
      <c r="M750" s="317">
        <v>2.9689514352818492E-3</v>
      </c>
      <c r="N750" s="318">
        <v>2.0000005732018801E-3</v>
      </c>
      <c r="O750" s="317">
        <v>3.2231858677945077E-2</v>
      </c>
      <c r="P750" s="318">
        <v>2.192562781222367E-2</v>
      </c>
      <c r="Q750" s="319">
        <v>0.21163634214490429</v>
      </c>
    </row>
    <row r="751" spans="2:17" ht="15.75" x14ac:dyDescent="0.25">
      <c r="B751" s="176">
        <v>2031</v>
      </c>
      <c r="C751" s="177">
        <v>1991</v>
      </c>
      <c r="D751" s="178" t="s">
        <v>3597</v>
      </c>
      <c r="E751" s="461">
        <v>5.8170343717842368E-2</v>
      </c>
      <c r="F751" s="462">
        <v>8.7221256523887611E-2</v>
      </c>
      <c r="G751" s="316">
        <v>0.37920779471513938</v>
      </c>
      <c r="H751" s="317">
        <v>0.53082001138375168</v>
      </c>
      <c r="I751" s="317">
        <v>8.7551347021509951</v>
      </c>
      <c r="J751" s="317">
        <v>2.323923265429773</v>
      </c>
      <c r="K751" s="317">
        <v>5.9467378574513584E-2</v>
      </c>
      <c r="L751" s="318">
        <v>9.7570251803475675E-3</v>
      </c>
      <c r="M751" s="317">
        <v>2.9647603968048814E-3</v>
      </c>
      <c r="N751" s="318">
        <v>2.0000005732018801E-3</v>
      </c>
      <c r="O751" s="317">
        <v>3.2160569113451852E-2</v>
      </c>
      <c r="P751" s="318">
        <v>2.1170620205713277E-2</v>
      </c>
      <c r="Q751" s="319">
        <v>6.2156229551068837E-2</v>
      </c>
    </row>
    <row r="752" spans="2:17" ht="15.75" x14ac:dyDescent="0.25">
      <c r="B752" s="176">
        <v>2031</v>
      </c>
      <c r="C752" s="177">
        <v>1992</v>
      </c>
      <c r="D752" s="178" t="s">
        <v>3598</v>
      </c>
      <c r="E752" s="461">
        <v>5.8119357619486521E-2</v>
      </c>
      <c r="F752" s="462">
        <v>8.429265455001328E-2</v>
      </c>
      <c r="G752" s="316">
        <v>0.37951796043769248</v>
      </c>
      <c r="H752" s="317">
        <v>0.53161959564254213</v>
      </c>
      <c r="I752" s="317">
        <v>8.6659486979570151</v>
      </c>
      <c r="J752" s="317">
        <v>2.2579096360613899</v>
      </c>
      <c r="K752" s="317">
        <v>6.1135718510480115E-2</v>
      </c>
      <c r="L752" s="318">
        <v>9.8772647977971081E-3</v>
      </c>
      <c r="M752" s="317">
        <v>2.9543040844018298E-3</v>
      </c>
      <c r="N752" s="318">
        <v>2.0000005732018801E-3</v>
      </c>
      <c r="O752" s="317">
        <v>3.1982707239475959E-2</v>
      </c>
      <c r="P752" s="318">
        <v>2.0216503598922648E-2</v>
      </c>
      <c r="Q752" s="319">
        <v>6.3900004415791023E-2</v>
      </c>
    </row>
    <row r="753" spans="2:17" ht="15.75" x14ac:dyDescent="0.25">
      <c r="B753" s="176">
        <v>2031</v>
      </c>
      <c r="C753" s="177">
        <v>1993</v>
      </c>
      <c r="D753" s="178" t="s">
        <v>3599</v>
      </c>
      <c r="E753" s="461">
        <v>5.7988003504404292E-2</v>
      </c>
      <c r="F753" s="462">
        <v>7.529575382940755E-2</v>
      </c>
      <c r="G753" s="316">
        <v>0.37084192142328459</v>
      </c>
      <c r="H753" s="317">
        <v>0.53593804765121056</v>
      </c>
      <c r="I753" s="317">
        <v>8.7828050518618586</v>
      </c>
      <c r="J753" s="317">
        <v>2.2084913869723493</v>
      </c>
      <c r="K753" s="317">
        <v>5.3903707199903811E-2</v>
      </c>
      <c r="L753" s="318">
        <v>1.0017385880309336E-2</v>
      </c>
      <c r="M753" s="317">
        <v>2.9661103738330453E-3</v>
      </c>
      <c r="N753" s="318">
        <v>2.0000005732018801E-3</v>
      </c>
      <c r="O753" s="317">
        <v>3.2183532222700935E-2</v>
      </c>
      <c r="P753" s="318">
        <v>1.9750680141829399E-2</v>
      </c>
      <c r="Q753" s="319">
        <v>5.6340993645325306E-2</v>
      </c>
    </row>
    <row r="754" spans="2:17" ht="15.75" x14ac:dyDescent="0.25">
      <c r="B754" s="176">
        <v>2031</v>
      </c>
      <c r="C754" s="177">
        <v>1994</v>
      </c>
      <c r="D754" s="178" t="s">
        <v>3600</v>
      </c>
      <c r="E754" s="461">
        <v>5.7756025603090413E-2</v>
      </c>
      <c r="F754" s="462">
        <v>7.1902847103396755E-2</v>
      </c>
      <c r="G754" s="316">
        <v>0.36635419733122709</v>
      </c>
      <c r="H754" s="317">
        <v>0.53672863756907785</v>
      </c>
      <c r="I754" s="317">
        <v>8.7548903242962801</v>
      </c>
      <c r="J754" s="317">
        <v>2.1411726774817432</v>
      </c>
      <c r="K754" s="317">
        <v>5.4062440734722293E-2</v>
      </c>
      <c r="L754" s="318">
        <v>1.0121874746609543E-2</v>
      </c>
      <c r="M754" s="317">
        <v>2.9589066846460055E-3</v>
      </c>
      <c r="N754" s="318">
        <v>2.0000005732018801E-3</v>
      </c>
      <c r="O754" s="317">
        <v>3.2060997469629392E-2</v>
      </c>
      <c r="P754" s="318">
        <v>1.882329255142582E-2</v>
      </c>
      <c r="Q754" s="319">
        <v>5.6506904406218667E-2</v>
      </c>
    </row>
    <row r="755" spans="2:17" ht="15.75" x14ac:dyDescent="0.25">
      <c r="B755" s="176">
        <v>2031</v>
      </c>
      <c r="C755" s="177">
        <v>1995</v>
      </c>
      <c r="D755" s="178" t="s">
        <v>3601</v>
      </c>
      <c r="E755" s="461">
        <v>5.7539674561018668E-2</v>
      </c>
      <c r="F755" s="462">
        <v>7.3572395666392093E-2</v>
      </c>
      <c r="G755" s="316">
        <v>0.36514673643494133</v>
      </c>
      <c r="H755" s="317">
        <v>0.40654335150268611</v>
      </c>
      <c r="I755" s="317">
        <v>8.9058539049658787</v>
      </c>
      <c r="J755" s="317">
        <v>1.6825160355622699</v>
      </c>
      <c r="K755" s="317">
        <v>5.343412564962606E-2</v>
      </c>
      <c r="L755" s="318">
        <v>9.3511258948484784E-3</v>
      </c>
      <c r="M755" s="317">
        <v>2.9707979489513921E-3</v>
      </c>
      <c r="N755" s="318">
        <v>2.0000005732018801E-3</v>
      </c>
      <c r="O755" s="317">
        <v>3.2263267875464012E-2</v>
      </c>
      <c r="P755" s="318">
        <v>1.9575258998443978E-2</v>
      </c>
      <c r="Q755" s="319">
        <v>5.5850179701081297E-2</v>
      </c>
    </row>
    <row r="756" spans="2:17" ht="15.75" x14ac:dyDescent="0.25">
      <c r="B756" s="176">
        <v>2031</v>
      </c>
      <c r="C756" s="177">
        <v>1996</v>
      </c>
      <c r="D756" s="178" t="s">
        <v>3602</v>
      </c>
      <c r="E756" s="461">
        <v>5.769649039856041E-2</v>
      </c>
      <c r="F756" s="462">
        <v>7.3545197496617962E-2</v>
      </c>
      <c r="G756" s="316">
        <v>0.3684161255665877</v>
      </c>
      <c r="H756" s="317">
        <v>0.14026977782591502</v>
      </c>
      <c r="I756" s="317">
        <v>8.9272158283641652</v>
      </c>
      <c r="J756" s="317">
        <v>1.0211681860248378</v>
      </c>
      <c r="K756" s="317">
        <v>5.3662631834604943E-2</v>
      </c>
      <c r="L756" s="318">
        <v>2.8531133989125753E-3</v>
      </c>
      <c r="M756" s="317">
        <v>2.9765864849783958E-3</v>
      </c>
      <c r="N756" s="318">
        <v>2.0000005732018801E-3</v>
      </c>
      <c r="O756" s="317">
        <v>3.236173087328334E-2</v>
      </c>
      <c r="P756" s="318">
        <v>1.9898495220480001E-2</v>
      </c>
      <c r="Q756" s="319">
        <v>5.6089017921763816E-2</v>
      </c>
    </row>
    <row r="757" spans="2:17" ht="15.75" x14ac:dyDescent="0.25">
      <c r="B757" s="176">
        <v>2031</v>
      </c>
      <c r="C757" s="177">
        <v>1997</v>
      </c>
      <c r="D757" s="178" t="s">
        <v>3603</v>
      </c>
      <c r="E757" s="461">
        <v>5.785225032613267E-2</v>
      </c>
      <c r="F757" s="462">
        <v>7.1608910110985094E-2</v>
      </c>
      <c r="G757" s="316">
        <v>0.37149629080847985</v>
      </c>
      <c r="H757" s="317">
        <v>0.14469514655307444</v>
      </c>
      <c r="I757" s="317">
        <v>8.9526270358070583</v>
      </c>
      <c r="J757" s="317">
        <v>1.0456159019405578</v>
      </c>
      <c r="K757" s="317">
        <v>5.3884510432650308E-2</v>
      </c>
      <c r="L757" s="318">
        <v>2.8703024221504465E-3</v>
      </c>
      <c r="M757" s="317">
        <v>2.9824313440123271E-3</v>
      </c>
      <c r="N757" s="318">
        <v>2.0000005732018797E-3</v>
      </c>
      <c r="O757" s="317">
        <v>3.2461151925450508E-2</v>
      </c>
      <c r="P757" s="318">
        <v>1.9374074708713059E-2</v>
      </c>
      <c r="Q757" s="319">
        <v>5.632092888544097E-2</v>
      </c>
    </row>
    <row r="758" spans="2:17" ht="15.75" x14ac:dyDescent="0.25">
      <c r="B758" s="176">
        <v>2031</v>
      </c>
      <c r="C758" s="177">
        <v>1998</v>
      </c>
      <c r="D758" s="178" t="s">
        <v>3604</v>
      </c>
      <c r="E758" s="461">
        <v>5.7736583846218957E-2</v>
      </c>
      <c r="F758" s="462">
        <v>6.8388969132540917E-2</v>
      </c>
      <c r="G758" s="316">
        <v>0.36996303857607066</v>
      </c>
      <c r="H758" s="317">
        <v>0.13416377313656661</v>
      </c>
      <c r="I758" s="317">
        <v>8.9400681281434</v>
      </c>
      <c r="J758" s="317">
        <v>0.92268183283905991</v>
      </c>
      <c r="K758" s="317">
        <v>5.3749276883591747E-2</v>
      </c>
      <c r="L758" s="318">
        <v>2.9102599504799115E-3</v>
      </c>
      <c r="M758" s="317">
        <v>2.9800383023180659E-3</v>
      </c>
      <c r="N758" s="318">
        <v>2.0000005732018801E-3</v>
      </c>
      <c r="O758" s="317">
        <v>3.2420446286231135E-2</v>
      </c>
      <c r="P758" s="318">
        <v>1.8479612946951416E-2</v>
      </c>
      <c r="Q758" s="319">
        <v>5.617958067538395E-2</v>
      </c>
    </row>
    <row r="759" spans="2:17" ht="15.75" x14ac:dyDescent="0.25">
      <c r="B759" s="176">
        <v>2031</v>
      </c>
      <c r="C759" s="177">
        <v>1999</v>
      </c>
      <c r="D759" s="178" t="s">
        <v>3605</v>
      </c>
      <c r="E759" s="461">
        <v>5.7876406001089661E-2</v>
      </c>
      <c r="F759" s="462">
        <v>6.894981316288909E-2</v>
      </c>
      <c r="G759" s="316">
        <v>0.37402349201296264</v>
      </c>
      <c r="H759" s="317">
        <v>0.11735236025995201</v>
      </c>
      <c r="I759" s="317">
        <v>9.059058798156995</v>
      </c>
      <c r="J759" s="317">
        <v>0.76572469693081147</v>
      </c>
      <c r="K759" s="317">
        <v>5.3768319182660715E-2</v>
      </c>
      <c r="L759" s="318">
        <v>2.9158179172947725E-3</v>
      </c>
      <c r="M759" s="317">
        <v>2.9946520407041198E-3</v>
      </c>
      <c r="N759" s="318">
        <v>2.0000005732018801E-3</v>
      </c>
      <c r="O759" s="317">
        <v>3.2669025976177914E-2</v>
      </c>
      <c r="P759" s="318">
        <v>1.8670886258878541E-2</v>
      </c>
      <c r="Q759" s="319">
        <v>5.6199483982717853E-2</v>
      </c>
    </row>
    <row r="760" spans="2:17" ht="15.75" x14ac:dyDescent="0.25">
      <c r="B760" s="176">
        <v>2031</v>
      </c>
      <c r="C760" s="177">
        <v>2000</v>
      </c>
      <c r="D760" s="178" t="s">
        <v>3606</v>
      </c>
      <c r="E760" s="461">
        <v>5.7731832099439842E-2</v>
      </c>
      <c r="F760" s="462">
        <v>7.5181101627764285E-2</v>
      </c>
      <c r="G760" s="316">
        <v>0.37274714443617024</v>
      </c>
      <c r="H760" s="317">
        <v>0.10042705602328295</v>
      </c>
      <c r="I760" s="317">
        <v>9.1137807887839504</v>
      </c>
      <c r="J760" s="317">
        <v>0.61359070407351179</v>
      </c>
      <c r="K760" s="317">
        <v>5.3438036291865269E-2</v>
      </c>
      <c r="L760" s="318">
        <v>2.9071124194014956E-3</v>
      </c>
      <c r="M760" s="317">
        <v>2.9983322060721847E-3</v>
      </c>
      <c r="N760" s="318">
        <v>2.0000005732018801E-3</v>
      </c>
      <c r="O760" s="317">
        <v>3.2731625589088695E-2</v>
      </c>
      <c r="P760" s="318">
        <v>1.89094281045517E-2</v>
      </c>
      <c r="Q760" s="319">
        <v>5.5854267165209366E-2</v>
      </c>
    </row>
    <row r="761" spans="2:17" ht="15.75" x14ac:dyDescent="0.25">
      <c r="B761" s="176">
        <v>2031</v>
      </c>
      <c r="C761" s="177">
        <v>2001</v>
      </c>
      <c r="D761" s="178" t="s">
        <v>3607</v>
      </c>
      <c r="E761" s="461">
        <v>5.7817019752302419E-2</v>
      </c>
      <c r="F761" s="462">
        <v>7.3892379880970485E-2</v>
      </c>
      <c r="G761" s="316">
        <v>0.37369979337992881</v>
      </c>
      <c r="H761" s="317">
        <v>8.6765207946530212E-2</v>
      </c>
      <c r="I761" s="317">
        <v>9.0592807442613577</v>
      </c>
      <c r="J761" s="317">
        <v>0.47511674002329946</v>
      </c>
      <c r="K761" s="317">
        <v>5.3725867799751255E-2</v>
      </c>
      <c r="L761" s="318">
        <v>2.9297804161074552E-3</v>
      </c>
      <c r="M761" s="317">
        <v>2.9944769726895451E-3</v>
      </c>
      <c r="N761" s="318">
        <v>2.0000005732018801E-3</v>
      </c>
      <c r="O761" s="317">
        <v>3.2666048069249991E-2</v>
      </c>
      <c r="P761" s="318">
        <v>1.8500324519161213E-2</v>
      </c>
      <c r="Q761" s="319">
        <v>5.6155113136648505E-2</v>
      </c>
    </row>
    <row r="762" spans="2:17" ht="15.75" x14ac:dyDescent="0.25">
      <c r="B762" s="176">
        <v>2031</v>
      </c>
      <c r="C762" s="177">
        <v>2002</v>
      </c>
      <c r="D762" s="178" t="s">
        <v>3608</v>
      </c>
      <c r="E762" s="461">
        <v>5.7636367985120687E-2</v>
      </c>
      <c r="F762" s="462">
        <v>7.1975693810840069E-2</v>
      </c>
      <c r="G762" s="316">
        <v>0.28852951626060314</v>
      </c>
      <c r="H762" s="317">
        <v>8.7067747082227351E-2</v>
      </c>
      <c r="I762" s="317">
        <v>7.019977854380933</v>
      </c>
      <c r="J762" s="317">
        <v>0.45720885807426032</v>
      </c>
      <c r="K762" s="317">
        <v>5.3863439566935595E-2</v>
      </c>
      <c r="L762" s="318">
        <v>2.9593565437098708E-3</v>
      </c>
      <c r="M762" s="317">
        <v>2.9976541299973924E-3</v>
      </c>
      <c r="N762" s="318">
        <v>2.0000005732018801E-3</v>
      </c>
      <c r="O762" s="317">
        <v>3.2720091515056476E-2</v>
      </c>
      <c r="P762" s="318">
        <v>1.7885243954260138E-2</v>
      </c>
      <c r="Q762" s="319">
        <v>5.629890528867925E-2</v>
      </c>
    </row>
    <row r="763" spans="2:17" ht="15.75" x14ac:dyDescent="0.25">
      <c r="B763" s="176">
        <v>2031</v>
      </c>
      <c r="C763" s="177">
        <v>2003</v>
      </c>
      <c r="D763" s="178" t="s">
        <v>3609</v>
      </c>
      <c r="E763" s="461">
        <v>5.7431790932842001E-2</v>
      </c>
      <c r="F763" s="462">
        <v>7.3031618332040305E-2</v>
      </c>
      <c r="G763" s="316">
        <v>0.28628117503051631</v>
      </c>
      <c r="H763" s="317">
        <v>7.0529009867550951E-2</v>
      </c>
      <c r="I763" s="317">
        <v>7.0212614379457072</v>
      </c>
      <c r="J763" s="317">
        <v>0.39125330853656037</v>
      </c>
      <c r="K763" s="317">
        <v>5.3552079307969742E-2</v>
      </c>
      <c r="L763" s="318">
        <v>2.9416792566253451E-3</v>
      </c>
      <c r="M763" s="317">
        <v>2.9946186137106744E-3</v>
      </c>
      <c r="N763" s="318">
        <v>2.0000005732018801E-3</v>
      </c>
      <c r="O763" s="317">
        <v>3.2668457383019399E-2</v>
      </c>
      <c r="P763" s="318">
        <v>1.8270899503876562E-2</v>
      </c>
      <c r="Q763" s="319">
        <v>5.5973466700443716E-2</v>
      </c>
    </row>
    <row r="764" spans="2:17" ht="15.75" x14ac:dyDescent="0.25">
      <c r="B764" s="176">
        <v>2031</v>
      </c>
      <c r="C764" s="177">
        <v>2004</v>
      </c>
      <c r="D764" s="178" t="s">
        <v>3610</v>
      </c>
      <c r="E764" s="461">
        <v>5.7318002255528543E-2</v>
      </c>
      <c r="F764" s="462">
        <v>7.2805574569777751E-2</v>
      </c>
      <c r="G764" s="316">
        <v>0.23626927409797194</v>
      </c>
      <c r="H764" s="317">
        <v>1.8142321247937625E-2</v>
      </c>
      <c r="I764" s="317">
        <v>5.8573727583053659</v>
      </c>
      <c r="J764" s="317">
        <v>0.1160430336581048</v>
      </c>
      <c r="K764" s="317">
        <v>5.3307619742169875E-2</v>
      </c>
      <c r="L764" s="318">
        <v>1.9672108256824292E-4</v>
      </c>
      <c r="M764" s="317">
        <v>2.9922743212676328E-3</v>
      </c>
      <c r="N764" s="318">
        <v>2.0000005732018801E-3</v>
      </c>
      <c r="O764" s="317">
        <v>3.2628580968563262E-2</v>
      </c>
      <c r="P764" s="318">
        <v>1.7891482421475677E-2</v>
      </c>
      <c r="Q764" s="319">
        <v>5.5717953757851574E-2</v>
      </c>
    </row>
    <row r="765" spans="2:17" ht="15.75" x14ac:dyDescent="0.25">
      <c r="B765" s="176">
        <v>2031</v>
      </c>
      <c r="C765" s="177">
        <v>2005</v>
      </c>
      <c r="D765" s="178" t="s">
        <v>3611</v>
      </c>
      <c r="E765" s="461">
        <v>5.7079598975428122E-2</v>
      </c>
      <c r="F765" s="462">
        <v>6.9159709024471772E-2</v>
      </c>
      <c r="G765" s="316">
        <v>0.23374315469069046</v>
      </c>
      <c r="H765" s="317">
        <v>1.5831060281839723E-2</v>
      </c>
      <c r="I765" s="317">
        <v>5.8515647040504097</v>
      </c>
      <c r="J765" s="317">
        <v>9.4619471833442048E-2</v>
      </c>
      <c r="K765" s="317">
        <v>5.2940776359070636E-2</v>
      </c>
      <c r="L765" s="318">
        <v>1.9754645824863771E-4</v>
      </c>
      <c r="M765" s="317">
        <v>2.9860284820880999E-3</v>
      </c>
      <c r="N765" s="318">
        <v>2.0000005732018801E-3</v>
      </c>
      <c r="O765" s="317">
        <v>3.2522339244119403E-2</v>
      </c>
      <c r="P765" s="318">
        <v>1.7178125567302811E-2</v>
      </c>
      <c r="Q765" s="319">
        <v>5.533452334481196E-2</v>
      </c>
    </row>
    <row r="766" spans="2:17" ht="15.75" x14ac:dyDescent="0.25">
      <c r="B766" s="176">
        <v>2031</v>
      </c>
      <c r="C766" s="177">
        <v>2006</v>
      </c>
      <c r="D766" s="178" t="s">
        <v>3612</v>
      </c>
      <c r="E766" s="461">
        <v>5.7018686722923734E-2</v>
      </c>
      <c r="F766" s="462">
        <v>7.232130027367939E-2</v>
      </c>
      <c r="G766" s="316">
        <v>0.23334808562777395</v>
      </c>
      <c r="H766" s="317">
        <v>5.926759168864584E-3</v>
      </c>
      <c r="I766" s="317">
        <v>5.8461061271169603</v>
      </c>
      <c r="J766" s="317">
        <v>6.4780636162165853E-2</v>
      </c>
      <c r="K766" s="317">
        <v>5.2901412927580375E-2</v>
      </c>
      <c r="L766" s="318">
        <v>1.9357505880707648E-4</v>
      </c>
      <c r="M766" s="317">
        <v>2.9844216141745013E-3</v>
      </c>
      <c r="N766" s="318">
        <v>2.0000005732018801E-3</v>
      </c>
      <c r="O766" s="317">
        <v>3.2495006420909092E-2</v>
      </c>
      <c r="P766" s="318">
        <v>1.8873034972071708E-2</v>
      </c>
      <c r="Q766" s="319">
        <v>5.5293380073622361E-2</v>
      </c>
    </row>
    <row r="767" spans="2:17" ht="15.75" x14ac:dyDescent="0.25">
      <c r="B767" s="176">
        <v>2031</v>
      </c>
      <c r="C767" s="177">
        <v>2007</v>
      </c>
      <c r="D767" s="178" t="s">
        <v>3613</v>
      </c>
      <c r="E767" s="461">
        <v>5.6841103690815471E-2</v>
      </c>
      <c r="F767" s="462">
        <v>6.7797377333416869E-2</v>
      </c>
      <c r="G767" s="316">
        <v>0.16775794860540427</v>
      </c>
      <c r="H767" s="317">
        <v>8.4772517197138283E-3</v>
      </c>
      <c r="I767" s="317">
        <v>2.9902244219428367</v>
      </c>
      <c r="J767" s="317">
        <v>5.6689504407818114E-2</v>
      </c>
      <c r="K767" s="317">
        <v>3.7073856765347739E-2</v>
      </c>
      <c r="L767" s="318">
        <v>1.9706354947847361E-4</v>
      </c>
      <c r="M767" s="317">
        <v>2.964027006194954E-3</v>
      </c>
      <c r="N767" s="318">
        <v>2.0000005732018801E-3</v>
      </c>
      <c r="O767" s="317">
        <v>3.2148094139176998E-2</v>
      </c>
      <c r="P767" s="318">
        <v>1.7396268117130648E-2</v>
      </c>
      <c r="Q767" s="319">
        <v>3.8750172055473903E-2</v>
      </c>
    </row>
    <row r="768" spans="2:17" ht="15.75" x14ac:dyDescent="0.25">
      <c r="B768" s="176">
        <v>2031</v>
      </c>
      <c r="C768" s="177">
        <v>2008</v>
      </c>
      <c r="D768" s="178" t="s">
        <v>3614</v>
      </c>
      <c r="E768" s="461">
        <v>5.6846837442611764E-2</v>
      </c>
      <c r="F768" s="462">
        <v>6.6025635221842432E-2</v>
      </c>
      <c r="G768" s="316">
        <v>0.16901066615791846</v>
      </c>
      <c r="H768" s="317">
        <v>8.226917835549255E-3</v>
      </c>
      <c r="I768" s="317">
        <v>3.0136800645604809</v>
      </c>
      <c r="J768" s="317">
        <v>4.563318235394747E-2</v>
      </c>
      <c r="K768" s="317">
        <v>3.7325814332504523E-2</v>
      </c>
      <c r="L768" s="318">
        <v>2.250799154302749E-4</v>
      </c>
      <c r="M768" s="317">
        <v>2.9730081690798904E-3</v>
      </c>
      <c r="N768" s="318">
        <v>2.0000005732018801E-3</v>
      </c>
      <c r="O768" s="317">
        <v>3.2300863719849762E-2</v>
      </c>
      <c r="P768" s="318">
        <v>1.7348899618540772E-2</v>
      </c>
      <c r="Q768" s="319">
        <v>3.9013522025772275E-2</v>
      </c>
    </row>
    <row r="769" spans="2:17" ht="15.75" x14ac:dyDescent="0.25">
      <c r="B769" s="176">
        <v>2031</v>
      </c>
      <c r="C769" s="177">
        <v>2009</v>
      </c>
      <c r="D769" s="178" t="s">
        <v>3615</v>
      </c>
      <c r="E769" s="461">
        <v>5.5952668336452412E-2</v>
      </c>
      <c r="F769" s="462">
        <v>6.0668385998224245E-2</v>
      </c>
      <c r="G769" s="316">
        <v>0.15577305196467639</v>
      </c>
      <c r="H769" s="317">
        <v>8.0971885193065456E-3</v>
      </c>
      <c r="I769" s="317">
        <v>2.6868755094268573</v>
      </c>
      <c r="J769" s="317">
        <v>3.362846624835944E-2</v>
      </c>
      <c r="K769" s="317">
        <v>3.4349146553894747E-2</v>
      </c>
      <c r="L769" s="318">
        <v>2.5440329959311377E-4</v>
      </c>
      <c r="M769" s="317">
        <v>2.8707928308842516E-3</v>
      </c>
      <c r="N769" s="318">
        <v>2.0000005732018801E-3</v>
      </c>
      <c r="O769" s="317">
        <v>3.0562180817141949E-2</v>
      </c>
      <c r="P769" s="318">
        <v>1.6711371825625529E-2</v>
      </c>
      <c r="Q769" s="319">
        <v>3.5902262538981454E-2</v>
      </c>
    </row>
    <row r="770" spans="2:17" ht="15.75" x14ac:dyDescent="0.25">
      <c r="B770" s="176">
        <v>2031</v>
      </c>
      <c r="C770" s="177">
        <v>2010</v>
      </c>
      <c r="D770" s="178" t="s">
        <v>3616</v>
      </c>
      <c r="E770" s="461">
        <v>5.4600123542222871E-2</v>
      </c>
      <c r="F770" s="462">
        <v>5.8821951700435651E-2</v>
      </c>
      <c r="G770" s="316">
        <v>9.0889042159076797E-2</v>
      </c>
      <c r="H770" s="317">
        <v>7.242406076060753E-3</v>
      </c>
      <c r="I770" s="317">
        <v>0.2282592156812665</v>
      </c>
      <c r="J770" s="317">
        <v>3.2578684207576557E-2</v>
      </c>
      <c r="K770" s="317">
        <v>1.9391469940825797E-2</v>
      </c>
      <c r="L770" s="318">
        <v>3.1041773373028617E-4</v>
      </c>
      <c r="M770" s="317">
        <v>2.7687364175604957E-3</v>
      </c>
      <c r="N770" s="318">
        <v>2.0000005732018805E-3</v>
      </c>
      <c r="O770" s="317">
        <v>2.8826201226504859E-2</v>
      </c>
      <c r="P770" s="318">
        <v>1.6361222682545647E-2</v>
      </c>
      <c r="Q770" s="319">
        <v>2.026826616317649E-2</v>
      </c>
    </row>
    <row r="771" spans="2:17" ht="15.75" x14ac:dyDescent="0.25">
      <c r="B771" s="176">
        <v>2031</v>
      </c>
      <c r="C771" s="177">
        <v>2011</v>
      </c>
      <c r="D771" s="178" t="s">
        <v>3617</v>
      </c>
      <c r="E771" s="461">
        <v>5.4265179967409732E-2</v>
      </c>
      <c r="F771" s="462">
        <v>5.7458867921259447E-2</v>
      </c>
      <c r="G771" s="316">
        <v>9.0419101726441964E-2</v>
      </c>
      <c r="H771" s="317">
        <v>7.3281750520323421E-3</v>
      </c>
      <c r="I771" s="317">
        <v>0.22773252637575611</v>
      </c>
      <c r="J771" s="317">
        <v>3.2672018262686578E-2</v>
      </c>
      <c r="K771" s="317">
        <v>1.928485032301349E-2</v>
      </c>
      <c r="L771" s="318">
        <v>4.203959238030454E-4</v>
      </c>
      <c r="M771" s="317">
        <v>2.7785660297182059E-3</v>
      </c>
      <c r="N771" s="318">
        <v>2.0000005732018801E-3</v>
      </c>
      <c r="O771" s="317">
        <v>2.8993402929307507E-2</v>
      </c>
      <c r="P771" s="318">
        <v>1.6479893058172525E-2</v>
      </c>
      <c r="Q771" s="319">
        <v>2.0156825679364273E-2</v>
      </c>
    </row>
    <row r="772" spans="2:17" ht="15.75" x14ac:dyDescent="0.25">
      <c r="B772" s="176">
        <v>2031</v>
      </c>
      <c r="C772" s="177">
        <v>2012</v>
      </c>
      <c r="D772" s="178" t="s">
        <v>3618</v>
      </c>
      <c r="E772" s="461">
        <v>5.1993463570147315E-2</v>
      </c>
      <c r="F772" s="462">
        <v>5.7267645701805418E-2</v>
      </c>
      <c r="G772" s="316">
        <v>7.7055232905122673E-2</v>
      </c>
      <c r="H772" s="317">
        <v>6.8639233178868948E-3</v>
      </c>
      <c r="I772" s="317">
        <v>0.19121977866608031</v>
      </c>
      <c r="J772" s="317">
        <v>3.3256261042266803E-2</v>
      </c>
      <c r="K772" s="317">
        <v>1.6642337861591774E-2</v>
      </c>
      <c r="L772" s="318">
        <v>6.1045636142160434E-4</v>
      </c>
      <c r="M772" s="317">
        <v>2.6350673873192262E-3</v>
      </c>
      <c r="N772" s="318">
        <v>2.0000005732018801E-3</v>
      </c>
      <c r="O772" s="317">
        <v>2.6552491022100864E-2</v>
      </c>
      <c r="P772" s="318">
        <v>1.682056238288723E-2</v>
      </c>
      <c r="Q772" s="319">
        <v>1.7394830530412419E-2</v>
      </c>
    </row>
    <row r="773" spans="2:17" ht="15.75" x14ac:dyDescent="0.25">
      <c r="B773" s="176">
        <v>2031</v>
      </c>
      <c r="C773" s="177">
        <v>2013</v>
      </c>
      <c r="D773" s="178" t="s">
        <v>3619</v>
      </c>
      <c r="E773" s="461">
        <v>5.4030551374919099E-2</v>
      </c>
      <c r="F773" s="462">
        <v>5.5916801624836296E-2</v>
      </c>
      <c r="G773" s="316">
        <v>9.1724951458929754E-2</v>
      </c>
      <c r="H773" s="317">
        <v>7.755638999532119E-3</v>
      </c>
      <c r="I773" s="317">
        <v>0.2291021236396372</v>
      </c>
      <c r="J773" s="317">
        <v>3.2349167765586308E-2</v>
      </c>
      <c r="K773" s="317">
        <v>1.9106962152815685E-2</v>
      </c>
      <c r="L773" s="318">
        <v>9.1185563587266446E-4</v>
      </c>
      <c r="M773" s="317">
        <v>2.7985036004582837E-3</v>
      </c>
      <c r="N773" s="318">
        <v>2.0000005732018805E-3</v>
      </c>
      <c r="O773" s="317">
        <v>2.9332541007596233E-2</v>
      </c>
      <c r="P773" s="318">
        <v>1.6900202337763102E-2</v>
      </c>
      <c r="Q773" s="319">
        <v>1.9970894195477148E-2</v>
      </c>
    </row>
    <row r="774" spans="2:17" ht="15.75" x14ac:dyDescent="0.25">
      <c r="B774" s="176">
        <v>2031</v>
      </c>
      <c r="C774" s="177">
        <v>2014</v>
      </c>
      <c r="D774" s="178" t="s">
        <v>3620</v>
      </c>
      <c r="E774" s="461">
        <v>5.1082724939849451E-2</v>
      </c>
      <c r="F774" s="462">
        <v>5.3798583871380881E-2</v>
      </c>
      <c r="G774" s="316">
        <v>7.923610951881542E-2</v>
      </c>
      <c r="H774" s="317">
        <v>7.8337860793396084E-3</v>
      </c>
      <c r="I774" s="317">
        <v>0.19570609941225406</v>
      </c>
      <c r="J774" s="317">
        <v>3.0955359594904554E-2</v>
      </c>
      <c r="K774" s="317">
        <v>1.6681459603901588E-2</v>
      </c>
      <c r="L774" s="318">
        <v>1.2797879621665518E-3</v>
      </c>
      <c r="M774" s="317">
        <v>2.6724220864305791E-3</v>
      </c>
      <c r="N774" s="318">
        <v>2.0000005732018801E-3</v>
      </c>
      <c r="O774" s="317">
        <v>2.7187894453984979E-2</v>
      </c>
      <c r="P774" s="318">
        <v>1.6439580644415922E-2</v>
      </c>
      <c r="Q774" s="319">
        <v>1.7435721184309298E-2</v>
      </c>
    </row>
    <row r="775" spans="2:17" ht="15.75" x14ac:dyDescent="0.25">
      <c r="B775" s="176">
        <v>2031</v>
      </c>
      <c r="C775" s="177">
        <v>2015</v>
      </c>
      <c r="D775" s="178" t="s">
        <v>3621</v>
      </c>
      <c r="E775" s="461">
        <v>4.9776936349441504E-2</v>
      </c>
      <c r="F775" s="462">
        <v>5.576330971751866E-2</v>
      </c>
      <c r="G775" s="316">
        <v>7.3974352634832263E-2</v>
      </c>
      <c r="H775" s="317">
        <v>7.7385248501859521E-3</v>
      </c>
      <c r="I775" s="317">
        <v>0.18252925007141801</v>
      </c>
      <c r="J775" s="317">
        <v>3.1860008846809021E-2</v>
      </c>
      <c r="K775" s="317">
        <v>1.5644186240046775E-2</v>
      </c>
      <c r="L775" s="318">
        <v>1.5926893811086091E-3</v>
      </c>
      <c r="M775" s="317">
        <v>2.6353117256797485E-3</v>
      </c>
      <c r="N775" s="318">
        <v>2.0000005732018797E-3</v>
      </c>
      <c r="O775" s="317">
        <v>2.655664721761335E-2</v>
      </c>
      <c r="P775" s="318">
        <v>1.7329700663192917E-2</v>
      </c>
      <c r="Q775" s="319">
        <v>1.6351546921773426E-2</v>
      </c>
    </row>
    <row r="776" spans="2:17" ht="15.75" x14ac:dyDescent="0.25">
      <c r="B776" s="176">
        <v>2031</v>
      </c>
      <c r="C776" s="177">
        <v>2016</v>
      </c>
      <c r="D776" s="178" t="s">
        <v>3622</v>
      </c>
      <c r="E776" s="461">
        <v>5.0715496604281499E-2</v>
      </c>
      <c r="F776" s="462">
        <v>5.6903482985900672E-2</v>
      </c>
      <c r="G776" s="316">
        <v>8.8839414259394692E-2</v>
      </c>
      <c r="H776" s="317">
        <v>7.4563251570937033E-3</v>
      </c>
      <c r="I776" s="317">
        <v>0.19403043955359967</v>
      </c>
      <c r="J776" s="317">
        <v>3.1821653897424508E-2</v>
      </c>
      <c r="K776" s="317">
        <v>1.7986204502541209E-2</v>
      </c>
      <c r="L776" s="318">
        <v>1.8256238336807685E-3</v>
      </c>
      <c r="M776" s="317">
        <v>2.8157657030994246E-3</v>
      </c>
      <c r="N776" s="318">
        <v>2.0000005732018801E-3</v>
      </c>
      <c r="O776" s="317">
        <v>2.9626169373522037E-2</v>
      </c>
      <c r="P776" s="318">
        <v>1.8208256243180055E-2</v>
      </c>
      <c r="Q776" s="319">
        <v>1.8799460857545656E-2</v>
      </c>
    </row>
    <row r="777" spans="2:17" ht="15.75" x14ac:dyDescent="0.25">
      <c r="B777" s="176">
        <v>2031</v>
      </c>
      <c r="C777" s="177">
        <v>2017</v>
      </c>
      <c r="D777" s="178" t="s">
        <v>3623</v>
      </c>
      <c r="E777" s="461">
        <v>4.7106882508557706E-2</v>
      </c>
      <c r="F777" s="462">
        <v>5.1235399402319345E-2</v>
      </c>
      <c r="G777" s="316">
        <v>6.873929868346558E-2</v>
      </c>
      <c r="H777" s="317">
        <v>7.4232501277210353E-3</v>
      </c>
      <c r="I777" s="317">
        <v>0.13975371547094229</v>
      </c>
      <c r="J777" s="317">
        <v>2.9505167999178756E-2</v>
      </c>
      <c r="K777" s="317">
        <v>1.5691520578497271E-2</v>
      </c>
      <c r="L777" s="318">
        <v>2.0096083727542124E-3</v>
      </c>
      <c r="M777" s="317">
        <v>2.748428423033513E-3</v>
      </c>
      <c r="N777" s="318">
        <v>2.0000005732018801E-3</v>
      </c>
      <c r="O777" s="317">
        <v>2.8480762239600884E-2</v>
      </c>
      <c r="P777" s="318">
        <v>1.7194463408710548E-2</v>
      </c>
      <c r="Q777" s="319">
        <v>1.6401021508965611E-2</v>
      </c>
    </row>
    <row r="778" spans="2:17" ht="15.75" x14ac:dyDescent="0.25">
      <c r="B778" s="176">
        <v>2031</v>
      </c>
      <c r="C778" s="177">
        <v>2018</v>
      </c>
      <c r="D778" s="178" t="s">
        <v>3624</v>
      </c>
      <c r="E778" s="461">
        <v>4.4135554848249471E-2</v>
      </c>
      <c r="F778" s="462">
        <v>4.8924677032907489E-2</v>
      </c>
      <c r="G778" s="316">
        <v>6.7547255426634131E-2</v>
      </c>
      <c r="H778" s="317">
        <v>7.0295318014113057E-3</v>
      </c>
      <c r="I778" s="317">
        <v>0.11281626768399743</v>
      </c>
      <c r="J778" s="317">
        <v>2.7967385733465563E-2</v>
      </c>
      <c r="K778" s="317">
        <v>1.4176319036567256E-2</v>
      </c>
      <c r="L778" s="318">
        <v>2.0930873233570464E-3</v>
      </c>
      <c r="M778" s="317">
        <v>2.7422176831777864E-3</v>
      </c>
      <c r="N778" s="318">
        <v>2.0000005732018805E-3</v>
      </c>
      <c r="O778" s="317">
        <v>2.837511755465498E-2</v>
      </c>
      <c r="P778" s="318">
        <v>1.7178540913147057E-2</v>
      </c>
      <c r="Q778" s="319">
        <v>1.4817309276916737E-2</v>
      </c>
    </row>
    <row r="779" spans="2:17" ht="15.75" x14ac:dyDescent="0.25">
      <c r="B779" s="176">
        <v>2031</v>
      </c>
      <c r="C779" s="177">
        <v>2019</v>
      </c>
      <c r="D779" s="178" t="s">
        <v>3625</v>
      </c>
      <c r="E779" s="461">
        <v>4.3652419326974425E-2</v>
      </c>
      <c r="F779" s="462">
        <v>4.7030880765229884E-2</v>
      </c>
      <c r="G779" s="316">
        <v>6.6426880338483513E-2</v>
      </c>
      <c r="H779" s="317">
        <v>6.2650040177740628E-3</v>
      </c>
      <c r="I779" s="317">
        <v>9.5986288722064161E-2</v>
      </c>
      <c r="J779" s="317">
        <v>2.5138636385810417E-2</v>
      </c>
      <c r="K779" s="317">
        <v>1.1887946591489347E-2</v>
      </c>
      <c r="L779" s="318">
        <v>1.9871138784623571E-3</v>
      </c>
      <c r="M779" s="317">
        <v>2.7380553812834077E-3</v>
      </c>
      <c r="N779" s="318">
        <v>2.0000005732018801E-3</v>
      </c>
      <c r="O779" s="317">
        <v>2.830431679943159E-2</v>
      </c>
      <c r="P779" s="318">
        <v>1.7172575679197288E-2</v>
      </c>
      <c r="Q779" s="319">
        <v>1.2425466784374808E-2</v>
      </c>
    </row>
    <row r="780" spans="2:17" ht="15.75" x14ac:dyDescent="0.25">
      <c r="B780" s="176">
        <v>2031</v>
      </c>
      <c r="C780" s="177">
        <v>2020</v>
      </c>
      <c r="D780" s="178" t="s">
        <v>3626</v>
      </c>
      <c r="E780" s="461">
        <v>4.3144968954681312E-2</v>
      </c>
      <c r="F780" s="462">
        <v>4.5158882146126428E-2</v>
      </c>
      <c r="G780" s="316">
        <v>6.5187765369123657E-2</v>
      </c>
      <c r="H780" s="317">
        <v>5.3681897203194948E-3</v>
      </c>
      <c r="I780" s="317">
        <v>7.9535959188179406E-2</v>
      </c>
      <c r="J780" s="317">
        <v>2.2543125466454827E-2</v>
      </c>
      <c r="K780" s="317">
        <v>9.6966516458883746E-3</v>
      </c>
      <c r="L780" s="318">
        <v>1.4626982774278692E-3</v>
      </c>
      <c r="M780" s="317">
        <v>2.7331224639555738E-3</v>
      </c>
      <c r="N780" s="318">
        <v>2.0000005732018801E-3</v>
      </c>
      <c r="O780" s="317">
        <v>2.8220407875685128E-2</v>
      </c>
      <c r="P780" s="318">
        <v>1.7172995146386576E-2</v>
      </c>
      <c r="Q780" s="319">
        <v>1.013509120506101E-2</v>
      </c>
    </row>
    <row r="781" spans="2:17" ht="15.75" x14ac:dyDescent="0.25">
      <c r="B781" s="176">
        <v>2031</v>
      </c>
      <c r="C781" s="177">
        <v>2021</v>
      </c>
      <c r="D781" s="178" t="s">
        <v>3627</v>
      </c>
      <c r="E781" s="461">
        <v>4.1794255966823783E-2</v>
      </c>
      <c r="F781" s="462">
        <v>4.3067676024271979E-2</v>
      </c>
      <c r="G781" s="316">
        <v>6.1410474451543295E-2</v>
      </c>
      <c r="H781" s="317">
        <v>4.6850139734368875E-3</v>
      </c>
      <c r="I781" s="317">
        <v>5.8126944509761878E-2</v>
      </c>
      <c r="J781" s="317">
        <v>2.078929632461873E-2</v>
      </c>
      <c r="K781" s="317">
        <v>6.548350880943651E-3</v>
      </c>
      <c r="L781" s="318">
        <v>9.5858999114352113E-4</v>
      </c>
      <c r="M781" s="317">
        <v>2.7300507273071858E-3</v>
      </c>
      <c r="N781" s="318">
        <v>2.0000005732018801E-3</v>
      </c>
      <c r="O781" s="317">
        <v>2.8168157635296051E-2</v>
      </c>
      <c r="P781" s="318">
        <v>1.7170439890516007E-2</v>
      </c>
      <c r="Q781" s="319">
        <v>6.8444382499032461E-3</v>
      </c>
    </row>
    <row r="782" spans="2:17" ht="15.75" x14ac:dyDescent="0.25">
      <c r="B782" s="176">
        <v>2031</v>
      </c>
      <c r="C782" s="177">
        <v>2022</v>
      </c>
      <c r="D782" s="178" t="s">
        <v>3628</v>
      </c>
      <c r="E782" s="461">
        <v>4.0574776848531002E-2</v>
      </c>
      <c r="F782" s="462">
        <v>4.1480353056078306E-2</v>
      </c>
      <c r="G782" s="316">
        <v>6.0071830613381366E-2</v>
      </c>
      <c r="H782" s="317">
        <v>3.9129881425947147E-3</v>
      </c>
      <c r="I782" s="317">
        <v>4.3096440124967814E-2</v>
      </c>
      <c r="J782" s="317">
        <v>1.8718124281821909E-2</v>
      </c>
      <c r="K782" s="317">
        <v>4.6874935305552647E-3</v>
      </c>
      <c r="L782" s="318">
        <v>9.5833941184645353E-4</v>
      </c>
      <c r="M782" s="317">
        <v>2.7254542653761004E-3</v>
      </c>
      <c r="N782" s="318">
        <v>2.0000005732018801E-3</v>
      </c>
      <c r="O782" s="317">
        <v>2.8089971817848298E-2</v>
      </c>
      <c r="P782" s="318">
        <v>1.716657183797261E-2</v>
      </c>
      <c r="Q782" s="319">
        <v>4.8994411875624951E-3</v>
      </c>
    </row>
    <row r="783" spans="2:17" ht="15.75" x14ac:dyDescent="0.25">
      <c r="B783" s="176">
        <v>2031</v>
      </c>
      <c r="C783" s="177">
        <v>2023</v>
      </c>
      <c r="D783" s="178" t="s">
        <v>3629</v>
      </c>
      <c r="E783" s="461">
        <v>3.9393902197485335E-2</v>
      </c>
      <c r="F783" s="462">
        <v>3.992984846697397E-2</v>
      </c>
      <c r="G783" s="316">
        <v>5.8870611826033613E-2</v>
      </c>
      <c r="H783" s="317">
        <v>3.3576689525913715E-3</v>
      </c>
      <c r="I783" s="317">
        <v>4.1560148365548541E-2</v>
      </c>
      <c r="J783" s="317">
        <v>1.7829062862951717E-2</v>
      </c>
      <c r="K783" s="317">
        <v>4.401199868740489E-3</v>
      </c>
      <c r="L783" s="318">
        <v>9.5829803988615634E-4</v>
      </c>
      <c r="M783" s="317">
        <v>2.7235633628816792E-3</v>
      </c>
      <c r="N783" s="318">
        <v>2.0000005732018801E-3</v>
      </c>
      <c r="O783" s="317">
        <v>2.8057807566418184E-2</v>
      </c>
      <c r="P783" s="318">
        <v>1.7172866188687703E-2</v>
      </c>
      <c r="Q783" s="319">
        <v>4.6002025967697632E-3</v>
      </c>
    </row>
    <row r="784" spans="2:17" ht="15.75" x14ac:dyDescent="0.25">
      <c r="B784" s="176">
        <v>2031</v>
      </c>
      <c r="C784" s="177">
        <v>2024</v>
      </c>
      <c r="D784" s="178" t="s">
        <v>3630</v>
      </c>
      <c r="E784" s="461">
        <v>3.8225813067156215E-2</v>
      </c>
      <c r="F784" s="462">
        <v>3.8377823388064523E-2</v>
      </c>
      <c r="G784" s="316">
        <v>5.7498542094938349E-2</v>
      </c>
      <c r="H784" s="317">
        <v>2.8650482065493781E-3</v>
      </c>
      <c r="I784" s="317">
        <v>3.9875067002484471E-2</v>
      </c>
      <c r="J784" s="317">
        <v>1.7322006857136366E-2</v>
      </c>
      <c r="K784" s="317">
        <v>4.0919133733549953E-3</v>
      </c>
      <c r="L784" s="318">
        <v>9.5814811924424547E-4</v>
      </c>
      <c r="M784" s="317">
        <v>2.7202195608683612E-3</v>
      </c>
      <c r="N784" s="318">
        <v>2.0000005732018801E-3</v>
      </c>
      <c r="O784" s="317">
        <v>2.8000929494171659E-2</v>
      </c>
      <c r="P784" s="318">
        <v>1.7174134505800874E-2</v>
      </c>
      <c r="Q784" s="319">
        <v>4.2769315385014365E-3</v>
      </c>
    </row>
    <row r="785" spans="2:17" ht="15.75" x14ac:dyDescent="0.25">
      <c r="B785" s="176">
        <v>2031</v>
      </c>
      <c r="C785" s="177">
        <v>2025</v>
      </c>
      <c r="D785" s="178" t="s">
        <v>3631</v>
      </c>
      <c r="E785" s="461">
        <v>3.7068117706387134E-2</v>
      </c>
      <c r="F785" s="462">
        <v>3.6810032326151203E-2</v>
      </c>
      <c r="G785" s="316">
        <v>5.6115267350267464E-2</v>
      </c>
      <c r="H785" s="317">
        <v>2.5557665870987378E-3</v>
      </c>
      <c r="I785" s="317">
        <v>3.8137703866087572E-2</v>
      </c>
      <c r="J785" s="317">
        <v>1.7329541742932917E-2</v>
      </c>
      <c r="K785" s="317">
        <v>3.7706445194535419E-3</v>
      </c>
      <c r="L785" s="318">
        <v>9.5792494259032694E-4</v>
      </c>
      <c r="M785" s="317">
        <v>2.7175772056749381E-3</v>
      </c>
      <c r="N785" s="318">
        <v>2.0000005732018801E-3</v>
      </c>
      <c r="O785" s="317">
        <v>2.7955983032331523E-2</v>
      </c>
      <c r="P785" s="318">
        <v>1.7170208672443028E-2</v>
      </c>
      <c r="Q785" s="319">
        <v>3.9411363326359869E-3</v>
      </c>
    </row>
    <row r="786" spans="2:17" ht="15.75" x14ac:dyDescent="0.25">
      <c r="B786" s="176">
        <v>2031</v>
      </c>
      <c r="C786" s="177">
        <v>2026</v>
      </c>
      <c r="D786" s="178" t="s">
        <v>3632</v>
      </c>
      <c r="E786" s="461">
        <v>3.626526696437464E-2</v>
      </c>
      <c r="F786" s="462">
        <v>3.6540042711448339E-2</v>
      </c>
      <c r="G786" s="316">
        <v>5.4573888730668686E-2</v>
      </c>
      <c r="H786" s="317">
        <v>2.5011288200644565E-3</v>
      </c>
      <c r="I786" s="317">
        <v>3.6263956468565686E-2</v>
      </c>
      <c r="J786" s="317">
        <v>1.6449948715880718E-2</v>
      </c>
      <c r="K786" s="317">
        <v>3.4287449286980174E-3</v>
      </c>
      <c r="L786" s="318">
        <v>8.3619213121539308E-4</v>
      </c>
      <c r="M786" s="317">
        <v>2.7135739481324635E-3</v>
      </c>
      <c r="N786" s="318">
        <v>2.0000005732018801E-3</v>
      </c>
      <c r="O786" s="317">
        <v>2.7887887621534029E-2</v>
      </c>
      <c r="P786" s="318">
        <v>1.7149544528614485E-2</v>
      </c>
      <c r="Q786" s="319">
        <v>3.583777559543463E-3</v>
      </c>
    </row>
    <row r="787" spans="2:17" ht="15.75" x14ac:dyDescent="0.25">
      <c r="B787" s="176">
        <v>2031</v>
      </c>
      <c r="C787" s="177">
        <v>2027</v>
      </c>
      <c r="D787" s="178" t="s">
        <v>3633</v>
      </c>
      <c r="E787" s="461">
        <v>3.5544204428959753E-2</v>
      </c>
      <c r="F787" s="462">
        <v>3.6358679698772316E-2</v>
      </c>
      <c r="G787" s="316">
        <v>5.3184615071322584E-2</v>
      </c>
      <c r="H787" s="317">
        <v>2.4581946779577281E-3</v>
      </c>
      <c r="I787" s="317">
        <v>3.4427888861853197E-2</v>
      </c>
      <c r="J787" s="317">
        <v>1.5623085496632263E-2</v>
      </c>
      <c r="K787" s="317">
        <v>3.0834035577282002E-3</v>
      </c>
      <c r="L787" s="318">
        <v>6.9515141281687853E-4</v>
      </c>
      <c r="M787" s="317">
        <v>2.7126428273834308E-3</v>
      </c>
      <c r="N787" s="318">
        <v>2.0000005732018801E-3</v>
      </c>
      <c r="O787" s="317">
        <v>2.7872049257592974E-2</v>
      </c>
      <c r="P787" s="318">
        <v>1.7153520515442864E-2</v>
      </c>
      <c r="Q787" s="319">
        <v>3.2228213842080255E-3</v>
      </c>
    </row>
    <row r="788" spans="2:17" ht="15.75" x14ac:dyDescent="0.25">
      <c r="B788" s="176">
        <v>2031</v>
      </c>
      <c r="C788" s="177">
        <v>2028</v>
      </c>
      <c r="D788" s="178" t="s">
        <v>3634</v>
      </c>
      <c r="E788" s="461">
        <v>3.553503386187367E-2</v>
      </c>
      <c r="F788" s="462">
        <v>3.6342674437720254E-2</v>
      </c>
      <c r="G788" s="316">
        <v>5.1772069392509647E-2</v>
      </c>
      <c r="H788" s="317">
        <v>2.4336908438242076E-3</v>
      </c>
      <c r="I788" s="317">
        <v>3.2527172311916791E-2</v>
      </c>
      <c r="J788" s="317">
        <v>1.4951091400002002E-2</v>
      </c>
      <c r="K788" s="317">
        <v>2.7235138189074326E-3</v>
      </c>
      <c r="L788" s="318">
        <v>5.7421874973140503E-4</v>
      </c>
      <c r="M788" s="317">
        <v>2.7123656134103663E-3</v>
      </c>
      <c r="N788" s="318">
        <v>2.0000005732018801E-3</v>
      </c>
      <c r="O788" s="317">
        <v>2.7867333847911152E-2</v>
      </c>
      <c r="P788" s="318">
        <v>1.7153314832675966E-2</v>
      </c>
      <c r="Q788" s="319">
        <v>2.8466590283848453E-3</v>
      </c>
    </row>
    <row r="789" spans="2:17" ht="15.75" x14ac:dyDescent="0.25">
      <c r="B789" s="176">
        <v>2031</v>
      </c>
      <c r="C789" s="177">
        <v>2029</v>
      </c>
      <c r="D789" s="178" t="s">
        <v>3635</v>
      </c>
      <c r="E789" s="461">
        <v>3.5496935423333299E-2</v>
      </c>
      <c r="F789" s="462">
        <v>3.6294884123087907E-2</v>
      </c>
      <c r="G789" s="316">
        <v>5.0138750078861899E-2</v>
      </c>
      <c r="H789" s="317">
        <v>2.4267739110871698E-3</v>
      </c>
      <c r="I789" s="317">
        <v>3.0458855818191039E-2</v>
      </c>
      <c r="J789" s="317">
        <v>1.4404397407145282E-2</v>
      </c>
      <c r="K789" s="317">
        <v>2.3406568733067346E-3</v>
      </c>
      <c r="L789" s="318">
        <v>5.7397766143001193E-4</v>
      </c>
      <c r="M789" s="317">
        <v>2.7097503671132403E-3</v>
      </c>
      <c r="N789" s="318">
        <v>2.0000005732018805E-3</v>
      </c>
      <c r="O789" s="317">
        <v>2.7822848508397044E-2</v>
      </c>
      <c r="P789" s="318">
        <v>1.714106262929007E-2</v>
      </c>
      <c r="Q789" s="319">
        <v>2.446490990606621E-3</v>
      </c>
    </row>
    <row r="790" spans="2:17" ht="15.75" x14ac:dyDescent="0.25">
      <c r="B790" s="176">
        <v>2031</v>
      </c>
      <c r="C790" s="177">
        <v>2030</v>
      </c>
      <c r="D790" s="178" t="s">
        <v>3636</v>
      </c>
      <c r="E790" s="461">
        <v>3.5469422131167494E-2</v>
      </c>
      <c r="F790" s="462">
        <v>3.6221902700334326E-2</v>
      </c>
      <c r="G790" s="316">
        <v>4.850930248914874E-2</v>
      </c>
      <c r="H790" s="317">
        <v>2.4116381225065394E-3</v>
      </c>
      <c r="I790" s="317">
        <v>2.8340928756611518E-2</v>
      </c>
      <c r="J790" s="317">
        <v>1.3846251618230471E-2</v>
      </c>
      <c r="K790" s="317">
        <v>1.9450602294212649E-3</v>
      </c>
      <c r="L790" s="318">
        <v>5.7286358791955891E-4</v>
      </c>
      <c r="M790" s="317">
        <v>2.7081896522660963E-3</v>
      </c>
      <c r="N790" s="318">
        <v>2.0000005732018801E-3</v>
      </c>
      <c r="O790" s="317">
        <v>2.7796300748847123E-2</v>
      </c>
      <c r="P790" s="318">
        <v>1.7124282257606708E-2</v>
      </c>
      <c r="Q790" s="319">
        <v>2.0330072219187545E-3</v>
      </c>
    </row>
    <row r="791" spans="2:17" ht="15.75" x14ac:dyDescent="0.25">
      <c r="B791" s="176">
        <v>2031</v>
      </c>
      <c r="C791" s="177">
        <v>2031</v>
      </c>
      <c r="D791" s="178" t="s">
        <v>3637</v>
      </c>
      <c r="E791" s="461">
        <v>3.5096627183038374E-2</v>
      </c>
      <c r="F791" s="462">
        <v>3.5541470121013823E-2</v>
      </c>
      <c r="G791" s="316">
        <v>4.512533745123206E-2</v>
      </c>
      <c r="H791" s="317">
        <v>2.2843851882659539E-3</v>
      </c>
      <c r="I791" s="317">
        <v>2.5356100761060794E-2</v>
      </c>
      <c r="J791" s="317">
        <v>1.2725048878372835E-2</v>
      </c>
      <c r="K791" s="317">
        <v>1.4922679541250566E-3</v>
      </c>
      <c r="L791" s="318">
        <v>5.6062121516140429E-4</v>
      </c>
      <c r="M791" s="317">
        <v>2.6793277601653725E-3</v>
      </c>
      <c r="N791" s="318">
        <v>2.0000005732018801E-3</v>
      </c>
      <c r="O791" s="317">
        <v>2.7305359964213811E-2</v>
      </c>
      <c r="P791" s="318">
        <v>1.6899480239277322E-2</v>
      </c>
      <c r="Q791" s="319">
        <v>1.5597416891696162E-3</v>
      </c>
    </row>
    <row r="792" spans="2:17" ht="15.75" x14ac:dyDescent="0.25">
      <c r="B792" s="176">
        <v>2032</v>
      </c>
      <c r="C792" s="177">
        <v>1988</v>
      </c>
      <c r="D792" s="178" t="s">
        <v>3638</v>
      </c>
      <c r="E792" s="461">
        <v>5.7576399484595503E-2</v>
      </c>
      <c r="F792" s="462">
        <v>8.8973540931130565E-2</v>
      </c>
      <c r="G792" s="316">
        <v>0.29442495963814858</v>
      </c>
      <c r="H792" s="317">
        <v>0.50977294891766789</v>
      </c>
      <c r="I792" s="317">
        <v>4.8833526370960145</v>
      </c>
      <c r="J792" s="317">
        <v>1.9043470602571506</v>
      </c>
      <c r="K792" s="317">
        <v>0.19899308915251768</v>
      </c>
      <c r="L792" s="318">
        <v>1.7324625593934245E-2</v>
      </c>
      <c r="M792" s="317">
        <v>2.9290567797055165E-3</v>
      </c>
      <c r="N792" s="318">
        <v>2.0000005732018801E-3</v>
      </c>
      <c r="O792" s="317">
        <v>3.1553250586591669E-2</v>
      </c>
      <c r="P792" s="318">
        <v>2.1872335892379025E-2</v>
      </c>
      <c r="Q792" s="319">
        <v>0.20799067362523954</v>
      </c>
    </row>
    <row r="793" spans="2:17" ht="15.75" x14ac:dyDescent="0.25">
      <c r="B793" s="176">
        <v>2032</v>
      </c>
      <c r="C793" s="177">
        <v>1989</v>
      </c>
      <c r="D793" s="178" t="s">
        <v>3639</v>
      </c>
      <c r="E793" s="461">
        <v>5.780595718919259E-2</v>
      </c>
      <c r="F793" s="462">
        <v>9.1489923930171524E-2</v>
      </c>
      <c r="G793" s="316">
        <v>0.29386209602013263</v>
      </c>
      <c r="H793" s="317">
        <v>0.50832750189178444</v>
      </c>
      <c r="I793" s="317">
        <v>4.9958122510899372</v>
      </c>
      <c r="J793" s="317">
        <v>1.9016631201867487</v>
      </c>
      <c r="K793" s="317">
        <v>0.19927361889036904</v>
      </c>
      <c r="L793" s="318">
        <v>1.7108250565210644E-2</v>
      </c>
      <c r="M793" s="317">
        <v>2.9583920963197272E-3</v>
      </c>
      <c r="N793" s="318">
        <v>2.0000005732018801E-3</v>
      </c>
      <c r="O793" s="317">
        <v>3.2052244322199386E-2</v>
      </c>
      <c r="P793" s="318">
        <v>2.2722055301102374E-2</v>
      </c>
      <c r="Q793" s="319">
        <v>0.20828388767300424</v>
      </c>
    </row>
    <row r="794" spans="2:17" ht="15.75" x14ac:dyDescent="0.25">
      <c r="B794" s="176">
        <v>2032</v>
      </c>
      <c r="C794" s="177">
        <v>1990</v>
      </c>
      <c r="D794" s="178" t="s">
        <v>3640</v>
      </c>
      <c r="E794" s="461">
        <v>5.8289395606780044E-2</v>
      </c>
      <c r="F794" s="462">
        <v>8.9235451036522112E-2</v>
      </c>
      <c r="G794" s="316">
        <v>0.29863968584926054</v>
      </c>
      <c r="H794" s="317">
        <v>0.5094472134996838</v>
      </c>
      <c r="I794" s="317">
        <v>4.9603689328657419</v>
      </c>
      <c r="J794" s="317">
        <v>1.8939105190294903</v>
      </c>
      <c r="K794" s="317">
        <v>0.2025790512303984</v>
      </c>
      <c r="L794" s="318">
        <v>1.7352709161109942E-2</v>
      </c>
      <c r="M794" s="317">
        <v>2.962063135689925E-3</v>
      </c>
      <c r="N794" s="318">
        <v>2.0000005732018801E-3</v>
      </c>
      <c r="O794" s="317">
        <v>3.2114688701886454E-2</v>
      </c>
      <c r="P794" s="318">
        <v>2.192562781222367E-2</v>
      </c>
      <c r="Q794" s="319">
        <v>0.21173877699581137</v>
      </c>
    </row>
    <row r="795" spans="2:17" ht="15.75" x14ac:dyDescent="0.25">
      <c r="B795" s="176">
        <v>2032</v>
      </c>
      <c r="C795" s="177">
        <v>1991</v>
      </c>
      <c r="D795" s="178" t="s">
        <v>3641</v>
      </c>
      <c r="E795" s="461">
        <v>5.8172101033569019E-2</v>
      </c>
      <c r="F795" s="462">
        <v>8.7315017541893788E-2</v>
      </c>
      <c r="G795" s="316">
        <v>0.37905364902683175</v>
      </c>
      <c r="H795" s="317">
        <v>0.5311042229269114</v>
      </c>
      <c r="I795" s="317">
        <v>8.7243076073485231</v>
      </c>
      <c r="J795" s="317">
        <v>2.3237131779883446</v>
      </c>
      <c r="K795" s="317">
        <v>6.0094940198269858E-2</v>
      </c>
      <c r="L795" s="318">
        <v>9.7620093744193639E-3</v>
      </c>
      <c r="M795" s="317">
        <v>2.9607695495463011E-3</v>
      </c>
      <c r="N795" s="318">
        <v>2.0000005732018797E-3</v>
      </c>
      <c r="O795" s="317">
        <v>3.2092684801583414E-2</v>
      </c>
      <c r="P795" s="318">
        <v>2.1171143106460615E-2</v>
      </c>
      <c r="Q795" s="319">
        <v>6.2812166726688032E-2</v>
      </c>
    </row>
    <row r="796" spans="2:17" ht="15.75" x14ac:dyDescent="0.25">
      <c r="B796" s="176">
        <v>2032</v>
      </c>
      <c r="C796" s="177">
        <v>1992</v>
      </c>
      <c r="D796" s="178" t="s">
        <v>3642</v>
      </c>
      <c r="E796" s="461">
        <v>5.8056090933535302E-2</v>
      </c>
      <c r="F796" s="462">
        <v>8.4448615944612407E-2</v>
      </c>
      <c r="G796" s="316">
        <v>0.37897633543976256</v>
      </c>
      <c r="H796" s="317">
        <v>0.5320611047652265</v>
      </c>
      <c r="I796" s="317">
        <v>8.571769406454619</v>
      </c>
      <c r="J796" s="317">
        <v>2.2590252279053833</v>
      </c>
      <c r="K796" s="317">
        <v>6.3026429574206025E-2</v>
      </c>
      <c r="L796" s="318">
        <v>9.8840564531619841E-3</v>
      </c>
      <c r="M796" s="317">
        <v>2.9420925363969411E-3</v>
      </c>
      <c r="N796" s="318">
        <v>2.0000005732018801E-3</v>
      </c>
      <c r="O796" s="317">
        <v>3.1774988807912796E-2</v>
      </c>
      <c r="P796" s="318">
        <v>2.0237638071897334E-2</v>
      </c>
      <c r="Q796" s="319">
        <v>6.5876205043912534E-2</v>
      </c>
    </row>
    <row r="797" spans="2:17" ht="15.75" x14ac:dyDescent="0.25">
      <c r="B797" s="176">
        <v>2032</v>
      </c>
      <c r="C797" s="177">
        <v>1993</v>
      </c>
      <c r="D797" s="178" t="s">
        <v>3643</v>
      </c>
      <c r="E797" s="461">
        <v>5.7977268921749876E-2</v>
      </c>
      <c r="F797" s="462">
        <v>7.5614788086583479E-2</v>
      </c>
      <c r="G797" s="316">
        <v>0.36986538959368492</v>
      </c>
      <c r="H797" s="317">
        <v>0.53646637622330184</v>
      </c>
      <c r="I797" s="317">
        <v>8.7582551922995577</v>
      </c>
      <c r="J797" s="317">
        <v>2.2131477160483466</v>
      </c>
      <c r="K797" s="317">
        <v>5.3899167442982149E-2</v>
      </c>
      <c r="L797" s="318">
        <v>1.0021238982239304E-2</v>
      </c>
      <c r="M797" s="317">
        <v>2.962745331496167E-3</v>
      </c>
      <c r="N797" s="318">
        <v>2.0000005732018797E-3</v>
      </c>
      <c r="O797" s="317">
        <v>3.2126292852550635E-2</v>
      </c>
      <c r="P797" s="318">
        <v>1.9807244452575111E-2</v>
      </c>
      <c r="Q797" s="319">
        <v>5.6336248620740562E-2</v>
      </c>
    </row>
    <row r="798" spans="2:17" ht="15.75" x14ac:dyDescent="0.25">
      <c r="B798" s="176">
        <v>2032</v>
      </c>
      <c r="C798" s="177">
        <v>1994</v>
      </c>
      <c r="D798" s="178" t="s">
        <v>3644</v>
      </c>
      <c r="E798" s="461">
        <v>5.769756822950891E-2</v>
      </c>
      <c r="F798" s="462">
        <v>7.2065229668045322E-2</v>
      </c>
      <c r="G798" s="316">
        <v>0.36425542088375457</v>
      </c>
      <c r="H798" s="317">
        <v>0.53702286997688242</v>
      </c>
      <c r="I798" s="317">
        <v>8.7016510349745673</v>
      </c>
      <c r="J798" s="317">
        <v>2.1430492453586725</v>
      </c>
      <c r="K798" s="317">
        <v>5.4045383750780544E-2</v>
      </c>
      <c r="L798" s="318">
        <v>1.0125932346382972E-2</v>
      </c>
      <c r="M798" s="317">
        <v>2.9516487442146837E-3</v>
      </c>
      <c r="N798" s="318">
        <v>2.0000005732018801E-3</v>
      </c>
      <c r="O798" s="317">
        <v>3.1937539902892602E-2</v>
      </c>
      <c r="P798" s="318">
        <v>1.884076272119212E-2</v>
      </c>
      <c r="Q798" s="319">
        <v>5.6489076181152328E-2</v>
      </c>
    </row>
    <row r="799" spans="2:17" ht="15.75" x14ac:dyDescent="0.25">
      <c r="B799" s="176">
        <v>2032</v>
      </c>
      <c r="C799" s="177">
        <v>1995</v>
      </c>
      <c r="D799" s="178" t="s">
        <v>3645</v>
      </c>
      <c r="E799" s="461">
        <v>5.7543473992831634E-2</v>
      </c>
      <c r="F799" s="462">
        <v>7.3476069160489099E-2</v>
      </c>
      <c r="G799" s="316">
        <v>0.36455529845861812</v>
      </c>
      <c r="H799" s="317">
        <v>0.40742534398096986</v>
      </c>
      <c r="I799" s="317">
        <v>8.8902233866104066</v>
      </c>
      <c r="J799" s="317">
        <v>1.6832574669076747</v>
      </c>
      <c r="K799" s="317">
        <v>5.3432471487373824E-2</v>
      </c>
      <c r="L799" s="318">
        <v>9.3743081831513444E-3</v>
      </c>
      <c r="M799" s="317">
        <v>2.9686878265385856E-3</v>
      </c>
      <c r="N799" s="318">
        <v>2.0000005732018801E-3</v>
      </c>
      <c r="O799" s="317">
        <v>3.222737469322217E-2</v>
      </c>
      <c r="P799" s="318">
        <v>1.9514415760857617E-2</v>
      </c>
      <c r="Q799" s="319">
        <v>5.5848450744952247E-2</v>
      </c>
    </row>
    <row r="800" spans="2:17" ht="15.75" x14ac:dyDescent="0.25">
      <c r="B800" s="176">
        <v>2032</v>
      </c>
      <c r="C800" s="177">
        <v>1996</v>
      </c>
      <c r="D800" s="178" t="s">
        <v>3646</v>
      </c>
      <c r="E800" s="461">
        <v>5.7685619487429188E-2</v>
      </c>
      <c r="F800" s="462">
        <v>7.34487745444493E-2</v>
      </c>
      <c r="G800" s="316">
        <v>0.36749558376051472</v>
      </c>
      <c r="H800" s="317">
        <v>0.14086471298165332</v>
      </c>
      <c r="I800" s="317">
        <v>8.9033330708433223</v>
      </c>
      <c r="J800" s="317">
        <v>1.0241431379679757</v>
      </c>
      <c r="K800" s="317">
        <v>5.3656505878755048E-2</v>
      </c>
      <c r="L800" s="318">
        <v>2.8574776176132923E-3</v>
      </c>
      <c r="M800" s="317">
        <v>2.97335174230225E-3</v>
      </c>
      <c r="N800" s="318">
        <v>2.0000005732018801E-3</v>
      </c>
      <c r="O800" s="317">
        <v>3.2306707900362101E-2</v>
      </c>
      <c r="P800" s="318">
        <v>1.9840421139255913E-2</v>
      </c>
      <c r="Q800" s="319">
        <v>5.608261497737381E-2</v>
      </c>
    </row>
    <row r="801" spans="2:17" ht="15.75" x14ac:dyDescent="0.25">
      <c r="B801" s="176">
        <v>2032</v>
      </c>
      <c r="C801" s="177">
        <v>1997</v>
      </c>
      <c r="D801" s="178" t="s">
        <v>3647</v>
      </c>
      <c r="E801" s="461">
        <v>5.7870606994420794E-2</v>
      </c>
      <c r="F801" s="462">
        <v>7.1571928530511822E-2</v>
      </c>
      <c r="G801" s="316">
        <v>0.37129442602418467</v>
      </c>
      <c r="H801" s="317">
        <v>0.14515431399811324</v>
      </c>
      <c r="I801" s="317">
        <v>8.9472493912415185</v>
      </c>
      <c r="J801" s="317">
        <v>1.0478464080073406</v>
      </c>
      <c r="K801" s="317">
        <v>5.388447053658689E-2</v>
      </c>
      <c r="L801" s="318">
        <v>2.8745947404553067E-3</v>
      </c>
      <c r="M801" s="317">
        <v>2.9817015822219575E-3</v>
      </c>
      <c r="N801" s="318">
        <v>2.0000005732018801E-3</v>
      </c>
      <c r="O801" s="317">
        <v>3.2448738677396324E-2</v>
      </c>
      <c r="P801" s="318">
        <v>1.9332584889931562E-2</v>
      </c>
      <c r="Q801" s="319">
        <v>5.632088718545461E-2</v>
      </c>
    </row>
    <row r="802" spans="2:17" ht="15.75" x14ac:dyDescent="0.25">
      <c r="B802" s="176">
        <v>2032</v>
      </c>
      <c r="C802" s="177">
        <v>1998</v>
      </c>
      <c r="D802" s="178" t="s">
        <v>3648</v>
      </c>
      <c r="E802" s="461">
        <v>5.773468958084009E-2</v>
      </c>
      <c r="F802" s="462">
        <v>6.8383013208879018E-2</v>
      </c>
      <c r="G802" s="316">
        <v>0.36929447654745523</v>
      </c>
      <c r="H802" s="317">
        <v>0.13443904591315334</v>
      </c>
      <c r="I802" s="317">
        <v>8.9227488325669633</v>
      </c>
      <c r="J802" s="317">
        <v>0.92386039736398284</v>
      </c>
      <c r="K802" s="317">
        <v>5.3744902143614548E-2</v>
      </c>
      <c r="L802" s="318">
        <v>2.9131090895172141E-3</v>
      </c>
      <c r="M802" s="317">
        <v>2.9776881219217041E-3</v>
      </c>
      <c r="N802" s="318">
        <v>2.0000005732018801E-3</v>
      </c>
      <c r="O802" s="317">
        <v>3.2380469717689014E-2</v>
      </c>
      <c r="P802" s="318">
        <v>1.8451653004074663E-2</v>
      </c>
      <c r="Q802" s="319">
        <v>5.6175008129077664E-2</v>
      </c>
    </row>
    <row r="803" spans="2:17" ht="15.75" x14ac:dyDescent="0.25">
      <c r="B803" s="176">
        <v>2032</v>
      </c>
      <c r="C803" s="177">
        <v>1999</v>
      </c>
      <c r="D803" s="178" t="s">
        <v>3649</v>
      </c>
      <c r="E803" s="461">
        <v>5.7898633158712742E-2</v>
      </c>
      <c r="F803" s="462">
        <v>6.9093313677440232E-2</v>
      </c>
      <c r="G803" s="316">
        <v>0.3739376239390329</v>
      </c>
      <c r="H803" s="317">
        <v>0.11730500999415433</v>
      </c>
      <c r="I803" s="317">
        <v>9.0566023020099191</v>
      </c>
      <c r="J803" s="317">
        <v>0.76551492507944929</v>
      </c>
      <c r="K803" s="317">
        <v>5.3769273762547622E-2</v>
      </c>
      <c r="L803" s="318">
        <v>2.9173704491643982E-3</v>
      </c>
      <c r="M803" s="317">
        <v>2.9943201271925906E-3</v>
      </c>
      <c r="N803" s="318">
        <v>2.0000005732018801E-3</v>
      </c>
      <c r="O803" s="317">
        <v>3.2663380127346806E-2</v>
      </c>
      <c r="P803" s="318">
        <v>1.8685810813223108E-2</v>
      </c>
      <c r="Q803" s="319">
        <v>5.62004817244715E-2</v>
      </c>
    </row>
    <row r="804" spans="2:17" ht="15.75" x14ac:dyDescent="0.25">
      <c r="B804" s="176">
        <v>2032</v>
      </c>
      <c r="C804" s="177">
        <v>2000</v>
      </c>
      <c r="D804" s="178" t="s">
        <v>3650</v>
      </c>
      <c r="E804" s="461">
        <v>5.7757048099970724E-2</v>
      </c>
      <c r="F804" s="462">
        <v>7.5170440593512897E-2</v>
      </c>
      <c r="G804" s="316">
        <v>0.37274470193458825</v>
      </c>
      <c r="H804" s="317">
        <v>0.10071887573457269</v>
      </c>
      <c r="I804" s="317">
        <v>9.113437143118178</v>
      </c>
      <c r="J804" s="317">
        <v>0.61421014372988891</v>
      </c>
      <c r="K804" s="317">
        <v>5.343942883368355E-2</v>
      </c>
      <c r="L804" s="318">
        <v>2.911832951831725E-3</v>
      </c>
      <c r="M804" s="317">
        <v>2.9982879886217228E-3</v>
      </c>
      <c r="N804" s="318">
        <v>2.0000005732018801E-3</v>
      </c>
      <c r="O804" s="317">
        <v>3.273087345025634E-2</v>
      </c>
      <c r="P804" s="318">
        <v>1.8874861600031861E-2</v>
      </c>
      <c r="Q804" s="319">
        <v>5.5855722671589308E-2</v>
      </c>
    </row>
    <row r="805" spans="2:17" ht="15.75" x14ac:dyDescent="0.25">
      <c r="B805" s="176">
        <v>2032</v>
      </c>
      <c r="C805" s="177">
        <v>2001</v>
      </c>
      <c r="D805" s="178" t="s">
        <v>3651</v>
      </c>
      <c r="E805" s="461">
        <v>5.7839038024509411E-2</v>
      </c>
      <c r="F805" s="462">
        <v>7.3996348127799705E-2</v>
      </c>
      <c r="G805" s="316">
        <v>0.37363443096104909</v>
      </c>
      <c r="H805" s="317">
        <v>8.6782981304447643E-2</v>
      </c>
      <c r="I805" s="317">
        <v>9.0573721440026222</v>
      </c>
      <c r="J805" s="317">
        <v>0.47519492114951845</v>
      </c>
      <c r="K805" s="317">
        <v>5.3726615995127319E-2</v>
      </c>
      <c r="L805" s="318">
        <v>2.9312483755202217E-3</v>
      </c>
      <c r="M805" s="317">
        <v>2.9942189747150898E-3</v>
      </c>
      <c r="N805" s="318">
        <v>2.0000005732018801E-3</v>
      </c>
      <c r="O805" s="317">
        <v>3.2661659523704506E-2</v>
      </c>
      <c r="P805" s="318">
        <v>1.8504143309887484E-2</v>
      </c>
      <c r="Q805" s="319">
        <v>5.6155895162099449E-2</v>
      </c>
    </row>
    <row r="806" spans="2:17" ht="15.75" x14ac:dyDescent="0.25">
      <c r="B806" s="176">
        <v>2032</v>
      </c>
      <c r="C806" s="177">
        <v>2002</v>
      </c>
      <c r="D806" s="178" t="s">
        <v>3652</v>
      </c>
      <c r="E806" s="461">
        <v>5.7661724842253015E-2</v>
      </c>
      <c r="F806" s="462">
        <v>7.2067886371529596E-2</v>
      </c>
      <c r="G806" s="316">
        <v>0.28854853426395644</v>
      </c>
      <c r="H806" s="317">
        <v>8.7025900800980049E-2</v>
      </c>
      <c r="I806" s="317">
        <v>7.020273737396816</v>
      </c>
      <c r="J806" s="317">
        <v>0.45717466748397417</v>
      </c>
      <c r="K806" s="317">
        <v>5.3864964637334062E-2</v>
      </c>
      <c r="L806" s="318">
        <v>2.9588959274487641E-3</v>
      </c>
      <c r="M806" s="317">
        <v>2.9977114354084698E-3</v>
      </c>
      <c r="N806" s="318">
        <v>2.0000005732018801E-3</v>
      </c>
      <c r="O806" s="317">
        <v>3.2721066280098902E-2</v>
      </c>
      <c r="P806" s="318">
        <v>1.7893641981651175E-2</v>
      </c>
      <c r="Q806" s="319">
        <v>5.630049931599377E-2</v>
      </c>
    </row>
    <row r="807" spans="2:17" ht="15.75" x14ac:dyDescent="0.25">
      <c r="B807" s="176">
        <v>2032</v>
      </c>
      <c r="C807" s="177">
        <v>2003</v>
      </c>
      <c r="D807" s="178" t="s">
        <v>3653</v>
      </c>
      <c r="E807" s="461">
        <v>5.7458250743535402E-2</v>
      </c>
      <c r="F807" s="462">
        <v>7.3160361379644559E-2</v>
      </c>
      <c r="G807" s="316">
        <v>0.28632727918789674</v>
      </c>
      <c r="H807" s="317">
        <v>7.0488893329228045E-2</v>
      </c>
      <c r="I807" s="317">
        <v>7.0221952327279826</v>
      </c>
      <c r="J807" s="317">
        <v>0.39122184160724455</v>
      </c>
      <c r="K807" s="317">
        <v>5.3554255522228547E-2</v>
      </c>
      <c r="L807" s="318">
        <v>2.9419375235265766E-3</v>
      </c>
      <c r="M807" s="317">
        <v>2.9948006756190379E-3</v>
      </c>
      <c r="N807" s="318">
        <v>2.0000005732018801E-3</v>
      </c>
      <c r="O807" s="317">
        <v>3.2671554256080669E-2</v>
      </c>
      <c r="P807" s="318">
        <v>1.8288371763981053E-2</v>
      </c>
      <c r="Q807" s="319">
        <v>5.5975741313454432E-2</v>
      </c>
    </row>
    <row r="808" spans="2:17" ht="15.75" x14ac:dyDescent="0.25">
      <c r="B808" s="176">
        <v>2032</v>
      </c>
      <c r="C808" s="177">
        <v>2004</v>
      </c>
      <c r="D808" s="178" t="s">
        <v>3654</v>
      </c>
      <c r="E808" s="461">
        <v>5.7343977893676401E-2</v>
      </c>
      <c r="F808" s="462">
        <v>7.2907647968802822E-2</v>
      </c>
      <c r="G808" s="316">
        <v>0.23635207992486457</v>
      </c>
      <c r="H808" s="317">
        <v>1.8138383694441245E-2</v>
      </c>
      <c r="I808" s="317">
        <v>5.8594318972301824</v>
      </c>
      <c r="J808" s="317">
        <v>0.11620117783273941</v>
      </c>
      <c r="K808" s="317">
        <v>5.3310154637947076E-2</v>
      </c>
      <c r="L808" s="318">
        <v>1.9665054464825581E-4</v>
      </c>
      <c r="M808" s="317">
        <v>2.9927746018519213E-3</v>
      </c>
      <c r="N808" s="318">
        <v>2.0000005732018801E-3</v>
      </c>
      <c r="O808" s="317">
        <v>3.263709074130202E-2</v>
      </c>
      <c r="P808" s="318">
        <v>1.7902410406278327E-2</v>
      </c>
      <c r="Q808" s="319">
        <v>5.572060327036741E-2</v>
      </c>
    </row>
    <row r="809" spans="2:17" ht="15.75" x14ac:dyDescent="0.25">
      <c r="B809" s="176">
        <v>2032</v>
      </c>
      <c r="C809" s="177">
        <v>2005</v>
      </c>
      <c r="D809" s="178" t="s">
        <v>3655</v>
      </c>
      <c r="E809" s="461">
        <v>5.7103497918221932E-2</v>
      </c>
      <c r="F809" s="462">
        <v>6.9248400360307313E-2</v>
      </c>
      <c r="G809" s="316">
        <v>0.23375741686156037</v>
      </c>
      <c r="H809" s="317">
        <v>1.5837289820851287E-2</v>
      </c>
      <c r="I809" s="317">
        <v>5.8516657286703495</v>
      </c>
      <c r="J809" s="317">
        <v>9.4715557257541494E-2</v>
      </c>
      <c r="K809" s="317">
        <v>5.2942992335730459E-2</v>
      </c>
      <c r="L809" s="318">
        <v>1.9761230487922923E-4</v>
      </c>
      <c r="M809" s="317">
        <v>2.9860617454406093E-3</v>
      </c>
      <c r="N809" s="318">
        <v>2.0000005732018801E-3</v>
      </c>
      <c r="O809" s="317">
        <v>3.2522905053745596E-2</v>
      </c>
      <c r="P809" s="318">
        <v>1.718506069593859E-2</v>
      </c>
      <c r="Q809" s="319">
        <v>5.5336839518103205E-2</v>
      </c>
    </row>
    <row r="810" spans="2:17" ht="15.75" x14ac:dyDescent="0.25">
      <c r="B810" s="176">
        <v>2032</v>
      </c>
      <c r="C810" s="177">
        <v>2006</v>
      </c>
      <c r="D810" s="178" t="s">
        <v>3656</v>
      </c>
      <c r="E810" s="461">
        <v>5.7045416116471126E-2</v>
      </c>
      <c r="F810" s="462">
        <v>7.2644901258295189E-2</v>
      </c>
      <c r="G810" s="316">
        <v>0.23344046284364359</v>
      </c>
      <c r="H810" s="317">
        <v>5.9894618164335958E-3</v>
      </c>
      <c r="I810" s="317">
        <v>5.8484226827538706</v>
      </c>
      <c r="J810" s="317">
        <v>6.607272811845559E-2</v>
      </c>
      <c r="K810" s="317">
        <v>5.2904293423647768E-2</v>
      </c>
      <c r="L810" s="318">
        <v>1.9344692577768458E-4</v>
      </c>
      <c r="M810" s="317">
        <v>2.9849838968409154E-3</v>
      </c>
      <c r="N810" s="318">
        <v>2.0000005732018801E-3</v>
      </c>
      <c r="O810" s="317">
        <v>3.2504570849064801E-2</v>
      </c>
      <c r="P810" s="318">
        <v>1.8955530223153525E-2</v>
      </c>
      <c r="Q810" s="319">
        <v>5.529639081293998E-2</v>
      </c>
    </row>
    <row r="811" spans="2:17" ht="15.75" x14ac:dyDescent="0.25">
      <c r="B811" s="176">
        <v>2032</v>
      </c>
      <c r="C811" s="177">
        <v>2007</v>
      </c>
      <c r="D811" s="178" t="s">
        <v>3657</v>
      </c>
      <c r="E811" s="461">
        <v>5.6872372122970312E-2</v>
      </c>
      <c r="F811" s="462">
        <v>6.8011095886454598E-2</v>
      </c>
      <c r="G811" s="316">
        <v>0.16796828466084418</v>
      </c>
      <c r="H811" s="317">
        <v>8.5062332657457572E-3</v>
      </c>
      <c r="I811" s="317">
        <v>2.9941254426840818</v>
      </c>
      <c r="J811" s="317">
        <v>5.7397775861958954E-2</v>
      </c>
      <c r="K811" s="317">
        <v>3.71166185833125E-2</v>
      </c>
      <c r="L811" s="318">
        <v>1.9707491442310729E-4</v>
      </c>
      <c r="M811" s="317">
        <v>2.9653048942233366E-3</v>
      </c>
      <c r="N811" s="318">
        <v>2.0000005732018801E-3</v>
      </c>
      <c r="O811" s="317">
        <v>3.2169831014539789E-2</v>
      </c>
      <c r="P811" s="318">
        <v>1.7443180298837839E-2</v>
      </c>
      <c r="Q811" s="319">
        <v>3.8794867373094254E-2</v>
      </c>
    </row>
    <row r="812" spans="2:17" ht="15.75" x14ac:dyDescent="0.25">
      <c r="B812" s="176">
        <v>2032</v>
      </c>
      <c r="C812" s="177">
        <v>2008</v>
      </c>
      <c r="D812" s="178" t="s">
        <v>3658</v>
      </c>
      <c r="E812" s="461">
        <v>5.6878456246594315E-2</v>
      </c>
      <c r="F812" s="462">
        <v>6.6210988777237495E-2</v>
      </c>
      <c r="G812" s="316">
        <v>0.1693974708983379</v>
      </c>
      <c r="H812" s="317">
        <v>8.248586758198723E-3</v>
      </c>
      <c r="I812" s="317">
        <v>3.0176242947781518</v>
      </c>
      <c r="J812" s="317">
        <v>4.6058571177874895E-2</v>
      </c>
      <c r="K812" s="317">
        <v>3.741041771067042E-2</v>
      </c>
      <c r="L812" s="318">
        <v>2.2510772009622887E-4</v>
      </c>
      <c r="M812" s="317">
        <v>2.9741200498409268E-3</v>
      </c>
      <c r="N812" s="318">
        <v>2.0000005732018801E-3</v>
      </c>
      <c r="O812" s="317">
        <v>3.2319776811594994E-2</v>
      </c>
      <c r="P812" s="318">
        <v>1.7387441730869577E-2</v>
      </c>
      <c r="Q812" s="319">
        <v>3.9101950793276996E-2</v>
      </c>
    </row>
    <row r="813" spans="2:17" ht="15.75" x14ac:dyDescent="0.25">
      <c r="B813" s="176">
        <v>2032</v>
      </c>
      <c r="C813" s="177">
        <v>2009</v>
      </c>
      <c r="D813" s="178" t="s">
        <v>3659</v>
      </c>
      <c r="E813" s="461">
        <v>5.6030985407310871E-2</v>
      </c>
      <c r="F813" s="462">
        <v>6.07983494348006E-2</v>
      </c>
      <c r="G813" s="316">
        <v>0.15704669738134716</v>
      </c>
      <c r="H813" s="317">
        <v>8.1101700166564209E-3</v>
      </c>
      <c r="I813" s="317">
        <v>2.7043179877139516</v>
      </c>
      <c r="J813" s="317">
        <v>3.3777782903679672E-2</v>
      </c>
      <c r="K813" s="317">
        <v>3.4622618195823428E-2</v>
      </c>
      <c r="L813" s="318">
        <v>2.5447647200721696E-4</v>
      </c>
      <c r="M813" s="317">
        <v>2.8761572230059213E-3</v>
      </c>
      <c r="N813" s="318">
        <v>2.0000005732018805E-3</v>
      </c>
      <c r="O813" s="317">
        <v>3.0653429127131551E-2</v>
      </c>
      <c r="P813" s="318">
        <v>1.6732019130323537E-2</v>
      </c>
      <c r="Q813" s="319">
        <v>3.6188099355045696E-2</v>
      </c>
    </row>
    <row r="814" spans="2:17" ht="15.75" x14ac:dyDescent="0.25">
      <c r="B814" s="176">
        <v>2032</v>
      </c>
      <c r="C814" s="177">
        <v>2010</v>
      </c>
      <c r="D814" s="178" t="s">
        <v>3660</v>
      </c>
      <c r="E814" s="461">
        <v>5.4712743278090475E-2</v>
      </c>
      <c r="F814" s="462">
        <v>5.8925183148494202E-2</v>
      </c>
      <c r="G814" s="316">
        <v>9.1960165506526123E-2</v>
      </c>
      <c r="H814" s="317">
        <v>7.2652865614046165E-3</v>
      </c>
      <c r="I814" s="317">
        <v>0.23148874488411728</v>
      </c>
      <c r="J814" s="317">
        <v>3.2778748429403932E-2</v>
      </c>
      <c r="K814" s="317">
        <v>1.9683492131305561E-2</v>
      </c>
      <c r="L814" s="318">
        <v>3.1053076257208864E-4</v>
      </c>
      <c r="M814" s="317">
        <v>2.7771714189562674E-3</v>
      </c>
      <c r="N814" s="318">
        <v>2.0000005732018801E-3</v>
      </c>
      <c r="O814" s="317">
        <v>2.896968060024694E-2</v>
      </c>
      <c r="P814" s="318">
        <v>1.6373746533635214E-2</v>
      </c>
      <c r="Q814" s="319">
        <v>2.0573492301280461E-2</v>
      </c>
    </row>
    <row r="815" spans="2:17" ht="15.75" x14ac:dyDescent="0.25">
      <c r="B815" s="176">
        <v>2032</v>
      </c>
      <c r="C815" s="177">
        <v>2011</v>
      </c>
      <c r="D815" s="178" t="s">
        <v>3661</v>
      </c>
      <c r="E815" s="461">
        <v>5.4368470919981073E-2</v>
      </c>
      <c r="F815" s="462">
        <v>5.7549222664550419E-2</v>
      </c>
      <c r="G815" s="316">
        <v>9.1413374340985315E-2</v>
      </c>
      <c r="H815" s="317">
        <v>7.3536683728054868E-3</v>
      </c>
      <c r="I815" s="317">
        <v>0.23090995025741631</v>
      </c>
      <c r="J815" s="317">
        <v>3.2902813949920694E-2</v>
      </c>
      <c r="K815" s="317">
        <v>1.9597681376192274E-2</v>
      </c>
      <c r="L815" s="318">
        <v>4.2052929789874294E-4</v>
      </c>
      <c r="M815" s="317">
        <v>2.7853066642935806E-3</v>
      </c>
      <c r="N815" s="318">
        <v>2.0000005732018801E-3</v>
      </c>
      <c r="O815" s="317">
        <v>2.9108061123434642E-2</v>
      </c>
      <c r="P815" s="318">
        <v>1.6488101643183942E-2</v>
      </c>
      <c r="Q815" s="319">
        <v>2.0483801564600477E-2</v>
      </c>
    </row>
    <row r="816" spans="2:17" ht="15.75" x14ac:dyDescent="0.25">
      <c r="B816" s="176">
        <v>2032</v>
      </c>
      <c r="C816" s="177">
        <v>2012</v>
      </c>
      <c r="D816" s="178" t="s">
        <v>3662</v>
      </c>
      <c r="E816" s="461">
        <v>5.2134748717751797E-2</v>
      </c>
      <c r="F816" s="462">
        <v>5.7400592117320827E-2</v>
      </c>
      <c r="G816" s="316">
        <v>7.8306488642584812E-2</v>
      </c>
      <c r="H816" s="317">
        <v>6.8978116714698921E-3</v>
      </c>
      <c r="I816" s="317">
        <v>0.19503739584540997</v>
      </c>
      <c r="J816" s="317">
        <v>3.3607378176657703E-2</v>
      </c>
      <c r="K816" s="317">
        <v>1.7010717315807663E-2</v>
      </c>
      <c r="L816" s="318">
        <v>6.1053339207277368E-4</v>
      </c>
      <c r="M816" s="317">
        <v>2.6440791475320444E-3</v>
      </c>
      <c r="N816" s="318">
        <v>2.0000005732018801E-3</v>
      </c>
      <c r="O816" s="317">
        <v>2.6705781063320898E-2</v>
      </c>
      <c r="P816" s="318">
        <v>1.6840854955514101E-2</v>
      </c>
      <c r="Q816" s="319">
        <v>1.7779866468888329E-2</v>
      </c>
    </row>
    <row r="817" spans="2:17" ht="15.75" x14ac:dyDescent="0.25">
      <c r="B817" s="176">
        <v>2032</v>
      </c>
      <c r="C817" s="177">
        <v>2013</v>
      </c>
      <c r="D817" s="178" t="s">
        <v>3663</v>
      </c>
      <c r="E817" s="461">
        <v>5.4132693084763817E-2</v>
      </c>
      <c r="F817" s="462">
        <v>5.6034039539155658E-2</v>
      </c>
      <c r="G817" s="316">
        <v>9.2806025114113538E-2</v>
      </c>
      <c r="H817" s="317">
        <v>7.7961400560798456E-3</v>
      </c>
      <c r="I817" s="317">
        <v>0.23281410559373183</v>
      </c>
      <c r="J817" s="317">
        <v>3.2621812026813905E-2</v>
      </c>
      <c r="K817" s="317">
        <v>1.9505991953290364E-2</v>
      </c>
      <c r="L817" s="318">
        <v>9.1183913592823818E-4</v>
      </c>
      <c r="M817" s="317">
        <v>2.8041142193566278E-3</v>
      </c>
      <c r="N817" s="318">
        <v>2.0000005732018801E-3</v>
      </c>
      <c r="O817" s="317">
        <v>2.9427977635057077E-2</v>
      </c>
      <c r="P817" s="318">
        <v>1.6915748816446405E-2</v>
      </c>
      <c r="Q817" s="319">
        <v>2.0387966352860866E-2</v>
      </c>
    </row>
    <row r="818" spans="2:17" ht="15.75" x14ac:dyDescent="0.25">
      <c r="B818" s="176">
        <v>2032</v>
      </c>
      <c r="C818" s="177">
        <v>2014</v>
      </c>
      <c r="D818" s="178" t="s">
        <v>3664</v>
      </c>
      <c r="E818" s="461">
        <v>5.1261524186593438E-2</v>
      </c>
      <c r="F818" s="462">
        <v>5.3922846455716392E-2</v>
      </c>
      <c r="G818" s="316">
        <v>8.0893184991113254E-2</v>
      </c>
      <c r="H818" s="317">
        <v>7.8803036730103367E-3</v>
      </c>
      <c r="I818" s="317">
        <v>0.2008649257723184</v>
      </c>
      <c r="J818" s="317">
        <v>3.1208780831211425E-2</v>
      </c>
      <c r="K818" s="317">
        <v>1.7187233268837067E-2</v>
      </c>
      <c r="L818" s="318">
        <v>1.2795780526614559E-3</v>
      </c>
      <c r="M818" s="317">
        <v>2.6840771225986621E-3</v>
      </c>
      <c r="N818" s="318">
        <v>2.0000005732018801E-3</v>
      </c>
      <c r="O818" s="317">
        <v>2.7386146619204067E-2</v>
      </c>
      <c r="P818" s="318">
        <v>1.6458123544540768E-2</v>
      </c>
      <c r="Q818" s="319">
        <v>1.7964363690035842E-2</v>
      </c>
    </row>
    <row r="819" spans="2:17" ht="15.75" x14ac:dyDescent="0.25">
      <c r="B819" s="176">
        <v>2032</v>
      </c>
      <c r="C819" s="177">
        <v>2015</v>
      </c>
      <c r="D819" s="178" t="s">
        <v>3665</v>
      </c>
      <c r="E819" s="461">
        <v>4.9924172206230431E-2</v>
      </c>
      <c r="F819" s="462">
        <v>5.593554145724064E-2</v>
      </c>
      <c r="G819" s="316">
        <v>7.542591335182966E-2</v>
      </c>
      <c r="H819" s="317">
        <v>7.8008447263799375E-3</v>
      </c>
      <c r="I819" s="317">
        <v>0.18719498300245649</v>
      </c>
      <c r="J819" s="317">
        <v>3.2204837196510828E-2</v>
      </c>
      <c r="K819" s="317">
        <v>1.6132443399976982E-2</v>
      </c>
      <c r="L819" s="318">
        <v>1.5923208583876242E-3</v>
      </c>
      <c r="M819" s="317">
        <v>2.6443736959663468E-3</v>
      </c>
      <c r="N819" s="318">
        <v>2.0000005732018801E-3</v>
      </c>
      <c r="O819" s="317">
        <v>2.6710791332188392E-2</v>
      </c>
      <c r="P819" s="318">
        <v>1.7361105711944758E-2</v>
      </c>
      <c r="Q819" s="319">
        <v>1.6861880903866599E-2</v>
      </c>
    </row>
    <row r="820" spans="2:17" ht="15.75" x14ac:dyDescent="0.25">
      <c r="B820" s="176">
        <v>2032</v>
      </c>
      <c r="C820" s="177">
        <v>2016</v>
      </c>
      <c r="D820" s="178" t="s">
        <v>3666</v>
      </c>
      <c r="E820" s="461">
        <v>5.0807871394122711E-2</v>
      </c>
      <c r="F820" s="462">
        <v>5.7065876185050941E-2</v>
      </c>
      <c r="G820" s="316">
        <v>9.0138014925036564E-2</v>
      </c>
      <c r="H820" s="317">
        <v>7.5203056891293852E-3</v>
      </c>
      <c r="I820" s="317">
        <v>0.19819242093636519</v>
      </c>
      <c r="J820" s="317">
        <v>3.2207219529737346E-2</v>
      </c>
      <c r="K820" s="317">
        <v>1.8532542254255522E-2</v>
      </c>
      <c r="L820" s="318">
        <v>1.8250703848391729E-3</v>
      </c>
      <c r="M820" s="317">
        <v>2.8210120581683715E-3</v>
      </c>
      <c r="N820" s="318">
        <v>2.0000005732018801E-3</v>
      </c>
      <c r="O820" s="317">
        <v>2.9715409873244825E-2</v>
      </c>
      <c r="P820" s="318">
        <v>1.8237819215170328E-2</v>
      </c>
      <c r="Q820" s="319">
        <v>1.9370501578054609E-2</v>
      </c>
    </row>
    <row r="821" spans="2:17" ht="15.75" x14ac:dyDescent="0.25">
      <c r="B821" s="176">
        <v>2032</v>
      </c>
      <c r="C821" s="177">
        <v>2017</v>
      </c>
      <c r="D821" s="178" t="s">
        <v>3667</v>
      </c>
      <c r="E821" s="461">
        <v>4.7188729498457614E-2</v>
      </c>
      <c r="F821" s="462">
        <v>5.1367429999477722E-2</v>
      </c>
      <c r="G821" s="316">
        <v>6.9845809125168287E-2</v>
      </c>
      <c r="H821" s="317">
        <v>7.4909038602243693E-3</v>
      </c>
      <c r="I821" s="317">
        <v>0.14301606713023426</v>
      </c>
      <c r="J821" s="317">
        <v>2.9813298842051483E-2</v>
      </c>
      <c r="K821" s="317">
        <v>1.6224958319061542E-2</v>
      </c>
      <c r="L821" s="318">
        <v>2.0089900222971177E-3</v>
      </c>
      <c r="M821" s="317">
        <v>2.7537003113887655E-3</v>
      </c>
      <c r="N821" s="318">
        <v>2.0000005732018801E-3</v>
      </c>
      <c r="O821" s="317">
        <v>2.8570437060523726E-2</v>
      </c>
      <c r="P821" s="318">
        <v>1.7217463627344217E-2</v>
      </c>
      <c r="Q821" s="319">
        <v>1.6958578937063314E-2</v>
      </c>
    </row>
    <row r="822" spans="2:17" ht="15.75" x14ac:dyDescent="0.25">
      <c r="B822" s="176">
        <v>2032</v>
      </c>
      <c r="C822" s="177">
        <v>2018</v>
      </c>
      <c r="D822" s="178" t="s">
        <v>3668</v>
      </c>
      <c r="E822" s="461">
        <v>4.4216585615284215E-2</v>
      </c>
      <c r="F822" s="462">
        <v>4.9026588103527259E-2</v>
      </c>
      <c r="G822" s="316">
        <v>6.8779838897433887E-2</v>
      </c>
      <c r="H822" s="317">
        <v>7.0984946095657602E-3</v>
      </c>
      <c r="I822" s="317">
        <v>0.11573470874433175</v>
      </c>
      <c r="J822" s="317">
        <v>2.8259727567001028E-2</v>
      </c>
      <c r="K822" s="317">
        <v>1.4722587377150795E-2</v>
      </c>
      <c r="L822" s="318">
        <v>2.0926480991742429E-3</v>
      </c>
      <c r="M822" s="317">
        <v>2.7483461291879967E-3</v>
      </c>
      <c r="N822" s="318">
        <v>2.0000005732018801E-3</v>
      </c>
      <c r="O822" s="317">
        <v>2.8479362421288658E-2</v>
      </c>
      <c r="P822" s="318">
        <v>1.7194187585000915E-2</v>
      </c>
      <c r="Q822" s="319">
        <v>1.5388277447831628E-2</v>
      </c>
    </row>
    <row r="823" spans="2:17" ht="15.75" x14ac:dyDescent="0.25">
      <c r="B823" s="176">
        <v>2032</v>
      </c>
      <c r="C823" s="177">
        <v>2019</v>
      </c>
      <c r="D823" s="178" t="s">
        <v>3669</v>
      </c>
      <c r="E823" s="461">
        <v>4.3717350941723583E-2</v>
      </c>
      <c r="F823" s="462">
        <v>4.7125774123115707E-2</v>
      </c>
      <c r="G823" s="316">
        <v>6.7587627801022856E-2</v>
      </c>
      <c r="H823" s="317">
        <v>6.3303503676560707E-3</v>
      </c>
      <c r="I823" s="317">
        <v>9.8464643661634196E-2</v>
      </c>
      <c r="J823" s="317">
        <v>2.5413077806926906E-2</v>
      </c>
      <c r="K823" s="317">
        <v>1.2371446253107791E-2</v>
      </c>
      <c r="L823" s="318">
        <v>1.986855975471445E-3</v>
      </c>
      <c r="M823" s="317">
        <v>2.7421311993676171E-3</v>
      </c>
      <c r="N823" s="318">
        <v>2.0000005732018801E-3</v>
      </c>
      <c r="O823" s="317">
        <v>2.8373646465043995E-2</v>
      </c>
      <c r="P823" s="318">
        <v>1.7186528375617446E-2</v>
      </c>
      <c r="Q823" s="319">
        <v>1.2930828155193624E-2</v>
      </c>
    </row>
    <row r="824" spans="2:17" ht="15.75" x14ac:dyDescent="0.25">
      <c r="B824" s="176">
        <v>2032</v>
      </c>
      <c r="C824" s="177">
        <v>2020</v>
      </c>
      <c r="D824" s="178" t="s">
        <v>3670</v>
      </c>
      <c r="E824" s="461">
        <v>4.3227232522401994E-2</v>
      </c>
      <c r="F824" s="462">
        <v>4.5249907982379101E-2</v>
      </c>
      <c r="G824" s="316">
        <v>6.646711050433611E-2</v>
      </c>
      <c r="H824" s="317">
        <v>5.4279237570539467E-3</v>
      </c>
      <c r="I824" s="317">
        <v>8.1786164662944541E-2</v>
      </c>
      <c r="J824" s="317">
        <v>2.2854738989286066E-2</v>
      </c>
      <c r="K824" s="317">
        <v>1.0135646620122908E-2</v>
      </c>
      <c r="L824" s="318">
        <v>1.4628484561848725E-3</v>
      </c>
      <c r="M824" s="317">
        <v>2.7379677950105153E-3</v>
      </c>
      <c r="N824" s="318">
        <v>2.0000005732018801E-3</v>
      </c>
      <c r="O824" s="317">
        <v>2.8302826956929691E-2</v>
      </c>
      <c r="P824" s="318">
        <v>1.7185858382662036E-2</v>
      </c>
      <c r="Q824" s="319">
        <v>1.0593935584019108E-2</v>
      </c>
    </row>
    <row r="825" spans="2:17" ht="15.75" x14ac:dyDescent="0.25">
      <c r="B825" s="176">
        <v>2032</v>
      </c>
      <c r="C825" s="177">
        <v>2021</v>
      </c>
      <c r="D825" s="178" t="s">
        <v>3671</v>
      </c>
      <c r="E825" s="461">
        <v>4.1850813860595484E-2</v>
      </c>
      <c r="F825" s="462">
        <v>4.317587903050274E-2</v>
      </c>
      <c r="G825" s="316">
        <v>6.2612820709673236E-2</v>
      </c>
      <c r="H825" s="317">
        <v>4.7423261770408367E-3</v>
      </c>
      <c r="I825" s="317">
        <v>6.0002058407519585E-2</v>
      </c>
      <c r="J825" s="317">
        <v>2.1173039114567218E-2</v>
      </c>
      <c r="K825" s="317">
        <v>6.8953182621815916E-3</v>
      </c>
      <c r="L825" s="318">
        <v>9.5939957275884512E-4</v>
      </c>
      <c r="M825" s="317">
        <v>2.7330308946121196E-3</v>
      </c>
      <c r="N825" s="318">
        <v>2.0000005732018801E-3</v>
      </c>
      <c r="O825" s="317">
        <v>2.8218850281152983E-2</v>
      </c>
      <c r="P825" s="318">
        <v>1.7189032882271946E-2</v>
      </c>
      <c r="Q825" s="319">
        <v>7.2070939564758251E-3</v>
      </c>
    </row>
    <row r="826" spans="2:17" ht="15.75" x14ac:dyDescent="0.25">
      <c r="B826" s="176">
        <v>2032</v>
      </c>
      <c r="C826" s="177">
        <v>2022</v>
      </c>
      <c r="D826" s="178" t="s">
        <v>3672</v>
      </c>
      <c r="E826" s="461">
        <v>4.0652924043542968E-2</v>
      </c>
      <c r="F826" s="462">
        <v>4.1560535101655881E-2</v>
      </c>
      <c r="G826" s="316">
        <v>6.1450924170857263E-2</v>
      </c>
      <c r="H826" s="317">
        <v>3.9669591633359176E-3</v>
      </c>
      <c r="I826" s="317">
        <v>4.4683459968730938E-2</v>
      </c>
      <c r="J826" s="317">
        <v>1.9186523800991881E-2</v>
      </c>
      <c r="K826" s="317">
        <v>4.97314039044574E-3</v>
      </c>
      <c r="L826" s="318">
        <v>9.5870323700336169E-4</v>
      </c>
      <c r="M826" s="317">
        <v>2.7299582765162368E-3</v>
      </c>
      <c r="N826" s="318">
        <v>2.0000005732018801E-3</v>
      </c>
      <c r="O826" s="317">
        <v>2.8166585047342013E-2</v>
      </c>
      <c r="P826" s="318">
        <v>1.7178344972754517E-2</v>
      </c>
      <c r="Q826" s="319">
        <v>5.1980037309180488E-3</v>
      </c>
    </row>
    <row r="827" spans="2:17" ht="15.75" x14ac:dyDescent="0.25">
      <c r="B827" s="176">
        <v>2032</v>
      </c>
      <c r="C827" s="177">
        <v>2023</v>
      </c>
      <c r="D827" s="178" t="s">
        <v>3673</v>
      </c>
      <c r="E827" s="461">
        <v>3.9433138063378476E-2</v>
      </c>
      <c r="F827" s="462">
        <v>3.9968950923924239E-2</v>
      </c>
      <c r="G827" s="316">
        <v>6.0112284093739123E-2</v>
      </c>
      <c r="H827" s="317">
        <v>3.4125946989564887E-3</v>
      </c>
      <c r="I827" s="317">
        <v>4.3107750492908076E-2</v>
      </c>
      <c r="J827" s="317">
        <v>1.8433901840206161E-2</v>
      </c>
      <c r="K827" s="317">
        <v>4.6878843228270687E-3</v>
      </c>
      <c r="L827" s="318">
        <v>9.5840887544434159E-4</v>
      </c>
      <c r="M827" s="317">
        <v>2.7253629564820635E-3</v>
      </c>
      <c r="N827" s="318">
        <v>2.0000005732018801E-3</v>
      </c>
      <c r="O827" s="317">
        <v>2.8088418653560734E-2</v>
      </c>
      <c r="P827" s="318">
        <v>1.717341995996054E-2</v>
      </c>
      <c r="Q827" s="319">
        <v>4.8998496497267164E-3</v>
      </c>
    </row>
    <row r="828" spans="2:17" ht="15.75" x14ac:dyDescent="0.25">
      <c r="B828" s="176">
        <v>2032</v>
      </c>
      <c r="C828" s="177">
        <v>2024</v>
      </c>
      <c r="D828" s="178" t="s">
        <v>3674</v>
      </c>
      <c r="E828" s="461">
        <v>3.8286101542540897E-2</v>
      </c>
      <c r="F828" s="462">
        <v>3.8424514526244256E-2</v>
      </c>
      <c r="G828" s="316">
        <v>5.8910191522825589E-2</v>
      </c>
      <c r="H828" s="317">
        <v>2.9202444007623823E-3</v>
      </c>
      <c r="I828" s="317">
        <v>4.1571034400444781E-2</v>
      </c>
      <c r="J828" s="317">
        <v>1.8105318452097442E-2</v>
      </c>
      <c r="K828" s="317">
        <v>4.4015670208797861E-3</v>
      </c>
      <c r="L828" s="318">
        <v>9.5835697039934524E-4</v>
      </c>
      <c r="M828" s="317">
        <v>2.7234725200446386E-3</v>
      </c>
      <c r="N828" s="318">
        <v>2.0000005732018801E-3</v>
      </c>
      <c r="O828" s="317">
        <v>2.805626232976012E-2</v>
      </c>
      <c r="P828" s="318">
        <v>1.7179401143126289E-2</v>
      </c>
      <c r="Q828" s="319">
        <v>4.600586349899587E-3</v>
      </c>
    </row>
    <row r="829" spans="2:17" ht="15.75" x14ac:dyDescent="0.25">
      <c r="B829" s="176">
        <v>2032</v>
      </c>
      <c r="C829" s="177">
        <v>2025</v>
      </c>
      <c r="D829" s="178" t="s">
        <v>3675</v>
      </c>
      <c r="E829" s="461">
        <v>3.7117648182855983E-2</v>
      </c>
      <c r="F829" s="462">
        <v>3.6870426315066422E-2</v>
      </c>
      <c r="G829" s="316">
        <v>5.7538008707197184E-2</v>
      </c>
      <c r="H829" s="317">
        <v>2.6131557610508502E-3</v>
      </c>
      <c r="I829" s="317">
        <v>3.9885753423206584E-2</v>
      </c>
      <c r="J829" s="317">
        <v>1.8293545799539974E-2</v>
      </c>
      <c r="K829" s="317">
        <v>4.0922672989791038E-3</v>
      </c>
      <c r="L829" s="318">
        <v>9.581932754650378E-4</v>
      </c>
      <c r="M829" s="317">
        <v>2.7201283322690929E-3</v>
      </c>
      <c r="N829" s="318">
        <v>2.0000005732018801E-3</v>
      </c>
      <c r="O829" s="317">
        <v>2.7999377695698102E-2</v>
      </c>
      <c r="P829" s="318">
        <v>1.718034331341348E-2</v>
      </c>
      <c r="Q829" s="319">
        <v>4.2773014670717405E-3</v>
      </c>
    </row>
    <row r="830" spans="2:17" ht="15.75" x14ac:dyDescent="0.25">
      <c r="B830" s="176">
        <v>2032</v>
      </c>
      <c r="C830" s="177">
        <v>2026</v>
      </c>
      <c r="D830" s="178" t="s">
        <v>3676</v>
      </c>
      <c r="E830" s="461">
        <v>3.6330450784378583E-2</v>
      </c>
      <c r="F830" s="462">
        <v>3.6629185347321853E-2</v>
      </c>
      <c r="G830" s="316">
        <v>5.6153802480057156E-2</v>
      </c>
      <c r="H830" s="317">
        <v>2.5571862614590414E-3</v>
      </c>
      <c r="I830" s="317">
        <v>3.8147929632694554E-2</v>
      </c>
      <c r="J830" s="317">
        <v>1.7381956245840571E-2</v>
      </c>
      <c r="K830" s="317">
        <v>3.7709737751092662E-3</v>
      </c>
      <c r="L830" s="318">
        <v>8.368702055036772E-4</v>
      </c>
      <c r="M830" s="317">
        <v>2.7174874287941402E-3</v>
      </c>
      <c r="N830" s="318">
        <v>2.0000005732018801E-3</v>
      </c>
      <c r="O830" s="317">
        <v>2.7954455927589151E-2</v>
      </c>
      <c r="P830" s="318">
        <v>1.7169919014610749E-2</v>
      </c>
      <c r="Q830" s="319">
        <v>3.9414804757714082E-3</v>
      </c>
    </row>
    <row r="831" spans="2:17" ht="15.75" x14ac:dyDescent="0.25">
      <c r="B831" s="176">
        <v>2032</v>
      </c>
      <c r="C831" s="177">
        <v>2027</v>
      </c>
      <c r="D831" s="178" t="s">
        <v>3677</v>
      </c>
      <c r="E831" s="461">
        <v>3.5565408738554648E-2</v>
      </c>
      <c r="F831" s="462">
        <v>3.6370224027816582E-2</v>
      </c>
      <c r="G831" s="316">
        <v>5.4613196640137293E-2</v>
      </c>
      <c r="H831" s="317">
        <v>2.5024651545894347E-3</v>
      </c>
      <c r="I831" s="317">
        <v>3.627432738247631E-2</v>
      </c>
      <c r="J831" s="317">
        <v>1.6453709577433511E-2</v>
      </c>
      <c r="K831" s="317">
        <v>3.4290859352467218E-3</v>
      </c>
      <c r="L831" s="318">
        <v>6.9479537622562997E-4</v>
      </c>
      <c r="M831" s="317">
        <v>2.7134883029606167E-3</v>
      </c>
      <c r="N831" s="318">
        <v>2.0000005732018801E-3</v>
      </c>
      <c r="O831" s="317">
        <v>2.788643079716091E-2</v>
      </c>
      <c r="P831" s="318">
        <v>1.7149265843486351E-2</v>
      </c>
      <c r="Q831" s="319">
        <v>3.5841339848950967E-3</v>
      </c>
    </row>
    <row r="832" spans="2:17" ht="15.75" x14ac:dyDescent="0.25">
      <c r="B832" s="176">
        <v>2032</v>
      </c>
      <c r="C832" s="177">
        <v>2028</v>
      </c>
      <c r="D832" s="178" t="s">
        <v>3678</v>
      </c>
      <c r="E832" s="461">
        <v>3.5546988926784033E-2</v>
      </c>
      <c r="F832" s="462">
        <v>3.6362866544779042E-2</v>
      </c>
      <c r="G832" s="316">
        <v>5.3222937150376542E-2</v>
      </c>
      <c r="H832" s="317">
        <v>2.4592727478078792E-3</v>
      </c>
      <c r="I832" s="317">
        <v>3.4437846516171135E-2</v>
      </c>
      <c r="J832" s="317">
        <v>1.5648510132793787E-2</v>
      </c>
      <c r="K832" s="317">
        <v>3.0837271728404781E-3</v>
      </c>
      <c r="L832" s="318">
        <v>5.7394609060664739E-4</v>
      </c>
      <c r="M832" s="317">
        <v>2.7125640746287153E-3</v>
      </c>
      <c r="N832" s="318">
        <v>2.0000005732018801E-3</v>
      </c>
      <c r="O832" s="317">
        <v>2.787070967323528E-2</v>
      </c>
      <c r="P832" s="318">
        <v>1.7153239745458668E-2</v>
      </c>
      <c r="Q832" s="319">
        <v>3.22315963175966E-3</v>
      </c>
    </row>
    <row r="833" spans="2:17" ht="15.75" x14ac:dyDescent="0.25">
      <c r="B833" s="176">
        <v>2032</v>
      </c>
      <c r="C833" s="177">
        <v>2029</v>
      </c>
      <c r="D833" s="178" t="s">
        <v>3679</v>
      </c>
      <c r="E833" s="461">
        <v>3.5537855112305075E-2</v>
      </c>
      <c r="F833" s="462">
        <v>3.6346730299885874E-2</v>
      </c>
      <c r="G833" s="316">
        <v>5.1810181549498617E-2</v>
      </c>
      <c r="H833" s="317">
        <v>2.4341595370910118E-3</v>
      </c>
      <c r="I833" s="317">
        <v>3.2536941323266538E-2</v>
      </c>
      <c r="J833" s="317">
        <v>1.4970493607623033E-2</v>
      </c>
      <c r="K833" s="317">
        <v>2.7238276729764001E-3</v>
      </c>
      <c r="L833" s="318">
        <v>5.7411916554427837E-4</v>
      </c>
      <c r="M833" s="317">
        <v>2.7122957536651359E-3</v>
      </c>
      <c r="N833" s="318">
        <v>2.0000005732018801E-3</v>
      </c>
      <c r="O833" s="317">
        <v>2.7866145533644786E-2</v>
      </c>
      <c r="P833" s="318">
        <v>1.7153048642361696E-2</v>
      </c>
      <c r="Q833" s="319">
        <v>2.8469870735421104E-3</v>
      </c>
    </row>
    <row r="834" spans="2:17" ht="15.75" x14ac:dyDescent="0.25">
      <c r="B834" s="176">
        <v>2032</v>
      </c>
      <c r="C834" s="177">
        <v>2030</v>
      </c>
      <c r="D834" s="178" t="s">
        <v>3680</v>
      </c>
      <c r="E834" s="461">
        <v>3.5499913793787877E-2</v>
      </c>
      <c r="F834" s="462">
        <v>3.6298965963627548E-2</v>
      </c>
      <c r="G834" s="316">
        <v>5.0177558410944803E-2</v>
      </c>
      <c r="H834" s="317">
        <v>2.4268886159956146E-3</v>
      </c>
      <c r="I834" s="317">
        <v>3.0468772702948482E-2</v>
      </c>
      <c r="J834" s="317">
        <v>1.4393786229092584E-2</v>
      </c>
      <c r="K834" s="317">
        <v>2.3409759058059562E-3</v>
      </c>
      <c r="L834" s="318">
        <v>5.738821007288653E-4</v>
      </c>
      <c r="M834" s="317">
        <v>2.7096965705040734E-3</v>
      </c>
      <c r="N834" s="318">
        <v>2.0000005732018797E-3</v>
      </c>
      <c r="O834" s="317">
        <v>2.782193342807511E-2</v>
      </c>
      <c r="P834" s="318">
        <v>1.7140852230542406E-2</v>
      </c>
      <c r="Q834" s="319">
        <v>2.4468244483397687E-3</v>
      </c>
    </row>
    <row r="835" spans="2:17" ht="15.75" x14ac:dyDescent="0.25">
      <c r="B835" s="176">
        <v>2032</v>
      </c>
      <c r="C835" s="177">
        <v>2031</v>
      </c>
      <c r="D835" s="178" t="s">
        <v>3681</v>
      </c>
      <c r="E835" s="461">
        <v>3.5472411287140751E-2</v>
      </c>
      <c r="F835" s="462">
        <v>3.6225858026243667E-2</v>
      </c>
      <c r="G835" s="316">
        <v>4.8547256404458887E-2</v>
      </c>
      <c r="H835" s="317">
        <v>2.4115124103218921E-3</v>
      </c>
      <c r="I835" s="317">
        <v>2.8350415141993626E-2</v>
      </c>
      <c r="J835" s="317">
        <v>1.3856076410211939E-2</v>
      </c>
      <c r="K835" s="317">
        <v>1.9453437363693656E-3</v>
      </c>
      <c r="L835" s="318">
        <v>5.7276748110539951E-4</v>
      </c>
      <c r="M835" s="317">
        <v>2.7081491449723019E-3</v>
      </c>
      <c r="N835" s="318">
        <v>2.0000005732018801E-3</v>
      </c>
      <c r="O835" s="317">
        <v>2.7795611719779692E-2</v>
      </c>
      <c r="P835" s="318">
        <v>1.7124096882785569E-2</v>
      </c>
      <c r="Q835" s="319">
        <v>2.0333035477930047E-3</v>
      </c>
    </row>
    <row r="836" spans="2:17" ht="15.75" x14ac:dyDescent="0.25">
      <c r="B836" s="176">
        <v>2032</v>
      </c>
      <c r="C836" s="177">
        <v>2032</v>
      </c>
      <c r="D836" s="178" t="s">
        <v>3682</v>
      </c>
      <c r="E836" s="461">
        <v>3.5099814113298627E-2</v>
      </c>
      <c r="F836" s="462">
        <v>3.5545631550515232E-2</v>
      </c>
      <c r="G836" s="316">
        <v>4.5163490338748738E-2</v>
      </c>
      <c r="H836" s="317">
        <v>2.2838950250757485E-3</v>
      </c>
      <c r="I836" s="317">
        <v>2.5365713929529011E-2</v>
      </c>
      <c r="J836" s="317">
        <v>1.2722766560722297E-2</v>
      </c>
      <c r="K836" s="317">
        <v>1.4925393764273927E-3</v>
      </c>
      <c r="L836" s="318">
        <v>5.605273911668692E-4</v>
      </c>
      <c r="M836" s="317">
        <v>2.6793277601653716E-3</v>
      </c>
      <c r="N836" s="318">
        <v>2.0000005732018801E-3</v>
      </c>
      <c r="O836" s="317">
        <v>2.73053599642138E-2</v>
      </c>
      <c r="P836" s="318">
        <v>1.6899480239277318E-2</v>
      </c>
      <c r="Q836" s="319">
        <v>1.5600253839840464E-3</v>
      </c>
    </row>
    <row r="837" spans="2:17" ht="15.75" x14ac:dyDescent="0.25">
      <c r="B837" s="176">
        <v>2033</v>
      </c>
      <c r="C837" s="177">
        <v>1989</v>
      </c>
      <c r="D837" s="178" t="s">
        <v>3683</v>
      </c>
      <c r="E837" s="461">
        <v>5.7830208768535514E-2</v>
      </c>
      <c r="F837" s="462">
        <v>9.157439907757875E-2</v>
      </c>
      <c r="G837" s="316">
        <v>0.2939265085248432</v>
      </c>
      <c r="H837" s="317">
        <v>0.50856131279618677</v>
      </c>
      <c r="I837" s="317">
        <v>4.9912345657683117</v>
      </c>
      <c r="J837" s="317">
        <v>1.9013712861014092</v>
      </c>
      <c r="K837" s="317">
        <v>0.1992927591494108</v>
      </c>
      <c r="L837" s="318">
        <v>1.7115708916408109E-2</v>
      </c>
      <c r="M837" s="317">
        <v>2.9572069720998628E-3</v>
      </c>
      <c r="N837" s="318">
        <v>2.0000005732018801E-3</v>
      </c>
      <c r="O837" s="317">
        <v>3.2032085359219496E-2</v>
      </c>
      <c r="P837" s="318">
        <v>2.2722055301102374E-2</v>
      </c>
      <c r="Q837" s="319">
        <v>0.20830389336962585</v>
      </c>
    </row>
    <row r="838" spans="2:17" ht="15.75" x14ac:dyDescent="0.25">
      <c r="B838" s="176">
        <v>2033</v>
      </c>
      <c r="C838" s="177">
        <v>1990</v>
      </c>
      <c r="D838" s="178" t="s">
        <v>3684</v>
      </c>
      <c r="E838" s="461">
        <v>5.8310536977147484E-2</v>
      </c>
      <c r="F838" s="462">
        <v>8.9318916863000253E-2</v>
      </c>
      <c r="G838" s="316">
        <v>0.29873155603173845</v>
      </c>
      <c r="H838" s="317">
        <v>0.50969255440009775</v>
      </c>
      <c r="I838" s="317">
        <v>4.9541015299742774</v>
      </c>
      <c r="J838" s="317">
        <v>1.8936380490232718</v>
      </c>
      <c r="K838" s="317">
        <v>0.2026064060906223</v>
      </c>
      <c r="L838" s="318">
        <v>1.7360358600486632E-2</v>
      </c>
      <c r="M838" s="317">
        <v>2.9604221921270949E-3</v>
      </c>
      <c r="N838" s="318">
        <v>2.0000005732018801E-3</v>
      </c>
      <c r="O838" s="317">
        <v>3.2086776251882713E-2</v>
      </c>
      <c r="P838" s="318">
        <v>2.192562781222367E-2</v>
      </c>
      <c r="Q838" s="319">
        <v>0.21176736872142787</v>
      </c>
    </row>
    <row r="839" spans="2:17" ht="15.75" x14ac:dyDescent="0.25">
      <c r="B839" s="176">
        <v>2033</v>
      </c>
      <c r="C839" s="177">
        <v>1991</v>
      </c>
      <c r="D839" s="178" t="s">
        <v>3685</v>
      </c>
      <c r="E839" s="461">
        <v>5.8141127837753631E-2</v>
      </c>
      <c r="F839" s="462">
        <v>8.7405435843725732E-2</v>
      </c>
      <c r="G839" s="316">
        <v>0.37870880443025745</v>
      </c>
      <c r="H839" s="317">
        <v>0.53138321878950479</v>
      </c>
      <c r="I839" s="317">
        <v>8.6577797044100944</v>
      </c>
      <c r="J839" s="317">
        <v>2.3234524342553744</v>
      </c>
      <c r="K839" s="317">
        <v>6.1447034860993587E-2</v>
      </c>
      <c r="L839" s="318">
        <v>9.7669292738450913E-3</v>
      </c>
      <c r="M839" s="317">
        <v>2.9521557314752373E-3</v>
      </c>
      <c r="N839" s="318">
        <v>2.0000005732018797E-3</v>
      </c>
      <c r="O839" s="317">
        <v>3.1946163756194607E-2</v>
      </c>
      <c r="P839" s="318">
        <v>2.1171143106460615E-2</v>
      </c>
      <c r="Q839" s="319">
        <v>6.4225397110228899E-2</v>
      </c>
    </row>
    <row r="840" spans="2:17" ht="15.75" x14ac:dyDescent="0.25">
      <c r="B840" s="176">
        <v>2033</v>
      </c>
      <c r="C840" s="177">
        <v>1992</v>
      </c>
      <c r="D840" s="178" t="s">
        <v>3686</v>
      </c>
      <c r="E840" s="461">
        <v>5.803680420912509E-2</v>
      </c>
      <c r="F840" s="462">
        <v>8.4538317469709939E-2</v>
      </c>
      <c r="G840" s="316">
        <v>0.37869390089824934</v>
      </c>
      <c r="H840" s="317">
        <v>0.53235650134579793</v>
      </c>
      <c r="I840" s="317">
        <v>8.5226001657833255</v>
      </c>
      <c r="J840" s="317">
        <v>2.2587991078786374</v>
      </c>
      <c r="K840" s="317">
        <v>6.4014959378860994E-2</v>
      </c>
      <c r="L840" s="318">
        <v>9.8892248919445411E-3</v>
      </c>
      <c r="M840" s="317">
        <v>2.9357115697784351E-3</v>
      </c>
      <c r="N840" s="318">
        <v>2.0000005732018801E-3</v>
      </c>
      <c r="O840" s="317">
        <v>3.1666448565732017E-2</v>
      </c>
      <c r="P840" s="318">
        <v>2.0238109169442842E-2</v>
      </c>
      <c r="Q840" s="319">
        <v>6.690943177979794E-2</v>
      </c>
    </row>
    <row r="841" spans="2:17" ht="15.75" x14ac:dyDescent="0.25">
      <c r="B841" s="176">
        <v>2033</v>
      </c>
      <c r="C841" s="177">
        <v>1993</v>
      </c>
      <c r="D841" s="178" t="s">
        <v>3687</v>
      </c>
      <c r="E841" s="461">
        <v>5.7889255079223448E-2</v>
      </c>
      <c r="F841" s="462">
        <v>7.5765799025395431E-2</v>
      </c>
      <c r="G841" s="316">
        <v>0.36693062437298934</v>
      </c>
      <c r="H841" s="317">
        <v>0.53692397256414859</v>
      </c>
      <c r="I841" s="317">
        <v>8.6845795919187587</v>
      </c>
      <c r="J841" s="317">
        <v>2.2142397667942908</v>
      </c>
      <c r="K841" s="317">
        <v>5.3884565792485947E-2</v>
      </c>
      <c r="L841" s="318">
        <v>1.0028581629909718E-2</v>
      </c>
      <c r="M841" s="317">
        <v>2.9526605876359921E-3</v>
      </c>
      <c r="N841" s="318">
        <v>2.0000005732018801E-3</v>
      </c>
      <c r="O841" s="317">
        <v>3.1954751359489046E-2</v>
      </c>
      <c r="P841" s="318">
        <v>1.9827046022784543E-2</v>
      </c>
      <c r="Q841" s="319">
        <v>5.6320986748402718E-2</v>
      </c>
    </row>
    <row r="842" spans="2:17" ht="15.75" x14ac:dyDescent="0.25">
      <c r="B842" s="176">
        <v>2033</v>
      </c>
      <c r="C842" s="177">
        <v>1994</v>
      </c>
      <c r="D842" s="178" t="s">
        <v>3688</v>
      </c>
      <c r="E842" s="461">
        <v>5.7669600092182603E-2</v>
      </c>
      <c r="F842" s="462">
        <v>7.2339250558625792E-2</v>
      </c>
      <c r="G842" s="316">
        <v>0.3629037005849029</v>
      </c>
      <c r="H842" s="317">
        <v>0.53747003619570377</v>
      </c>
      <c r="I842" s="317">
        <v>8.6674117220854487</v>
      </c>
      <c r="J842" s="317">
        <v>2.1469321751299728</v>
      </c>
      <c r="K842" s="317">
        <v>5.403410966204325E-2</v>
      </c>
      <c r="L842" s="318">
        <v>1.0129430291639865E-2</v>
      </c>
      <c r="M842" s="317">
        <v>2.9469771571442637E-3</v>
      </c>
      <c r="N842" s="318">
        <v>2.0000005732018801E-3</v>
      </c>
      <c r="O842" s="317">
        <v>3.1858076206824758E-2</v>
      </c>
      <c r="P842" s="318">
        <v>1.888849653186481E-2</v>
      </c>
      <c r="Q842" s="319">
        <v>5.6477292328150352E-2</v>
      </c>
    </row>
    <row r="843" spans="2:17" ht="15.75" x14ac:dyDescent="0.25">
      <c r="B843" s="176">
        <v>2033</v>
      </c>
      <c r="C843" s="177">
        <v>1995</v>
      </c>
      <c r="D843" s="178" t="s">
        <v>3689</v>
      </c>
      <c r="E843" s="461">
        <v>5.7507364651206684E-2</v>
      </c>
      <c r="F843" s="462">
        <v>7.3648620566372863E-2</v>
      </c>
      <c r="G843" s="316">
        <v>0.36294718458735115</v>
      </c>
      <c r="H843" s="317">
        <v>0.40743948931893514</v>
      </c>
      <c r="I843" s="317">
        <v>8.8482223337017984</v>
      </c>
      <c r="J843" s="317">
        <v>1.6838560246712289</v>
      </c>
      <c r="K843" s="317">
        <v>5.3425511491917717E-2</v>
      </c>
      <c r="L843" s="318">
        <v>9.3736661442662336E-3</v>
      </c>
      <c r="M843" s="317">
        <v>2.9630152107185483E-3</v>
      </c>
      <c r="N843" s="318">
        <v>2.0000005732018801E-3</v>
      </c>
      <c r="O843" s="317">
        <v>3.213088349812334E-2</v>
      </c>
      <c r="P843" s="318">
        <v>1.9534286131307716E-2</v>
      </c>
      <c r="Q843" s="319">
        <v>5.5841176049386182E-2</v>
      </c>
    </row>
    <row r="844" spans="2:17" ht="15.75" x14ac:dyDescent="0.25">
      <c r="B844" s="176">
        <v>2033</v>
      </c>
      <c r="C844" s="177">
        <v>1996</v>
      </c>
      <c r="D844" s="178" t="s">
        <v>3690</v>
      </c>
      <c r="E844" s="461">
        <v>5.7689791541006119E-2</v>
      </c>
      <c r="F844" s="462">
        <v>7.3353453369567098E-2</v>
      </c>
      <c r="G844" s="316">
        <v>0.36693821104346214</v>
      </c>
      <c r="H844" s="317">
        <v>0.14145118556520525</v>
      </c>
      <c r="I844" s="317">
        <v>8.8889000163703429</v>
      </c>
      <c r="J844" s="317">
        <v>1.0273839688096875</v>
      </c>
      <c r="K844" s="317">
        <v>5.3652652045587432E-2</v>
      </c>
      <c r="L844" s="318">
        <v>2.8620017020380404E-3</v>
      </c>
      <c r="M844" s="317">
        <v>2.9713925083470431E-3</v>
      </c>
      <c r="N844" s="318">
        <v>2.0000005732018801E-3</v>
      </c>
      <c r="O844" s="317">
        <v>3.2273381330784029E-2</v>
      </c>
      <c r="P844" s="318">
        <v>1.9777801132628565E-2</v>
      </c>
      <c r="Q844" s="319">
        <v>5.6078586890971484E-2</v>
      </c>
    </row>
    <row r="845" spans="2:17" ht="15.75" x14ac:dyDescent="0.25">
      <c r="B845" s="176">
        <v>2033</v>
      </c>
      <c r="C845" s="177">
        <v>1997</v>
      </c>
      <c r="D845" s="178" t="s">
        <v>3691</v>
      </c>
      <c r="E845" s="461">
        <v>5.7868566327822467E-2</v>
      </c>
      <c r="F845" s="462">
        <v>7.148268430616142E-2</v>
      </c>
      <c r="G845" s="316">
        <v>0.37057544998448833</v>
      </c>
      <c r="H845" s="317">
        <v>0.145716293055909</v>
      </c>
      <c r="I845" s="317">
        <v>8.9287302206108592</v>
      </c>
      <c r="J845" s="317">
        <v>1.0506056698574595</v>
      </c>
      <c r="K845" s="317">
        <v>5.3880570836118032E-2</v>
      </c>
      <c r="L845" s="318">
        <v>2.8787047430315258E-3</v>
      </c>
      <c r="M845" s="317">
        <v>2.9791846112773757E-3</v>
      </c>
      <c r="N845" s="318">
        <v>2.0000005732018801E-3</v>
      </c>
      <c r="O845" s="317">
        <v>3.2405925001628998E-2</v>
      </c>
      <c r="P845" s="318">
        <v>1.9278484718187137E-2</v>
      </c>
      <c r="Q845" s="319">
        <v>5.6316811157835239E-2</v>
      </c>
    </row>
    <row r="846" spans="2:17" ht="15.75" x14ac:dyDescent="0.25">
      <c r="B846" s="176">
        <v>2033</v>
      </c>
      <c r="C846" s="177">
        <v>1998</v>
      </c>
      <c r="D846" s="178" t="s">
        <v>3692</v>
      </c>
      <c r="E846" s="461">
        <v>5.7746115839855006E-2</v>
      </c>
      <c r="F846" s="462">
        <v>6.8354878647641115E-2</v>
      </c>
      <c r="G846" s="316">
        <v>0.36894284552350154</v>
      </c>
      <c r="H846" s="317">
        <v>0.13479570368900592</v>
      </c>
      <c r="I846" s="317">
        <v>8.9136435328207408</v>
      </c>
      <c r="J846" s="317">
        <v>0.92537599498240464</v>
      </c>
      <c r="K846" s="317">
        <v>5.3742734335040079E-2</v>
      </c>
      <c r="L846" s="318">
        <v>2.9169753387550514E-3</v>
      </c>
      <c r="M846" s="317">
        <v>2.9764484628364454E-3</v>
      </c>
      <c r="N846" s="318">
        <v>2.0000005732018801E-3</v>
      </c>
      <c r="O846" s="317">
        <v>3.2359383116648766E-2</v>
      </c>
      <c r="P846" s="318">
        <v>1.8415625738227196E-2</v>
      </c>
      <c r="Q846" s="319">
        <v>5.6172742301818991E-2</v>
      </c>
    </row>
    <row r="847" spans="2:17" ht="15.75" x14ac:dyDescent="0.25">
      <c r="B847" s="176">
        <v>2033</v>
      </c>
      <c r="C847" s="177">
        <v>1999</v>
      </c>
      <c r="D847" s="178" t="s">
        <v>3693</v>
      </c>
      <c r="E847" s="461">
        <v>5.7917359167063837E-2</v>
      </c>
      <c r="F847" s="462">
        <v>6.9087453802653243E-2</v>
      </c>
      <c r="G847" s="316">
        <v>0.37375242787656887</v>
      </c>
      <c r="H847" s="317">
        <v>0.11754075040700673</v>
      </c>
      <c r="I847" s="317">
        <v>9.0516824346331077</v>
      </c>
      <c r="J847" s="317">
        <v>0.76636612118390834</v>
      </c>
      <c r="K847" s="317">
        <v>5.3769434807804273E-2</v>
      </c>
      <c r="L847" s="318">
        <v>2.9203174480438498E-3</v>
      </c>
      <c r="M847" s="317">
        <v>2.9936507465139102E-3</v>
      </c>
      <c r="N847" s="318">
        <v>2.0000005732018801E-3</v>
      </c>
      <c r="O847" s="317">
        <v>3.265199396200244E-2</v>
      </c>
      <c r="P847" s="318">
        <v>1.8658301478903946E-2</v>
      </c>
      <c r="Q847" s="319">
        <v>5.6200650051479964E-2</v>
      </c>
    </row>
    <row r="848" spans="2:17" ht="15.75" x14ac:dyDescent="0.25">
      <c r="B848" s="176">
        <v>2033</v>
      </c>
      <c r="C848" s="177">
        <v>2000</v>
      </c>
      <c r="D848" s="178" t="s">
        <v>3694</v>
      </c>
      <c r="E848" s="461">
        <v>5.7782049683611801E-2</v>
      </c>
      <c r="F848" s="462">
        <v>7.5308446748477906E-2</v>
      </c>
      <c r="G848" s="316">
        <v>0.37272846867647241</v>
      </c>
      <c r="H848" s="317">
        <v>0.10068832708445213</v>
      </c>
      <c r="I848" s="317">
        <v>9.112848367731031</v>
      </c>
      <c r="J848" s="317">
        <v>0.6141684507356161</v>
      </c>
      <c r="K848" s="317">
        <v>5.3440302464693536E-2</v>
      </c>
      <c r="L848" s="318">
        <v>2.9134178524476456E-3</v>
      </c>
      <c r="M848" s="317">
        <v>2.9982061450251306E-3</v>
      </c>
      <c r="N848" s="318">
        <v>2.0000005732018801E-3</v>
      </c>
      <c r="O848" s="317">
        <v>3.2729481290678299E-2</v>
      </c>
      <c r="P848" s="318">
        <v>1.888848642297393E-2</v>
      </c>
      <c r="Q848" s="319">
        <v>5.5856635804316927E-2</v>
      </c>
    </row>
    <row r="849" spans="2:17" ht="15.75" x14ac:dyDescent="0.25">
      <c r="B849" s="176">
        <v>2033</v>
      </c>
      <c r="C849" s="177">
        <v>2001</v>
      </c>
      <c r="D849" s="178" t="s">
        <v>3695</v>
      </c>
      <c r="E849" s="461">
        <v>5.7861798640507549E-2</v>
      </c>
      <c r="F849" s="462">
        <v>7.3996047176552102E-2</v>
      </c>
      <c r="G849" s="316">
        <v>0.37357791585244998</v>
      </c>
      <c r="H849" s="317">
        <v>8.7001658515018274E-2</v>
      </c>
      <c r="I849" s="317">
        <v>9.0557882037580359</v>
      </c>
      <c r="J849" s="317">
        <v>0.4754429406711887</v>
      </c>
      <c r="K849" s="317">
        <v>5.3727164544100224E-2</v>
      </c>
      <c r="L849" s="318">
        <v>2.9357575923645196E-3</v>
      </c>
      <c r="M849" s="317">
        <v>2.9940009097851874E-3</v>
      </c>
      <c r="N849" s="318">
        <v>2.0000005732018801E-3</v>
      </c>
      <c r="O849" s="317">
        <v>3.2657950239246863E-2</v>
      </c>
      <c r="P849" s="318">
        <v>1.8474325236328464E-2</v>
      </c>
      <c r="Q849" s="319">
        <v>5.6156468514022728E-2</v>
      </c>
    </row>
    <row r="850" spans="2:17" ht="15.75" x14ac:dyDescent="0.25">
      <c r="B850" s="176">
        <v>2033</v>
      </c>
      <c r="C850" s="177">
        <v>2002</v>
      </c>
      <c r="D850" s="178" t="s">
        <v>3696</v>
      </c>
      <c r="E850" s="461">
        <v>5.7685507717056973E-2</v>
      </c>
      <c r="F850" s="462">
        <v>7.2162597552510477E-2</v>
      </c>
      <c r="G850" s="316">
        <v>0.28853382367107555</v>
      </c>
      <c r="H850" s="317">
        <v>8.7047471077402613E-2</v>
      </c>
      <c r="I850" s="317">
        <v>7.0197638723258606</v>
      </c>
      <c r="J850" s="317">
        <v>0.45722296176377863</v>
      </c>
      <c r="K850" s="317">
        <v>5.3865696255743153E-2</v>
      </c>
      <c r="L850" s="318">
        <v>2.9602258571308319E-3</v>
      </c>
      <c r="M850" s="317">
        <v>2.997612431331691E-3</v>
      </c>
      <c r="N850" s="318">
        <v>2.0000005732018797E-3</v>
      </c>
      <c r="O850" s="317">
        <v>3.2719382220752893E-2</v>
      </c>
      <c r="P850" s="318">
        <v>1.789645953855578E-2</v>
      </c>
      <c r="Q850" s="319">
        <v>5.6301264014940788E-2</v>
      </c>
    </row>
    <row r="851" spans="2:17" ht="15.75" x14ac:dyDescent="0.25">
      <c r="B851" s="176">
        <v>2033</v>
      </c>
      <c r="C851" s="177">
        <v>2003</v>
      </c>
      <c r="D851" s="178" t="s">
        <v>3697</v>
      </c>
      <c r="E851" s="461">
        <v>5.7484204800709232E-2</v>
      </c>
      <c r="F851" s="462">
        <v>7.3257111419732554E-2</v>
      </c>
      <c r="G851" s="316">
        <v>0.28635949301977731</v>
      </c>
      <c r="H851" s="317">
        <v>7.0451661117328299E-2</v>
      </c>
      <c r="I851" s="317">
        <v>7.0228545936306208</v>
      </c>
      <c r="J851" s="317">
        <v>0.39120791988056797</v>
      </c>
      <c r="K851" s="317">
        <v>5.3555803887216542E-2</v>
      </c>
      <c r="L851" s="318">
        <v>2.9414064507346919E-3</v>
      </c>
      <c r="M851" s="317">
        <v>2.994926057095686E-3</v>
      </c>
      <c r="N851" s="318">
        <v>2.0000005732018801E-3</v>
      </c>
      <c r="O851" s="317">
        <v>3.2673686994998438E-2</v>
      </c>
      <c r="P851" s="318">
        <v>1.8298621654132263E-2</v>
      </c>
      <c r="Q851" s="319">
        <v>5.5977359688636451E-2</v>
      </c>
    </row>
    <row r="852" spans="2:17" ht="15.75" x14ac:dyDescent="0.25">
      <c r="B852" s="176">
        <v>2033</v>
      </c>
      <c r="C852" s="177">
        <v>2004</v>
      </c>
      <c r="D852" s="178" t="s">
        <v>3698</v>
      </c>
      <c r="E852" s="461">
        <v>5.7369223338201686E-2</v>
      </c>
      <c r="F852" s="462">
        <v>7.3021941074556812E-2</v>
      </c>
      <c r="G852" s="316">
        <v>0.23639617154047596</v>
      </c>
      <c r="H852" s="317">
        <v>1.8142527772772588E-2</v>
      </c>
      <c r="I852" s="317">
        <v>5.8604752846413222</v>
      </c>
      <c r="J852" s="317">
        <v>0.1163936433936052</v>
      </c>
      <c r="K852" s="317">
        <v>5.3312005278147591E-2</v>
      </c>
      <c r="L852" s="318">
        <v>1.9666754508201038E-4</v>
      </c>
      <c r="M852" s="317">
        <v>2.9930268577995395E-3</v>
      </c>
      <c r="N852" s="318">
        <v>2.0000005732018801E-3</v>
      </c>
      <c r="O852" s="317">
        <v>3.2641381614971002E-2</v>
      </c>
      <c r="P852" s="318">
        <v>1.7917207895990443E-2</v>
      </c>
      <c r="Q852" s="319">
        <v>5.5722537588305747E-2</v>
      </c>
    </row>
    <row r="853" spans="2:17" ht="15.75" x14ac:dyDescent="0.25">
      <c r="B853" s="176">
        <v>2033</v>
      </c>
      <c r="C853" s="177">
        <v>2005</v>
      </c>
      <c r="D853" s="178" t="s">
        <v>3699</v>
      </c>
      <c r="E853" s="461">
        <v>5.7131790470843893E-2</v>
      </c>
      <c r="F853" s="462">
        <v>6.9330305665051176E-2</v>
      </c>
      <c r="G853" s="316">
        <v>0.23390016917225362</v>
      </c>
      <c r="H853" s="317">
        <v>1.5834437706851074E-2</v>
      </c>
      <c r="I853" s="317">
        <v>5.8555318832374494</v>
      </c>
      <c r="J853" s="317">
        <v>9.4809191391313968E-2</v>
      </c>
      <c r="K853" s="317">
        <v>5.294536241365938E-2</v>
      </c>
      <c r="L853" s="318">
        <v>1.9754087521424207E-4</v>
      </c>
      <c r="M853" s="317">
        <v>2.9869854184733603E-3</v>
      </c>
      <c r="N853" s="318">
        <v>2.0000005732018801E-3</v>
      </c>
      <c r="O853" s="317">
        <v>3.2538616732032698E-2</v>
      </c>
      <c r="P853" s="318">
        <v>1.7190603613312708E-2</v>
      </c>
      <c r="Q853" s="319">
        <v>5.5339316760438892E-2</v>
      </c>
    </row>
    <row r="854" spans="2:17" ht="15.75" x14ac:dyDescent="0.25">
      <c r="B854" s="176">
        <v>2033</v>
      </c>
      <c r="C854" s="177">
        <v>2006</v>
      </c>
      <c r="D854" s="178" t="s">
        <v>3700</v>
      </c>
      <c r="E854" s="461">
        <v>5.706920330160116E-2</v>
      </c>
      <c r="F854" s="462">
        <v>7.2762283932081465E-2</v>
      </c>
      <c r="G854" s="316">
        <v>0.23345572765935443</v>
      </c>
      <c r="H854" s="317">
        <v>6.0039144952372461E-3</v>
      </c>
      <c r="I854" s="317">
        <v>5.8486254290793909</v>
      </c>
      <c r="J854" s="317">
        <v>6.6325276056569599E-2</v>
      </c>
      <c r="K854" s="317">
        <v>5.2906140771338615E-2</v>
      </c>
      <c r="L854" s="318">
        <v>1.9349891530863871E-4</v>
      </c>
      <c r="M854" s="317">
        <v>2.9850365975061387E-3</v>
      </c>
      <c r="N854" s="318">
        <v>2.0000005732018801E-3</v>
      </c>
      <c r="O854" s="317">
        <v>3.2505467287380248E-2</v>
      </c>
      <c r="P854" s="318">
        <v>1.8970406490425508E-2</v>
      </c>
      <c r="Q854" s="319">
        <v>5.5298321689495861E-2</v>
      </c>
    </row>
    <row r="855" spans="2:17" ht="15.75" x14ac:dyDescent="0.25">
      <c r="B855" s="176">
        <v>2033</v>
      </c>
      <c r="C855" s="177">
        <v>2007</v>
      </c>
      <c r="D855" s="178" t="s">
        <v>3701</v>
      </c>
      <c r="E855" s="461">
        <v>5.6903556703967663E-2</v>
      </c>
      <c r="F855" s="462">
        <v>6.8221548532138493E-2</v>
      </c>
      <c r="G855" s="316">
        <v>0.16817390416605768</v>
      </c>
      <c r="H855" s="317">
        <v>8.5335701585349134E-3</v>
      </c>
      <c r="I855" s="317">
        <v>2.9980039989533762</v>
      </c>
      <c r="J855" s="317">
        <v>5.8096838279736607E-2</v>
      </c>
      <c r="K855" s="317">
        <v>3.7158502726341601E-2</v>
      </c>
      <c r="L855" s="318">
        <v>1.9704924701915524E-4</v>
      </c>
      <c r="M855" s="317">
        <v>2.9665727826904708E-3</v>
      </c>
      <c r="N855" s="318">
        <v>2.0000005732018801E-3</v>
      </c>
      <c r="O855" s="317">
        <v>3.2191397797365746E-2</v>
      </c>
      <c r="P855" s="318">
        <v>1.7490965803228092E-2</v>
      </c>
      <c r="Q855" s="319">
        <v>3.883864533121302E-2</v>
      </c>
    </row>
    <row r="856" spans="2:17" ht="15.75" x14ac:dyDescent="0.25">
      <c r="B856" s="176">
        <v>2033</v>
      </c>
      <c r="C856" s="177">
        <v>2008</v>
      </c>
      <c r="D856" s="178" t="s">
        <v>3702</v>
      </c>
      <c r="E856" s="461">
        <v>5.6908661730980012E-2</v>
      </c>
      <c r="F856" s="462">
        <v>6.6433272712306285E-2</v>
      </c>
      <c r="G856" s="316">
        <v>0.16954817367647659</v>
      </c>
      <c r="H856" s="317">
        <v>8.2673277799291452E-3</v>
      </c>
      <c r="I856" s="317">
        <v>3.0204208213488948</v>
      </c>
      <c r="J856" s="317">
        <v>4.6484085191548646E-2</v>
      </c>
      <c r="K856" s="317">
        <v>3.7441052105133293E-2</v>
      </c>
      <c r="L856" s="318">
        <v>2.2512247662964452E-4</v>
      </c>
      <c r="M856" s="317">
        <v>2.9750352982747053E-3</v>
      </c>
      <c r="N856" s="318">
        <v>2.0000005732018801E-3</v>
      </c>
      <c r="O856" s="317">
        <v>3.2335345187453568E-2</v>
      </c>
      <c r="P856" s="318">
        <v>1.7435522356035946E-2</v>
      </c>
      <c r="Q856" s="319">
        <v>3.9133970339119348E-2</v>
      </c>
    </row>
    <row r="857" spans="2:17" ht="15.75" x14ac:dyDescent="0.25">
      <c r="B857" s="176">
        <v>2033</v>
      </c>
      <c r="C857" s="177">
        <v>2009</v>
      </c>
      <c r="D857" s="178" t="s">
        <v>3703</v>
      </c>
      <c r="E857" s="461">
        <v>5.6103814726282723E-2</v>
      </c>
      <c r="F857" s="462">
        <v>6.0940695404733146E-2</v>
      </c>
      <c r="G857" s="316">
        <v>0.15800500374567855</v>
      </c>
      <c r="H857" s="317">
        <v>8.1204049539779239E-3</v>
      </c>
      <c r="I857" s="317">
        <v>2.7194702380500368</v>
      </c>
      <c r="J857" s="317">
        <v>3.3890640905543189E-2</v>
      </c>
      <c r="K857" s="317">
        <v>3.4824837775213356E-2</v>
      </c>
      <c r="L857" s="318">
        <v>2.5455936513077453E-4</v>
      </c>
      <c r="M857" s="317">
        <v>2.8809655955533572E-3</v>
      </c>
      <c r="N857" s="318">
        <v>2.0000005732018801E-3</v>
      </c>
      <c r="O857" s="317">
        <v>3.0735219544163434E-2</v>
      </c>
      <c r="P857" s="318">
        <v>1.6757156302648568E-2</v>
      </c>
      <c r="Q857" s="319">
        <v>3.6399462406479587E-2</v>
      </c>
    </row>
    <row r="858" spans="2:17" ht="15.75" x14ac:dyDescent="0.25">
      <c r="B858" s="176">
        <v>2033</v>
      </c>
      <c r="C858" s="177">
        <v>2010</v>
      </c>
      <c r="D858" s="178" t="s">
        <v>3704</v>
      </c>
      <c r="E858" s="461">
        <v>5.4825685759618492E-2</v>
      </c>
      <c r="F858" s="462">
        <v>5.9027151378226811E-2</v>
      </c>
      <c r="G858" s="316">
        <v>9.2941840977771292E-2</v>
      </c>
      <c r="H858" s="317">
        <v>7.2825150507703895E-3</v>
      </c>
      <c r="I858" s="317">
        <v>0.2343513127228366</v>
      </c>
      <c r="J858" s="317">
        <v>3.2933485699576895E-2</v>
      </c>
      <c r="K858" s="317">
        <v>1.9926743314408652E-2</v>
      </c>
      <c r="L858" s="318">
        <v>3.1063410813900047E-4</v>
      </c>
      <c r="M858" s="317">
        <v>2.7856414956780214E-3</v>
      </c>
      <c r="N858" s="318">
        <v>2.0000005732018801E-3</v>
      </c>
      <c r="O858" s="317">
        <v>2.911375660528397E-2</v>
      </c>
      <c r="P858" s="318">
        <v>1.6386939045607094E-2</v>
      </c>
      <c r="Q858" s="319">
        <v>2.0827742223472331E-2</v>
      </c>
    </row>
    <row r="859" spans="2:17" ht="15.75" x14ac:dyDescent="0.25">
      <c r="B859" s="176">
        <v>2033</v>
      </c>
      <c r="C859" s="177">
        <v>2011</v>
      </c>
      <c r="D859" s="178" t="s">
        <v>3705</v>
      </c>
      <c r="E859" s="461">
        <v>5.4487061686416982E-2</v>
      </c>
      <c r="F859" s="462">
        <v>5.7660921758272914E-2</v>
      </c>
      <c r="G859" s="316">
        <v>9.2426278120043351E-2</v>
      </c>
      <c r="H859" s="317">
        <v>7.3751333614708496E-3</v>
      </c>
      <c r="I859" s="317">
        <v>0.23400738740850424</v>
      </c>
      <c r="J859" s="317">
        <v>3.3103411453296407E-2</v>
      </c>
      <c r="K859" s="317">
        <v>1.9881740436636288E-2</v>
      </c>
      <c r="L859" s="318">
        <v>4.2067080558688561E-4</v>
      </c>
      <c r="M859" s="317">
        <v>2.7932205474558501E-3</v>
      </c>
      <c r="N859" s="318">
        <v>2.0000005732018801E-3</v>
      </c>
      <c r="O859" s="317">
        <v>2.9242676276024841E-2</v>
      </c>
      <c r="P859" s="318">
        <v>1.6502971312608791E-2</v>
      </c>
      <c r="Q859" s="319">
        <v>2.0780704515264464E-2</v>
      </c>
    </row>
    <row r="860" spans="2:17" ht="15.75" x14ac:dyDescent="0.25">
      <c r="B860" s="176">
        <v>2033</v>
      </c>
      <c r="C860" s="177">
        <v>2012</v>
      </c>
      <c r="D860" s="178" t="s">
        <v>3706</v>
      </c>
      <c r="E860" s="461">
        <v>5.2265377706108285E-2</v>
      </c>
      <c r="F860" s="462">
        <v>5.7503393573017661E-2</v>
      </c>
      <c r="G860" s="316">
        <v>7.9410731017411723E-2</v>
      </c>
      <c r="H860" s="317">
        <v>6.9259119288620531E-3</v>
      </c>
      <c r="I860" s="317">
        <v>0.19837189954654974</v>
      </c>
      <c r="J860" s="317">
        <v>3.3893627396162425E-2</v>
      </c>
      <c r="K860" s="317">
        <v>1.7325555280177929E-2</v>
      </c>
      <c r="L860" s="318">
        <v>6.1069559175711355E-4</v>
      </c>
      <c r="M860" s="317">
        <v>2.6523345416412255E-3</v>
      </c>
      <c r="N860" s="318">
        <v>2.0000005732018801E-3</v>
      </c>
      <c r="O860" s="317">
        <v>2.6846205317118076E-2</v>
      </c>
      <c r="P860" s="318">
        <v>1.6852512613151901E-2</v>
      </c>
      <c r="Q860" s="319">
        <v>1.8108940008934701E-2</v>
      </c>
    </row>
    <row r="861" spans="2:17" ht="15.75" x14ac:dyDescent="0.25">
      <c r="B861" s="176">
        <v>2033</v>
      </c>
      <c r="C861" s="177">
        <v>2013</v>
      </c>
      <c r="D861" s="178" t="s">
        <v>3707</v>
      </c>
      <c r="E861" s="461">
        <v>5.424749001225021E-2</v>
      </c>
      <c r="F861" s="462">
        <v>5.6174883822138651E-2</v>
      </c>
      <c r="G861" s="316">
        <v>9.386876443735151E-2</v>
      </c>
      <c r="H861" s="317">
        <v>7.8320750863191072E-3</v>
      </c>
      <c r="I861" s="317">
        <v>0.23634195523740464</v>
      </c>
      <c r="J861" s="317">
        <v>3.2875322169100427E-2</v>
      </c>
      <c r="K861" s="317">
        <v>1.9868887185111941E-2</v>
      </c>
      <c r="L861" s="318">
        <v>9.1194707808068946E-4</v>
      </c>
      <c r="M861" s="317">
        <v>2.8104946056198982E-3</v>
      </c>
      <c r="N861" s="318">
        <v>2.0000005732018801E-3</v>
      </c>
      <c r="O861" s="317">
        <v>2.9536508005395295E-2</v>
      </c>
      <c r="P861" s="318">
        <v>1.693765289907264E-2</v>
      </c>
      <c r="Q861" s="319">
        <v>2.0767270096741612E-2</v>
      </c>
    </row>
    <row r="862" spans="2:17" ht="15.75" x14ac:dyDescent="0.25">
      <c r="B862" s="176">
        <v>2033</v>
      </c>
      <c r="C862" s="177">
        <v>2014</v>
      </c>
      <c r="D862" s="178" t="s">
        <v>3708</v>
      </c>
      <c r="E862" s="461">
        <v>5.1377755363366924E-2</v>
      </c>
      <c r="F862" s="462">
        <v>5.4018552487586809E-2</v>
      </c>
      <c r="G862" s="316">
        <v>8.2062770946148555E-2</v>
      </c>
      <c r="H862" s="317">
        <v>7.9215515389164486E-3</v>
      </c>
      <c r="I862" s="317">
        <v>0.20464778471297157</v>
      </c>
      <c r="J862" s="317">
        <v>3.1422115573863818E-2</v>
      </c>
      <c r="K862" s="317">
        <v>1.7579031615928071E-2</v>
      </c>
      <c r="L862" s="318">
        <v>1.279656311755037E-3</v>
      </c>
      <c r="M862" s="317">
        <v>2.691255885846032E-3</v>
      </c>
      <c r="N862" s="318">
        <v>2.0000005732018801E-3</v>
      </c>
      <c r="O862" s="317">
        <v>2.7508257382041833E-2</v>
      </c>
      <c r="P862" s="318">
        <v>1.6468676691019174E-2</v>
      </c>
      <c r="Q862" s="319">
        <v>1.8373877419802859E-2</v>
      </c>
    </row>
    <row r="863" spans="2:17" ht="15.75" x14ac:dyDescent="0.25">
      <c r="B863" s="176">
        <v>2033</v>
      </c>
      <c r="C863" s="177">
        <v>2015</v>
      </c>
      <c r="D863" s="178" t="s">
        <v>3709</v>
      </c>
      <c r="E863" s="461">
        <v>5.0112628954685587E-2</v>
      </c>
      <c r="F863" s="462">
        <v>5.6137306641250009E-2</v>
      </c>
      <c r="G863" s="316">
        <v>7.7058121733541957E-2</v>
      </c>
      <c r="H863" s="317">
        <v>7.8561182484172386E-3</v>
      </c>
      <c r="I863" s="317">
        <v>0.19226357583528358</v>
      </c>
      <c r="J863" s="317">
        <v>3.2545371107391828E-2</v>
      </c>
      <c r="K863" s="317">
        <v>1.6629167559254407E-2</v>
      </c>
      <c r="L863" s="318">
        <v>1.5916157792356779E-3</v>
      </c>
      <c r="M863" s="317">
        <v>2.6562213767177549E-3</v>
      </c>
      <c r="N863" s="318">
        <v>2.0000005732018801E-3</v>
      </c>
      <c r="O863" s="317">
        <v>2.6912320381769841E-2</v>
      </c>
      <c r="P863" s="318">
        <v>1.74006430472111E-2</v>
      </c>
      <c r="Q863" s="319">
        <v>1.7381064725445691E-2</v>
      </c>
    </row>
    <row r="864" spans="2:17" ht="15.75" x14ac:dyDescent="0.25">
      <c r="B864" s="176">
        <v>2033</v>
      </c>
      <c r="C864" s="177">
        <v>2016</v>
      </c>
      <c r="D864" s="178" t="s">
        <v>3710</v>
      </c>
      <c r="E864" s="461">
        <v>5.0908082289111138E-2</v>
      </c>
      <c r="F864" s="462">
        <v>5.7295719199047024E-2</v>
      </c>
      <c r="G864" s="316">
        <v>9.1393504690212249E-2</v>
      </c>
      <c r="H864" s="317">
        <v>7.580744214622989E-3</v>
      </c>
      <c r="I864" s="317">
        <v>0.20213485391304217</v>
      </c>
      <c r="J864" s="317">
        <v>3.2611032936453399E-2</v>
      </c>
      <c r="K864" s="317">
        <v>1.9038542726619298E-2</v>
      </c>
      <c r="L864" s="318">
        <v>1.8243030174707529E-3</v>
      </c>
      <c r="M864" s="317">
        <v>2.8267598461331274E-3</v>
      </c>
      <c r="N864" s="318">
        <v>2.0000005732018797E-3</v>
      </c>
      <c r="O864" s="317">
        <v>2.9813179746525326E-2</v>
      </c>
      <c r="P864" s="318">
        <v>1.8285210037029483E-2</v>
      </c>
      <c r="Q864" s="319">
        <v>1.9899381146434841E-2</v>
      </c>
    </row>
    <row r="865" spans="2:17" ht="15.75" x14ac:dyDescent="0.25">
      <c r="B865" s="176">
        <v>2033</v>
      </c>
      <c r="C865" s="177">
        <v>2017</v>
      </c>
      <c r="D865" s="178" t="s">
        <v>3711</v>
      </c>
      <c r="E865" s="461">
        <v>4.7296108765849193E-2</v>
      </c>
      <c r="F865" s="462">
        <v>5.1488155635797048E-2</v>
      </c>
      <c r="G865" s="316">
        <v>7.1020312779984607E-2</v>
      </c>
      <c r="H865" s="317">
        <v>7.5546297346948885E-3</v>
      </c>
      <c r="I865" s="317">
        <v>0.14633864584609785</v>
      </c>
      <c r="J865" s="317">
        <v>3.0109603897703851E-2</v>
      </c>
      <c r="K865" s="317">
        <v>1.6744412134920787E-2</v>
      </c>
      <c r="L865" s="318">
        <v>2.0087000422642971E-3</v>
      </c>
      <c r="M865" s="317">
        <v>2.7609340287302925E-3</v>
      </c>
      <c r="N865" s="318">
        <v>2.0000005732018801E-3</v>
      </c>
      <c r="O865" s="317">
        <v>2.8693482592503101E-2</v>
      </c>
      <c r="P865" s="318">
        <v>1.7237287359016022E-2</v>
      </c>
      <c r="Q865" s="319">
        <v>1.7501520149433455E-2</v>
      </c>
    </row>
    <row r="866" spans="2:17" ht="15.75" x14ac:dyDescent="0.25">
      <c r="B866" s="176">
        <v>2033</v>
      </c>
      <c r="C866" s="177">
        <v>2018</v>
      </c>
      <c r="D866" s="178" t="s">
        <v>3712</v>
      </c>
      <c r="E866" s="461">
        <v>4.4288534957949335E-2</v>
      </c>
      <c r="F866" s="462">
        <v>4.9152903825377285E-2</v>
      </c>
      <c r="G866" s="316">
        <v>6.988578690455878E-2</v>
      </c>
      <c r="H866" s="317">
        <v>7.1632130988359211E-3</v>
      </c>
      <c r="I866" s="317">
        <v>0.11837920042989712</v>
      </c>
      <c r="J866" s="317">
        <v>2.8558155099951955E-2</v>
      </c>
      <c r="K866" s="317">
        <v>1.5219788216354866E-2</v>
      </c>
      <c r="L866" s="318">
        <v>2.092018151847961E-3</v>
      </c>
      <c r="M866" s="317">
        <v>2.7536170283444178E-3</v>
      </c>
      <c r="N866" s="318">
        <v>2.0000005732018805E-3</v>
      </c>
      <c r="O866" s="317">
        <v>2.8569020415939374E-2</v>
      </c>
      <c r="P866" s="318">
        <v>1.7217169544173034E-2</v>
      </c>
      <c r="Q866" s="319">
        <v>1.590795950268848E-2</v>
      </c>
    </row>
    <row r="867" spans="2:17" ht="15.75" x14ac:dyDescent="0.25">
      <c r="B867" s="176">
        <v>2033</v>
      </c>
      <c r="C867" s="177">
        <v>2019</v>
      </c>
      <c r="D867" s="178" t="s">
        <v>3713</v>
      </c>
      <c r="E867" s="461">
        <v>4.3808390629976275E-2</v>
      </c>
      <c r="F867" s="462">
        <v>4.7227909499408145E-2</v>
      </c>
      <c r="G867" s="316">
        <v>6.8819804598486523E-2</v>
      </c>
      <c r="H867" s="317">
        <v>6.3923051899658079E-3</v>
      </c>
      <c r="I867" s="317">
        <v>0.1009627616640331</v>
      </c>
      <c r="J867" s="317">
        <v>2.5689239797177871E-2</v>
      </c>
      <c r="K867" s="317">
        <v>1.2840407156869202E-2</v>
      </c>
      <c r="L867" s="318">
        <v>1.9865810309927737E-3</v>
      </c>
      <c r="M867" s="317">
        <v>2.7482588339188025E-3</v>
      </c>
      <c r="N867" s="318">
        <v>2.0000005732018797E-3</v>
      </c>
      <c r="O867" s="317">
        <v>2.847787752875966E-2</v>
      </c>
      <c r="P867" s="318">
        <v>1.7202254427261719E-2</v>
      </c>
      <c r="Q867" s="319">
        <v>1.3420993390039973E-2</v>
      </c>
    </row>
    <row r="868" spans="2:17" ht="15.75" x14ac:dyDescent="0.25">
      <c r="B868" s="176">
        <v>2033</v>
      </c>
      <c r="C868" s="177">
        <v>2020</v>
      </c>
      <c r="D868" s="178" t="s">
        <v>3714</v>
      </c>
      <c r="E868" s="461">
        <v>4.3298781135685138E-2</v>
      </c>
      <c r="F868" s="462">
        <v>4.5344924753557288E-2</v>
      </c>
      <c r="G868" s="316">
        <v>6.7627331655643427E-2</v>
      </c>
      <c r="H868" s="317">
        <v>5.4843062611365763E-3</v>
      </c>
      <c r="I868" s="317">
        <v>8.3853538831114988E-2</v>
      </c>
      <c r="J868" s="317">
        <v>2.3160684751745968E-2</v>
      </c>
      <c r="K868" s="317">
        <v>1.0540916385075205E-2</v>
      </c>
      <c r="L868" s="318">
        <v>1.4630746793651477E-3</v>
      </c>
      <c r="M868" s="317">
        <v>2.7420423329118922E-3</v>
      </c>
      <c r="N868" s="318">
        <v>2.0000005732018801E-3</v>
      </c>
      <c r="O868" s="317">
        <v>2.8372134846632119E-2</v>
      </c>
      <c r="P868" s="318">
        <v>1.7199920777786849E-2</v>
      </c>
      <c r="Q868" s="319">
        <v>1.1017529849384557E-2</v>
      </c>
    </row>
    <row r="869" spans="2:17" ht="15.75" x14ac:dyDescent="0.25">
      <c r="B869" s="176">
        <v>2033</v>
      </c>
      <c r="C869" s="177">
        <v>2021</v>
      </c>
      <c r="D869" s="178" t="s">
        <v>3715</v>
      </c>
      <c r="E869" s="461">
        <v>4.1934947921154792E-2</v>
      </c>
      <c r="F869" s="462">
        <v>4.3264903762349732E-2</v>
      </c>
      <c r="G869" s="316">
        <v>6.3894546240381697E-2</v>
      </c>
      <c r="H869" s="317">
        <v>4.7952439704890739E-3</v>
      </c>
      <c r="I869" s="317">
        <v>6.1895423348147294E-2</v>
      </c>
      <c r="J869" s="317">
        <v>2.1538452932550325E-2</v>
      </c>
      <c r="K869" s="317">
        <v>7.2372683449884049E-3</v>
      </c>
      <c r="L869" s="318">
        <v>9.6002350794547827E-4</v>
      </c>
      <c r="M869" s="317">
        <v>2.7378747394789038E-3</v>
      </c>
      <c r="N869" s="318">
        <v>2.0000005732018801E-3</v>
      </c>
      <c r="O869" s="317">
        <v>2.8301244082336984E-2</v>
      </c>
      <c r="P869" s="318">
        <v>1.7202024147700719E-2</v>
      </c>
      <c r="Q869" s="319">
        <v>7.5645055046461383E-3</v>
      </c>
    </row>
    <row r="870" spans="2:17" ht="15.75" x14ac:dyDescent="0.25">
      <c r="B870" s="176">
        <v>2033</v>
      </c>
      <c r="C870" s="177">
        <v>2022</v>
      </c>
      <c r="D870" s="178" t="s">
        <v>3716</v>
      </c>
      <c r="E870" s="461">
        <v>4.0709287813559911E-2</v>
      </c>
      <c r="F870" s="462">
        <v>4.1666397971178902E-2</v>
      </c>
      <c r="G870" s="316">
        <v>6.2652690409977854E-2</v>
      </c>
      <c r="H870" s="317">
        <v>4.0158990175579515E-3</v>
      </c>
      <c r="I870" s="317">
        <v>4.6116443171007916E-2</v>
      </c>
      <c r="J870" s="317">
        <v>1.963693447805653E-2</v>
      </c>
      <c r="K870" s="317">
        <v>5.2348560258499597E-3</v>
      </c>
      <c r="L870" s="318">
        <v>9.5952263054757648E-4</v>
      </c>
      <c r="M870" s="317">
        <v>2.7329363379022115E-3</v>
      </c>
      <c r="N870" s="318">
        <v>2.0000005732018801E-3</v>
      </c>
      <c r="O870" s="317">
        <v>2.8217241871517449E-2</v>
      </c>
      <c r="P870" s="318">
        <v>1.7197030085460543E-2</v>
      </c>
      <c r="Q870" s="319">
        <v>5.4715529860093134E-3</v>
      </c>
    </row>
    <row r="871" spans="2:17" ht="15.75" x14ac:dyDescent="0.25">
      <c r="B871" s="176">
        <v>2033</v>
      </c>
      <c r="C871" s="177">
        <v>2023</v>
      </c>
      <c r="D871" s="178" t="s">
        <v>3717</v>
      </c>
      <c r="E871" s="461">
        <v>3.9511226058531308E-2</v>
      </c>
      <c r="F871" s="462">
        <v>4.0047059984092477E-2</v>
      </c>
      <c r="G871" s="316">
        <v>6.1490876534138011E-2</v>
      </c>
      <c r="H871" s="317">
        <v>3.4607829671569742E-3</v>
      </c>
      <c r="I871" s="317">
        <v>4.4694672497391834E-2</v>
      </c>
      <c r="J871" s="317">
        <v>1.9019703037638044E-2</v>
      </c>
      <c r="K871" s="317">
        <v>4.9735151361199759E-3</v>
      </c>
      <c r="L871" s="318">
        <v>9.5878031194853569E-4</v>
      </c>
      <c r="M871" s="317">
        <v>2.7298633997128907E-3</v>
      </c>
      <c r="N871" s="318">
        <v>2.0000005732018801E-3</v>
      </c>
      <c r="O871" s="317">
        <v>2.8164971192917092E-2</v>
      </c>
      <c r="P871" s="318">
        <v>1.7185234162724727E-2</v>
      </c>
      <c r="Q871" s="319">
        <v>5.1983954209287673E-3</v>
      </c>
    </row>
    <row r="872" spans="2:17" ht="15.75" x14ac:dyDescent="0.25">
      <c r="B872" s="176">
        <v>2033</v>
      </c>
      <c r="C872" s="177">
        <v>2024</v>
      </c>
      <c r="D872" s="178" t="s">
        <v>3718</v>
      </c>
      <c r="E872" s="461">
        <v>3.8325161311534878E-2</v>
      </c>
      <c r="F872" s="462">
        <v>3.8461953398841148E-2</v>
      </c>
      <c r="G872" s="316">
        <v>6.0151421066517712E-2</v>
      </c>
      <c r="H872" s="317">
        <v>2.9698671782306201E-3</v>
      </c>
      <c r="I872" s="317">
        <v>4.3118621191682978E-2</v>
      </c>
      <c r="J872" s="317">
        <v>1.8871975161853283E-2</v>
      </c>
      <c r="K872" s="317">
        <v>4.6882484627934033E-3</v>
      </c>
      <c r="L872" s="318">
        <v>9.5847258352166722E-4</v>
      </c>
      <c r="M872" s="317">
        <v>2.7252710336851103E-3</v>
      </c>
      <c r="N872" s="318">
        <v>2.0000005732018801E-3</v>
      </c>
      <c r="O872" s="317">
        <v>2.8086855046784553E-2</v>
      </c>
      <c r="P872" s="318">
        <v>1.7179943782660329E-2</v>
      </c>
      <c r="Q872" s="319">
        <v>4.9002302544864807E-3</v>
      </c>
    </row>
    <row r="873" spans="2:17" ht="15.75" x14ac:dyDescent="0.25">
      <c r="B873" s="176">
        <v>2033</v>
      </c>
      <c r="C873" s="177">
        <v>2025</v>
      </c>
      <c r="D873" s="178" t="s">
        <v>3719</v>
      </c>
      <c r="E873" s="461">
        <v>3.7177959964001278E-2</v>
      </c>
      <c r="F873" s="462">
        <v>3.6915692688960486E-2</v>
      </c>
      <c r="G873" s="316">
        <v>5.8949332832931897E-2</v>
      </c>
      <c r="H873" s="317">
        <v>2.6668236463725861E-3</v>
      </c>
      <c r="I873" s="317">
        <v>4.1581750378665634E-2</v>
      </c>
      <c r="J873" s="317">
        <v>1.9260251206985279E-2</v>
      </c>
      <c r="K873" s="317">
        <v>4.4019194879926201E-3</v>
      </c>
      <c r="L873" s="318">
        <v>9.5840887646748767E-4</v>
      </c>
      <c r="M873" s="317">
        <v>2.7233793084676596E-3</v>
      </c>
      <c r="N873" s="318">
        <v>2.0000005732018801E-3</v>
      </c>
      <c r="O873" s="317">
        <v>2.8054676800835721E-2</v>
      </c>
      <c r="P873" s="318">
        <v>1.7185641341195677E-2</v>
      </c>
      <c r="Q873" s="319">
        <v>4.6009547540112128E-3</v>
      </c>
    </row>
    <row r="874" spans="2:17" ht="15.75" x14ac:dyDescent="0.25">
      <c r="B874" s="176">
        <v>2033</v>
      </c>
      <c r="C874" s="177">
        <v>2026</v>
      </c>
      <c r="D874" s="178" t="s">
        <v>3720</v>
      </c>
      <c r="E874" s="461">
        <v>3.6376957322076624E-2</v>
      </c>
      <c r="F874" s="462">
        <v>3.6687907372842464E-2</v>
      </c>
      <c r="G874" s="316">
        <v>5.7576132702890213E-2</v>
      </c>
      <c r="H874" s="317">
        <v>2.6148109008034687E-3</v>
      </c>
      <c r="I874" s="317">
        <v>3.9895970527860813E-2</v>
      </c>
      <c r="J874" s="317">
        <v>1.8350562135586494E-2</v>
      </c>
      <c r="K874" s="317">
        <v>4.0925913013288183E-3</v>
      </c>
      <c r="L874" s="318">
        <v>8.3727285680697163E-4</v>
      </c>
      <c r="M874" s="317">
        <v>2.7200351511108916E-3</v>
      </c>
      <c r="N874" s="318">
        <v>2.0000005732018801E-3</v>
      </c>
      <c r="O874" s="317">
        <v>2.7997792684197095E-2</v>
      </c>
      <c r="P874" s="318">
        <v>1.7180040056613478E-2</v>
      </c>
      <c r="Q874" s="319">
        <v>4.2776401193699689E-3</v>
      </c>
    </row>
    <row r="875" spans="2:17" ht="15.75" x14ac:dyDescent="0.25">
      <c r="B875" s="176">
        <v>2033</v>
      </c>
      <c r="C875" s="177">
        <v>2027</v>
      </c>
      <c r="D875" s="178" t="s">
        <v>3721</v>
      </c>
      <c r="E875" s="461">
        <v>3.5626357622345131E-2</v>
      </c>
      <c r="F875" s="462">
        <v>3.6456514572413501E-2</v>
      </c>
      <c r="G875" s="316">
        <v>5.6192793660794417E-2</v>
      </c>
      <c r="H875" s="317">
        <v>2.5588839969261324E-3</v>
      </c>
      <c r="I875" s="317">
        <v>3.8158334989076149E-2</v>
      </c>
      <c r="J875" s="317">
        <v>1.7386447397446391E-2</v>
      </c>
      <c r="K875" s="317">
        <v>3.7713129522975947E-3</v>
      </c>
      <c r="L875" s="318">
        <v>6.9575690552585966E-4</v>
      </c>
      <c r="M875" s="317">
        <v>2.7173968237583267E-3</v>
      </c>
      <c r="N875" s="318">
        <v>2.0000005732018801E-3</v>
      </c>
      <c r="O875" s="317">
        <v>2.7952914735929965E-2</v>
      </c>
      <c r="P875" s="318">
        <v>1.7169627591709129E-2</v>
      </c>
      <c r="Q875" s="319">
        <v>3.9418349890471133E-3</v>
      </c>
    </row>
    <row r="876" spans="2:17" ht="15.75" x14ac:dyDescent="0.25">
      <c r="B876" s="176">
        <v>2033</v>
      </c>
      <c r="C876" s="177">
        <v>2028</v>
      </c>
      <c r="D876" s="178" t="s">
        <v>3722</v>
      </c>
      <c r="E876" s="461">
        <v>3.5568081885337735E-2</v>
      </c>
      <c r="F876" s="462">
        <v>3.6374341755399206E-2</v>
      </c>
      <c r="G876" s="316">
        <v>5.4651000977456662E-2</v>
      </c>
      <c r="H876" s="317">
        <v>2.5041114476060037E-3</v>
      </c>
      <c r="I876" s="317">
        <v>3.6284265074120761E-2</v>
      </c>
      <c r="J876" s="317">
        <v>1.648516185102427E-2</v>
      </c>
      <c r="K876" s="317">
        <v>3.4294077798945615E-3</v>
      </c>
      <c r="L876" s="318">
        <v>5.736547197361247E-4</v>
      </c>
      <c r="M876" s="317">
        <v>2.7134036453704039E-3</v>
      </c>
      <c r="N876" s="318">
        <v>2.0000005732018801E-3</v>
      </c>
      <c r="O876" s="317">
        <v>2.7884990771551398E-2</v>
      </c>
      <c r="P876" s="318">
        <v>1.714899181461596E-2</v>
      </c>
      <c r="Q876" s="319">
        <v>3.5844703819297519E-3</v>
      </c>
    </row>
    <row r="877" spans="2:17" ht="15.75" x14ac:dyDescent="0.25">
      <c r="B877" s="176">
        <v>2033</v>
      </c>
      <c r="C877" s="177">
        <v>2029</v>
      </c>
      <c r="D877" s="178" t="s">
        <v>3723</v>
      </c>
      <c r="E877" s="461">
        <v>3.5549649725577753E-2</v>
      </c>
      <c r="F877" s="462">
        <v>3.6366790461254017E-2</v>
      </c>
      <c r="G877" s="316">
        <v>5.3260296977510405E-2</v>
      </c>
      <c r="H877" s="317">
        <v>2.4604915829874838E-3</v>
      </c>
      <c r="I877" s="317">
        <v>3.4447497973669278E-2</v>
      </c>
      <c r="J877" s="317">
        <v>1.5675886508235141E-2</v>
      </c>
      <c r="K877" s="317">
        <v>3.0840343114737398E-3</v>
      </c>
      <c r="L877" s="318">
        <v>5.7384729353733761E-4</v>
      </c>
      <c r="M877" s="317">
        <v>2.7124840814242161E-3</v>
      </c>
      <c r="N877" s="318">
        <v>2.0000005732018801E-3</v>
      </c>
      <c r="O877" s="317">
        <v>2.7869348988826745E-2</v>
      </c>
      <c r="P877" s="318">
        <v>1.7152954565331533E-2</v>
      </c>
      <c r="Q877" s="319">
        <v>3.2234806578390045E-3</v>
      </c>
    </row>
    <row r="878" spans="2:17" ht="15.75" x14ac:dyDescent="0.25">
      <c r="B878" s="176">
        <v>2033</v>
      </c>
      <c r="C878" s="177">
        <v>2030</v>
      </c>
      <c r="D878" s="178" t="s">
        <v>3724</v>
      </c>
      <c r="E878" s="461">
        <v>3.5540623675541519E-2</v>
      </c>
      <c r="F878" s="462">
        <v>3.6350586869550096E-2</v>
      </c>
      <c r="G878" s="316">
        <v>5.1848090975576813E-2</v>
      </c>
      <c r="H878" s="317">
        <v>2.4348792331203056E-3</v>
      </c>
      <c r="I878" s="317">
        <v>3.2546674180258119E-2</v>
      </c>
      <c r="J878" s="317">
        <v>1.4963355835759863E-2</v>
      </c>
      <c r="K878" s="317">
        <v>2.7241403063092157E-3</v>
      </c>
      <c r="L878" s="318">
        <v>5.7402316610715614E-4</v>
      </c>
      <c r="M878" s="317">
        <v>2.7122253560324908E-3</v>
      </c>
      <c r="N878" s="318">
        <v>2.0000005732018801E-3</v>
      </c>
      <c r="O878" s="317">
        <v>2.7864948069913489E-2</v>
      </c>
      <c r="P878" s="318">
        <v>1.7152781454678225E-2</v>
      </c>
      <c r="Q878" s="319">
        <v>2.8473138427669411E-3</v>
      </c>
    </row>
    <row r="879" spans="2:17" ht="15.75" x14ac:dyDescent="0.25">
      <c r="B879" s="176">
        <v>2033</v>
      </c>
      <c r="C879" s="177">
        <v>2031</v>
      </c>
      <c r="D879" s="178" t="s">
        <v>3725</v>
      </c>
      <c r="E879" s="461">
        <v>3.5502739944565584E-2</v>
      </c>
      <c r="F879" s="462">
        <v>3.6302802705658589E-2</v>
      </c>
      <c r="G879" s="316">
        <v>5.0214836844385553E-2</v>
      </c>
      <c r="H879" s="317">
        <v>2.4268880572923769E-3</v>
      </c>
      <c r="I879" s="317">
        <v>3.0478244160576325E-2</v>
      </c>
      <c r="J879" s="317">
        <v>1.4414985610266804E-2</v>
      </c>
      <c r="K879" s="317">
        <v>2.3412763884048744E-3</v>
      </c>
      <c r="L879" s="318">
        <v>5.73788004994658E-4</v>
      </c>
      <c r="M879" s="317">
        <v>2.7096423572226889E-3</v>
      </c>
      <c r="N879" s="318">
        <v>2.0000005732018805E-3</v>
      </c>
      <c r="O879" s="317">
        <v>2.7821011260158769E-2</v>
      </c>
      <c r="P879" s="318">
        <v>1.7140640436813473E-2</v>
      </c>
      <c r="Q879" s="319">
        <v>2.4471385174284366E-3</v>
      </c>
    </row>
    <row r="880" spans="2:17" ht="15.75" x14ac:dyDescent="0.25">
      <c r="B880" s="176">
        <v>2033</v>
      </c>
      <c r="C880" s="177">
        <v>2032</v>
      </c>
      <c r="D880" s="178" t="s">
        <v>3726</v>
      </c>
      <c r="E880" s="461">
        <v>3.5475359264080027E-2</v>
      </c>
      <c r="F880" s="462">
        <v>3.6229635767143623E-2</v>
      </c>
      <c r="G880" s="316">
        <v>4.858486124621611E-2</v>
      </c>
      <c r="H880" s="317">
        <v>2.4114433261821543E-3</v>
      </c>
      <c r="I880" s="317">
        <v>2.835984528490431E-2</v>
      </c>
      <c r="J880" s="317">
        <v>1.3852965335227303E-2</v>
      </c>
      <c r="K880" s="317">
        <v>1.945626901339451E-3</v>
      </c>
      <c r="L880" s="318">
        <v>5.7267561181131128E-4</v>
      </c>
      <c r="M880" s="317">
        <v>2.7081092390293222E-3</v>
      </c>
      <c r="N880" s="318">
        <v>2.0000005732018801E-3</v>
      </c>
      <c r="O880" s="317">
        <v>2.7794932919689604E-2</v>
      </c>
      <c r="P880" s="318">
        <v>1.7123914197917135E-2</v>
      </c>
      <c r="Q880" s="319">
        <v>2.0335995162265173E-3</v>
      </c>
    </row>
    <row r="881" spans="2:17" ht="15.75" x14ac:dyDescent="0.25">
      <c r="B881" s="176">
        <v>2033</v>
      </c>
      <c r="C881" s="177">
        <v>2033</v>
      </c>
      <c r="D881" s="178" t="s">
        <v>3727</v>
      </c>
      <c r="E881" s="461">
        <v>3.5102917398579458E-2</v>
      </c>
      <c r="F881" s="462">
        <v>3.5549618674662053E-2</v>
      </c>
      <c r="G881" s="316">
        <v>4.5200568349660658E-2</v>
      </c>
      <c r="H881" s="317">
        <v>2.2834210527357449E-3</v>
      </c>
      <c r="I881" s="317">
        <v>2.5375055678378569E-2</v>
      </c>
      <c r="J881" s="317">
        <v>1.2722266397150749E-2</v>
      </c>
      <c r="K881" s="317">
        <v>1.4928030356783845E-3</v>
      </c>
      <c r="L881" s="318">
        <v>5.604375375208102E-4</v>
      </c>
      <c r="M881" s="317">
        <v>2.6793277601653721E-3</v>
      </c>
      <c r="N881" s="318">
        <v>2.0000005732018801E-3</v>
      </c>
      <c r="O881" s="317">
        <v>2.7305359964213793E-2</v>
      </c>
      <c r="P881" s="318">
        <v>1.6899480239277322E-2</v>
      </c>
      <c r="Q881" s="319">
        <v>1.560300964736399E-3</v>
      </c>
    </row>
    <row r="882" spans="2:17" ht="15.75" x14ac:dyDescent="0.25">
      <c r="B882" s="176">
        <v>2034</v>
      </c>
      <c r="C882" s="177">
        <v>1990</v>
      </c>
      <c r="D882" s="178" t="s">
        <v>3728</v>
      </c>
      <c r="E882" s="461">
        <v>5.8335424645029381E-2</v>
      </c>
      <c r="F882" s="462">
        <v>8.9400220451925499E-2</v>
      </c>
      <c r="G882" s="316">
        <v>0.29879679078404525</v>
      </c>
      <c r="H882" s="317">
        <v>0.50993203681793042</v>
      </c>
      <c r="I882" s="317">
        <v>4.9497982310993844</v>
      </c>
      <c r="J882" s="317">
        <v>1.8933538201679689</v>
      </c>
      <c r="K882" s="317">
        <v>0.20262646386129665</v>
      </c>
      <c r="L882" s="318">
        <v>1.7367806603891364E-2</v>
      </c>
      <c r="M882" s="317">
        <v>2.9592924341900863E-3</v>
      </c>
      <c r="N882" s="318">
        <v>2.0000005732018801E-3</v>
      </c>
      <c r="O882" s="317">
        <v>3.2067559069374196E-2</v>
      </c>
      <c r="P882" s="318">
        <v>2.192562781222367E-2</v>
      </c>
      <c r="Q882" s="319">
        <v>0.211788333415488</v>
      </c>
    </row>
    <row r="883" spans="2:17" ht="15.75" x14ac:dyDescent="0.25">
      <c r="B883" s="176">
        <v>2034</v>
      </c>
      <c r="C883" s="177">
        <v>1991</v>
      </c>
      <c r="D883" s="178" t="s">
        <v>3729</v>
      </c>
      <c r="E883" s="461">
        <v>5.8157319309247571E-2</v>
      </c>
      <c r="F883" s="462">
        <v>8.7493775070585658E-2</v>
      </c>
      <c r="G883" s="316">
        <v>0.37863152355274077</v>
      </c>
      <c r="H883" s="317">
        <v>0.5316566086654827</v>
      </c>
      <c r="I883" s="317">
        <v>8.6420071511422574</v>
      </c>
      <c r="J883" s="317">
        <v>2.3231805724022432</v>
      </c>
      <c r="K883" s="317">
        <v>6.1770315639668068E-2</v>
      </c>
      <c r="L883" s="318">
        <v>9.771749699072017E-3</v>
      </c>
      <c r="M883" s="317">
        <v>2.9501084804396433E-3</v>
      </c>
      <c r="N883" s="318">
        <v>2.0000005732018797E-3</v>
      </c>
      <c r="O883" s="317">
        <v>3.1911340016079155E-2</v>
      </c>
      <c r="P883" s="318">
        <v>2.1171143106460615E-2</v>
      </c>
      <c r="Q883" s="319">
        <v>6.4563295211177721E-2</v>
      </c>
    </row>
    <row r="884" spans="2:17" ht="15.75" x14ac:dyDescent="0.25">
      <c r="B884" s="176">
        <v>2034</v>
      </c>
      <c r="C884" s="177">
        <v>1992</v>
      </c>
      <c r="D884" s="178" t="s">
        <v>3730</v>
      </c>
      <c r="E884" s="461">
        <v>5.7962051539075028E-2</v>
      </c>
      <c r="F884" s="462">
        <v>8.4624215337515976E-2</v>
      </c>
      <c r="G884" s="316">
        <v>0.37808265626957288</v>
      </c>
      <c r="H884" s="317">
        <v>0.53264234922492637</v>
      </c>
      <c r="I884" s="317">
        <v>8.4171985714918165</v>
      </c>
      <c r="J884" s="317">
        <v>2.2585255952925478</v>
      </c>
      <c r="K884" s="317">
        <v>6.6129990582253842E-2</v>
      </c>
      <c r="L884" s="318">
        <v>9.8942265724738191E-3</v>
      </c>
      <c r="M884" s="317">
        <v>2.9220423295388512E-3</v>
      </c>
      <c r="N884" s="318">
        <v>2.0000005732018805E-3</v>
      </c>
      <c r="O884" s="317">
        <v>3.1433934789256691E-2</v>
      </c>
      <c r="P884" s="318">
        <v>2.0238109169442794E-2</v>
      </c>
      <c r="Q884" s="319">
        <v>6.9120095308896151E-2</v>
      </c>
    </row>
    <row r="885" spans="2:17" ht="15.75" x14ac:dyDescent="0.25">
      <c r="B885" s="176">
        <v>2034</v>
      </c>
      <c r="C885" s="177">
        <v>1993</v>
      </c>
      <c r="D885" s="178" t="s">
        <v>3731</v>
      </c>
      <c r="E885" s="461">
        <v>5.7856755209721014E-2</v>
      </c>
      <c r="F885" s="462">
        <v>7.5843809039349119E-2</v>
      </c>
      <c r="G885" s="316">
        <v>0.36539152960465349</v>
      </c>
      <c r="H885" s="317">
        <v>0.53723801061117038</v>
      </c>
      <c r="I885" s="317">
        <v>8.6459948153824975</v>
      </c>
      <c r="J885" s="317">
        <v>2.2140333794202727</v>
      </c>
      <c r="K885" s="317">
        <v>5.3876768288784925E-2</v>
      </c>
      <c r="L885" s="318">
        <v>1.0034132068217303E-2</v>
      </c>
      <c r="M885" s="317">
        <v>2.9473730897875473E-3</v>
      </c>
      <c r="N885" s="318">
        <v>2.0000005732018801E-3</v>
      </c>
      <c r="O885" s="317">
        <v>3.1864811021087007E-2</v>
      </c>
      <c r="P885" s="318">
        <v>1.982749262849583E-2</v>
      </c>
      <c r="Q885" s="319">
        <v>5.6312836676185335E-2</v>
      </c>
    </row>
    <row r="886" spans="2:17" ht="15.75" x14ac:dyDescent="0.25">
      <c r="B886" s="176">
        <v>2034</v>
      </c>
      <c r="C886" s="177">
        <v>1994</v>
      </c>
      <c r="D886" s="178" t="s">
        <v>3732</v>
      </c>
      <c r="E886" s="461">
        <v>5.7532219877738926E-2</v>
      </c>
      <c r="F886" s="462">
        <v>7.2474342338878714E-2</v>
      </c>
      <c r="G886" s="316">
        <v>0.35886360396655259</v>
      </c>
      <c r="H886" s="317">
        <v>0.53795871191407207</v>
      </c>
      <c r="I886" s="317">
        <v>8.5650726637939183</v>
      </c>
      <c r="J886" s="317">
        <v>2.1478593433689936</v>
      </c>
      <c r="K886" s="317">
        <v>5.4001393993592772E-2</v>
      </c>
      <c r="L886" s="318">
        <v>1.0137796233344935E-2</v>
      </c>
      <c r="M886" s="317">
        <v>2.9330289325818692E-3</v>
      </c>
      <c r="N886" s="318">
        <v>2.0000005732018801E-3</v>
      </c>
      <c r="O886" s="317">
        <v>3.1620816907018429E-2</v>
      </c>
      <c r="P886" s="318">
        <v>1.8905228028458839E-2</v>
      </c>
      <c r="Q886" s="319">
        <v>5.6443097402346272E-2</v>
      </c>
    </row>
    <row r="887" spans="2:17" ht="15.75" x14ac:dyDescent="0.25">
      <c r="B887" s="176">
        <v>2034</v>
      </c>
      <c r="C887" s="177">
        <v>1995</v>
      </c>
      <c r="D887" s="178" t="s">
        <v>3733</v>
      </c>
      <c r="E887" s="461">
        <v>5.7494975923515476E-2</v>
      </c>
      <c r="F887" s="462">
        <v>7.3947608623650005E-2</v>
      </c>
      <c r="G887" s="316">
        <v>0.36193432563989969</v>
      </c>
      <c r="H887" s="317">
        <v>0.40723802271505816</v>
      </c>
      <c r="I887" s="317">
        <v>8.8217431790844465</v>
      </c>
      <c r="J887" s="317">
        <v>1.6845869428861535</v>
      </c>
      <c r="K887" s="317">
        <v>5.3421397987334397E-2</v>
      </c>
      <c r="L887" s="318">
        <v>9.3653138248358612E-3</v>
      </c>
      <c r="M887" s="317">
        <v>2.9594369963847136E-3</v>
      </c>
      <c r="N887" s="318">
        <v>2.0000005732018797E-3</v>
      </c>
      <c r="O887" s="317">
        <v>3.2070018072304814E-2</v>
      </c>
      <c r="P887" s="318">
        <v>1.9588703096530321E-2</v>
      </c>
      <c r="Q887" s="319">
        <v>5.5836876550379021E-2</v>
      </c>
    </row>
    <row r="888" spans="2:17" ht="15.75" x14ac:dyDescent="0.25">
      <c r="B888" s="176">
        <v>2034</v>
      </c>
      <c r="C888" s="177">
        <v>1996</v>
      </c>
      <c r="D888" s="178" t="s">
        <v>3734</v>
      </c>
      <c r="E888" s="461">
        <v>5.7654832552512567E-2</v>
      </c>
      <c r="F888" s="462">
        <v>7.3544835373661702E-2</v>
      </c>
      <c r="G888" s="316">
        <v>0.36541994714950538</v>
      </c>
      <c r="H888" s="317">
        <v>0.14126817870662714</v>
      </c>
      <c r="I888" s="317">
        <v>8.8498151213165457</v>
      </c>
      <c r="J888" s="317">
        <v>1.02639664634096</v>
      </c>
      <c r="K888" s="317">
        <v>5.3641055342118216E-2</v>
      </c>
      <c r="L888" s="318">
        <v>2.8633111950297947E-3</v>
      </c>
      <c r="M888" s="317">
        <v>2.9660922466618863E-3</v>
      </c>
      <c r="N888" s="318">
        <v>2.0000005732018801E-3</v>
      </c>
      <c r="O888" s="317">
        <v>3.2183223879519517E-2</v>
      </c>
      <c r="P888" s="318">
        <v>1.9801666114893146E-2</v>
      </c>
      <c r="Q888" s="319">
        <v>5.6066465836030928E-2</v>
      </c>
    </row>
    <row r="889" spans="2:17" ht="15.75" x14ac:dyDescent="0.25">
      <c r="B889" s="176">
        <v>2034</v>
      </c>
      <c r="C889" s="177">
        <v>1997</v>
      </c>
      <c r="D889" s="178" t="s">
        <v>3735</v>
      </c>
      <c r="E889" s="461">
        <v>5.7878457928244968E-2</v>
      </c>
      <c r="F889" s="462">
        <v>7.1386150393166301E-2</v>
      </c>
      <c r="G889" s="316">
        <v>0.37014798096688933</v>
      </c>
      <c r="H889" s="317">
        <v>0.14627023973369765</v>
      </c>
      <c r="I889" s="317">
        <v>8.9177202995932046</v>
      </c>
      <c r="J889" s="317">
        <v>1.0536684909386953</v>
      </c>
      <c r="K889" s="317">
        <v>5.3878340842993699E-2</v>
      </c>
      <c r="L889" s="318">
        <v>2.8826714949860858E-3</v>
      </c>
      <c r="M889" s="317">
        <v>2.9776844724256264E-3</v>
      </c>
      <c r="N889" s="318">
        <v>2.0000005732018801E-3</v>
      </c>
      <c r="O889" s="317">
        <v>3.2380407639760737E-2</v>
      </c>
      <c r="P889" s="318">
        <v>1.9218745841716376E-2</v>
      </c>
      <c r="Q889" s="319">
        <v>5.6314480334317317E-2</v>
      </c>
    </row>
    <row r="890" spans="2:17" ht="15.75" x14ac:dyDescent="0.25">
      <c r="B890" s="176">
        <v>2034</v>
      </c>
      <c r="C890" s="177">
        <v>1998</v>
      </c>
      <c r="D890" s="178" t="s">
        <v>3736</v>
      </c>
      <c r="E890" s="461">
        <v>5.7730761622921754E-2</v>
      </c>
      <c r="F890" s="462">
        <v>6.8281044932115495E-2</v>
      </c>
      <c r="G890" s="316">
        <v>0.36793979192484583</v>
      </c>
      <c r="H890" s="317">
        <v>0.13522544661233374</v>
      </c>
      <c r="I890" s="317">
        <v>8.8879223407484744</v>
      </c>
      <c r="J890" s="317">
        <v>0.92722248957829967</v>
      </c>
      <c r="K890" s="317">
        <v>5.3734855045252862E-2</v>
      </c>
      <c r="L890" s="318">
        <v>2.9206228440307636E-3</v>
      </c>
      <c r="M890" s="317">
        <v>2.972951734730439E-3</v>
      </c>
      <c r="N890" s="318">
        <v>2.0000005732018797E-3</v>
      </c>
      <c r="O890" s="317">
        <v>3.2299903771565594E-2</v>
      </c>
      <c r="P890" s="318">
        <v>1.8368666771591675E-2</v>
      </c>
      <c r="Q890" s="319">
        <v>5.6164506745511406E-2</v>
      </c>
    </row>
    <row r="891" spans="2:17" ht="15.75" x14ac:dyDescent="0.25">
      <c r="B891" s="176">
        <v>2034</v>
      </c>
      <c r="C891" s="177">
        <v>1999</v>
      </c>
      <c r="D891" s="178" t="s">
        <v>3737</v>
      </c>
      <c r="E891" s="461">
        <v>5.7939731031056242E-2</v>
      </c>
      <c r="F891" s="462">
        <v>6.9060850733191084E-2</v>
      </c>
      <c r="G891" s="316">
        <v>0.37365150499652716</v>
      </c>
      <c r="H891" s="317">
        <v>0.11783919342721343</v>
      </c>
      <c r="I891" s="317">
        <v>9.0489883030722371</v>
      </c>
      <c r="J891" s="317">
        <v>0.76743996524697555</v>
      </c>
      <c r="K891" s="317">
        <v>5.3769820625043707E-2</v>
      </c>
      <c r="L891" s="318">
        <v>2.9241502947558208E-3</v>
      </c>
      <c r="M891" s="317">
        <v>2.9932799780155945E-3</v>
      </c>
      <c r="N891" s="318">
        <v>2.0000005732018801E-3</v>
      </c>
      <c r="O891" s="317">
        <v>3.264568718984609E-2</v>
      </c>
      <c r="P891" s="318">
        <v>1.8623536688216171E-2</v>
      </c>
      <c r="Q891" s="319">
        <v>5.6201053313662964E-2</v>
      </c>
    </row>
    <row r="892" spans="2:17" ht="15.75" x14ac:dyDescent="0.25">
      <c r="B892" s="176">
        <v>2034</v>
      </c>
      <c r="C892" s="177">
        <v>2000</v>
      </c>
      <c r="D892" s="178" t="s">
        <v>3738</v>
      </c>
      <c r="E892" s="461">
        <v>5.7806168321840386E-2</v>
      </c>
      <c r="F892" s="462">
        <v>7.5308952600948359E-2</v>
      </c>
      <c r="G892" s="316">
        <v>0.37268150019642543</v>
      </c>
      <c r="H892" s="317">
        <v>0.10090551386404878</v>
      </c>
      <c r="I892" s="317">
        <v>9.111503156290782</v>
      </c>
      <c r="J892" s="317">
        <v>0.61477058213011682</v>
      </c>
      <c r="K892" s="317">
        <v>5.3440846029675734E-2</v>
      </c>
      <c r="L892" s="318">
        <v>2.916552091928887E-3</v>
      </c>
      <c r="M892" s="317">
        <v>2.9980200843871476E-3</v>
      </c>
      <c r="N892" s="318">
        <v>2.0000005732018801E-3</v>
      </c>
      <c r="O892" s="317">
        <v>3.2726316399226206E-2</v>
      </c>
      <c r="P892" s="318">
        <v>1.8857602760976078E-2</v>
      </c>
      <c r="Q892" s="319">
        <v>5.5857203946895591E-2</v>
      </c>
    </row>
    <row r="893" spans="2:17" ht="15.75" x14ac:dyDescent="0.25">
      <c r="B893" s="176">
        <v>2034</v>
      </c>
      <c r="C893" s="177">
        <v>2001</v>
      </c>
      <c r="D893" s="178" t="s">
        <v>3739</v>
      </c>
      <c r="E893" s="461">
        <v>5.7883161815670651E-2</v>
      </c>
      <c r="F893" s="462">
        <v>7.4129117467512259E-2</v>
      </c>
      <c r="G893" s="316">
        <v>0.37347990491467425</v>
      </c>
      <c r="H893" s="317">
        <v>8.6980897599748586E-2</v>
      </c>
      <c r="I893" s="317">
        <v>9.0531761293262232</v>
      </c>
      <c r="J893" s="317">
        <v>0.47552696522760568</v>
      </c>
      <c r="K893" s="317">
        <v>5.3727236324845676E-2</v>
      </c>
      <c r="L893" s="318">
        <v>2.9372450934003601E-3</v>
      </c>
      <c r="M893" s="317">
        <v>2.9936416934587006E-3</v>
      </c>
      <c r="N893" s="318">
        <v>2.0000005732018801E-3</v>
      </c>
      <c r="O893" s="317">
        <v>3.2651839969533324E-2</v>
      </c>
      <c r="P893" s="318">
        <v>1.8487767703562405E-2</v>
      </c>
      <c r="Q893" s="319">
        <v>5.6156543540374936E-2</v>
      </c>
    </row>
    <row r="894" spans="2:17" ht="15.75" x14ac:dyDescent="0.25">
      <c r="B894" s="176">
        <v>2034</v>
      </c>
      <c r="C894" s="177">
        <v>2002</v>
      </c>
      <c r="D894" s="178" t="s">
        <v>3740</v>
      </c>
      <c r="E894" s="461">
        <v>5.7709948960238421E-2</v>
      </c>
      <c r="F894" s="462">
        <v>7.2172779376618243E-2</v>
      </c>
      <c r="G894" s="316">
        <v>0.28852457356465161</v>
      </c>
      <c r="H894" s="317">
        <v>8.7238684731434438E-2</v>
      </c>
      <c r="I894" s="317">
        <v>7.0194246423607298</v>
      </c>
      <c r="J894" s="317">
        <v>0.45752085030777251</v>
      </c>
      <c r="K894" s="317">
        <v>5.3866416386369714E-2</v>
      </c>
      <c r="L894" s="318">
        <v>2.9644692464167494E-3</v>
      </c>
      <c r="M894" s="317">
        <v>2.9975436238268106E-3</v>
      </c>
      <c r="N894" s="318">
        <v>2.0000005732018797E-3</v>
      </c>
      <c r="O894" s="317">
        <v>3.271821180509487E-2</v>
      </c>
      <c r="P894" s="318">
        <v>1.7871805242726448E-2</v>
      </c>
      <c r="Q894" s="319">
        <v>5.6302016706678677E-2</v>
      </c>
    </row>
    <row r="895" spans="2:17" ht="15.75" x14ac:dyDescent="0.25">
      <c r="B895" s="176">
        <v>2034</v>
      </c>
      <c r="C895" s="177">
        <v>2003</v>
      </c>
      <c r="D895" s="178" t="s">
        <v>3741</v>
      </c>
      <c r="E895" s="461">
        <v>5.7506594055402691E-2</v>
      </c>
      <c r="F895" s="462">
        <v>7.3351125201048223E-2</v>
      </c>
      <c r="G895" s="316">
        <v>0.28632188217615812</v>
      </c>
      <c r="H895" s="317">
        <v>7.04734544872299E-2</v>
      </c>
      <c r="I895" s="317">
        <v>7.0216721716176584</v>
      </c>
      <c r="J895" s="317">
        <v>0.39127006317191382</v>
      </c>
      <c r="K895" s="317">
        <v>5.3556630595553316E-2</v>
      </c>
      <c r="L895" s="318">
        <v>2.9428478389256466E-3</v>
      </c>
      <c r="M895" s="317">
        <v>2.9947041811175124E-3</v>
      </c>
      <c r="N895" s="318">
        <v>2.0000005732018801E-3</v>
      </c>
      <c r="O895" s="317">
        <v>3.2669912884609721E-2</v>
      </c>
      <c r="P895" s="318">
        <v>1.8300839730688637E-2</v>
      </c>
      <c r="Q895" s="319">
        <v>5.5978223777055677E-2</v>
      </c>
    </row>
    <row r="896" spans="2:17" ht="15.75" x14ac:dyDescent="0.25">
      <c r="B896" s="176">
        <v>2034</v>
      </c>
      <c r="C896" s="177">
        <v>2004</v>
      </c>
      <c r="D896" s="178" t="s">
        <v>3742</v>
      </c>
      <c r="E896" s="461">
        <v>5.7394311789901641E-2</v>
      </c>
      <c r="F896" s="462">
        <v>7.3108344359562663E-2</v>
      </c>
      <c r="G896" s="316">
        <v>0.23642695467932895</v>
      </c>
      <c r="H896" s="317">
        <v>1.8140196656173925E-2</v>
      </c>
      <c r="I896" s="317">
        <v>5.8611784333277006</v>
      </c>
      <c r="J896" s="317">
        <v>0.11649421364448315</v>
      </c>
      <c r="K896" s="317">
        <v>5.3313501362531782E-2</v>
      </c>
      <c r="L896" s="318">
        <v>1.9663422171953621E-4</v>
      </c>
      <c r="M896" s="317">
        <v>2.9931952702562919E-3</v>
      </c>
      <c r="N896" s="318">
        <v>2.0000005732018801E-3</v>
      </c>
      <c r="O896" s="317">
        <v>3.264424631086036E-2</v>
      </c>
      <c r="P896" s="318">
        <v>1.7925461004434099E-2</v>
      </c>
      <c r="Q896" s="319">
        <v>5.5724101318987036E-2</v>
      </c>
    </row>
    <row r="897" spans="2:17" ht="15.75" x14ac:dyDescent="0.25">
      <c r="B897" s="176">
        <v>2034</v>
      </c>
      <c r="C897" s="177">
        <v>2005</v>
      </c>
      <c r="D897" s="178" t="s">
        <v>3743</v>
      </c>
      <c r="E897" s="461">
        <v>5.7158201919015272E-2</v>
      </c>
      <c r="F897" s="462">
        <v>6.942442783975826E-2</v>
      </c>
      <c r="G897" s="316">
        <v>0.23397581826892933</v>
      </c>
      <c r="H897" s="317">
        <v>1.5838952812060412E-2</v>
      </c>
      <c r="I897" s="317">
        <v>5.8574983653883415</v>
      </c>
      <c r="J897" s="317">
        <v>9.4940744990412426E-2</v>
      </c>
      <c r="K897" s="317">
        <v>5.294731559356966E-2</v>
      </c>
      <c r="L897" s="318">
        <v>1.9755646169487256E-4</v>
      </c>
      <c r="M897" s="317">
        <v>2.9874552896745612E-3</v>
      </c>
      <c r="N897" s="318">
        <v>2.0000005732018805E-3</v>
      </c>
      <c r="O897" s="317">
        <v>3.254660924116512E-2</v>
      </c>
      <c r="P897" s="318">
        <v>1.720008070590372E-2</v>
      </c>
      <c r="Q897" s="319">
        <v>5.5341358254477717E-2</v>
      </c>
    </row>
    <row r="898" spans="2:17" ht="15.75" x14ac:dyDescent="0.25">
      <c r="B898" s="176">
        <v>2034</v>
      </c>
      <c r="C898" s="177">
        <v>2006</v>
      </c>
      <c r="D898" s="178" t="s">
        <v>3744</v>
      </c>
      <c r="E898" s="461">
        <v>5.7098827419835456E-2</v>
      </c>
      <c r="F898" s="462">
        <v>7.2886168787728356E-2</v>
      </c>
      <c r="G898" s="316">
        <v>0.23360977966501437</v>
      </c>
      <c r="H898" s="317">
        <v>6.0212164088607996E-3</v>
      </c>
      <c r="I898" s="317">
        <v>5.8528251672007263</v>
      </c>
      <c r="J898" s="317">
        <v>6.6610099491525021E-2</v>
      </c>
      <c r="K898" s="317">
        <v>5.2908675789473135E-2</v>
      </c>
      <c r="L898" s="318">
        <v>1.9345532652900708E-4</v>
      </c>
      <c r="M898" s="317">
        <v>2.9860387321256139E-3</v>
      </c>
      <c r="N898" s="318">
        <v>2.0000005732018801E-3</v>
      </c>
      <c r="O898" s="317">
        <v>3.2522513597257517E-2</v>
      </c>
      <c r="P898" s="318">
        <v>1.898533823632554E-2</v>
      </c>
      <c r="Q898" s="319">
        <v>5.5300971329901465E-2</v>
      </c>
    </row>
    <row r="899" spans="2:17" ht="15.75" x14ac:dyDescent="0.25">
      <c r="B899" s="176">
        <v>2034</v>
      </c>
      <c r="C899" s="177">
        <v>2007</v>
      </c>
      <c r="D899" s="178" t="s">
        <v>3745</v>
      </c>
      <c r="E899" s="461">
        <v>5.6927442730020122E-2</v>
      </c>
      <c r="F899" s="462">
        <v>6.8316383436053299E-2</v>
      </c>
      <c r="G899" s="316">
        <v>0.16820222167130411</v>
      </c>
      <c r="H899" s="317">
        <v>8.542048972355885E-3</v>
      </c>
      <c r="I899" s="317">
        <v>2.9984004922019873</v>
      </c>
      <c r="J899" s="317">
        <v>5.8243973832794185E-2</v>
      </c>
      <c r="K899" s="317">
        <v>3.7163770819055732E-2</v>
      </c>
      <c r="L899" s="318">
        <v>1.971130121195832E-4</v>
      </c>
      <c r="M899" s="317">
        <v>2.9667034055568062E-3</v>
      </c>
      <c r="N899" s="318">
        <v>2.0000005732018801E-3</v>
      </c>
      <c r="O899" s="317">
        <v>3.2193619692322109E-2</v>
      </c>
      <c r="P899" s="318">
        <v>1.7500233565284112E-2</v>
      </c>
      <c r="Q899" s="319">
        <v>3.8844151623702888E-2</v>
      </c>
    </row>
    <row r="900" spans="2:17" ht="15.75" x14ac:dyDescent="0.25">
      <c r="B900" s="176">
        <v>2034</v>
      </c>
      <c r="C900" s="177">
        <v>2008</v>
      </c>
      <c r="D900" s="178" t="s">
        <v>3746</v>
      </c>
      <c r="E900" s="461">
        <v>5.6938853234378896E-2</v>
      </c>
      <c r="F900" s="462">
        <v>6.665372185222608E-2</v>
      </c>
      <c r="G900" s="316">
        <v>0.16969539948751519</v>
      </c>
      <c r="H900" s="317">
        <v>8.2841079601060751E-3</v>
      </c>
      <c r="I900" s="317">
        <v>3.0231741705104249</v>
      </c>
      <c r="J900" s="317">
        <v>4.690254985779168E-2</v>
      </c>
      <c r="K900" s="317">
        <v>3.7470956534669204E-2</v>
      </c>
      <c r="L900" s="318">
        <v>2.2509166321052916E-4</v>
      </c>
      <c r="M900" s="317">
        <v>2.9759356368573445E-3</v>
      </c>
      <c r="N900" s="318">
        <v>2.0000005732018801E-3</v>
      </c>
      <c r="O900" s="317">
        <v>3.2350659946744256E-2</v>
      </c>
      <c r="P900" s="318">
        <v>1.7484832515841355E-2</v>
      </c>
      <c r="Q900" s="319">
        <v>3.9165226914259929E-2</v>
      </c>
    </row>
    <row r="901" spans="2:17" ht="15.75" x14ac:dyDescent="0.25">
      <c r="B901" s="176">
        <v>2034</v>
      </c>
      <c r="C901" s="177">
        <v>2009</v>
      </c>
      <c r="D901" s="178" t="s">
        <v>3747</v>
      </c>
      <c r="E901" s="461">
        <v>5.6167036458138378E-2</v>
      </c>
      <c r="F901" s="462">
        <v>6.110864522197177E-2</v>
      </c>
      <c r="G901" s="316">
        <v>0.15862632478479019</v>
      </c>
      <c r="H901" s="317">
        <v>8.1269610444756474E-3</v>
      </c>
      <c r="I901" s="317">
        <v>2.7312845230157974</v>
      </c>
      <c r="J901" s="317">
        <v>3.3972724716532218E-2</v>
      </c>
      <c r="K901" s="317">
        <v>3.4952399574337649E-2</v>
      </c>
      <c r="L901" s="318">
        <v>2.5463138396329655E-4</v>
      </c>
      <c r="M901" s="317">
        <v>2.8848427947311193E-3</v>
      </c>
      <c r="N901" s="318">
        <v>2.0000005732018801E-3</v>
      </c>
      <c r="O901" s="317">
        <v>3.0801170702177163E-2</v>
      </c>
      <c r="P901" s="318">
        <v>1.6788411474488372E-2</v>
      </c>
      <c r="Q901" s="319">
        <v>3.6532791984113196E-2</v>
      </c>
    </row>
    <row r="902" spans="2:17" ht="15.75" x14ac:dyDescent="0.25">
      <c r="B902" s="176">
        <v>2034</v>
      </c>
      <c r="C902" s="177">
        <v>2010</v>
      </c>
      <c r="D902" s="178" t="s">
        <v>3748</v>
      </c>
      <c r="E902" s="461">
        <v>5.4930659745815097E-2</v>
      </c>
      <c r="F902" s="462">
        <v>5.9136862690765367E-2</v>
      </c>
      <c r="G902" s="316">
        <v>9.375771944964971E-2</v>
      </c>
      <c r="H902" s="317">
        <v>7.2954715564968438E-3</v>
      </c>
      <c r="I902" s="317">
        <v>0.23663118078877265</v>
      </c>
      <c r="J902" s="317">
        <v>3.3042141971516566E-2</v>
      </c>
      <c r="K902" s="317">
        <v>2.0105857818613241E-2</v>
      </c>
      <c r="L902" s="318">
        <v>3.1075533603333008E-4</v>
      </c>
      <c r="M902" s="317">
        <v>2.7933215268371113E-3</v>
      </c>
      <c r="N902" s="318">
        <v>2.0000005732018801E-3</v>
      </c>
      <c r="O902" s="317">
        <v>2.9244393935300088E-2</v>
      </c>
      <c r="P902" s="318">
        <v>1.6403191166466807E-2</v>
      </c>
      <c r="Q902" s="319">
        <v>2.1014955490748222E-2</v>
      </c>
    </row>
    <row r="903" spans="2:17" ht="15.75" x14ac:dyDescent="0.25">
      <c r="B903" s="176">
        <v>2034</v>
      </c>
      <c r="C903" s="177">
        <v>2011</v>
      </c>
      <c r="D903" s="178" t="s">
        <v>3749</v>
      </c>
      <c r="E903" s="461">
        <v>5.4605953975711434E-2</v>
      </c>
      <c r="F903" s="462">
        <v>5.7771658020494228E-2</v>
      </c>
      <c r="G903" s="316">
        <v>9.3350118250413977E-2</v>
      </c>
      <c r="H903" s="317">
        <v>7.3911906668330165E-3</v>
      </c>
      <c r="I903" s="317">
        <v>0.23673186503767357</v>
      </c>
      <c r="J903" s="317">
        <v>3.32597041981871E-2</v>
      </c>
      <c r="K903" s="317">
        <v>2.0116249158014268E-2</v>
      </c>
      <c r="L903" s="318">
        <v>4.2079273563942803E-4</v>
      </c>
      <c r="M903" s="317">
        <v>2.8011589366489201E-3</v>
      </c>
      <c r="N903" s="318">
        <v>2.0000005732018797E-3</v>
      </c>
      <c r="O903" s="317">
        <v>2.9377708276198955E-2</v>
      </c>
      <c r="P903" s="318">
        <v>1.6518640638114021E-2</v>
      </c>
      <c r="Q903" s="319">
        <v>2.1025816680406137E-2</v>
      </c>
    </row>
    <row r="904" spans="2:17" ht="15.75" x14ac:dyDescent="0.25">
      <c r="B904" s="176">
        <v>2034</v>
      </c>
      <c r="C904" s="177">
        <v>2012</v>
      </c>
      <c r="D904" s="178" t="s">
        <v>3750</v>
      </c>
      <c r="E904" s="461">
        <v>5.2425392697122507E-2</v>
      </c>
      <c r="F904" s="462">
        <v>5.7638436806964968E-2</v>
      </c>
      <c r="G904" s="316">
        <v>8.0630490005250632E-2</v>
      </c>
      <c r="H904" s="317">
        <v>6.949459287080571E-3</v>
      </c>
      <c r="I904" s="317">
        <v>0.20191474352472114</v>
      </c>
      <c r="J904" s="317">
        <v>3.4144029249631468E-2</v>
      </c>
      <c r="K904" s="317">
        <v>1.7634412182194196E-2</v>
      </c>
      <c r="L904" s="318">
        <v>6.108286206950907E-4</v>
      </c>
      <c r="M904" s="317">
        <v>2.6626308036354828E-3</v>
      </c>
      <c r="N904" s="318">
        <v>2.0000005732018801E-3</v>
      </c>
      <c r="O904" s="317">
        <v>2.7021344733640387E-2</v>
      </c>
      <c r="P904" s="318">
        <v>1.6873838643941003E-2</v>
      </c>
      <c r="Q904" s="319">
        <v>1.8431762049527917E-2</v>
      </c>
    </row>
    <row r="905" spans="2:17" ht="15.75" x14ac:dyDescent="0.25">
      <c r="B905" s="176">
        <v>2034</v>
      </c>
      <c r="C905" s="177">
        <v>2013</v>
      </c>
      <c r="D905" s="178" t="s">
        <v>3751</v>
      </c>
      <c r="E905" s="461">
        <v>5.4359395404660733E-2</v>
      </c>
      <c r="F905" s="462">
        <v>5.6280690851452549E-2</v>
      </c>
      <c r="G905" s="316">
        <v>9.4821774631744474E-2</v>
      </c>
      <c r="H905" s="317">
        <v>7.8617186926791104E-3</v>
      </c>
      <c r="I905" s="317">
        <v>0.2394392742443899</v>
      </c>
      <c r="J905" s="317">
        <v>3.3074676889009523E-2</v>
      </c>
      <c r="K905" s="317">
        <v>2.0178287985504757E-2</v>
      </c>
      <c r="L905" s="318">
        <v>9.1217285206291691E-4</v>
      </c>
      <c r="M905" s="317">
        <v>2.8166664985036552E-3</v>
      </c>
      <c r="N905" s="318">
        <v>2.0000005732018801E-3</v>
      </c>
      <c r="O905" s="317">
        <v>2.9641491903348003E-2</v>
      </c>
      <c r="P905" s="318">
        <v>1.69500357288392E-2</v>
      </c>
      <c r="Q905" s="319">
        <v>2.1090660628382475E-2</v>
      </c>
    </row>
    <row r="906" spans="2:17" ht="15.75" x14ac:dyDescent="0.25">
      <c r="B906" s="176">
        <v>2034</v>
      </c>
      <c r="C906" s="177">
        <v>2014</v>
      </c>
      <c r="D906" s="178" t="s">
        <v>3752</v>
      </c>
      <c r="E906" s="461">
        <v>5.1513905714145818E-2</v>
      </c>
      <c r="F906" s="462">
        <v>5.4128687431452008E-2</v>
      </c>
      <c r="G906" s="316">
        <v>8.3276179067686779E-2</v>
      </c>
      <c r="H906" s="317">
        <v>7.9581348785214192E-3</v>
      </c>
      <c r="I906" s="317">
        <v>0.20844076577309392</v>
      </c>
      <c r="J906" s="317">
        <v>3.1614527825517942E-2</v>
      </c>
      <c r="K906" s="317">
        <v>1.795060986564051E-2</v>
      </c>
      <c r="L906" s="318">
        <v>1.2799681090163834E-3</v>
      </c>
      <c r="M906" s="317">
        <v>2.6997333054119659E-3</v>
      </c>
      <c r="N906" s="318">
        <v>2.0000005732018805E-3</v>
      </c>
      <c r="O906" s="317">
        <v>2.7652458288858373E-2</v>
      </c>
      <c r="P906" s="318">
        <v>1.6483149180311463E-2</v>
      </c>
      <c r="Q906" s="319">
        <v>1.8762256789113231E-2</v>
      </c>
    </row>
    <row r="907" spans="2:17" ht="15.75" x14ac:dyDescent="0.25">
      <c r="B907" s="176">
        <v>2034</v>
      </c>
      <c r="C907" s="177">
        <v>2015</v>
      </c>
      <c r="D907" s="178" t="s">
        <v>3753</v>
      </c>
      <c r="E907" s="461">
        <v>5.0232746179526624E-2</v>
      </c>
      <c r="F907" s="462">
        <v>5.6275385125338841E-2</v>
      </c>
      <c r="G907" s="316">
        <v>7.8196112179135108E-2</v>
      </c>
      <c r="H907" s="317">
        <v>7.9047527198035684E-3</v>
      </c>
      <c r="I907" s="317">
        <v>0.19593722184738677</v>
      </c>
      <c r="J907" s="317">
        <v>3.2816954849823422E-2</v>
      </c>
      <c r="K907" s="317">
        <v>1.7010795062965715E-2</v>
      </c>
      <c r="L907" s="318">
        <v>1.5914841697508687E-3</v>
      </c>
      <c r="M907" s="317">
        <v>2.663398613092722E-3</v>
      </c>
      <c r="N907" s="318">
        <v>2.0000005732018801E-3</v>
      </c>
      <c r="O907" s="317">
        <v>2.7034405172508023E-2</v>
      </c>
      <c r="P907" s="318">
        <v>1.7422656312294879E-2</v>
      </c>
      <c r="Q907" s="319">
        <v>1.7779947731427954E-2</v>
      </c>
    </row>
    <row r="908" spans="2:17" ht="15.75" x14ac:dyDescent="0.25">
      <c r="B908" s="176">
        <v>2034</v>
      </c>
      <c r="C908" s="177">
        <v>2016</v>
      </c>
      <c r="D908" s="178" t="s">
        <v>3754</v>
      </c>
      <c r="E908" s="461">
        <v>5.1032457730850411E-2</v>
      </c>
      <c r="F908" s="462">
        <v>5.7571243115273334E-2</v>
      </c>
      <c r="G908" s="316">
        <v>9.2708980961258666E-2</v>
      </c>
      <c r="H908" s="317">
        <v>7.6342258252149377E-3</v>
      </c>
      <c r="I908" s="317">
        <v>0.20609220321104391</v>
      </c>
      <c r="J908" s="317">
        <v>3.300895196759554E-2</v>
      </c>
      <c r="K908" s="317">
        <v>1.9522712066652272E-2</v>
      </c>
      <c r="L908" s="318">
        <v>1.8230485094787995E-3</v>
      </c>
      <c r="M908" s="317">
        <v>2.8341559194960115E-3</v>
      </c>
      <c r="N908" s="318">
        <v>2.0000005732018801E-3</v>
      </c>
      <c r="O908" s="317">
        <v>2.9938986954427985E-2</v>
      </c>
      <c r="P908" s="318">
        <v>1.8344936538996919E-2</v>
      </c>
      <c r="Q908" s="319">
        <v>2.040544247555456E-2</v>
      </c>
    </row>
    <row r="909" spans="2:17" ht="15.75" x14ac:dyDescent="0.25">
      <c r="B909" s="176">
        <v>2034</v>
      </c>
      <c r="C909" s="177">
        <v>2017</v>
      </c>
      <c r="D909" s="178" t="s">
        <v>3755</v>
      </c>
      <c r="E909" s="461">
        <v>4.7411563786640507E-2</v>
      </c>
      <c r="F909" s="462">
        <v>5.1651175391170596E-2</v>
      </c>
      <c r="G909" s="316">
        <v>7.2167813650276455E-2</v>
      </c>
      <c r="H909" s="317">
        <v>7.6132435578232325E-3</v>
      </c>
      <c r="I909" s="317">
        <v>0.14952496383602634</v>
      </c>
      <c r="J909" s="317">
        <v>3.0405189354007163E-2</v>
      </c>
      <c r="K909" s="317">
        <v>1.7230795621007326E-2</v>
      </c>
      <c r="L909" s="318">
        <v>2.0083350528686751E-3</v>
      </c>
      <c r="M909" s="317">
        <v>2.7687398825515944E-3</v>
      </c>
      <c r="N909" s="318">
        <v>2.0000005732018801E-3</v>
      </c>
      <c r="O909" s="317">
        <v>2.8826260166003443E-2</v>
      </c>
      <c r="P909" s="318">
        <v>1.7268451503961686E-2</v>
      </c>
      <c r="Q909" s="319">
        <v>1.8009895738466085E-2</v>
      </c>
    </row>
    <row r="910" spans="2:17" ht="15.75" x14ac:dyDescent="0.25">
      <c r="B910" s="176">
        <v>2034</v>
      </c>
      <c r="C910" s="177">
        <v>2018</v>
      </c>
      <c r="D910" s="178" t="s">
        <v>3756</v>
      </c>
      <c r="E910" s="461">
        <v>4.4382729114708773E-2</v>
      </c>
      <c r="F910" s="462">
        <v>4.9268203748265994E-2</v>
      </c>
      <c r="G910" s="316">
        <v>7.1060635678414474E-2</v>
      </c>
      <c r="H910" s="317">
        <v>7.2240278711593357E-3</v>
      </c>
      <c r="I910" s="317">
        <v>0.12105919197882314</v>
      </c>
      <c r="J910" s="317">
        <v>2.8842684327430309E-2</v>
      </c>
      <c r="K910" s="317">
        <v>1.5702975408918969E-2</v>
      </c>
      <c r="L910" s="318">
        <v>2.0917101978720105E-3</v>
      </c>
      <c r="M910" s="317">
        <v>2.7608510092905557E-3</v>
      </c>
      <c r="N910" s="318">
        <v>2.0000005732018805E-3</v>
      </c>
      <c r="O910" s="317">
        <v>2.8692070431833184E-2</v>
      </c>
      <c r="P910" s="318">
        <v>1.7236975597748786E-2</v>
      </c>
      <c r="Q910" s="319">
        <v>1.6412994275988902E-2</v>
      </c>
    </row>
    <row r="911" spans="2:17" ht="15.75" x14ac:dyDescent="0.25">
      <c r="B911" s="176">
        <v>2034</v>
      </c>
      <c r="C911" s="177">
        <v>2019</v>
      </c>
      <c r="D911" s="178" t="s">
        <v>3757</v>
      </c>
      <c r="E911" s="461">
        <v>4.3888922640471222E-2</v>
      </c>
      <c r="F911" s="462">
        <v>4.7355210109107738E-2</v>
      </c>
      <c r="G911" s="316">
        <v>6.9925917614466052E-2</v>
      </c>
      <c r="H911" s="317">
        <v>6.4505104338938189E-3</v>
      </c>
      <c r="I911" s="317">
        <v>0.10322773990456008</v>
      </c>
      <c r="J911" s="317">
        <v>2.5968762520973163E-2</v>
      </c>
      <c r="K911" s="317">
        <v>1.3267332897294233E-2</v>
      </c>
      <c r="L911" s="318">
        <v>1.9861591574661533E-3</v>
      </c>
      <c r="M911" s="317">
        <v>2.7535286363297206E-3</v>
      </c>
      <c r="N911" s="318">
        <v>2.0000005732018797E-3</v>
      </c>
      <c r="O911" s="317">
        <v>2.8567516867769375E-2</v>
      </c>
      <c r="P911" s="318">
        <v>1.7225337208280098E-2</v>
      </c>
      <c r="Q911" s="319">
        <v>1.3867222817992049E-2</v>
      </c>
    </row>
    <row r="912" spans="2:17" ht="15.75" x14ac:dyDescent="0.25">
      <c r="B912" s="176">
        <v>2034</v>
      </c>
      <c r="C912" s="177">
        <v>2020</v>
      </c>
      <c r="D912" s="178" t="s">
        <v>3758</v>
      </c>
      <c r="E912" s="461">
        <v>4.3399831366683246E-2</v>
      </c>
      <c r="F912" s="462">
        <v>4.5447335931037447E-2</v>
      </c>
      <c r="G912" s="316">
        <v>6.8859811472041052E-2</v>
      </c>
      <c r="H912" s="317">
        <v>5.5377405462328959E-3</v>
      </c>
      <c r="I912" s="317">
        <v>8.5924491986019105E-2</v>
      </c>
      <c r="J912" s="317">
        <v>2.3464252950956971E-2</v>
      </c>
      <c r="K912" s="317">
        <v>1.0931515627601758E-2</v>
      </c>
      <c r="L912" s="318">
        <v>1.4633337270939951E-3</v>
      </c>
      <c r="M912" s="317">
        <v>2.7481690990296013E-3</v>
      </c>
      <c r="N912" s="318">
        <v>2.0000005732018801E-3</v>
      </c>
      <c r="O912" s="317">
        <v>2.8476351138294342E-2</v>
      </c>
      <c r="P912" s="318">
        <v>1.7215779870628348E-2</v>
      </c>
      <c r="Q912" s="319">
        <v>1.1425790256399787E-2</v>
      </c>
    </row>
    <row r="913" spans="2:17" ht="15.75" x14ac:dyDescent="0.25">
      <c r="B913" s="176">
        <v>2034</v>
      </c>
      <c r="C913" s="177">
        <v>2021</v>
      </c>
      <c r="D913" s="178" t="s">
        <v>3759</v>
      </c>
      <c r="E913" s="461">
        <v>4.2007991470100703E-2</v>
      </c>
      <c r="F913" s="462">
        <v>4.3357731193870104E-2</v>
      </c>
      <c r="G913" s="316">
        <v>6.5054387523016163E-2</v>
      </c>
      <c r="H913" s="317">
        <v>4.8450347935876771E-3</v>
      </c>
      <c r="I913" s="317">
        <v>6.3628787344173862E-2</v>
      </c>
      <c r="J913" s="317">
        <v>2.1894278596959263E-2</v>
      </c>
      <c r="K913" s="317">
        <v>7.5523022071290755E-3</v>
      </c>
      <c r="L913" s="318">
        <v>9.6070925429294664E-4</v>
      </c>
      <c r="M913" s="317">
        <v>2.7419478433509652E-3</v>
      </c>
      <c r="N913" s="318">
        <v>2.0000005732018801E-3</v>
      </c>
      <c r="O913" s="317">
        <v>2.8370527579200742E-2</v>
      </c>
      <c r="P913" s="318">
        <v>1.7216220659980182E-2</v>
      </c>
      <c r="Q913" s="319">
        <v>7.8937838000907295E-3</v>
      </c>
    </row>
    <row r="914" spans="2:17" ht="15.75" x14ac:dyDescent="0.25">
      <c r="B914" s="176">
        <v>2034</v>
      </c>
      <c r="C914" s="177">
        <v>2022</v>
      </c>
      <c r="D914" s="178" t="s">
        <v>3760</v>
      </c>
      <c r="E914" s="461">
        <v>4.0793378225500825E-2</v>
      </c>
      <c r="F914" s="462">
        <v>4.1753116231022104E-2</v>
      </c>
      <c r="G914" s="316">
        <v>6.3934662415589427E-2</v>
      </c>
      <c r="H914" s="317">
        <v>4.0608031230872747E-3</v>
      </c>
      <c r="I914" s="317">
        <v>4.7556707634700678E-2</v>
      </c>
      <c r="J914" s="317">
        <v>2.006812489688457E-2</v>
      </c>
      <c r="K914" s="317">
        <v>5.4922476837221236E-3</v>
      </c>
      <c r="L914" s="318">
        <v>9.6014726647986189E-4</v>
      </c>
      <c r="M914" s="317">
        <v>2.737778554614833E-3</v>
      </c>
      <c r="N914" s="318">
        <v>2.0000005732018801E-3</v>
      </c>
      <c r="O914" s="317">
        <v>2.8299607977799141E-2</v>
      </c>
      <c r="P914" s="318">
        <v>1.7210083348559356E-2</v>
      </c>
      <c r="Q914" s="319">
        <v>5.7405827524918971E-3</v>
      </c>
    </row>
    <row r="915" spans="2:17" ht="15.75" x14ac:dyDescent="0.25">
      <c r="B915" s="176">
        <v>2034</v>
      </c>
      <c r="C915" s="177">
        <v>2023</v>
      </c>
      <c r="D915" s="178" t="s">
        <v>3761</v>
      </c>
      <c r="E915" s="461">
        <v>3.9567405729812231E-2</v>
      </c>
      <c r="F915" s="462">
        <v>4.0150395029614899E-2</v>
      </c>
      <c r="G915" s="316">
        <v>6.2692781398046835E-2</v>
      </c>
      <c r="H915" s="317">
        <v>3.504292038806246E-3</v>
      </c>
      <c r="I915" s="317">
        <v>4.6127779316819079E-2</v>
      </c>
      <c r="J915" s="317">
        <v>1.9585692999293365E-2</v>
      </c>
      <c r="K915" s="317">
        <v>5.2352307005003986E-3</v>
      </c>
      <c r="L915" s="318">
        <v>9.5960157603993768E-4</v>
      </c>
      <c r="M915" s="317">
        <v>2.732839284428606E-3</v>
      </c>
      <c r="N915" s="318">
        <v>2.0000005732018805E-3</v>
      </c>
      <c r="O915" s="317">
        <v>2.8215590991931411E-2</v>
      </c>
      <c r="P915" s="318">
        <v>1.7203999179323963E-2</v>
      </c>
      <c r="Q915" s="319">
        <v>5.4719446017848531E-3</v>
      </c>
    </row>
    <row r="916" spans="2:17" ht="15.75" x14ac:dyDescent="0.25">
      <c r="B916" s="176">
        <v>2034</v>
      </c>
      <c r="C916" s="177">
        <v>2024</v>
      </c>
      <c r="D916" s="178" t="s">
        <v>3762</v>
      </c>
      <c r="E916" s="461">
        <v>3.8403423207146958E-2</v>
      </c>
      <c r="F916" s="462">
        <v>3.8537913734439648E-2</v>
      </c>
      <c r="G916" s="316">
        <v>6.153019730179015E-2</v>
      </c>
      <c r="H916" s="317">
        <v>3.0133566865824511E-3</v>
      </c>
      <c r="I916" s="317">
        <v>4.4705668253752856E-2</v>
      </c>
      <c r="J916" s="317">
        <v>1.9619029159499344E-2</v>
      </c>
      <c r="K916" s="317">
        <v>4.9738761930029508E-3</v>
      </c>
      <c r="L916" s="318">
        <v>9.5884415583129181E-4</v>
      </c>
      <c r="M916" s="317">
        <v>2.7297678818101259E-3</v>
      </c>
      <c r="N916" s="318">
        <v>2.0000005732018801E-3</v>
      </c>
      <c r="O916" s="317">
        <v>2.8163346433391068E-2</v>
      </c>
      <c r="P916" s="318">
        <v>1.7191796430402608E-2</v>
      </c>
      <c r="Q916" s="319">
        <v>5.1987728032018192E-3</v>
      </c>
    </row>
    <row r="917" spans="2:17" ht="15.75" x14ac:dyDescent="0.25">
      <c r="B917" s="176">
        <v>2034</v>
      </c>
      <c r="C917" s="177">
        <v>2025</v>
      </c>
      <c r="D917" s="178" t="s">
        <v>3763</v>
      </c>
      <c r="E917" s="461">
        <v>3.7216853786004978E-2</v>
      </c>
      <c r="F917" s="462">
        <v>3.6951344127097045E-2</v>
      </c>
      <c r="G917" s="316">
        <v>6.0190810864051508E-2</v>
      </c>
      <c r="H917" s="317">
        <v>2.7146043858704777E-3</v>
      </c>
      <c r="I917" s="317">
        <v>4.3129545830918513E-2</v>
      </c>
      <c r="J917" s="317">
        <v>2.0211548424494331E-2</v>
      </c>
      <c r="K917" s="317">
        <v>4.6886105076732578E-3</v>
      </c>
      <c r="L917" s="318">
        <v>9.5852195664595749E-4</v>
      </c>
      <c r="M917" s="317">
        <v>2.725176663434776E-3</v>
      </c>
      <c r="N917" s="318">
        <v>2.0000005732018801E-3</v>
      </c>
      <c r="O917" s="317">
        <v>2.808524980882637E-2</v>
      </c>
      <c r="P917" s="318">
        <v>1.7186172358255702E-2</v>
      </c>
      <c r="Q917" s="319">
        <v>4.9006086694292489E-3</v>
      </c>
    </row>
    <row r="918" spans="2:17" ht="15.75" x14ac:dyDescent="0.25">
      <c r="B918" s="176">
        <v>2034</v>
      </c>
      <c r="C918" s="177">
        <v>2026</v>
      </c>
      <c r="D918" s="178" t="s">
        <v>3764</v>
      </c>
      <c r="E918" s="461">
        <v>3.6433554258482118E-2</v>
      </c>
      <c r="F918" s="462">
        <v>3.6732096071127616E-2</v>
      </c>
      <c r="G918" s="316">
        <v>5.8987781917521583E-2</v>
      </c>
      <c r="H918" s="317">
        <v>2.6684564772320109E-3</v>
      </c>
      <c r="I918" s="317">
        <v>4.1592196606094312E-2</v>
      </c>
      <c r="J918" s="317">
        <v>1.931902142507276E-2</v>
      </c>
      <c r="K918" s="317">
        <v>4.4022521692233989E-3</v>
      </c>
      <c r="L918" s="318">
        <v>8.3755431115774964E-4</v>
      </c>
      <c r="M918" s="317">
        <v>2.7232840270057196E-3</v>
      </c>
      <c r="N918" s="318">
        <v>2.0000005732018801E-3</v>
      </c>
      <c r="O918" s="317">
        <v>2.8053056063168116E-2</v>
      </c>
      <c r="P918" s="318">
        <v>1.7185347751619482E-2</v>
      </c>
      <c r="Q918" s="319">
        <v>4.6013024776109905E-3</v>
      </c>
    </row>
    <row r="919" spans="2:17" ht="15.75" x14ac:dyDescent="0.25">
      <c r="B919" s="176">
        <v>2034</v>
      </c>
      <c r="C919" s="177">
        <v>2027</v>
      </c>
      <c r="D919" s="178" t="s">
        <v>3765</v>
      </c>
      <c r="E919" s="461">
        <v>3.5669990248241842E-2</v>
      </c>
      <c r="F919" s="462">
        <v>3.6513532809280887E-2</v>
      </c>
      <c r="G919" s="316">
        <v>5.7615392973556986E-2</v>
      </c>
      <c r="H919" s="317">
        <v>2.6165248339834377E-3</v>
      </c>
      <c r="I919" s="317">
        <v>3.9906587937644927E-2</v>
      </c>
      <c r="J919" s="317">
        <v>1.8352540309099986E-2</v>
      </c>
      <c r="K919" s="317">
        <v>4.0929378493952742E-3</v>
      </c>
      <c r="L919" s="318">
        <v>6.9630857610231307E-4</v>
      </c>
      <c r="M919" s="317">
        <v>2.7199410768496768E-3</v>
      </c>
      <c r="N919" s="318">
        <v>2.0000005732018801E-3</v>
      </c>
      <c r="O919" s="317">
        <v>2.7996192481013833E-2</v>
      </c>
      <c r="P919" s="318">
        <v>1.7179734838891715E-2</v>
      </c>
      <c r="Q919" s="319">
        <v>4.2780023368022115E-3</v>
      </c>
    </row>
    <row r="920" spans="2:17" ht="15.75" x14ac:dyDescent="0.25">
      <c r="B920" s="176">
        <v>2034</v>
      </c>
      <c r="C920" s="177">
        <v>2028</v>
      </c>
      <c r="D920" s="178" t="s">
        <v>3766</v>
      </c>
      <c r="E920" s="461">
        <v>3.5628957253056287E-2</v>
      </c>
      <c r="F920" s="462">
        <v>3.6460420136734735E-2</v>
      </c>
      <c r="G920" s="316">
        <v>5.6230901453783316E-2</v>
      </c>
      <c r="H920" s="317">
        <v>2.5607888871867482E-3</v>
      </c>
      <c r="I920" s="317">
        <v>3.8168491362619968E-2</v>
      </c>
      <c r="J920" s="317">
        <v>1.7420708830563573E-2</v>
      </c>
      <c r="K920" s="317">
        <v>3.7716421635826608E-3</v>
      </c>
      <c r="L920" s="318">
        <v>5.7485409010884126E-4</v>
      </c>
      <c r="M920" s="317">
        <v>2.7173072407680097E-3</v>
      </c>
      <c r="N920" s="318">
        <v>2.0000005732018801E-3</v>
      </c>
      <c r="O920" s="317">
        <v>2.7951390929264675E-2</v>
      </c>
      <c r="P920" s="318">
        <v>1.7169341064742629E-2</v>
      </c>
      <c r="Q920" s="319">
        <v>3.9421790858056418E-3</v>
      </c>
    </row>
    <row r="921" spans="2:17" ht="15.75" x14ac:dyDescent="0.25">
      <c r="B921" s="176">
        <v>2034</v>
      </c>
      <c r="C921" s="177">
        <v>2029</v>
      </c>
      <c r="D921" s="178" t="s">
        <v>3767</v>
      </c>
      <c r="E921" s="461">
        <v>3.5570637338717494E-2</v>
      </c>
      <c r="F921" s="462">
        <v>3.6378098758179454E-2</v>
      </c>
      <c r="G921" s="316">
        <v>5.468845490791422E-2</v>
      </c>
      <c r="H921" s="317">
        <v>2.5058509181788567E-3</v>
      </c>
      <c r="I921" s="317">
        <v>3.629407248657162E-2</v>
      </c>
      <c r="J921" s="317">
        <v>1.6516885619147232E-2</v>
      </c>
      <c r="K921" s="317">
        <v>3.4297208297651214E-3</v>
      </c>
      <c r="L921" s="318">
        <v>5.7355444633930654E-4</v>
      </c>
      <c r="M921" s="317">
        <v>2.7133176556196174E-3</v>
      </c>
      <c r="N921" s="318">
        <v>2.0000005732018801E-3</v>
      </c>
      <c r="O921" s="317">
        <v>2.7883528085890518E-2</v>
      </c>
      <c r="P921" s="318">
        <v>1.714871342626138E-2</v>
      </c>
      <c r="Q921" s="319">
        <v>3.584797586526323E-3</v>
      </c>
    </row>
    <row r="922" spans="2:17" ht="15.75" x14ac:dyDescent="0.25">
      <c r="B922" s="176">
        <v>2034</v>
      </c>
      <c r="C922" s="177">
        <v>2030</v>
      </c>
      <c r="D922" s="178" t="s">
        <v>3768</v>
      </c>
      <c r="E922" s="461">
        <v>3.5552263580677639E-2</v>
      </c>
      <c r="F922" s="462">
        <v>3.6370418501972632E-2</v>
      </c>
      <c r="G922" s="316">
        <v>5.3298069038778428E-2</v>
      </c>
      <c r="H922" s="317">
        <v>2.4618737742372085E-3</v>
      </c>
      <c r="I922" s="317">
        <v>3.4457293121213192E-2</v>
      </c>
      <c r="J922" s="317">
        <v>1.5670499903652605E-2</v>
      </c>
      <c r="K922" s="317">
        <v>3.084348532441179E-3</v>
      </c>
      <c r="L922" s="318">
        <v>5.7374875232234766E-4</v>
      </c>
      <c r="M922" s="317">
        <v>2.712403434265652E-3</v>
      </c>
      <c r="N922" s="318">
        <v>2.0000005732018801E-3</v>
      </c>
      <c r="O922" s="317">
        <v>2.7867977180659691E-2</v>
      </c>
      <c r="P922" s="318">
        <v>1.7152667891091856E-2</v>
      </c>
      <c r="Q922" s="319">
        <v>3.2238090864842601E-3</v>
      </c>
    </row>
    <row r="923" spans="2:17" ht="15.75" x14ac:dyDescent="0.25">
      <c r="B923" s="176">
        <v>2034</v>
      </c>
      <c r="C923" s="177">
        <v>2031</v>
      </c>
      <c r="D923" s="178" t="s">
        <v>3769</v>
      </c>
      <c r="E923" s="461">
        <v>3.5543245665284134E-2</v>
      </c>
      <c r="F923" s="462">
        <v>3.6354104984751792E-2</v>
      </c>
      <c r="G923" s="316">
        <v>5.1885027101882995E-2</v>
      </c>
      <c r="H923" s="317">
        <v>2.4353955164101429E-3</v>
      </c>
      <c r="I923" s="317">
        <v>3.2556103625019726E-2</v>
      </c>
      <c r="J923" s="317">
        <v>1.4996647547167665E-2</v>
      </c>
      <c r="K923" s="317">
        <v>2.7244386574046893E-3</v>
      </c>
      <c r="L923" s="318">
        <v>5.7392535059617761E-4</v>
      </c>
      <c r="M923" s="317">
        <v>2.7121544566795527E-3</v>
      </c>
      <c r="N923" s="318">
        <v>2.0000005732018805E-3</v>
      </c>
      <c r="O923" s="317">
        <v>2.7863742071920022E-2</v>
      </c>
      <c r="P923" s="318">
        <v>1.7152512804187423E-2</v>
      </c>
      <c r="Q923" s="319">
        <v>2.8476256839750367E-3</v>
      </c>
    </row>
    <row r="924" spans="2:17" ht="15.75" x14ac:dyDescent="0.25">
      <c r="B924" s="176">
        <v>2034</v>
      </c>
      <c r="C924" s="177">
        <v>2032</v>
      </c>
      <c r="D924" s="178" t="s">
        <v>3770</v>
      </c>
      <c r="E924" s="461">
        <v>3.5505533741081827E-2</v>
      </c>
      <c r="F924" s="462">
        <v>3.630637376179293E-2</v>
      </c>
      <c r="G924" s="316">
        <v>5.0252361508893374E-2</v>
      </c>
      <c r="H924" s="317">
        <v>2.426884878673455E-3</v>
      </c>
      <c r="I924" s="317">
        <v>3.0487826129364608E-2</v>
      </c>
      <c r="J924" s="317">
        <v>1.4417273887127125E-2</v>
      </c>
      <c r="K924" s="317">
        <v>2.3415834304051368E-3</v>
      </c>
      <c r="L924" s="318">
        <v>5.7369493258966437E-4</v>
      </c>
      <c r="M924" s="317">
        <v>2.7095889132991847E-3</v>
      </c>
      <c r="N924" s="318">
        <v>2.0000005732018801E-3</v>
      </c>
      <c r="O924" s="317">
        <v>2.7820102179019961E-2</v>
      </c>
      <c r="P924" s="318">
        <v>1.7140432227051836E-2</v>
      </c>
      <c r="Q924" s="319">
        <v>2.4474594425054736E-3</v>
      </c>
    </row>
    <row r="925" spans="2:17" ht="15.75" x14ac:dyDescent="0.25">
      <c r="B925" s="176">
        <v>2034</v>
      </c>
      <c r="C925" s="177">
        <v>2033</v>
      </c>
      <c r="D925" s="178" t="s">
        <v>3771</v>
      </c>
      <c r="E925" s="461">
        <v>3.5478227219561287E-2</v>
      </c>
      <c r="F925" s="462">
        <v>3.6233157115279593E-2</v>
      </c>
      <c r="G925" s="316">
        <v>4.8621915883450426E-2</v>
      </c>
      <c r="H925" s="317">
        <v>2.4114119120354381E-3</v>
      </c>
      <c r="I925" s="317">
        <v>2.8369136336453844E-2</v>
      </c>
      <c r="J925" s="317">
        <v>1.3851348749757948E-2</v>
      </c>
      <c r="K925" s="317">
        <v>1.9459058014758977E-3</v>
      </c>
      <c r="L925" s="318">
        <v>5.7258421882202084E-4</v>
      </c>
      <c r="M925" s="317">
        <v>2.7080698717688876E-3</v>
      </c>
      <c r="N925" s="318">
        <v>2.0000005732018805E-3</v>
      </c>
      <c r="O925" s="317">
        <v>2.7794263282589601E-2</v>
      </c>
      <c r="P925" s="318">
        <v>1.7123734100693882E-2</v>
      </c>
      <c r="Q925" s="319">
        <v>2.0338910269895281E-3</v>
      </c>
    </row>
    <row r="926" spans="2:17" ht="15.75" x14ac:dyDescent="0.25">
      <c r="B926" s="176">
        <v>2034</v>
      </c>
      <c r="C926" s="177">
        <v>2034</v>
      </c>
      <c r="D926" s="178" t="s">
        <v>3772</v>
      </c>
      <c r="E926" s="461">
        <v>3.5105964001706381E-2</v>
      </c>
      <c r="F926" s="462">
        <v>3.5553304885365018E-2</v>
      </c>
      <c r="G926" s="316">
        <v>4.5237698782624285E-2</v>
      </c>
      <c r="H926" s="317">
        <v>2.2829616493603199E-3</v>
      </c>
      <c r="I926" s="317">
        <v>2.5384419332260655E-2</v>
      </c>
      <c r="J926" s="317">
        <v>1.2720862210853725E-2</v>
      </c>
      <c r="K926" s="317">
        <v>1.4930676429751313E-3</v>
      </c>
      <c r="L926" s="318">
        <v>5.6034580595653758E-4</v>
      </c>
      <c r="M926" s="317">
        <v>2.6793277601653716E-3</v>
      </c>
      <c r="N926" s="318">
        <v>2.0000005732018801E-3</v>
      </c>
      <c r="O926" s="317">
        <v>2.7305359964213804E-2</v>
      </c>
      <c r="P926" s="318">
        <v>1.6899480239277325E-2</v>
      </c>
      <c r="Q926" s="319">
        <v>1.5605775364009209E-3</v>
      </c>
    </row>
    <row r="927" spans="2:17" ht="15.75" x14ac:dyDescent="0.25">
      <c r="B927" s="176">
        <v>2035</v>
      </c>
      <c r="C927" s="177">
        <v>1991</v>
      </c>
      <c r="D927" s="178" t="s">
        <v>3773</v>
      </c>
      <c r="E927" s="461">
        <v>5.8178715496071211E-2</v>
      </c>
      <c r="F927" s="462">
        <v>8.7580427438716371E-2</v>
      </c>
      <c r="G927" s="316">
        <v>0.37858044212410796</v>
      </c>
      <c r="H927" s="317">
        <v>0.53192979889016889</v>
      </c>
      <c r="I927" s="317">
        <v>8.631168942136231</v>
      </c>
      <c r="J927" s="317">
        <v>2.3229008813192737</v>
      </c>
      <c r="K927" s="317">
        <v>6.1993823798910101E-2</v>
      </c>
      <c r="L927" s="318">
        <v>9.7765795952352574E-3</v>
      </c>
      <c r="M927" s="317">
        <v>2.9487000469397124E-3</v>
      </c>
      <c r="N927" s="318">
        <v>2.0000005732018797E-3</v>
      </c>
      <c r="O927" s="317">
        <v>3.1887382562245332E-2</v>
      </c>
      <c r="P927" s="318">
        <v>2.1171143106460615E-2</v>
      </c>
      <c r="Q927" s="319">
        <v>6.4796909417577972E-2</v>
      </c>
    </row>
    <row r="928" spans="2:17" ht="15.75" x14ac:dyDescent="0.25">
      <c r="B928" s="176">
        <v>2035</v>
      </c>
      <c r="C928" s="177">
        <v>1992</v>
      </c>
      <c r="D928" s="178" t="s">
        <v>3774</v>
      </c>
      <c r="E928" s="461">
        <v>5.7967232913761019E-2</v>
      </c>
      <c r="F928" s="462">
        <v>8.4708310812976556E-2</v>
      </c>
      <c r="G928" s="316">
        <v>0.37794279243115925</v>
      </c>
      <c r="H928" s="317">
        <v>0.53292929769589137</v>
      </c>
      <c r="I928" s="317">
        <v>8.392374027597663</v>
      </c>
      <c r="J928" s="317">
        <v>2.2582463357219105</v>
      </c>
      <c r="K928" s="317">
        <v>6.6631761476926121E-2</v>
      </c>
      <c r="L928" s="318">
        <v>9.8992619805697724E-3</v>
      </c>
      <c r="M928" s="317">
        <v>2.9188164172005275E-3</v>
      </c>
      <c r="N928" s="318">
        <v>2.0000005732018805E-3</v>
      </c>
      <c r="O928" s="317">
        <v>3.1379062020381793E-2</v>
      </c>
      <c r="P928" s="318">
        <v>2.0238109169442822E-2</v>
      </c>
      <c r="Q928" s="319">
        <v>6.9644554056850175E-2</v>
      </c>
    </row>
    <row r="929" spans="2:17" ht="15.75" x14ac:dyDescent="0.25">
      <c r="B929" s="176">
        <v>2035</v>
      </c>
      <c r="C929" s="177">
        <v>1993</v>
      </c>
      <c r="D929" s="178" t="s">
        <v>3775</v>
      </c>
      <c r="E929" s="461">
        <v>5.7753759397176523E-2</v>
      </c>
      <c r="F929" s="462">
        <v>7.5918559499110333E-2</v>
      </c>
      <c r="G929" s="316">
        <v>0.36208391191905609</v>
      </c>
      <c r="H929" s="317">
        <v>0.53754807320646203</v>
      </c>
      <c r="I929" s="317">
        <v>8.5629999786471327</v>
      </c>
      <c r="J929" s="317">
        <v>2.2137866231739851</v>
      </c>
      <c r="K929" s="317">
        <v>5.3859710029075657E-2</v>
      </c>
      <c r="L929" s="318">
        <v>1.0039625833531428E-2</v>
      </c>
      <c r="M929" s="317">
        <v>2.9360137759064666E-3</v>
      </c>
      <c r="N929" s="318">
        <v>2.0000005732018801E-3</v>
      </c>
      <c r="O929" s="317">
        <v>3.1671589091969828E-2</v>
      </c>
      <c r="P929" s="318">
        <v>1.982749262849583E-2</v>
      </c>
      <c r="Q929" s="319">
        <v>5.6295007117666801E-2</v>
      </c>
    </row>
    <row r="930" spans="2:17" ht="15.75" x14ac:dyDescent="0.25">
      <c r="B930" s="176">
        <v>2035</v>
      </c>
      <c r="C930" s="177">
        <v>1994</v>
      </c>
      <c r="D930" s="178" t="s">
        <v>3776</v>
      </c>
      <c r="E930" s="461">
        <v>5.7473780842192582E-2</v>
      </c>
      <c r="F930" s="462">
        <v>7.2547279530096778E-2</v>
      </c>
      <c r="G930" s="316">
        <v>0.3567489825169568</v>
      </c>
      <c r="H930" s="317">
        <v>0.53830055500463403</v>
      </c>
      <c r="I930" s="317">
        <v>8.5114974145756559</v>
      </c>
      <c r="J930" s="317">
        <v>2.1476791234398078</v>
      </c>
      <c r="K930" s="317">
        <v>5.3984493827382303E-2</v>
      </c>
      <c r="L930" s="318">
        <v>1.0143891810477675E-2</v>
      </c>
      <c r="M930" s="317">
        <v>2.9257249580164017E-3</v>
      </c>
      <c r="N930" s="318">
        <v>2.0000005732018805E-3</v>
      </c>
      <c r="O930" s="317">
        <v>3.1496576299659823E-2</v>
      </c>
      <c r="P930" s="318">
        <v>1.8905611258893701E-2</v>
      </c>
      <c r="Q930" s="319">
        <v>5.6425433085613076E-2</v>
      </c>
    </row>
    <row r="931" spans="2:17" ht="15.75" x14ac:dyDescent="0.25">
      <c r="B931" s="176">
        <v>2035</v>
      </c>
      <c r="C931" s="177">
        <v>1995</v>
      </c>
      <c r="D931" s="178" t="s">
        <v>3777</v>
      </c>
      <c r="E931" s="461">
        <v>5.7400843404756222E-2</v>
      </c>
      <c r="F931" s="462">
        <v>7.4088978790998308E-2</v>
      </c>
      <c r="G931" s="316">
        <v>0.35884704572948867</v>
      </c>
      <c r="H931" s="317">
        <v>0.40744635450780542</v>
      </c>
      <c r="I931" s="317">
        <v>8.7412003552412596</v>
      </c>
      <c r="J931" s="317">
        <v>1.6845259621705779</v>
      </c>
      <c r="K931" s="317">
        <v>5.3408018440612187E-2</v>
      </c>
      <c r="L931" s="318">
        <v>9.3695714995075952E-3</v>
      </c>
      <c r="M931" s="317">
        <v>2.9485656679210976E-3</v>
      </c>
      <c r="N931" s="318">
        <v>2.0000005732018805E-3</v>
      </c>
      <c r="O931" s="317">
        <v>3.1885096775138705E-2</v>
      </c>
      <c r="P931" s="318">
        <v>1.9608258199747822E-2</v>
      </c>
      <c r="Q931" s="319">
        <v>5.582289203992475E-2</v>
      </c>
    </row>
    <row r="932" spans="2:17" ht="15.75" x14ac:dyDescent="0.25">
      <c r="B932" s="176">
        <v>2035</v>
      </c>
      <c r="C932" s="177">
        <v>1996</v>
      </c>
      <c r="D932" s="178" t="s">
        <v>3778</v>
      </c>
      <c r="E932" s="461">
        <v>5.7642481420542596E-2</v>
      </c>
      <c r="F932" s="462">
        <v>7.3870560740254512E-2</v>
      </c>
      <c r="G932" s="316">
        <v>0.36444733470002982</v>
      </c>
      <c r="H932" s="317">
        <v>0.14079468938082579</v>
      </c>
      <c r="I932" s="317">
        <v>8.8247730396518609</v>
      </c>
      <c r="J932" s="317">
        <v>1.0235908239852103</v>
      </c>
      <c r="K932" s="317">
        <v>5.3633585182014255E-2</v>
      </c>
      <c r="L932" s="318">
        <v>2.8643378389780162E-3</v>
      </c>
      <c r="M932" s="317">
        <v>2.9626942898789222E-3</v>
      </c>
      <c r="N932" s="318">
        <v>2.0000005732018801E-3</v>
      </c>
      <c r="O932" s="317">
        <v>3.2125424634641304E-2</v>
      </c>
      <c r="P932" s="318">
        <v>1.9862677842636917E-2</v>
      </c>
      <c r="Q932" s="319">
        <v>5.6058657908435491E-2</v>
      </c>
    </row>
    <row r="933" spans="2:17" ht="15.75" x14ac:dyDescent="0.25">
      <c r="B933" s="176">
        <v>2035</v>
      </c>
      <c r="C933" s="177">
        <v>1997</v>
      </c>
      <c r="D933" s="178" t="s">
        <v>3779</v>
      </c>
      <c r="E933" s="461">
        <v>5.7857933387125492E-2</v>
      </c>
      <c r="F933" s="462">
        <v>7.1561240618830763E-2</v>
      </c>
      <c r="G933" s="316">
        <v>0.36895610440770982</v>
      </c>
      <c r="H933" s="317">
        <v>0.14611266838364886</v>
      </c>
      <c r="I933" s="317">
        <v>8.8871624303748415</v>
      </c>
      <c r="J933" s="317">
        <v>1.0528010522964988</v>
      </c>
      <c r="K933" s="317">
        <v>5.387085710632164E-2</v>
      </c>
      <c r="L933" s="318">
        <v>2.8839287999960707E-3</v>
      </c>
      <c r="M933" s="317">
        <v>2.9735314858094228E-3</v>
      </c>
      <c r="N933" s="318">
        <v>2.0000005732018801E-3</v>
      </c>
      <c r="O933" s="317">
        <v>3.2309765337419111E-2</v>
      </c>
      <c r="P933" s="318">
        <v>1.9239831645712777E-2</v>
      </c>
      <c r="Q933" s="319">
        <v>5.6306658216281516E-2</v>
      </c>
    </row>
    <row r="934" spans="2:17" ht="15.75" x14ac:dyDescent="0.25">
      <c r="B934" s="176">
        <v>2035</v>
      </c>
      <c r="C934" s="177">
        <v>1998</v>
      </c>
      <c r="D934" s="178" t="s">
        <v>3780</v>
      </c>
      <c r="E934" s="461">
        <v>5.7730305511908719E-2</v>
      </c>
      <c r="F934" s="462">
        <v>6.8202636822368976E-2</v>
      </c>
      <c r="G934" s="316">
        <v>0.36728878721175262</v>
      </c>
      <c r="H934" s="317">
        <v>0.13562765773074872</v>
      </c>
      <c r="I934" s="317">
        <v>8.871242375628329</v>
      </c>
      <c r="J934" s="317">
        <v>0.92921760647514329</v>
      </c>
      <c r="K934" s="317">
        <v>5.3729666974013261E-2</v>
      </c>
      <c r="L934" s="318">
        <v>2.9237564104110927E-3</v>
      </c>
      <c r="M934" s="317">
        <v>2.9706809130036799E-3</v>
      </c>
      <c r="N934" s="318">
        <v>2.0000005732018801E-3</v>
      </c>
      <c r="O934" s="317">
        <v>3.2261277093993429E-2</v>
      </c>
      <c r="P934" s="318">
        <v>1.8318052452928404E-2</v>
      </c>
      <c r="Q934" s="319">
        <v>5.6159084092712065E-2</v>
      </c>
    </row>
    <row r="935" spans="2:17" ht="15.75" x14ac:dyDescent="0.25">
      <c r="B935" s="176">
        <v>2035</v>
      </c>
      <c r="C935" s="177">
        <v>1999</v>
      </c>
      <c r="D935" s="178" t="s">
        <v>3781</v>
      </c>
      <c r="E935" s="461">
        <v>5.7955240443912245E-2</v>
      </c>
      <c r="F935" s="462">
        <v>6.8988677814170271E-2</v>
      </c>
      <c r="G935" s="316">
        <v>0.37336417351257384</v>
      </c>
      <c r="H935" s="317">
        <v>0.11820358762521507</v>
      </c>
      <c r="I935" s="317">
        <v>9.0414955837899011</v>
      </c>
      <c r="J935" s="317">
        <v>0.7687545568028642</v>
      </c>
      <c r="K935" s="317">
        <v>5.3769306756739632E-2</v>
      </c>
      <c r="L935" s="318">
        <v>2.9278785632074079E-3</v>
      </c>
      <c r="M935" s="317">
        <v>2.9922598153785196E-3</v>
      </c>
      <c r="N935" s="318">
        <v>2.0000005732018801E-3</v>
      </c>
      <c r="O935" s="317">
        <v>3.2628334223389455E-2</v>
      </c>
      <c r="P935" s="318">
        <v>1.8577520373670751E-2</v>
      </c>
      <c r="Q935" s="319">
        <v>5.6200516210514369E-2</v>
      </c>
    </row>
    <row r="936" spans="2:17" ht="15.75" x14ac:dyDescent="0.25">
      <c r="B936" s="176">
        <v>2035</v>
      </c>
      <c r="C936" s="177">
        <v>2000</v>
      </c>
      <c r="D936" s="178" t="s">
        <v>3782</v>
      </c>
      <c r="E936" s="461">
        <v>5.7831975424474782E-2</v>
      </c>
      <c r="F936" s="462">
        <v>7.5289906502047546E-2</v>
      </c>
      <c r="G936" s="316">
        <v>0.3726646628743126</v>
      </c>
      <c r="H936" s="317">
        <v>0.10118054016824155</v>
      </c>
      <c r="I936" s="317">
        <v>9.1109587254389481</v>
      </c>
      <c r="J936" s="317">
        <v>0.61553416410911688</v>
      </c>
      <c r="K936" s="317">
        <v>5.3441507699556988E-2</v>
      </c>
      <c r="L936" s="318">
        <v>2.9206411421760256E-3</v>
      </c>
      <c r="M936" s="317">
        <v>2.9979418846935615E-3</v>
      </c>
      <c r="N936" s="318">
        <v>2.0000005732018797E-3</v>
      </c>
      <c r="O936" s="317">
        <v>3.2724986222438315E-2</v>
      </c>
      <c r="P936" s="318">
        <v>1.8818652872757524E-2</v>
      </c>
      <c r="Q936" s="319">
        <v>5.585789553455265E-2</v>
      </c>
    </row>
    <row r="937" spans="2:17" ht="15.75" x14ac:dyDescent="0.25">
      <c r="B937" s="176">
        <v>2035</v>
      </c>
      <c r="C937" s="177">
        <v>2001</v>
      </c>
      <c r="D937" s="178" t="s">
        <v>3783</v>
      </c>
      <c r="E937" s="461">
        <v>5.7900552555085263E-2</v>
      </c>
      <c r="F937" s="462">
        <v>7.4136464518163497E-2</v>
      </c>
      <c r="G937" s="316">
        <v>0.37327201169740321</v>
      </c>
      <c r="H937" s="317">
        <v>8.7142687542614256E-2</v>
      </c>
      <c r="I937" s="317">
        <v>9.0477534290903492</v>
      </c>
      <c r="J937" s="317">
        <v>0.47577901532909417</v>
      </c>
      <c r="K937" s="317">
        <v>5.3726522339216799E-2</v>
      </c>
      <c r="L937" s="318">
        <v>2.9401896780511427E-3</v>
      </c>
      <c r="M937" s="317">
        <v>2.9929014948048508E-3</v>
      </c>
      <c r="N937" s="318">
        <v>2.0000005732018801E-3</v>
      </c>
      <c r="O937" s="317">
        <v>3.2639249190431346E-2</v>
      </c>
      <c r="P937" s="318">
        <v>1.8460475811947097E-2</v>
      </c>
      <c r="Q937" s="319">
        <v>5.6155797271484301E-2</v>
      </c>
    </row>
    <row r="938" spans="2:17" ht="15.75" x14ac:dyDescent="0.25">
      <c r="B938" s="176">
        <v>2035</v>
      </c>
      <c r="C938" s="177">
        <v>2002</v>
      </c>
      <c r="D938" s="178" t="s">
        <v>3784</v>
      </c>
      <c r="E938" s="461">
        <v>5.773421668762032E-2</v>
      </c>
      <c r="F938" s="462">
        <v>7.2293893890543484E-2</v>
      </c>
      <c r="G938" s="316">
        <v>0.28850517177577917</v>
      </c>
      <c r="H938" s="317">
        <v>8.7225418304503616E-2</v>
      </c>
      <c r="I938" s="317">
        <v>7.0188316387211183</v>
      </c>
      <c r="J938" s="317">
        <v>0.45753671727555495</v>
      </c>
      <c r="K938" s="317">
        <v>5.386690274261223E-2</v>
      </c>
      <c r="L938" s="318">
        <v>2.9658124842438212E-3</v>
      </c>
      <c r="M938" s="317">
        <v>2.9974269219839567E-3</v>
      </c>
      <c r="N938" s="318">
        <v>2.0000005732018801E-3</v>
      </c>
      <c r="O938" s="317">
        <v>3.2716226706747939E-2</v>
      </c>
      <c r="P938" s="318">
        <v>1.7883465877456799E-2</v>
      </c>
      <c r="Q938" s="319">
        <v>5.6302525053792442E-2</v>
      </c>
    </row>
    <row r="939" spans="2:17" ht="15.75" x14ac:dyDescent="0.25">
      <c r="B939" s="176">
        <v>2035</v>
      </c>
      <c r="C939" s="177">
        <v>2003</v>
      </c>
      <c r="D939" s="178" t="s">
        <v>3785</v>
      </c>
      <c r="E939" s="461">
        <v>5.752995641823936E-2</v>
      </c>
      <c r="F939" s="462">
        <v>7.3348686426992674E-2</v>
      </c>
      <c r="G939" s="316">
        <v>0.28629356197883737</v>
      </c>
      <c r="H939" s="317">
        <v>7.0639905636902658E-2</v>
      </c>
      <c r="I939" s="317">
        <v>7.020747629834851</v>
      </c>
      <c r="J939" s="317">
        <v>0.3914776184850644</v>
      </c>
      <c r="K939" s="317">
        <v>5.3557571471783201E-2</v>
      </c>
      <c r="L939" s="318">
        <v>2.9473717457747083E-3</v>
      </c>
      <c r="M939" s="317">
        <v>2.9945306506079768E-3</v>
      </c>
      <c r="N939" s="318">
        <v>2.0000005732018805E-3</v>
      </c>
      <c r="O939" s="317">
        <v>3.2666961130642512E-2</v>
      </c>
      <c r="P939" s="318">
        <v>1.8271457684858015E-2</v>
      </c>
      <c r="Q939" s="319">
        <v>5.5979207195533606E-2</v>
      </c>
    </row>
    <row r="940" spans="2:17" ht="15.75" x14ac:dyDescent="0.25">
      <c r="B940" s="176">
        <v>2035</v>
      </c>
      <c r="C940" s="177">
        <v>2004</v>
      </c>
      <c r="D940" s="178" t="s">
        <v>3786</v>
      </c>
      <c r="E940" s="461">
        <v>5.7417927603172707E-2</v>
      </c>
      <c r="F940" s="462">
        <v>7.3191250949963885E-2</v>
      </c>
      <c r="G940" s="316">
        <v>0.23638881647008883</v>
      </c>
      <c r="H940" s="317">
        <v>1.8149627583136371E-2</v>
      </c>
      <c r="I940" s="317">
        <v>5.8599571379379221</v>
      </c>
      <c r="J940" s="317">
        <v>0.11653933487745766</v>
      </c>
      <c r="K940" s="317">
        <v>5.331428897297763E-2</v>
      </c>
      <c r="L940" s="318">
        <v>1.9672481730549773E-4</v>
      </c>
      <c r="M940" s="317">
        <v>2.9929028826416212E-3</v>
      </c>
      <c r="N940" s="318">
        <v>2.0000005732018805E-3</v>
      </c>
      <c r="O940" s="317">
        <v>3.2639272797534806E-2</v>
      </c>
      <c r="P940" s="318">
        <v>1.7926159089307527E-2</v>
      </c>
      <c r="Q940" s="319">
        <v>5.5724924541682173E-2</v>
      </c>
    </row>
    <row r="941" spans="2:17" ht="15.75" x14ac:dyDescent="0.25">
      <c r="B941" s="176">
        <v>2035</v>
      </c>
      <c r="C941" s="177">
        <v>2005</v>
      </c>
      <c r="D941" s="178" t="s">
        <v>3787</v>
      </c>
      <c r="E941" s="461">
        <v>5.7184228204385248E-2</v>
      </c>
      <c r="F941" s="462">
        <v>6.9500271579315362E-2</v>
      </c>
      <c r="G941" s="316">
        <v>0.23403267069089331</v>
      </c>
      <c r="H941" s="317">
        <v>1.5837814094849492E-2</v>
      </c>
      <c r="I941" s="317">
        <v>5.8589468854433466</v>
      </c>
      <c r="J941" s="317">
        <v>9.500589962961091E-2</v>
      </c>
      <c r="K941" s="317">
        <v>5.2948923252087533E-2</v>
      </c>
      <c r="L941" s="318">
        <v>1.9753076345888681E-4</v>
      </c>
      <c r="M941" s="317">
        <v>2.987801745797014E-3</v>
      </c>
      <c r="N941" s="318">
        <v>2.0000005732018801E-3</v>
      </c>
      <c r="O941" s="317">
        <v>3.2552502459808043E-2</v>
      </c>
      <c r="P941" s="318">
        <v>1.7204975176926617E-2</v>
      </c>
      <c r="Q941" s="319">
        <v>5.5343038604179856E-2</v>
      </c>
    </row>
    <row r="942" spans="2:17" ht="15.75" x14ac:dyDescent="0.25">
      <c r="B942" s="176">
        <v>2035</v>
      </c>
      <c r="C942" s="177">
        <v>2006</v>
      </c>
      <c r="D942" s="178" t="s">
        <v>3788</v>
      </c>
      <c r="E942" s="461">
        <v>5.7125956622952369E-2</v>
      </c>
      <c r="F942" s="462">
        <v>7.3029024424312902E-2</v>
      </c>
      <c r="G942" s="316">
        <v>0.23369204459224754</v>
      </c>
      <c r="H942" s="317">
        <v>6.043535686376153E-3</v>
      </c>
      <c r="I942" s="317">
        <v>5.8549833038779875</v>
      </c>
      <c r="J942" s="317">
        <v>6.6985388703636906E-2</v>
      </c>
      <c r="K942" s="317">
        <v>5.2910720213320307E-2</v>
      </c>
      <c r="L942" s="318">
        <v>1.9347829524906775E-4</v>
      </c>
      <c r="M942" s="317">
        <v>2.9865547247311963E-3</v>
      </c>
      <c r="N942" s="318">
        <v>2.0000005732018801E-3</v>
      </c>
      <c r="O942" s="317">
        <v>3.2531290631478478E-2</v>
      </c>
      <c r="P942" s="318">
        <v>1.9006602539919579E-2</v>
      </c>
      <c r="Q942" s="319">
        <v>5.530310819352309E-2</v>
      </c>
    </row>
    <row r="943" spans="2:17" ht="15.75" x14ac:dyDescent="0.25">
      <c r="B943" s="176">
        <v>2035</v>
      </c>
      <c r="C943" s="177">
        <v>2007</v>
      </c>
      <c r="D943" s="178" t="s">
        <v>3789</v>
      </c>
      <c r="E943" s="461">
        <v>5.6965297591820285E-2</v>
      </c>
      <c r="F943" s="462">
        <v>6.8404248025793132E-2</v>
      </c>
      <c r="G943" s="316">
        <v>0.16855300203965753</v>
      </c>
      <c r="H943" s="317">
        <v>8.5468603201986192E-3</v>
      </c>
      <c r="I943" s="317">
        <v>3.005192762409215</v>
      </c>
      <c r="J943" s="317">
        <v>5.8381079766937106E-2</v>
      </c>
      <c r="K943" s="317">
        <v>3.7235903402314779E-2</v>
      </c>
      <c r="L943" s="318">
        <v>1.9704695263752684E-4</v>
      </c>
      <c r="M943" s="317">
        <v>2.9689213898548357E-3</v>
      </c>
      <c r="N943" s="318">
        <v>2.0000005732018801E-3</v>
      </c>
      <c r="O943" s="317">
        <v>3.2231347605231581E-2</v>
      </c>
      <c r="P943" s="318">
        <v>1.7507772978495754E-2</v>
      </c>
      <c r="Q943" s="319">
        <v>3.8919545722293267E-2</v>
      </c>
    </row>
    <row r="944" spans="2:17" ht="15.75" x14ac:dyDescent="0.25">
      <c r="B944" s="176">
        <v>2035</v>
      </c>
      <c r="C944" s="177">
        <v>2008</v>
      </c>
      <c r="D944" s="178" t="s">
        <v>3790</v>
      </c>
      <c r="E944" s="461">
        <v>5.69625501883659E-2</v>
      </c>
      <c r="F944" s="462">
        <v>6.6746239226737877E-2</v>
      </c>
      <c r="G944" s="316">
        <v>0.16971309915841795</v>
      </c>
      <c r="H944" s="317">
        <v>8.2899702483982315E-3</v>
      </c>
      <c r="I944" s="317">
        <v>3.0233807899312457</v>
      </c>
      <c r="J944" s="317">
        <v>4.69847100508754E-2</v>
      </c>
      <c r="K944" s="317">
        <v>3.7474097818938054E-2</v>
      </c>
      <c r="L944" s="318">
        <v>2.2516612485734089E-4</v>
      </c>
      <c r="M944" s="317">
        <v>2.9760041176119375E-3</v>
      </c>
      <c r="N944" s="318">
        <v>2.0000005732018801E-3</v>
      </c>
      <c r="O944" s="317">
        <v>3.235182480437989E-2</v>
      </c>
      <c r="P944" s="318">
        <v>1.7493606863834651E-2</v>
      </c>
      <c r="Q944" s="319">
        <v>3.9168510233464203E-2</v>
      </c>
    </row>
    <row r="945" spans="2:17" ht="15.75" x14ac:dyDescent="0.25">
      <c r="B945" s="176">
        <v>2035</v>
      </c>
      <c r="C945" s="177">
        <v>2009</v>
      </c>
      <c r="D945" s="178" t="s">
        <v>3791</v>
      </c>
      <c r="E945" s="461">
        <v>5.623053302271442E-2</v>
      </c>
      <c r="F945" s="462">
        <v>6.1274866909033276E-2</v>
      </c>
      <c r="G945" s="316">
        <v>0.15925039666536678</v>
      </c>
      <c r="H945" s="317">
        <v>8.1311709942891528E-3</v>
      </c>
      <c r="I945" s="317">
        <v>2.7431988182527931</v>
      </c>
      <c r="J945" s="317">
        <v>3.4044340367735522E-2</v>
      </c>
      <c r="K945" s="317">
        <v>3.5080222404469216E-2</v>
      </c>
      <c r="L945" s="318">
        <v>2.5466008020611598E-4</v>
      </c>
      <c r="M945" s="317">
        <v>2.8887538014263016E-3</v>
      </c>
      <c r="N945" s="318">
        <v>2.0000005732018801E-3</v>
      </c>
      <c r="O945" s="317">
        <v>3.0867696926062217E-2</v>
      </c>
      <c r="P945" s="318">
        <v>1.6820535939447115E-2</v>
      </c>
      <c r="Q945" s="319">
        <v>3.6666394395417884E-2</v>
      </c>
    </row>
    <row r="946" spans="2:17" ht="15.75" x14ac:dyDescent="0.25">
      <c r="B946" s="176">
        <v>2035</v>
      </c>
      <c r="C946" s="177">
        <v>2010</v>
      </c>
      <c r="D946" s="178" t="s">
        <v>3792</v>
      </c>
      <c r="E946" s="461">
        <v>5.5019647581801244E-2</v>
      </c>
      <c r="F946" s="462">
        <v>5.9265135900997357E-2</v>
      </c>
      <c r="G946" s="316">
        <v>9.4353328533658312E-2</v>
      </c>
      <c r="H946" s="317">
        <v>7.3034448553269083E-3</v>
      </c>
      <c r="I946" s="317">
        <v>0.23820783698228684</v>
      </c>
      <c r="J946" s="317">
        <v>3.3108230698876098E-2</v>
      </c>
      <c r="K946" s="317">
        <v>2.0215995532212414E-2</v>
      </c>
      <c r="L946" s="318">
        <v>3.1087479117404316E-4</v>
      </c>
      <c r="M946" s="317">
        <v>2.7995074629611006E-3</v>
      </c>
      <c r="N946" s="318">
        <v>2.0000005732018801E-3</v>
      </c>
      <c r="O946" s="317">
        <v>2.9349616708769146E-2</v>
      </c>
      <c r="P946" s="318">
        <v>1.6423569151686447E-2</v>
      </c>
      <c r="Q946" s="319">
        <v>2.113007314302754E-2</v>
      </c>
    </row>
    <row r="947" spans="2:17" ht="15.75" x14ac:dyDescent="0.25">
      <c r="B947" s="176">
        <v>2035</v>
      </c>
      <c r="C947" s="177">
        <v>2011</v>
      </c>
      <c r="D947" s="178" t="s">
        <v>3793</v>
      </c>
      <c r="E947" s="461">
        <v>5.471573882067924E-2</v>
      </c>
      <c r="F947" s="462">
        <v>5.7892778020500787E-2</v>
      </c>
      <c r="G947" s="316">
        <v>9.4109229875981318E-2</v>
      </c>
      <c r="H947" s="317">
        <v>7.4035361041713075E-3</v>
      </c>
      <c r="I947" s="317">
        <v>0.23887086149348213</v>
      </c>
      <c r="J947" s="317">
        <v>3.3372648572801471E-2</v>
      </c>
      <c r="K947" s="317">
        <v>2.0286079762702594E-2</v>
      </c>
      <c r="L947" s="318">
        <v>4.2094050526038444E-4</v>
      </c>
      <c r="M947" s="317">
        <v>2.8083105164937875E-3</v>
      </c>
      <c r="N947" s="318">
        <v>2.0000005732018801E-3</v>
      </c>
      <c r="O947" s="317">
        <v>2.9499356649360146E-2</v>
      </c>
      <c r="P947" s="318">
        <v>1.6537970104758385E-2</v>
      </c>
      <c r="Q947" s="319">
        <v>2.1203326271426268E-2</v>
      </c>
    </row>
    <row r="948" spans="2:17" ht="15.75" x14ac:dyDescent="0.25">
      <c r="B948" s="176">
        <v>2035</v>
      </c>
      <c r="C948" s="177">
        <v>2012</v>
      </c>
      <c r="D948" s="178" t="s">
        <v>3794</v>
      </c>
      <c r="E948" s="461">
        <v>5.2589130669190041E-2</v>
      </c>
      <c r="F948" s="462">
        <v>5.7775430576803712E-2</v>
      </c>
      <c r="G948" s="316">
        <v>8.1794477023831913E-2</v>
      </c>
      <c r="H948" s="317">
        <v>6.9672017871598678E-3</v>
      </c>
      <c r="I948" s="317">
        <v>0.20520536493280925</v>
      </c>
      <c r="J948" s="317">
        <v>3.4340269402408759E-2</v>
      </c>
      <c r="K948" s="317">
        <v>1.7904832826789709E-2</v>
      </c>
      <c r="L948" s="318">
        <v>6.1093637185934276E-4</v>
      </c>
      <c r="M948" s="317">
        <v>2.6731719148620318E-3</v>
      </c>
      <c r="N948" s="318">
        <v>2.0000005732018797E-3</v>
      </c>
      <c r="O948" s="317">
        <v>2.7200649035603916E-2</v>
      </c>
      <c r="P948" s="318">
        <v>1.6896565517441071E-2</v>
      </c>
      <c r="Q948" s="319">
        <v>1.8714409915698178E-2</v>
      </c>
    </row>
    <row r="949" spans="2:17" ht="15.75" x14ac:dyDescent="0.25">
      <c r="B949" s="176">
        <v>2035</v>
      </c>
      <c r="C949" s="177">
        <v>2013</v>
      </c>
      <c r="D949" s="178" t="s">
        <v>3795</v>
      </c>
      <c r="E949" s="461">
        <v>5.4486037497981192E-2</v>
      </c>
      <c r="F949" s="462">
        <v>5.6424506716165064E-2</v>
      </c>
      <c r="G949" s="316">
        <v>9.5770315357080582E-2</v>
      </c>
      <c r="H949" s="317">
        <v>7.8859510195779213E-3</v>
      </c>
      <c r="I949" s="317">
        <v>0.24238433851320138</v>
      </c>
      <c r="J949" s="317">
        <v>3.3259188442235868E-2</v>
      </c>
      <c r="K949" s="317">
        <v>2.0453116010515381E-2</v>
      </c>
      <c r="L949" s="318">
        <v>9.1236803996462481E-4</v>
      </c>
      <c r="M949" s="317">
        <v>2.8237802444354941E-3</v>
      </c>
      <c r="N949" s="318">
        <v>2.0000005732018801E-3</v>
      </c>
      <c r="O949" s="317">
        <v>2.9762496721648581E-2</v>
      </c>
      <c r="P949" s="318">
        <v>1.697305403455867E-2</v>
      </c>
      <c r="Q949" s="319">
        <v>2.1377915157152708E-2</v>
      </c>
    </row>
    <row r="950" spans="2:17" ht="15.75" x14ac:dyDescent="0.25">
      <c r="B950" s="176">
        <v>2035</v>
      </c>
      <c r="C950" s="177">
        <v>2014</v>
      </c>
      <c r="D950" s="178" t="s">
        <v>3796</v>
      </c>
      <c r="E950" s="461">
        <v>5.1643095651988602E-2</v>
      </c>
      <c r="F950" s="462">
        <v>5.4217486678432292E-2</v>
      </c>
      <c r="G950" s="316">
        <v>8.4363245576552962E-2</v>
      </c>
      <c r="H950" s="317">
        <v>7.9884900550408946E-3</v>
      </c>
      <c r="I950" s="317">
        <v>0.21178991200201469</v>
      </c>
      <c r="J950" s="317">
        <v>3.1766521552077175E-2</v>
      </c>
      <c r="K950" s="317">
        <v>1.8270201096187898E-2</v>
      </c>
      <c r="L950" s="318">
        <v>1.2803846207077065E-3</v>
      </c>
      <c r="M950" s="317">
        <v>2.7077096294417556E-3</v>
      </c>
      <c r="N950" s="318">
        <v>2.0000005732018801E-3</v>
      </c>
      <c r="O950" s="317">
        <v>2.7788135560605085E-2</v>
      </c>
      <c r="P950" s="318">
        <v>1.6491745331737299E-2</v>
      </c>
      <c r="Q950" s="319">
        <v>1.9096298516940925E-2</v>
      </c>
    </row>
    <row r="951" spans="2:17" ht="15.75" x14ac:dyDescent="0.25">
      <c r="B951" s="176">
        <v>2035</v>
      </c>
      <c r="C951" s="177">
        <v>2015</v>
      </c>
      <c r="D951" s="178" t="s">
        <v>3797</v>
      </c>
      <c r="E951" s="461">
        <v>5.0376646504267791E-2</v>
      </c>
      <c r="F951" s="462">
        <v>5.6444321278610772E-2</v>
      </c>
      <c r="G951" s="316">
        <v>7.939843629966474E-2</v>
      </c>
      <c r="H951" s="317">
        <v>7.9470998486304272E-3</v>
      </c>
      <c r="I951" s="317">
        <v>0.19968351091128894</v>
      </c>
      <c r="J951" s="317">
        <v>3.3066976829579646E-2</v>
      </c>
      <c r="K951" s="317">
        <v>1.737723384328186E-2</v>
      </c>
      <c r="L951" s="318">
        <v>1.5915247042084246E-3</v>
      </c>
      <c r="M951" s="317">
        <v>2.6720760574007771E-3</v>
      </c>
      <c r="N951" s="318">
        <v>2.000000573201871E-3</v>
      </c>
      <c r="O951" s="317">
        <v>2.7182008500188044E-2</v>
      </c>
      <c r="P951" s="318">
        <v>1.7453223135685855E-2</v>
      </c>
      <c r="Q951" s="319">
        <v>1.8162955247341902E-2</v>
      </c>
    </row>
    <row r="952" spans="2:17" ht="15.75" x14ac:dyDescent="0.25">
      <c r="B952" s="176">
        <v>2035</v>
      </c>
      <c r="C952" s="177">
        <v>2016</v>
      </c>
      <c r="D952" s="178" t="s">
        <v>3798</v>
      </c>
      <c r="E952" s="461">
        <v>5.1113679359495776E-2</v>
      </c>
      <c r="F952" s="462">
        <v>5.7751962846538489E-2</v>
      </c>
      <c r="G952" s="316">
        <v>9.3667515810491944E-2</v>
      </c>
      <c r="H952" s="317">
        <v>7.6810080873252907E-3</v>
      </c>
      <c r="I952" s="317">
        <v>0.20910745575612327</v>
      </c>
      <c r="J952" s="317">
        <v>3.3314744258770679E-2</v>
      </c>
      <c r="K952" s="317">
        <v>1.9908394800471543E-2</v>
      </c>
      <c r="L952" s="318">
        <v>1.8227179271883545E-3</v>
      </c>
      <c r="M952" s="317">
        <v>2.8385665143546095E-3</v>
      </c>
      <c r="N952" s="318">
        <v>2.0000005732018801E-3</v>
      </c>
      <c r="O952" s="317">
        <v>3.0014011172972744E-2</v>
      </c>
      <c r="P952" s="318">
        <v>1.8378551460088814E-2</v>
      </c>
      <c r="Q952" s="319">
        <v>2.080856407115533E-2</v>
      </c>
    </row>
    <row r="953" spans="2:17" ht="15.75" x14ac:dyDescent="0.25">
      <c r="B953" s="176">
        <v>2035</v>
      </c>
      <c r="C953" s="177">
        <v>2017</v>
      </c>
      <c r="D953" s="178" t="s">
        <v>3799</v>
      </c>
      <c r="E953" s="461">
        <v>4.7553378837777244E-2</v>
      </c>
      <c r="F953" s="462">
        <v>5.1841985567215199E-2</v>
      </c>
      <c r="G953" s="316">
        <v>7.3391290303360238E-2</v>
      </c>
      <c r="H953" s="317">
        <v>7.6638488611169087E-3</v>
      </c>
      <c r="I953" s="317">
        <v>0.15279528511269258</v>
      </c>
      <c r="J953" s="317">
        <v>3.0686393815051304E-2</v>
      </c>
      <c r="K953" s="317">
        <v>1.7705948481367154E-2</v>
      </c>
      <c r="L953" s="318">
        <v>2.0074626512505871E-3</v>
      </c>
      <c r="M953" s="317">
        <v>2.7786128922054555E-3</v>
      </c>
      <c r="N953" s="318">
        <v>2.0000005732018801E-3</v>
      </c>
      <c r="O953" s="317">
        <v>2.8994200060215629E-2</v>
      </c>
      <c r="P953" s="318">
        <v>1.7307520199694441E-2</v>
      </c>
      <c r="Q953" s="319">
        <v>1.8506532902711863E-2</v>
      </c>
    </row>
    <row r="954" spans="2:17" ht="15.75" x14ac:dyDescent="0.25">
      <c r="B954" s="176">
        <v>2035</v>
      </c>
      <c r="C954" s="177">
        <v>2018</v>
      </c>
      <c r="D954" s="178" t="s">
        <v>3800</v>
      </c>
      <c r="E954" s="461">
        <v>4.4484139482178643E-2</v>
      </c>
      <c r="F954" s="462">
        <v>4.9424282914788731E-2</v>
      </c>
      <c r="G954" s="316">
        <v>7.2209823348144006E-2</v>
      </c>
      <c r="H954" s="317">
        <v>7.279623759475367E-3</v>
      </c>
      <c r="I954" s="317">
        <v>0.12362349048515868</v>
      </c>
      <c r="J954" s="317">
        <v>2.9122380308964475E-2</v>
      </c>
      <c r="K954" s="317">
        <v>1.6154927110500043E-2</v>
      </c>
      <c r="L954" s="318">
        <v>2.0913430641986801E-3</v>
      </c>
      <c r="M954" s="317">
        <v>2.7686579206803023E-3</v>
      </c>
      <c r="N954" s="318">
        <v>2.0000005732018801E-3</v>
      </c>
      <c r="O954" s="317">
        <v>2.8824865994572769E-2</v>
      </c>
      <c r="P954" s="318">
        <v>1.7268133992992943E-2</v>
      </c>
      <c r="Q954" s="319">
        <v>1.6885381228009557E-2</v>
      </c>
    </row>
    <row r="955" spans="2:17" ht="15.75" x14ac:dyDescent="0.25">
      <c r="B955" s="176">
        <v>2035</v>
      </c>
      <c r="C955" s="177">
        <v>2019</v>
      </c>
      <c r="D955" s="178" t="s">
        <v>3801</v>
      </c>
      <c r="E955" s="461">
        <v>4.3995065537367067E-2</v>
      </c>
      <c r="F955" s="462">
        <v>4.7471231593093889E-2</v>
      </c>
      <c r="G955" s="316">
        <v>7.1102392029102859E-2</v>
      </c>
      <c r="H955" s="317">
        <v>6.5052373884140176E-3</v>
      </c>
      <c r="I955" s="317">
        <v>0.10551353419027944</v>
      </c>
      <c r="J955" s="317">
        <v>2.6233726811336688E-2</v>
      </c>
      <c r="K955" s="317">
        <v>1.3680158741149879E-2</v>
      </c>
      <c r="L955" s="318">
        <v>1.9860322919310392E-3</v>
      </c>
      <c r="M955" s="317">
        <v>2.760762846410855E-3</v>
      </c>
      <c r="N955" s="318">
        <v>2.0000005732018801E-3</v>
      </c>
      <c r="O955" s="317">
        <v>2.869057078124947E-2</v>
      </c>
      <c r="P955" s="318">
        <v>1.7245228414081964E-2</v>
      </c>
      <c r="Q955" s="319">
        <v>1.4298714814619353E-2</v>
      </c>
    </row>
    <row r="956" spans="2:17" ht="15.75" x14ac:dyDescent="0.25">
      <c r="B956" s="176">
        <v>2035</v>
      </c>
      <c r="C956" s="177">
        <v>2020</v>
      </c>
      <c r="D956" s="178" t="s">
        <v>3802</v>
      </c>
      <c r="E956" s="461">
        <v>4.3489069314370639E-2</v>
      </c>
      <c r="F956" s="462">
        <v>4.5576124453963689E-2</v>
      </c>
      <c r="G956" s="316">
        <v>6.9967335296782757E-2</v>
      </c>
      <c r="H956" s="317">
        <v>5.5880931086645805E-3</v>
      </c>
      <c r="I956" s="317">
        <v>8.7804079590701647E-2</v>
      </c>
      <c r="J956" s="317">
        <v>2.3766584618930345E-2</v>
      </c>
      <c r="K956" s="317">
        <v>1.128723995197946E-2</v>
      </c>
      <c r="L956" s="318">
        <v>1.4636839326569965E-3</v>
      </c>
      <c r="M956" s="317">
        <v>2.7534377436803587E-3</v>
      </c>
      <c r="N956" s="318">
        <v>2.0000005732018805E-3</v>
      </c>
      <c r="O956" s="317">
        <v>2.8565970783803737E-2</v>
      </c>
      <c r="P956" s="318">
        <v>1.7239041050232915E-2</v>
      </c>
      <c r="Q956" s="319">
        <v>1.1797598856222438E-2</v>
      </c>
    </row>
    <row r="957" spans="2:17" ht="15.75" x14ac:dyDescent="0.25">
      <c r="B957" s="176">
        <v>2035</v>
      </c>
      <c r="C957" s="177">
        <v>2021</v>
      </c>
      <c r="D957" s="178" t="s">
        <v>3803</v>
      </c>
      <c r="E957" s="461">
        <v>4.2111631884539237E-2</v>
      </c>
      <c r="F957" s="462">
        <v>4.3458153152827632E-2</v>
      </c>
      <c r="G957" s="316">
        <v>6.6313436199194858E-2</v>
      </c>
      <c r="H957" s="317">
        <v>4.8922027223667905E-3</v>
      </c>
      <c r="I957" s="317">
        <v>6.5400881577688419E-2</v>
      </c>
      <c r="J957" s="317">
        <v>2.2242938049867361E-2</v>
      </c>
      <c r="K957" s="317">
        <v>7.8654652031199118E-3</v>
      </c>
      <c r="L957" s="318">
        <v>9.6150323049228091E-4</v>
      </c>
      <c r="M957" s="317">
        <v>2.7480736040728878E-3</v>
      </c>
      <c r="N957" s="318">
        <v>2.0000005732018797E-3</v>
      </c>
      <c r="O957" s="317">
        <v>2.8474726769080649E-2</v>
      </c>
      <c r="P957" s="318">
        <v>1.7232241310897227E-2</v>
      </c>
      <c r="Q957" s="319">
        <v>8.2211066371201298E-3</v>
      </c>
    </row>
    <row r="958" spans="2:17" ht="15.75" x14ac:dyDescent="0.25">
      <c r="B958" s="176">
        <v>2035</v>
      </c>
      <c r="C958" s="177">
        <v>2022</v>
      </c>
      <c r="D958" s="178" t="s">
        <v>3804</v>
      </c>
      <c r="E958" s="461">
        <v>4.0866423782504324E-2</v>
      </c>
      <c r="F958" s="462">
        <v>4.1843720184081307E-2</v>
      </c>
      <c r="G958" s="316">
        <v>6.5095801827146846E-2</v>
      </c>
      <c r="H958" s="317">
        <v>4.1029679435920013E-3</v>
      </c>
      <c r="I958" s="317">
        <v>4.8876291502321326E-2</v>
      </c>
      <c r="J958" s="317">
        <v>2.0486134470587961E-2</v>
      </c>
      <c r="K958" s="317">
        <v>5.7294510499945354E-3</v>
      </c>
      <c r="L958" s="318">
        <v>9.6084143363770792E-4</v>
      </c>
      <c r="M958" s="317">
        <v>2.7418501061958573E-3</v>
      </c>
      <c r="N958" s="318">
        <v>2.0000005732018801E-3</v>
      </c>
      <c r="O958" s="317">
        <v>2.8368865070192366E-2</v>
      </c>
      <c r="P958" s="318">
        <v>1.7224341305041205E-2</v>
      </c>
      <c r="Q958" s="319">
        <v>5.9885114024127908E-3</v>
      </c>
    </row>
    <row r="959" spans="2:17" ht="15.75" x14ac:dyDescent="0.25">
      <c r="B959" s="176">
        <v>2035</v>
      </c>
      <c r="C959" s="177">
        <v>2023</v>
      </c>
      <c r="D959" s="178" t="s">
        <v>3805</v>
      </c>
      <c r="E959" s="461">
        <v>3.9651567158975595E-2</v>
      </c>
      <c r="F959" s="462">
        <v>4.0234927178560531E-2</v>
      </c>
      <c r="G959" s="316">
        <v>6.3976135262776387E-2</v>
      </c>
      <c r="H959" s="317">
        <v>3.5438464974572588E-3</v>
      </c>
      <c r="I959" s="317">
        <v>4.7568653771829242E-2</v>
      </c>
      <c r="J959" s="317">
        <v>2.0129510631467212E-2</v>
      </c>
      <c r="K959" s="317">
        <v>5.4926545521036194E-3</v>
      </c>
      <c r="L959" s="318">
        <v>9.60234684755596E-4</v>
      </c>
      <c r="M959" s="317">
        <v>2.7376797964703374E-3</v>
      </c>
      <c r="N959" s="318">
        <v>2.0000005732018797E-3</v>
      </c>
      <c r="O959" s="317">
        <v>2.8297928101761259E-2</v>
      </c>
      <c r="P959" s="318">
        <v>1.7217105926211149E-2</v>
      </c>
      <c r="Q959" s="319">
        <v>5.7410080176561523E-3</v>
      </c>
    </row>
    <row r="960" spans="2:17" ht="15.75" x14ac:dyDescent="0.25">
      <c r="B960" s="176">
        <v>2035</v>
      </c>
      <c r="C960" s="177">
        <v>2024</v>
      </c>
      <c r="D960" s="178" t="s">
        <v>3806</v>
      </c>
      <c r="E960" s="461">
        <v>3.8459683149862346E-2</v>
      </c>
      <c r="F960" s="462">
        <v>3.8638951945052645E-2</v>
      </c>
      <c r="G960" s="316">
        <v>6.273333398111719E-2</v>
      </c>
      <c r="H960" s="317">
        <v>3.0525020068748001E-3</v>
      </c>
      <c r="I960" s="317">
        <v>4.6139322619449454E-2</v>
      </c>
      <c r="J960" s="317">
        <v>2.0344066338640446E-2</v>
      </c>
      <c r="K960" s="317">
        <v>5.2356186986442371E-3</v>
      </c>
      <c r="L960" s="318">
        <v>9.5967522823567266E-4</v>
      </c>
      <c r="M960" s="317">
        <v>2.7327415559273323E-3</v>
      </c>
      <c r="N960" s="318">
        <v>2.0000005732018801E-3</v>
      </c>
      <c r="O960" s="317">
        <v>2.8213928630124747E-2</v>
      </c>
      <c r="P960" s="318">
        <v>1.721063723489356E-2</v>
      </c>
      <c r="Q960" s="319">
        <v>5.4723501434830431E-3</v>
      </c>
    </row>
    <row r="961" spans="2:17" ht="15.75" x14ac:dyDescent="0.25">
      <c r="B961" s="176">
        <v>2035</v>
      </c>
      <c r="C961" s="177">
        <v>2025</v>
      </c>
      <c r="D961" s="178" t="s">
        <v>3807</v>
      </c>
      <c r="E961" s="461">
        <v>3.7295394502739845E-2</v>
      </c>
      <c r="F961" s="462">
        <v>3.7025279051783176E-2</v>
      </c>
      <c r="G961" s="316">
        <v>6.1570857693362513E-2</v>
      </c>
      <c r="H961" s="317">
        <v>2.75651001555731E-3</v>
      </c>
      <c r="I961" s="317">
        <v>4.4717135350110883E-2</v>
      </c>
      <c r="J961" s="317">
        <v>2.1141364059234492E-2</v>
      </c>
      <c r="K961" s="317">
        <v>4.9742610738025845E-3</v>
      </c>
      <c r="L961" s="318">
        <v>9.5890161748802291E-4</v>
      </c>
      <c r="M961" s="317">
        <v>2.7296698138467627E-3</v>
      </c>
      <c r="N961" s="318">
        <v>2.0000005732018801E-3</v>
      </c>
      <c r="O961" s="317">
        <v>2.816167829733426E-2</v>
      </c>
      <c r="P961" s="318">
        <v>1.7198061177247898E-2</v>
      </c>
      <c r="Q961" s="319">
        <v>5.1991750866033342E-3</v>
      </c>
    </row>
    <row r="962" spans="2:17" ht="15.75" x14ac:dyDescent="0.25">
      <c r="B962" s="176">
        <v>2035</v>
      </c>
      <c r="C962" s="177">
        <v>2026</v>
      </c>
      <c r="D962" s="178" t="s">
        <v>3808</v>
      </c>
      <c r="E962" s="461">
        <v>3.6470334609760555E-2</v>
      </c>
      <c r="F962" s="462">
        <v>3.6767396083968944E-2</v>
      </c>
      <c r="G962" s="316">
        <v>6.0230546502723463E-2</v>
      </c>
      <c r="H962" s="317">
        <v>2.7160441777231157E-3</v>
      </c>
      <c r="I962" s="317">
        <v>4.3140588796567611E-2</v>
      </c>
      <c r="J962" s="317">
        <v>2.026984210198127E-2</v>
      </c>
      <c r="K962" s="317">
        <v>4.6889758249913874E-3</v>
      </c>
      <c r="L962" s="318">
        <v>8.3767802126014492E-4</v>
      </c>
      <c r="M962" s="317">
        <v>2.7250801182604457E-3</v>
      </c>
      <c r="N962" s="318">
        <v>2.0000005732018801E-3</v>
      </c>
      <c r="O962" s="317">
        <v>2.8083607575411007E-2</v>
      </c>
      <c r="P962" s="318">
        <v>1.7185864215509116E-2</v>
      </c>
      <c r="Q962" s="319">
        <v>4.900990504775435E-3</v>
      </c>
    </row>
    <row r="963" spans="2:17" ht="15.75" x14ac:dyDescent="0.25">
      <c r="B963" s="176">
        <v>2035</v>
      </c>
      <c r="C963" s="177">
        <v>2027</v>
      </c>
      <c r="D963" s="178" t="s">
        <v>3809</v>
      </c>
      <c r="E963" s="461">
        <v>3.5723143508125901E-2</v>
      </c>
      <c r="F963" s="462">
        <v>3.6556812315419254E-2</v>
      </c>
      <c r="G963" s="316">
        <v>5.9028426410241933E-2</v>
      </c>
      <c r="H963" s="317">
        <v>2.6699206678262211E-3</v>
      </c>
      <c r="I963" s="317">
        <v>4.1603446023566686E-2</v>
      </c>
      <c r="J963" s="317">
        <v>1.9315852769811858E-2</v>
      </c>
      <c r="K963" s="317">
        <v>4.4026323205935917E-3</v>
      </c>
      <c r="L963" s="318">
        <v>6.9667373574027554E-4</v>
      </c>
      <c r="M963" s="317">
        <v>2.7231878139043235E-3</v>
      </c>
      <c r="N963" s="318">
        <v>2.0000005732018801E-3</v>
      </c>
      <c r="O963" s="317">
        <v>2.805141947831338E-2</v>
      </c>
      <c r="P963" s="318">
        <v>1.7185051777720971E-2</v>
      </c>
      <c r="Q963" s="319">
        <v>4.6016998177392573E-3</v>
      </c>
    </row>
    <row r="964" spans="2:17" ht="15.75" x14ac:dyDescent="0.25">
      <c r="B964" s="176">
        <v>2035</v>
      </c>
      <c r="C964" s="177">
        <v>2028</v>
      </c>
      <c r="D964" s="178" t="s">
        <v>3810</v>
      </c>
      <c r="E964" s="461">
        <v>3.567261624466251E-2</v>
      </c>
      <c r="F964" s="462">
        <v>3.6517337333524962E-2</v>
      </c>
      <c r="G964" s="316">
        <v>5.7654759175486771E-2</v>
      </c>
      <c r="H964" s="317">
        <v>2.6183149585672061E-3</v>
      </c>
      <c r="I964" s="317">
        <v>3.9917316149798016E-2</v>
      </c>
      <c r="J964" s="317">
        <v>1.8385740905806355E-2</v>
      </c>
      <c r="K964" s="317">
        <v>4.0932952997807552E-3</v>
      </c>
      <c r="L964" s="318">
        <v>5.7553816574905977E-4</v>
      </c>
      <c r="M964" s="317">
        <v>2.7198480442986585E-3</v>
      </c>
      <c r="N964" s="318">
        <v>2.0000005732018801E-3</v>
      </c>
      <c r="O964" s="317">
        <v>2.7994609997321007E-2</v>
      </c>
      <c r="P964" s="318">
        <v>1.7179434811088981E-2</v>
      </c>
      <c r="Q964" s="319">
        <v>4.278375949507961E-3</v>
      </c>
    </row>
    <row r="965" spans="2:17" ht="15.75" x14ac:dyDescent="0.25">
      <c r="B965" s="176">
        <v>2035</v>
      </c>
      <c r="C965" s="177">
        <v>2029</v>
      </c>
      <c r="D965" s="178" t="s">
        <v>3811</v>
      </c>
      <c r="E965" s="461">
        <v>3.5631535869465873E-2</v>
      </c>
      <c r="F965" s="462">
        <v>3.6464089794266394E-2</v>
      </c>
      <c r="G965" s="316">
        <v>5.6269627137763768E-2</v>
      </c>
      <c r="H965" s="317">
        <v>2.5626870175908807E-3</v>
      </c>
      <c r="I965" s="317">
        <v>3.8178861500133415E-2</v>
      </c>
      <c r="J965" s="317">
        <v>1.7453173987420897E-2</v>
      </c>
      <c r="K965" s="317">
        <v>3.7719812908469856E-3</v>
      </c>
      <c r="L965" s="318">
        <v>5.7475684945992086E-4</v>
      </c>
      <c r="M965" s="317">
        <v>2.7172162609348034E-3</v>
      </c>
      <c r="N965" s="318">
        <v>2.0000005732018801E-3</v>
      </c>
      <c r="O965" s="317">
        <v>2.7949843362301836E-2</v>
      </c>
      <c r="P965" s="318">
        <v>1.7169049904474199E-2</v>
      </c>
      <c r="Q965" s="319">
        <v>3.9425335469000034E-3</v>
      </c>
    </row>
    <row r="966" spans="2:17" ht="15.75" x14ac:dyDescent="0.25">
      <c r="B966" s="176">
        <v>2035</v>
      </c>
      <c r="C966" s="177">
        <v>2030</v>
      </c>
      <c r="D966" s="178" t="s">
        <v>3812</v>
      </c>
      <c r="E966" s="461">
        <v>3.5573241011666284E-2</v>
      </c>
      <c r="F966" s="462">
        <v>3.6381682200324464E-2</v>
      </c>
      <c r="G966" s="316">
        <v>5.4727278496733069E-2</v>
      </c>
      <c r="H966" s="317">
        <v>2.5076277548459732E-3</v>
      </c>
      <c r="I966" s="317">
        <v>3.6304362511600421E-2</v>
      </c>
      <c r="J966" s="317">
        <v>1.6509353409872148E-2</v>
      </c>
      <c r="K966" s="317">
        <v>3.4300594328970408E-3</v>
      </c>
      <c r="L966" s="318">
        <v>5.7345898167820162E-4</v>
      </c>
      <c r="M966" s="317">
        <v>2.7132309166228727E-3</v>
      </c>
      <c r="N966" s="318">
        <v>2.0000005732018801E-3</v>
      </c>
      <c r="O966" s="317">
        <v>2.7882052655555888E-2</v>
      </c>
      <c r="P966" s="318">
        <v>1.7148433091707809E-2</v>
      </c>
      <c r="Q966" s="319">
        <v>3.5851514997893397E-3</v>
      </c>
    </row>
    <row r="967" spans="2:17" ht="15.75" x14ac:dyDescent="0.25">
      <c r="B967" s="176">
        <v>2035</v>
      </c>
      <c r="C967" s="177">
        <v>2031</v>
      </c>
      <c r="D967" s="178" t="s">
        <v>3813</v>
      </c>
      <c r="E967" s="461">
        <v>3.5554825172239381E-2</v>
      </c>
      <c r="F967" s="462">
        <v>3.6373828818366739E-2</v>
      </c>
      <c r="G967" s="316">
        <v>5.3335763316934563E-2</v>
      </c>
      <c r="H967" s="317">
        <v>2.4630521053760823E-3</v>
      </c>
      <c r="I967" s="317">
        <v>3.4467081438142054E-2</v>
      </c>
      <c r="J967" s="317">
        <v>1.5712336832502224E-2</v>
      </c>
      <c r="K967" s="317">
        <v>3.0846624369678497E-3</v>
      </c>
      <c r="L967" s="318">
        <v>5.7365293796837573E-4</v>
      </c>
      <c r="M967" s="317">
        <v>2.7123222313309575E-3</v>
      </c>
      <c r="N967" s="318">
        <v>2.0000005732018797E-3</v>
      </c>
      <c r="O967" s="317">
        <v>2.7866595918740411E-2</v>
      </c>
      <c r="P967" s="318">
        <v>1.7152379854430404E-2</v>
      </c>
      <c r="Q967" s="319">
        <v>3.2241371843807006E-3</v>
      </c>
    </row>
    <row r="968" spans="2:17" ht="15.75" x14ac:dyDescent="0.25">
      <c r="B968" s="176">
        <v>2035</v>
      </c>
      <c r="C968" s="177">
        <v>2032</v>
      </c>
      <c r="D968" s="178" t="s">
        <v>3814</v>
      </c>
      <c r="E968" s="461">
        <v>3.5545930337096507E-2</v>
      </c>
      <c r="F968" s="462">
        <v>3.6357472879373562E-2</v>
      </c>
      <c r="G968" s="316">
        <v>5.1923126279647687E-2</v>
      </c>
      <c r="H968" s="317">
        <v>2.4358662071005824E-3</v>
      </c>
      <c r="I968" s="317">
        <v>3.2565954484211589E-2</v>
      </c>
      <c r="J968" s="317">
        <v>1.5004562922261022E-2</v>
      </c>
      <c r="K968" s="317">
        <v>2.7247593598990977E-3</v>
      </c>
      <c r="L968" s="318">
        <v>5.738329845575102E-4</v>
      </c>
      <c r="M968" s="317">
        <v>2.7120844862862747E-3</v>
      </c>
      <c r="N968" s="318">
        <v>2.0000005732018801E-3</v>
      </c>
      <c r="O968" s="317">
        <v>2.7862551875530356E-2</v>
      </c>
      <c r="P968" s="318">
        <v>1.715224813696151E-2</v>
      </c>
      <c r="Q968" s="319">
        <v>2.847960887213152E-3</v>
      </c>
    </row>
    <row r="969" spans="2:17" ht="15.75" x14ac:dyDescent="0.25">
      <c r="B969" s="176">
        <v>2035</v>
      </c>
      <c r="C969" s="177">
        <v>2033</v>
      </c>
      <c r="D969" s="178" t="s">
        <v>3815</v>
      </c>
      <c r="E969" s="461">
        <v>3.5508341305859448E-2</v>
      </c>
      <c r="F969" s="462">
        <v>3.6309798832149666E-2</v>
      </c>
      <c r="G969" s="316">
        <v>5.0290200572636036E-2</v>
      </c>
      <c r="H969" s="317">
        <v>2.4268406628211716E-3</v>
      </c>
      <c r="I969" s="317">
        <v>3.0497543619547367E-2</v>
      </c>
      <c r="J969" s="317">
        <v>1.4417665679614352E-2</v>
      </c>
      <c r="K969" s="317">
        <v>2.3418979698885132E-3</v>
      </c>
      <c r="L969" s="318">
        <v>5.7360663486723739E-4</v>
      </c>
      <c r="M969" s="317">
        <v>2.709536227754421E-3</v>
      </c>
      <c r="N969" s="318">
        <v>2.0000005732018801E-3</v>
      </c>
      <c r="O969" s="317">
        <v>2.781920599790353E-2</v>
      </c>
      <c r="P969" s="318">
        <v>1.7140226844081063E-2</v>
      </c>
      <c r="Q969" s="319">
        <v>2.4477882040685409E-3</v>
      </c>
    </row>
    <row r="970" spans="2:17" ht="15.75" x14ac:dyDescent="0.25">
      <c r="B970" s="176">
        <v>2035</v>
      </c>
      <c r="C970" s="177">
        <v>2034</v>
      </c>
      <c r="D970" s="178" t="s">
        <v>3816</v>
      </c>
      <c r="E970" s="461">
        <v>3.5481123529507053E-2</v>
      </c>
      <c r="F970" s="462">
        <v>3.6236483467779863E-2</v>
      </c>
      <c r="G970" s="316">
        <v>4.8659845202509391E-2</v>
      </c>
      <c r="H970" s="317">
        <v>2.4113512043306166E-3</v>
      </c>
      <c r="I970" s="317">
        <v>2.8378700790489077E-2</v>
      </c>
      <c r="J970" s="317">
        <v>1.3851272671753066E-2</v>
      </c>
      <c r="K970" s="317">
        <v>1.9461954775368611E-3</v>
      </c>
      <c r="L970" s="318">
        <v>5.7249495286715996E-4</v>
      </c>
      <c r="M970" s="317">
        <v>2.7080302737948611E-3</v>
      </c>
      <c r="N970" s="318">
        <v>2.0000005732018801E-3</v>
      </c>
      <c r="O970" s="317">
        <v>2.7793589721051414E-2</v>
      </c>
      <c r="P970" s="318">
        <v>1.7123552728381383E-2</v>
      </c>
      <c r="Q970" s="319">
        <v>2.0341938009165558E-3</v>
      </c>
    </row>
    <row r="971" spans="2:17" ht="15.75" x14ac:dyDescent="0.25">
      <c r="B971" s="176">
        <v>2035</v>
      </c>
      <c r="C971" s="177">
        <v>2035</v>
      </c>
      <c r="D971" s="178" t="s">
        <v>3817</v>
      </c>
      <c r="E971" s="461">
        <v>3.51091034187603E-2</v>
      </c>
      <c r="F971" s="462">
        <v>3.5556863788184782E-2</v>
      </c>
      <c r="G971" s="316">
        <v>4.5276044579974667E-2</v>
      </c>
      <c r="H971" s="317">
        <v>2.282569607530672E-3</v>
      </c>
      <c r="I971" s="317">
        <v>2.5394151771791711E-2</v>
      </c>
      <c r="J971" s="317">
        <v>1.2718406492093489E-2</v>
      </c>
      <c r="K971" s="317">
        <v>1.4933448036957271E-3</v>
      </c>
      <c r="L971" s="318">
        <v>5.6025951151487887E-4</v>
      </c>
      <c r="M971" s="317">
        <v>2.6793277601653712E-3</v>
      </c>
      <c r="N971" s="318">
        <v>2.0000005732018801E-3</v>
      </c>
      <c r="O971" s="317">
        <v>2.7305359964213793E-2</v>
      </c>
      <c r="P971" s="318">
        <v>1.6899480239277322E-2</v>
      </c>
      <c r="Q971" s="319">
        <v>1.5608672290994233E-3</v>
      </c>
    </row>
    <row r="972" spans="2:17" ht="15.75" x14ac:dyDescent="0.25">
      <c r="B972" s="176">
        <v>2036</v>
      </c>
      <c r="C972" s="177">
        <v>1992</v>
      </c>
      <c r="D972" s="178" t="s">
        <v>3818</v>
      </c>
      <c r="E972" s="461">
        <v>5.7984000751763319E-2</v>
      </c>
      <c r="F972" s="462">
        <v>8.4794805605328122E-2</v>
      </c>
      <c r="G972" s="316">
        <v>0.37788828622704396</v>
      </c>
      <c r="H972" s="317">
        <v>0.53339852179273872</v>
      </c>
      <c r="I972" s="317">
        <v>8.3753003264355765</v>
      </c>
      <c r="J972" s="317">
        <v>2.2580884894779705</v>
      </c>
      <c r="K972" s="317">
        <v>6.7002735849845771E-2</v>
      </c>
      <c r="L972" s="318">
        <v>9.9078341455972763E-3</v>
      </c>
      <c r="M972" s="317">
        <v>2.916602165985922E-3</v>
      </c>
      <c r="N972" s="318">
        <v>2.0000005732018805E-3</v>
      </c>
      <c r="O972" s="317">
        <v>3.1341397607221363E-2</v>
      </c>
      <c r="P972" s="318">
        <v>2.0238109169442822E-2</v>
      </c>
      <c r="Q972" s="319">
        <v>7.0032302244738956E-2</v>
      </c>
    </row>
    <row r="973" spans="2:17" ht="15.75" x14ac:dyDescent="0.25">
      <c r="B973" s="176">
        <v>2036</v>
      </c>
      <c r="C973" s="177">
        <v>1993</v>
      </c>
      <c r="D973" s="178" t="s">
        <v>3819</v>
      </c>
      <c r="E973" s="461">
        <v>5.7751933244074093E-2</v>
      </c>
      <c r="F973" s="462">
        <v>7.5994491939288839E-2</v>
      </c>
      <c r="G973" s="316">
        <v>0.3612988772594426</v>
      </c>
      <c r="H973" s="317">
        <v>0.5379977678684229</v>
      </c>
      <c r="I973" s="317">
        <v>8.5434288650063248</v>
      </c>
      <c r="J973" s="317">
        <v>2.2136367186856831</v>
      </c>
      <c r="K973" s="317">
        <v>5.385547178103868E-2</v>
      </c>
      <c r="L973" s="318">
        <v>1.0047829656185723E-2</v>
      </c>
      <c r="M973" s="317">
        <v>2.9333241924913984E-3</v>
      </c>
      <c r="N973" s="318">
        <v>2.0000005732018801E-3</v>
      </c>
      <c r="O973" s="317">
        <v>3.1625839278079521E-2</v>
      </c>
      <c r="P973" s="318">
        <v>1.982749262849583E-2</v>
      </c>
      <c r="Q973" s="319">
        <v>5.629057723486066E-2</v>
      </c>
    </row>
    <row r="974" spans="2:17" ht="15.75" x14ac:dyDescent="0.25">
      <c r="B974" s="176">
        <v>2036</v>
      </c>
      <c r="C974" s="177">
        <v>1994</v>
      </c>
      <c r="D974" s="178" t="s">
        <v>3820</v>
      </c>
      <c r="E974" s="461">
        <v>5.7316250009206142E-2</v>
      </c>
      <c r="F974" s="462">
        <v>7.2620474955587613E-2</v>
      </c>
      <c r="G974" s="316">
        <v>0.35223008204929424</v>
      </c>
      <c r="H974" s="317">
        <v>0.53881698875331696</v>
      </c>
      <c r="I974" s="317">
        <v>8.3971382854600609</v>
      </c>
      <c r="J974" s="317">
        <v>2.1475983072463656</v>
      </c>
      <c r="K974" s="317">
        <v>5.394715782946246E-2</v>
      </c>
      <c r="L974" s="318">
        <v>1.0153367577819988E-2</v>
      </c>
      <c r="M974" s="317">
        <v>2.9101362815176024E-3</v>
      </c>
      <c r="N974" s="318">
        <v>2.0000005732018805E-3</v>
      </c>
      <c r="O974" s="317">
        <v>3.1231412912415241E-2</v>
      </c>
      <c r="P974" s="318">
        <v>1.8905611258893701E-2</v>
      </c>
      <c r="Q974" s="319">
        <v>5.6386408919543371E-2</v>
      </c>
    </row>
    <row r="975" spans="2:17" ht="15.75" x14ac:dyDescent="0.25">
      <c r="B975" s="176">
        <v>2036</v>
      </c>
      <c r="C975" s="177">
        <v>1995</v>
      </c>
      <c r="D975" s="178" t="s">
        <v>3821</v>
      </c>
      <c r="E975" s="461">
        <v>5.7364948722635284E-2</v>
      </c>
      <c r="F975" s="462">
        <v>7.4162794859110814E-2</v>
      </c>
      <c r="G975" s="316">
        <v>0.35722339839675787</v>
      </c>
      <c r="H975" s="317">
        <v>0.40783839616060014</v>
      </c>
      <c r="I975" s="317">
        <v>8.6989000588830976</v>
      </c>
      <c r="J975" s="317">
        <v>1.684461928464005</v>
      </c>
      <c r="K975" s="317">
        <v>5.3400981838901282E-2</v>
      </c>
      <c r="L975" s="318">
        <v>9.3783029063522465E-3</v>
      </c>
      <c r="M975" s="317">
        <v>2.942849573527822E-3</v>
      </c>
      <c r="N975" s="318">
        <v>2.0000005732018801E-3</v>
      </c>
      <c r="O975" s="317">
        <v>3.1787866009509093E-2</v>
      </c>
      <c r="P975" s="318">
        <v>1.960870601388821E-2</v>
      </c>
      <c r="Q975" s="319">
        <v>5.5815537274309011E-2</v>
      </c>
    </row>
    <row r="976" spans="2:17" ht="15.75" x14ac:dyDescent="0.25">
      <c r="B976" s="176">
        <v>2036</v>
      </c>
      <c r="C976" s="177">
        <v>1996</v>
      </c>
      <c r="D976" s="178" t="s">
        <v>3822</v>
      </c>
      <c r="E976" s="461">
        <v>5.7552325886587777E-2</v>
      </c>
      <c r="F976" s="462">
        <v>7.4019848976141556E-2</v>
      </c>
      <c r="G976" s="316">
        <v>0.36154459405413575</v>
      </c>
      <c r="H976" s="317">
        <v>0.14081729235137852</v>
      </c>
      <c r="I976" s="317">
        <v>8.7500424462265585</v>
      </c>
      <c r="J976" s="317">
        <v>1.0225053564766129</v>
      </c>
      <c r="K976" s="317">
        <v>5.3613754390720386E-2</v>
      </c>
      <c r="L976" s="318">
        <v>2.8673032543088004E-3</v>
      </c>
      <c r="M976" s="317">
        <v>2.9525681473401453E-3</v>
      </c>
      <c r="N976" s="318">
        <v>2.0000005732018797E-3</v>
      </c>
      <c r="O976" s="317">
        <v>3.1953178950056706E-2</v>
      </c>
      <c r="P976" s="318">
        <v>1.9883238301584484E-2</v>
      </c>
      <c r="Q976" s="319">
        <v>5.6037930456757125E-2</v>
      </c>
    </row>
    <row r="977" spans="2:17" ht="15.75" x14ac:dyDescent="0.25">
      <c r="B977" s="176">
        <v>2036</v>
      </c>
      <c r="C977" s="177">
        <v>1997</v>
      </c>
      <c r="D977" s="178" t="s">
        <v>3823</v>
      </c>
      <c r="E977" s="461">
        <v>5.7854938831661949E-2</v>
      </c>
      <c r="F977" s="462">
        <v>7.1856398772348895E-2</v>
      </c>
      <c r="G977" s="316">
        <v>0.36818876864821071</v>
      </c>
      <c r="H977" s="317">
        <v>0.14574837093463547</v>
      </c>
      <c r="I977" s="317">
        <v>8.867534180857227</v>
      </c>
      <c r="J977" s="317">
        <v>1.0503616199055383</v>
      </c>
      <c r="K977" s="317">
        <v>5.3866320614964186E-2</v>
      </c>
      <c r="L977" s="318">
        <v>2.8857307767608128E-3</v>
      </c>
      <c r="M977" s="317">
        <v>2.9708589082971526E-3</v>
      </c>
      <c r="N977" s="318">
        <v>2.0000005732018801E-3</v>
      </c>
      <c r="O977" s="317">
        <v>3.2264304793935397E-2</v>
      </c>
      <c r="P977" s="318">
        <v>1.9293744355300686E-2</v>
      </c>
      <c r="Q977" s="319">
        <v>5.6301916604915243E-2</v>
      </c>
    </row>
    <row r="978" spans="2:17" ht="15.75" x14ac:dyDescent="0.25">
      <c r="B978" s="176">
        <v>2036</v>
      </c>
      <c r="C978" s="177">
        <v>1998</v>
      </c>
      <c r="D978" s="178" t="s">
        <v>3824</v>
      </c>
      <c r="E978" s="461">
        <v>5.7690677581100282E-2</v>
      </c>
      <c r="F978" s="462">
        <v>6.8349469041991129E-2</v>
      </c>
      <c r="G978" s="316">
        <v>0.36568860361446526</v>
      </c>
      <c r="H978" s="317">
        <v>0.13558054574809739</v>
      </c>
      <c r="I978" s="317">
        <v>8.8303574808186127</v>
      </c>
      <c r="J978" s="317">
        <v>0.92884236880389703</v>
      </c>
      <c r="K978" s="317">
        <v>5.3716378243336416E-2</v>
      </c>
      <c r="L978" s="318">
        <v>2.9257070433132389E-3</v>
      </c>
      <c r="M978" s="317">
        <v>2.9651219684114776E-3</v>
      </c>
      <c r="N978" s="318">
        <v>2.0000005732018801E-3</v>
      </c>
      <c r="O978" s="317">
        <v>3.2166719446480072E-2</v>
      </c>
      <c r="P978" s="318">
        <v>1.8333129581790977E-2</v>
      </c>
      <c r="Q978" s="319">
        <v>5.614519450460189E-2</v>
      </c>
    </row>
    <row r="979" spans="2:17" ht="15.75" x14ac:dyDescent="0.25">
      <c r="B979" s="176">
        <v>2036</v>
      </c>
      <c r="C979" s="177">
        <v>1999</v>
      </c>
      <c r="D979" s="178" t="s">
        <v>3825</v>
      </c>
      <c r="E979" s="461">
        <v>5.7974907954497862E-2</v>
      </c>
      <c r="F979" s="462">
        <v>6.8910981622495426E-2</v>
      </c>
      <c r="G979" s="316">
        <v>0.37317338316952575</v>
      </c>
      <c r="H979" s="317">
        <v>0.11859210165501728</v>
      </c>
      <c r="I979" s="317">
        <v>9.0366007725637996</v>
      </c>
      <c r="J979" s="317">
        <v>0.77026258934496894</v>
      </c>
      <c r="K979" s="317">
        <v>5.37688116510446E-2</v>
      </c>
      <c r="L979" s="318">
        <v>2.9320533292751852E-3</v>
      </c>
      <c r="M979" s="317">
        <v>2.991586226998529E-3</v>
      </c>
      <c r="N979" s="318">
        <v>2.0000005732018801E-3</v>
      </c>
      <c r="O979" s="317">
        <v>3.2616876485045805E-2</v>
      </c>
      <c r="P979" s="318">
        <v>1.8526346299729414E-2</v>
      </c>
      <c r="Q979" s="319">
        <v>5.6199998718336912E-2</v>
      </c>
    </row>
    <row r="980" spans="2:17" ht="15.75" x14ac:dyDescent="0.25">
      <c r="B980" s="176">
        <v>2036</v>
      </c>
      <c r="C980" s="177">
        <v>2000</v>
      </c>
      <c r="D980" s="178" t="s">
        <v>3826</v>
      </c>
      <c r="E980" s="461">
        <v>5.7855623858809206E-2</v>
      </c>
      <c r="F980" s="462">
        <v>7.522863422932044E-2</v>
      </c>
      <c r="G980" s="316">
        <v>0.37258522967415952</v>
      </c>
      <c r="H980" s="317">
        <v>0.10154863143996762</v>
      </c>
      <c r="I980" s="317">
        <v>9.10889079562528</v>
      </c>
      <c r="J980" s="317">
        <v>0.61648324050383663</v>
      </c>
      <c r="K980" s="317">
        <v>5.3441393703023921E-2</v>
      </c>
      <c r="L980" s="318">
        <v>2.9254903983435302E-3</v>
      </c>
      <c r="M980" s="317">
        <v>2.9976533181939945E-3</v>
      </c>
      <c r="N980" s="318">
        <v>2.0000005732018801E-3</v>
      </c>
      <c r="O980" s="317">
        <v>3.2720077706280673E-2</v>
      </c>
      <c r="P980" s="318">
        <v>1.8767328597065508E-2</v>
      </c>
      <c r="Q980" s="319">
        <v>5.5857776383602231E-2</v>
      </c>
    </row>
    <row r="981" spans="2:17" ht="15.75" x14ac:dyDescent="0.25">
      <c r="B981" s="176">
        <v>2036</v>
      </c>
      <c r="C981" s="177">
        <v>2001</v>
      </c>
      <c r="D981" s="178" t="s">
        <v>3827</v>
      </c>
      <c r="E981" s="461">
        <v>5.7922276492559419E-2</v>
      </c>
      <c r="F981" s="462">
        <v>7.4133447767711178E-2</v>
      </c>
      <c r="G981" s="316">
        <v>0.37316176635052006</v>
      </c>
      <c r="H981" s="317">
        <v>8.7368022677597662E-2</v>
      </c>
      <c r="I981" s="317">
        <v>9.0449339622139266</v>
      </c>
      <c r="J981" s="317">
        <v>0.47612982349132499</v>
      </c>
      <c r="K981" s="317">
        <v>5.3726252647999684E-2</v>
      </c>
      <c r="L981" s="318">
        <v>2.9447951012196031E-3</v>
      </c>
      <c r="M981" s="317">
        <v>2.9925094754984496E-3</v>
      </c>
      <c r="N981" s="318">
        <v>2.0000005732018801E-3</v>
      </c>
      <c r="O981" s="317">
        <v>3.2632580942029456E-2</v>
      </c>
      <c r="P981" s="318">
        <v>1.842745415539521E-2</v>
      </c>
      <c r="Q981" s="319">
        <v>5.6155515386027033E-2</v>
      </c>
    </row>
    <row r="982" spans="2:17" ht="15.75" x14ac:dyDescent="0.25">
      <c r="B982" s="176">
        <v>2036</v>
      </c>
      <c r="C982" s="177">
        <v>2002</v>
      </c>
      <c r="D982" s="178" t="s">
        <v>3828</v>
      </c>
      <c r="E982" s="461">
        <v>5.7756923127358362E-2</v>
      </c>
      <c r="F982" s="462">
        <v>7.2314393008132014E-2</v>
      </c>
      <c r="G982" s="316">
        <v>0.28845196292489145</v>
      </c>
      <c r="H982" s="317">
        <v>8.7382929526354597E-2</v>
      </c>
      <c r="I982" s="317">
        <v>7.0174250651099852</v>
      </c>
      <c r="J982" s="317">
        <v>0.45785181184096457</v>
      </c>
      <c r="K982" s="317">
        <v>5.3866646575168528E-2</v>
      </c>
      <c r="L982" s="318">
        <v>2.9691679715315865E-3</v>
      </c>
      <c r="M982" s="317">
        <v>2.9971519490873677E-3</v>
      </c>
      <c r="N982" s="318">
        <v>2.0000005732018801E-3</v>
      </c>
      <c r="O982" s="317">
        <v>3.2711549417776958E-2</v>
      </c>
      <c r="P982" s="318">
        <v>1.7861582212727305E-2</v>
      </c>
      <c r="Q982" s="319">
        <v>5.6302257303593603E-2</v>
      </c>
    </row>
    <row r="983" spans="2:17" ht="15.75" x14ac:dyDescent="0.25">
      <c r="B983" s="176">
        <v>2036</v>
      </c>
      <c r="C983" s="177">
        <v>2003</v>
      </c>
      <c r="D983" s="178" t="s">
        <v>3829</v>
      </c>
      <c r="E983" s="461">
        <v>5.7552312678078574E-2</v>
      </c>
      <c r="F983" s="462">
        <v>7.3475327245976316E-2</v>
      </c>
      <c r="G983" s="316">
        <v>0.28624065975673052</v>
      </c>
      <c r="H983" s="317">
        <v>7.0651742963199371E-2</v>
      </c>
      <c r="I983" s="317">
        <v>7.0192407398840109</v>
      </c>
      <c r="J983" s="317">
        <v>0.3915556326883905</v>
      </c>
      <c r="K983" s="317">
        <v>5.3558065849985612E-2</v>
      </c>
      <c r="L983" s="318">
        <v>2.9495275401164411E-3</v>
      </c>
      <c r="M983" s="317">
        <v>2.9942429835999418E-3</v>
      </c>
      <c r="N983" s="318">
        <v>2.0000005732018801E-3</v>
      </c>
      <c r="O983" s="317">
        <v>3.2662067914835835E-2</v>
      </c>
      <c r="P983" s="318">
        <v>1.8283790836081601E-2</v>
      </c>
      <c r="Q983" s="319">
        <v>5.5979723927324608E-2</v>
      </c>
    </row>
    <row r="984" spans="2:17" ht="15.75" x14ac:dyDescent="0.25">
      <c r="B984" s="176">
        <v>2036</v>
      </c>
      <c r="C984" s="177">
        <v>2004</v>
      </c>
      <c r="D984" s="178" t="s">
        <v>3830</v>
      </c>
      <c r="E984" s="461">
        <v>5.7442138972827739E-2</v>
      </c>
      <c r="F984" s="462">
        <v>7.3199086631513005E-2</v>
      </c>
      <c r="G984" s="316">
        <v>0.23635843029384712</v>
      </c>
      <c r="H984" s="317">
        <v>1.8176895138053855E-2</v>
      </c>
      <c r="I984" s="317">
        <v>5.8590141386144845</v>
      </c>
      <c r="J984" s="317">
        <v>0.11629484353550201</v>
      </c>
      <c r="K984" s="317">
        <v>5.3315018265587856E-2</v>
      </c>
      <c r="L984" s="318">
        <v>1.9705731432435704E-4</v>
      </c>
      <c r="M984" s="317">
        <v>2.9926718147022325E-3</v>
      </c>
      <c r="N984" s="318">
        <v>2.0000005732018801E-3</v>
      </c>
      <c r="O984" s="317">
        <v>3.2635342331885808E-2</v>
      </c>
      <c r="P984" s="318">
        <v>1.7900099034880532E-2</v>
      </c>
      <c r="Q984" s="319">
        <v>5.5725686809668142E-2</v>
      </c>
    </row>
    <row r="985" spans="2:17" ht="15.75" x14ac:dyDescent="0.25">
      <c r="B985" s="176">
        <v>2036</v>
      </c>
      <c r="C985" s="177">
        <v>2005</v>
      </c>
      <c r="D985" s="178" t="s">
        <v>3831</v>
      </c>
      <c r="E985" s="461">
        <v>5.7206273777736509E-2</v>
      </c>
      <c r="F985" s="462">
        <v>6.957883637539064E-2</v>
      </c>
      <c r="G985" s="316">
        <v>0.23396282706730853</v>
      </c>
      <c r="H985" s="317">
        <v>1.5850126219504018E-2</v>
      </c>
      <c r="I985" s="317">
        <v>5.8568402730455542</v>
      </c>
      <c r="J985" s="317">
        <v>9.503366726579017E-2</v>
      </c>
      <c r="K985" s="317">
        <v>5.2949543569468203E-2</v>
      </c>
      <c r="L985" s="318">
        <v>1.9767080937309101E-4</v>
      </c>
      <c r="M985" s="317">
        <v>2.9872962489995119E-3</v>
      </c>
      <c r="N985" s="318">
        <v>2.0000005732018801E-3</v>
      </c>
      <c r="O985" s="317">
        <v>3.2543903959282534E-2</v>
      </c>
      <c r="P985" s="318">
        <v>1.7204435747538112E-2</v>
      </c>
      <c r="Q985" s="319">
        <v>5.5343686969559894E-2</v>
      </c>
    </row>
    <row r="986" spans="2:17" ht="15.75" x14ac:dyDescent="0.25">
      <c r="B986" s="176">
        <v>2036</v>
      </c>
      <c r="C986" s="177">
        <v>2006</v>
      </c>
      <c r="D986" s="178" t="s">
        <v>3832</v>
      </c>
      <c r="E986" s="461">
        <v>5.7152394621826766E-2</v>
      </c>
      <c r="F986" s="462">
        <v>7.3126063478352821E-2</v>
      </c>
      <c r="G986" s="316">
        <v>0.23375315709641614</v>
      </c>
      <c r="H986" s="317">
        <v>6.0521087198817311E-3</v>
      </c>
      <c r="I986" s="317">
        <v>5.8566120277532576</v>
      </c>
      <c r="J986" s="317">
        <v>6.7158585533263246E-2</v>
      </c>
      <c r="K986" s="317">
        <v>5.2912196504013756E-2</v>
      </c>
      <c r="L986" s="318">
        <v>1.9348522419059458E-4</v>
      </c>
      <c r="M986" s="317">
        <v>2.9869394208020274E-3</v>
      </c>
      <c r="N986" s="318">
        <v>2.0000005732018805E-3</v>
      </c>
      <c r="O986" s="317">
        <v>3.253783431164331E-2</v>
      </c>
      <c r="P986" s="318">
        <v>1.90172161900884E-2</v>
      </c>
      <c r="Q986" s="319">
        <v>5.5304651235530633E-2</v>
      </c>
    </row>
    <row r="987" spans="2:17" ht="15.75" x14ac:dyDescent="0.25">
      <c r="B987" s="176">
        <v>2036</v>
      </c>
      <c r="C987" s="177">
        <v>2007</v>
      </c>
      <c r="D987" s="178" t="s">
        <v>3833</v>
      </c>
      <c r="E987" s="461">
        <v>5.6996519582337431E-2</v>
      </c>
      <c r="F987" s="462">
        <v>6.8508187677726887E-2</v>
      </c>
      <c r="G987" s="316">
        <v>0.16873630932968428</v>
      </c>
      <c r="H987" s="317">
        <v>8.5586958856857971E-3</v>
      </c>
      <c r="I987" s="317">
        <v>3.0087134145044216</v>
      </c>
      <c r="J987" s="317">
        <v>5.8574959990493752E-2</v>
      </c>
      <c r="K987" s="317">
        <v>3.7273434007104561E-2</v>
      </c>
      <c r="L987" s="318">
        <v>1.9711395356554508E-4</v>
      </c>
      <c r="M987" s="317">
        <v>2.9700680915835422E-3</v>
      </c>
      <c r="N987" s="318">
        <v>2.0000005732018805E-3</v>
      </c>
      <c r="O987" s="317">
        <v>3.2250853001636888E-2</v>
      </c>
      <c r="P987" s="318">
        <v>1.7519486227228421E-2</v>
      </c>
      <c r="Q987" s="319">
        <v>3.8958773294492065E-2</v>
      </c>
    </row>
    <row r="988" spans="2:17" ht="15.75" x14ac:dyDescent="0.25">
      <c r="B988" s="176">
        <v>2036</v>
      </c>
      <c r="C988" s="177">
        <v>2008</v>
      </c>
      <c r="D988" s="178" t="s">
        <v>3834</v>
      </c>
      <c r="E988" s="461">
        <v>5.6998955484967979E-2</v>
      </c>
      <c r="F988" s="462">
        <v>6.6845186285450289E-2</v>
      </c>
      <c r="G988" s="316">
        <v>0.16996768328515527</v>
      </c>
      <c r="H988" s="317">
        <v>8.2945884849287381E-3</v>
      </c>
      <c r="I988" s="317">
        <v>3.0283184162474126</v>
      </c>
      <c r="J988" s="317">
        <v>4.709076082875252E-2</v>
      </c>
      <c r="K988" s="317">
        <v>3.752645114802642E-2</v>
      </c>
      <c r="L988" s="318">
        <v>2.2513606334143981E-4</v>
      </c>
      <c r="M988" s="317">
        <v>2.9776153130852295E-3</v>
      </c>
      <c r="N988" s="318">
        <v>2.0000005732018801E-3</v>
      </c>
      <c r="O988" s="317">
        <v>3.2379231239380586E-2</v>
      </c>
      <c r="P988" s="318">
        <v>1.7503799609002779E-2</v>
      </c>
      <c r="Q988" s="319">
        <v>3.9223230747779468E-2</v>
      </c>
    </row>
    <row r="989" spans="2:17" ht="15.75" x14ac:dyDescent="0.25">
      <c r="B989" s="176">
        <v>2036</v>
      </c>
      <c r="C989" s="177">
        <v>2009</v>
      </c>
      <c r="D989" s="178" t="s">
        <v>3835</v>
      </c>
      <c r="E989" s="461">
        <v>5.6255540054571063E-2</v>
      </c>
      <c r="F989" s="462">
        <v>6.1357034831555302E-2</v>
      </c>
      <c r="G989" s="316">
        <v>0.15930869157639249</v>
      </c>
      <c r="H989" s="317">
        <v>8.1362581268105989E-3</v>
      </c>
      <c r="I989" s="317">
        <v>2.7442068459253428</v>
      </c>
      <c r="J989" s="317">
        <v>3.4062847828938751E-2</v>
      </c>
      <c r="K989" s="317">
        <v>3.5091571929789053E-2</v>
      </c>
      <c r="L989" s="318">
        <v>2.5480837833487361E-4</v>
      </c>
      <c r="M989" s="317">
        <v>2.8890811699061741E-3</v>
      </c>
      <c r="N989" s="318">
        <v>2.0000005732018801E-3</v>
      </c>
      <c r="O989" s="317">
        <v>3.0873265463904856E-2</v>
      </c>
      <c r="P989" s="318">
        <v>1.6826641175301093E-2</v>
      </c>
      <c r="Q989" s="319">
        <v>3.6678257095909911E-2</v>
      </c>
    </row>
    <row r="990" spans="2:17" ht="15.75" x14ac:dyDescent="0.25">
      <c r="B990" s="176">
        <v>2036</v>
      </c>
      <c r="C990" s="177">
        <v>2010</v>
      </c>
      <c r="D990" s="178" t="s">
        <v>3836</v>
      </c>
      <c r="E990" s="461">
        <v>5.5110436045367535E-2</v>
      </c>
      <c r="F990" s="462">
        <v>5.9392449118462809E-2</v>
      </c>
      <c r="G990" s="316">
        <v>9.4960392342391634E-2</v>
      </c>
      <c r="H990" s="317">
        <v>7.3095736747444172E-3</v>
      </c>
      <c r="I990" s="317">
        <v>0.23982084674291937</v>
      </c>
      <c r="J990" s="317">
        <v>3.3157292623855208E-2</v>
      </c>
      <c r="K990" s="317">
        <v>2.0327679102206189E-2</v>
      </c>
      <c r="L990" s="318">
        <v>3.1102045284178958E-4</v>
      </c>
      <c r="M990" s="317">
        <v>2.80586214236246E-3</v>
      </c>
      <c r="N990" s="318">
        <v>2.0000005732018797E-3</v>
      </c>
      <c r="O990" s="317">
        <v>2.9457709805386281E-2</v>
      </c>
      <c r="P990" s="318">
        <v>1.6444315184338431E-2</v>
      </c>
      <c r="Q990" s="319">
        <v>2.1246806548467816E-2</v>
      </c>
    </row>
    <row r="991" spans="2:17" ht="15.75" x14ac:dyDescent="0.25">
      <c r="B991" s="176">
        <v>2036</v>
      </c>
      <c r="C991" s="177">
        <v>2011</v>
      </c>
      <c r="D991" s="178" t="s">
        <v>3837</v>
      </c>
      <c r="E991" s="461">
        <v>5.4810084121379554E-2</v>
      </c>
      <c r="F991" s="462">
        <v>5.8037245486836947E-2</v>
      </c>
      <c r="G991" s="316">
        <v>9.4666742961720202E-2</v>
      </c>
      <c r="H991" s="317">
        <v>7.4130031686320324E-3</v>
      </c>
      <c r="I991" s="317">
        <v>0.24034825077035155</v>
      </c>
      <c r="J991" s="317">
        <v>3.3448120205353572E-2</v>
      </c>
      <c r="K991" s="317">
        <v>2.0389637220408721E-2</v>
      </c>
      <c r="L991" s="318">
        <v>4.2117126748727666E-4</v>
      </c>
      <c r="M991" s="317">
        <v>2.8141380480842522E-3</v>
      </c>
      <c r="N991" s="318">
        <v>2.0000005732018801E-3</v>
      </c>
      <c r="O991" s="317">
        <v>2.9598482961713957E-2</v>
      </c>
      <c r="P991" s="318">
        <v>1.6562130856702256E-2</v>
      </c>
      <c r="Q991" s="319">
        <v>2.1311566137840458E-2</v>
      </c>
    </row>
    <row r="992" spans="2:17" ht="15.75" x14ac:dyDescent="0.25">
      <c r="B992" s="176">
        <v>2036</v>
      </c>
      <c r="C992" s="177">
        <v>2012</v>
      </c>
      <c r="D992" s="178" t="s">
        <v>3838</v>
      </c>
      <c r="E992" s="461">
        <v>5.274252835623823E-2</v>
      </c>
      <c r="F992" s="462">
        <v>5.7930994874174246E-2</v>
      </c>
      <c r="G992" s="316">
        <v>8.2795268226731611E-2</v>
      </c>
      <c r="H992" s="317">
        <v>6.9822335286136182E-3</v>
      </c>
      <c r="I992" s="317">
        <v>0.20793144923552068</v>
      </c>
      <c r="J992" s="317">
        <v>3.4487157720171954E-2</v>
      </c>
      <c r="K992" s="317">
        <v>1.8114772824314378E-2</v>
      </c>
      <c r="L992" s="318">
        <v>6.1118606925520053E-4</v>
      </c>
      <c r="M992" s="317">
        <v>2.6827521932915291E-3</v>
      </c>
      <c r="N992" s="318">
        <v>2.0000005732018801E-3</v>
      </c>
      <c r="O992" s="317">
        <v>2.7363609571689738E-2</v>
      </c>
      <c r="P992" s="318">
        <v>1.6924874634495112E-2</v>
      </c>
      <c r="Q992" s="319">
        <v>1.8933842468315996E-2</v>
      </c>
    </row>
    <row r="993" spans="2:17" ht="15.75" x14ac:dyDescent="0.25">
      <c r="B993" s="176">
        <v>2036</v>
      </c>
      <c r="C993" s="177">
        <v>2013</v>
      </c>
      <c r="D993" s="178" t="s">
        <v>3839</v>
      </c>
      <c r="E993" s="461">
        <v>5.4612673140029246E-2</v>
      </c>
      <c r="F993" s="462">
        <v>5.6571006941496575E-2</v>
      </c>
      <c r="G993" s="316">
        <v>9.662247281312987E-2</v>
      </c>
      <c r="H993" s="317">
        <v>7.9054726821840959E-3</v>
      </c>
      <c r="I993" s="317">
        <v>0.24492897461424434</v>
      </c>
      <c r="J993" s="317">
        <v>3.3409958143292777E-2</v>
      </c>
      <c r="K993" s="317">
        <v>2.0675871347702116E-2</v>
      </c>
      <c r="L993" s="318">
        <v>9.1272808975460275E-4</v>
      </c>
      <c r="M993" s="317">
        <v>2.8308831340864665E-3</v>
      </c>
      <c r="N993" s="318">
        <v>2.0000005732018801E-3</v>
      </c>
      <c r="O993" s="317">
        <v>2.988331687461163E-2</v>
      </c>
      <c r="P993" s="318">
        <v>1.6997158614006663E-2</v>
      </c>
      <c r="Q993" s="319">
        <v>2.1610742502224944E-2</v>
      </c>
    </row>
    <row r="994" spans="2:17" ht="15.75" x14ac:dyDescent="0.25">
      <c r="B994" s="176">
        <v>2036</v>
      </c>
      <c r="C994" s="177">
        <v>2014</v>
      </c>
      <c r="D994" s="178" t="s">
        <v>3840</v>
      </c>
      <c r="E994" s="461">
        <v>5.1796990589319608E-2</v>
      </c>
      <c r="F994" s="462">
        <v>5.4331568215554231E-2</v>
      </c>
      <c r="G994" s="316">
        <v>8.5524166848356245E-2</v>
      </c>
      <c r="H994" s="317">
        <v>8.0150175716540862E-3</v>
      </c>
      <c r="I994" s="317">
        <v>0.21522191211380709</v>
      </c>
      <c r="J994" s="317">
        <v>3.190429306767633E-2</v>
      </c>
      <c r="K994" s="317">
        <v>1.8574010167282336E-2</v>
      </c>
      <c r="L994" s="318">
        <v>1.2810960185050799E-3</v>
      </c>
      <c r="M994" s="317">
        <v>2.717340868778085E-3</v>
      </c>
      <c r="N994" s="318">
        <v>2.0000005732018801E-3</v>
      </c>
      <c r="O994" s="317">
        <v>2.7951962941716053E-2</v>
      </c>
      <c r="P994" s="318">
        <v>1.6507291279923599E-2</v>
      </c>
      <c r="Q994" s="319">
        <v>1.941384448609746E-2</v>
      </c>
    </row>
    <row r="995" spans="2:17" ht="15.75" x14ac:dyDescent="0.25">
      <c r="B995" s="176">
        <v>2036</v>
      </c>
      <c r="C995" s="177">
        <v>2015</v>
      </c>
      <c r="D995" s="178" t="s">
        <v>3841</v>
      </c>
      <c r="E995" s="461">
        <v>5.0511551274083397E-2</v>
      </c>
      <c r="F995" s="462">
        <v>5.6567885682510984E-2</v>
      </c>
      <c r="G995" s="316">
        <v>8.0464443351876955E-2</v>
      </c>
      <c r="H995" s="317">
        <v>7.983327540884962E-3</v>
      </c>
      <c r="I995" s="317">
        <v>0.20295411411891215</v>
      </c>
      <c r="J995" s="317">
        <v>3.325166125534678E-2</v>
      </c>
      <c r="K995" s="317">
        <v>1.7690140981420403E-2</v>
      </c>
      <c r="L995" s="318">
        <v>1.5922155523531482E-3</v>
      </c>
      <c r="M995" s="317">
        <v>2.6800416945608838E-3</v>
      </c>
      <c r="N995" s="318">
        <v>2.0000005732018801E-3</v>
      </c>
      <c r="O995" s="317">
        <v>2.7317503988281464E-2</v>
      </c>
      <c r="P995" s="318">
        <v>1.747063107050904E-2</v>
      </c>
      <c r="Q995" s="319">
        <v>1.8490010657762276E-2</v>
      </c>
    </row>
    <row r="996" spans="2:17" ht="15.75" x14ac:dyDescent="0.25">
      <c r="B996" s="176">
        <v>2036</v>
      </c>
      <c r="C996" s="177">
        <v>2016</v>
      </c>
      <c r="D996" s="178" t="s">
        <v>3842</v>
      </c>
      <c r="E996" s="461">
        <v>5.12087308868025E-2</v>
      </c>
      <c r="F996" s="462">
        <v>5.7975017305879992E-2</v>
      </c>
      <c r="G996" s="316">
        <v>9.4613419761431505E-2</v>
      </c>
      <c r="H996" s="317">
        <v>7.7220423673171413E-3</v>
      </c>
      <c r="I996" s="317">
        <v>0.21195525812394758</v>
      </c>
      <c r="J996" s="317">
        <v>3.3591205027211933E-2</v>
      </c>
      <c r="K996" s="317">
        <v>2.0257074319311875E-2</v>
      </c>
      <c r="L996" s="318">
        <v>1.8227716476201788E-3</v>
      </c>
      <c r="M996" s="317">
        <v>2.8437993386057473E-3</v>
      </c>
      <c r="N996" s="318">
        <v>2.0000005732018805E-3</v>
      </c>
      <c r="O996" s="317">
        <v>3.0103021513484596E-2</v>
      </c>
      <c r="P996" s="318">
        <v>1.842378014032367E-2</v>
      </c>
      <c r="Q996" s="319">
        <v>2.1173009330595148E-2</v>
      </c>
    </row>
    <row r="997" spans="2:17" ht="15.75" x14ac:dyDescent="0.25">
      <c r="B997" s="176">
        <v>2036</v>
      </c>
      <c r="C997" s="177">
        <v>2017</v>
      </c>
      <c r="D997" s="178" t="s">
        <v>3843</v>
      </c>
      <c r="E997" s="461">
        <v>4.7648824388842291E-2</v>
      </c>
      <c r="F997" s="462">
        <v>5.1973841099661959E-2</v>
      </c>
      <c r="G997" s="316">
        <v>7.4284804439541718E-2</v>
      </c>
      <c r="H997" s="317">
        <v>7.7098451180631442E-3</v>
      </c>
      <c r="I997" s="317">
        <v>0.15527663540646025</v>
      </c>
      <c r="J997" s="317">
        <v>3.0907204700621044E-2</v>
      </c>
      <c r="K997" s="317">
        <v>1.8082147810057798E-2</v>
      </c>
      <c r="L997" s="318">
        <v>2.0076999409233669E-3</v>
      </c>
      <c r="M997" s="317">
        <v>2.7847768100223639E-3</v>
      </c>
      <c r="N997" s="318">
        <v>2.0000005732018801E-3</v>
      </c>
      <c r="O997" s="317">
        <v>2.9099048302281237E-2</v>
      </c>
      <c r="P997" s="318">
        <v>1.7329767138613502E-2</v>
      </c>
      <c r="Q997" s="319">
        <v>1.8899742295686011E-2</v>
      </c>
    </row>
    <row r="998" spans="2:17" ht="15.75" x14ac:dyDescent="0.25">
      <c r="B998" s="176">
        <v>2036</v>
      </c>
      <c r="C998" s="177">
        <v>2018</v>
      </c>
      <c r="D998" s="178" t="s">
        <v>3844</v>
      </c>
      <c r="E998" s="461">
        <v>4.4608591107639338E-2</v>
      </c>
      <c r="F998" s="462">
        <v>4.9607895486686433E-2</v>
      </c>
      <c r="G998" s="316">
        <v>7.3433859178941574E-2</v>
      </c>
      <c r="H998" s="317">
        <v>7.3281752812737969E-3</v>
      </c>
      <c r="I998" s="317">
        <v>0.12623913662851896</v>
      </c>
      <c r="J998" s="317">
        <v>2.9385771957472131E-2</v>
      </c>
      <c r="K998" s="317">
        <v>1.6595207635580964E-2</v>
      </c>
      <c r="L998" s="318">
        <v>2.090737458232426E-3</v>
      </c>
      <c r="M998" s="317">
        <v>2.7785315531516368E-3</v>
      </c>
      <c r="N998" s="318">
        <v>2.0000005732018801E-3</v>
      </c>
      <c r="O998" s="317">
        <v>2.8992816482910171E-2</v>
      </c>
      <c r="P998" s="318">
        <v>1.7307181890024479E-2</v>
      </c>
      <c r="Q998" s="319">
        <v>1.734556928471865E-2</v>
      </c>
    </row>
    <row r="999" spans="2:17" ht="15.75" x14ac:dyDescent="0.25">
      <c r="B999" s="176">
        <v>2036</v>
      </c>
      <c r="C999" s="177">
        <v>2019</v>
      </c>
      <c r="D999" s="178" t="s">
        <v>3845</v>
      </c>
      <c r="E999" s="461">
        <v>4.4109511817227366E-2</v>
      </c>
      <c r="F999" s="462">
        <v>4.7630521068735589E-2</v>
      </c>
      <c r="G999" s="316">
        <v>7.2252166555893602E-2</v>
      </c>
      <c r="H999" s="317">
        <v>6.5561431866701346E-3</v>
      </c>
      <c r="I999" s="317">
        <v>0.10769455351752828</v>
      </c>
      <c r="J999" s="317">
        <v>2.6492771786572448E-2</v>
      </c>
      <c r="K999" s="317">
        <v>1.4065075301517519E-2</v>
      </c>
      <c r="L999" s="318">
        <v>1.9862126748820376E-3</v>
      </c>
      <c r="M999" s="317">
        <v>2.7685708030929764E-3</v>
      </c>
      <c r="N999" s="318">
        <v>2.0000005732018801E-3</v>
      </c>
      <c r="O999" s="317">
        <v>2.8823384124412356E-2</v>
      </c>
      <c r="P999" s="318">
        <v>1.7276542634659442E-2</v>
      </c>
      <c r="Q999" s="319">
        <v>1.4701035593804855E-2</v>
      </c>
    </row>
    <row r="1000" spans="2:17" ht="15.75" x14ac:dyDescent="0.25">
      <c r="B1000" s="176">
        <v>2036</v>
      </c>
      <c r="C1000" s="177">
        <v>2020</v>
      </c>
      <c r="D1000" s="178" t="s">
        <v>3846</v>
      </c>
      <c r="E1000" s="461">
        <v>4.3607314824778309E-2</v>
      </c>
      <c r="F1000" s="462">
        <v>4.5694011482542846E-2</v>
      </c>
      <c r="G1000" s="316">
        <v>7.1144430999948494E-2</v>
      </c>
      <c r="H1000" s="317">
        <v>5.6361648244675332E-3</v>
      </c>
      <c r="I1000" s="317">
        <v>8.9687902380775009E-2</v>
      </c>
      <c r="J1000" s="317">
        <v>2.4052392196714536E-2</v>
      </c>
      <c r="K1000" s="317">
        <v>1.1628675641322641E-2</v>
      </c>
      <c r="L1000" s="318">
        <v>1.4643497257222657E-3</v>
      </c>
      <c r="M1000" s="317">
        <v>2.7606721749156961E-3</v>
      </c>
      <c r="N1000" s="318">
        <v>2.0000005732018801E-3</v>
      </c>
      <c r="O1000" s="317">
        <v>2.8689028459116809E-2</v>
      </c>
      <c r="P1000" s="318">
        <v>1.725908467959009E-2</v>
      </c>
      <c r="Q1000" s="319">
        <v>1.2154472752339321E-2</v>
      </c>
    </row>
    <row r="1001" spans="2:17" ht="15.75" x14ac:dyDescent="0.25">
      <c r="B1001" s="176">
        <v>2036</v>
      </c>
      <c r="C1001" s="177">
        <v>2021</v>
      </c>
      <c r="D1001" s="178" t="s">
        <v>3847</v>
      </c>
      <c r="E1001" s="461">
        <v>4.2203185578017527E-2</v>
      </c>
      <c r="F1001" s="462">
        <v>4.3585772783342809E-2</v>
      </c>
      <c r="G1001" s="316">
        <v>6.7441162536511043E-2</v>
      </c>
      <c r="H1001" s="317">
        <v>4.9373279132263539E-3</v>
      </c>
      <c r="I1001" s="317">
        <v>6.700345034717646E-2</v>
      </c>
      <c r="J1001" s="317">
        <v>2.2585218914912952E-2</v>
      </c>
      <c r="K1001" s="317">
        <v>8.1502676413004425E-3</v>
      </c>
      <c r="L1001" s="318">
        <v>9.6272631258996391E-4</v>
      </c>
      <c r="M1001" s="317">
        <v>2.7533409588882157E-3</v>
      </c>
      <c r="N1001" s="318">
        <v>2.0000005732018801E-3</v>
      </c>
      <c r="O1001" s="317">
        <v>2.856432447448938E-2</v>
      </c>
      <c r="P1001" s="318">
        <v>1.7255721248750185E-2</v>
      </c>
      <c r="Q1001" s="319">
        <v>8.5187865777630115E-3</v>
      </c>
    </row>
    <row r="1002" spans="2:17" ht="15.75" x14ac:dyDescent="0.25">
      <c r="B1002" s="176">
        <v>2036</v>
      </c>
      <c r="C1002" s="177">
        <v>2022</v>
      </c>
      <c r="D1002" s="178" t="s">
        <v>3848</v>
      </c>
      <c r="E1002" s="461">
        <v>4.0970376769740503E-2</v>
      </c>
      <c r="F1002" s="462">
        <v>4.1942670412396139E-2</v>
      </c>
      <c r="G1002" s="316">
        <v>6.6354338299893373E-2</v>
      </c>
      <c r="H1002" s="317">
        <v>4.1434577700896341E-3</v>
      </c>
      <c r="I1002" s="317">
        <v>5.0217012035300143E-2</v>
      </c>
      <c r="J1002" s="317">
        <v>2.089291896776552E-2</v>
      </c>
      <c r="K1002" s="317">
        <v>5.9645598858798976E-3</v>
      </c>
      <c r="L1002" s="318">
        <v>9.6176787860649971E-4</v>
      </c>
      <c r="M1002" s="317">
        <v>2.7479747546448685E-3</v>
      </c>
      <c r="N1002" s="318">
        <v>2.0000005732018801E-3</v>
      </c>
      <c r="O1002" s="317">
        <v>2.8473045340310043E-2</v>
      </c>
      <c r="P1002" s="318">
        <v>1.7240442512239926E-2</v>
      </c>
      <c r="Q1002" s="319">
        <v>6.2342508165768862E-3</v>
      </c>
    </row>
    <row r="1003" spans="2:17" ht="15.75" x14ac:dyDescent="0.25">
      <c r="B1003" s="176">
        <v>2036</v>
      </c>
      <c r="C1003" s="177">
        <v>2023</v>
      </c>
      <c r="D1003" s="178" t="s">
        <v>3849</v>
      </c>
      <c r="E1003" s="461">
        <v>3.9724770343264389E-2</v>
      </c>
      <c r="F1003" s="462">
        <v>4.0324049516784088E-2</v>
      </c>
      <c r="G1003" s="316">
        <v>6.513666838530105E-2</v>
      </c>
      <c r="H1003" s="317">
        <v>3.5814613038869583E-3</v>
      </c>
      <c r="I1003" s="317">
        <v>4.8888256387132893E-2</v>
      </c>
      <c r="J1003" s="317">
        <v>2.0656943180433224E-2</v>
      </c>
      <c r="K1003" s="317">
        <v>5.7298396753049834E-3</v>
      </c>
      <c r="L1003" s="318">
        <v>9.6106117508213101E-4</v>
      </c>
      <c r="M1003" s="317">
        <v>2.7417497398679138E-3</v>
      </c>
      <c r="N1003" s="318">
        <v>2.0000005732018801E-3</v>
      </c>
      <c r="O1003" s="317">
        <v>2.8367157838954046E-2</v>
      </c>
      <c r="P1003" s="318">
        <v>1.7231415851891571E-2</v>
      </c>
      <c r="Q1003" s="319">
        <v>5.9889175996352823E-3</v>
      </c>
    </row>
    <row r="1004" spans="2:17" ht="15.75" x14ac:dyDescent="0.25">
      <c r="B1004" s="176">
        <v>2036</v>
      </c>
      <c r="C1004" s="177">
        <v>2024</v>
      </c>
      <c r="D1004" s="178" t="s">
        <v>3850</v>
      </c>
      <c r="E1004" s="461">
        <v>3.8544309953875942E-2</v>
      </c>
      <c r="F1004" s="462">
        <v>3.8722109656804067E-2</v>
      </c>
      <c r="G1004" s="316">
        <v>6.4016189815310376E-2</v>
      </c>
      <c r="H1004" s="317">
        <v>3.0881443434078661E-3</v>
      </c>
      <c r="I1004" s="317">
        <v>4.7580269894520258E-2</v>
      </c>
      <c r="J1004" s="317">
        <v>2.104404815190089E-2</v>
      </c>
      <c r="K1004" s="317">
        <v>5.4930280763864411E-3</v>
      </c>
      <c r="L1004" s="318">
        <v>9.6044224701960805E-4</v>
      </c>
      <c r="M1004" s="317">
        <v>2.7375803138187404E-3</v>
      </c>
      <c r="N1004" s="318">
        <v>2.0000005732018801E-3</v>
      </c>
      <c r="O1004" s="317">
        <v>2.8296235901857598E-2</v>
      </c>
      <c r="P1004" s="318">
        <v>1.7223794547670784E-2</v>
      </c>
      <c r="Q1004" s="319">
        <v>5.7413984310495485E-3</v>
      </c>
    </row>
    <row r="1005" spans="2:17" ht="15.75" x14ac:dyDescent="0.25">
      <c r="B1005" s="176">
        <v>2036</v>
      </c>
      <c r="C1005" s="177">
        <v>2025</v>
      </c>
      <c r="D1005" s="178" t="s">
        <v>3851</v>
      </c>
      <c r="E1005" s="461">
        <v>3.7351887075931088E-2</v>
      </c>
      <c r="F1005" s="462">
        <v>3.7124721264568179E-2</v>
      </c>
      <c r="G1005" s="316">
        <v>6.2773406885300018E-2</v>
      </c>
      <c r="H1005" s="317">
        <v>2.7945412759413481E-3</v>
      </c>
      <c r="I1005" s="317">
        <v>4.6150837857361925E-2</v>
      </c>
      <c r="J1005" s="317">
        <v>2.2046922888749178E-2</v>
      </c>
      <c r="K1005" s="317">
        <v>5.2359874636792036E-3</v>
      </c>
      <c r="L1005" s="318">
        <v>9.5986856086562359E-4</v>
      </c>
      <c r="M1005" s="317">
        <v>2.7326411925393647E-3</v>
      </c>
      <c r="N1005" s="318">
        <v>2.0000005732018801E-3</v>
      </c>
      <c r="O1005" s="317">
        <v>2.8212221448895427E-2</v>
      </c>
      <c r="P1005" s="318">
        <v>1.7216974126260665E-2</v>
      </c>
      <c r="Q1005" s="319">
        <v>5.4727355824365186E-3</v>
      </c>
    </row>
    <row r="1006" spans="2:17" ht="15.75" x14ac:dyDescent="0.25">
      <c r="B1006" s="176">
        <v>2036</v>
      </c>
      <c r="C1006" s="177">
        <v>2026</v>
      </c>
      <c r="D1006" s="178" t="s">
        <v>3852</v>
      </c>
      <c r="E1006" s="461">
        <v>3.6544126256946315E-2</v>
      </c>
      <c r="F1006" s="462">
        <v>3.6840190480526426E-2</v>
      </c>
      <c r="G1006" s="316">
        <v>6.1610055627800447E-2</v>
      </c>
      <c r="H1006" s="317">
        <v>2.7580473141235471E-3</v>
      </c>
      <c r="I1006" s="317">
        <v>4.4728232710953157E-2</v>
      </c>
      <c r="J1006" s="317">
        <v>2.1199140934874235E-2</v>
      </c>
      <c r="K1006" s="317">
        <v>4.9746078851441696E-3</v>
      </c>
      <c r="L1006" s="318">
        <v>8.3830626583370805E-4</v>
      </c>
      <c r="M1006" s="317">
        <v>2.7295694625993181E-3</v>
      </c>
      <c r="N1006" s="318">
        <v>2.0000005732018805E-3</v>
      </c>
      <c r="O1006" s="317">
        <v>2.8159971322615229E-2</v>
      </c>
      <c r="P1006" s="318">
        <v>1.7197740014541916E-2</v>
      </c>
      <c r="Q1006" s="319">
        <v>5.1995375792148312E-3</v>
      </c>
    </row>
    <row r="1007" spans="2:17" ht="15.75" x14ac:dyDescent="0.25">
      <c r="B1007" s="176">
        <v>2036</v>
      </c>
      <c r="C1007" s="177">
        <v>2027</v>
      </c>
      <c r="D1007" s="178" t="s">
        <v>3853</v>
      </c>
      <c r="E1007" s="461">
        <v>3.5758086875935964E-2</v>
      </c>
      <c r="F1007" s="462">
        <v>3.6592521602295418E-2</v>
      </c>
      <c r="G1007" s="316">
        <v>6.0270747484012448E-2</v>
      </c>
      <c r="H1007" s="317">
        <v>2.7174485655033294E-3</v>
      </c>
      <c r="I1007" s="317">
        <v>4.3152001942108387E-2</v>
      </c>
      <c r="J1007" s="317">
        <v>2.0260710993969793E-2</v>
      </c>
      <c r="K1007" s="317">
        <v>4.6893537020375152E-3</v>
      </c>
      <c r="L1007" s="318">
        <v>6.9689349771248112E-4</v>
      </c>
      <c r="M1007" s="317">
        <v>2.7249825722305302E-3</v>
      </c>
      <c r="N1007" s="318">
        <v>2.0000005732018801E-3</v>
      </c>
      <c r="O1007" s="317">
        <v>2.8081948317442137E-2</v>
      </c>
      <c r="P1007" s="318">
        <v>1.7185553404431005E-2</v>
      </c>
      <c r="Q1007" s="319">
        <v>4.9013854677447868E-3</v>
      </c>
    </row>
    <row r="1008" spans="2:17" ht="15.75" x14ac:dyDescent="0.25">
      <c r="B1008" s="176">
        <v>2036</v>
      </c>
      <c r="C1008" s="177">
        <v>2028</v>
      </c>
      <c r="D1008" s="178" t="s">
        <v>3854</v>
      </c>
      <c r="E1008" s="461">
        <v>3.5725996670681465E-2</v>
      </c>
      <c r="F1008" s="462">
        <v>3.6561319938216243E-2</v>
      </c>
      <c r="G1008" s="316">
        <v>5.9067436257043283E-2</v>
      </c>
      <c r="H1008" s="317">
        <v>2.6716660794798629E-3</v>
      </c>
      <c r="I1008" s="317">
        <v>4.1614372680224519E-2</v>
      </c>
      <c r="J1008" s="317">
        <v>1.9345937278015889E-2</v>
      </c>
      <c r="K1008" s="317">
        <v>4.4029895422626536E-3</v>
      </c>
      <c r="L1008" s="318">
        <v>5.760420165596726E-4</v>
      </c>
      <c r="M1008" s="317">
        <v>2.7230926377410296E-3</v>
      </c>
      <c r="N1008" s="318">
        <v>2.0000005732018797E-3</v>
      </c>
      <c r="O1008" s="317">
        <v>2.8049800531775741E-2</v>
      </c>
      <c r="P1008" s="318">
        <v>1.7184760948249084E-2</v>
      </c>
      <c r="Q1008" s="319">
        <v>4.6020731913870407E-3</v>
      </c>
    </row>
    <row r="1009" spans="2:17" ht="15.75" x14ac:dyDescent="0.25">
      <c r="B1009" s="176">
        <v>2036</v>
      </c>
      <c r="C1009" s="177">
        <v>2029</v>
      </c>
      <c r="D1009" s="178" t="s">
        <v>3855</v>
      </c>
      <c r="E1009" s="461">
        <v>3.5675410119582585E-2</v>
      </c>
      <c r="F1009" s="462">
        <v>3.652166361783267E-2</v>
      </c>
      <c r="G1009" s="316">
        <v>5.769304502686743E-2</v>
      </c>
      <c r="H1009" s="317">
        <v>2.6202832879774836E-3</v>
      </c>
      <c r="I1009" s="317">
        <v>3.9927853904099336E-2</v>
      </c>
      <c r="J1009" s="317">
        <v>1.8415861194169946E-2</v>
      </c>
      <c r="K1009" s="317">
        <v>4.0936320490347197E-3</v>
      </c>
      <c r="L1009" s="318">
        <v>5.755117524206719E-4</v>
      </c>
      <c r="M1009" s="317">
        <v>2.7197535711913729E-3</v>
      </c>
      <c r="N1009" s="318">
        <v>2.0000005732018801E-3</v>
      </c>
      <c r="O1009" s="317">
        <v>2.7993003009766069E-2</v>
      </c>
      <c r="P1009" s="318">
        <v>1.717912987967557E-2</v>
      </c>
      <c r="Q1009" s="319">
        <v>4.2787279250688839E-3</v>
      </c>
    </row>
    <row r="1010" spans="2:17" ht="15.75" x14ac:dyDescent="0.25">
      <c r="B1010" s="176">
        <v>2036</v>
      </c>
      <c r="C1010" s="177">
        <v>2030</v>
      </c>
      <c r="D1010" s="178" t="s">
        <v>3856</v>
      </c>
      <c r="E1010" s="461">
        <v>3.5634356920903894E-2</v>
      </c>
      <c r="F1010" s="462">
        <v>3.6468352487601913E-2</v>
      </c>
      <c r="G1010" s="316">
        <v>5.6308073813472193E-2</v>
      </c>
      <c r="H1010" s="317">
        <v>2.5647984440206966E-3</v>
      </c>
      <c r="I1010" s="317">
        <v>3.818934823989547E-2</v>
      </c>
      <c r="J1010" s="317">
        <v>1.7439822594160884E-2</v>
      </c>
      <c r="K1010" s="317">
        <v>3.7723203652043459E-3</v>
      </c>
      <c r="L1010" s="318">
        <v>5.7473298992199659E-4</v>
      </c>
      <c r="M1010" s="317">
        <v>2.7171244405704009E-3</v>
      </c>
      <c r="N1010" s="318">
        <v>2.0000005732018801E-3</v>
      </c>
      <c r="O1010" s="317">
        <v>2.7948281497903345E-2</v>
      </c>
      <c r="P1010" s="318">
        <v>1.7168756453388542E-2</v>
      </c>
      <c r="Q1010" s="319">
        <v>3.9428879526951857E-3</v>
      </c>
    </row>
    <row r="1011" spans="2:17" ht="15.75" x14ac:dyDescent="0.25">
      <c r="B1011" s="176">
        <v>2036</v>
      </c>
      <c r="C1011" s="177">
        <v>2031</v>
      </c>
      <c r="D1011" s="178" t="s">
        <v>3857</v>
      </c>
      <c r="E1011" s="461">
        <v>3.5575993404157034E-2</v>
      </c>
      <c r="F1011" s="462">
        <v>3.6385820459854057E-2</v>
      </c>
      <c r="G1011" s="316">
        <v>5.4764369721129726E-2</v>
      </c>
      <c r="H1011" s="317">
        <v>2.5095336352132084E-3</v>
      </c>
      <c r="I1011" s="317">
        <v>3.6314281498734433E-2</v>
      </c>
      <c r="J1011" s="317">
        <v>1.6555442293977762E-2</v>
      </c>
      <c r="K1011" s="317">
        <v>3.4303732519745749E-3</v>
      </c>
      <c r="L1011" s="318">
        <v>5.7343514631555642E-4</v>
      </c>
      <c r="M1011" s="317">
        <v>2.7131435830227914E-3</v>
      </c>
      <c r="N1011" s="318">
        <v>2.0000005732018805E-3</v>
      </c>
      <c r="O1011" s="317">
        <v>2.7880567111018509E-2</v>
      </c>
      <c r="P1011" s="318">
        <v>1.7148151508689886E-2</v>
      </c>
      <c r="Q1011" s="319">
        <v>3.5854795083730051E-3</v>
      </c>
    </row>
    <row r="1012" spans="2:17" ht="15.75" x14ac:dyDescent="0.25">
      <c r="B1012" s="176">
        <v>2036</v>
      </c>
      <c r="C1012" s="177">
        <v>2032</v>
      </c>
      <c r="D1012" s="178" t="s">
        <v>3858</v>
      </c>
      <c r="E1012" s="461">
        <v>3.5557652053981412E-2</v>
      </c>
      <c r="F1012" s="462">
        <v>3.6377857826186119E-2</v>
      </c>
      <c r="G1012" s="316">
        <v>5.3373021385802438E-2</v>
      </c>
      <c r="H1012" s="317">
        <v>2.4644564283238016E-3</v>
      </c>
      <c r="I1012" s="317">
        <v>3.447697378203507E-2</v>
      </c>
      <c r="J1012" s="317">
        <v>1.5723301394013602E-2</v>
      </c>
      <c r="K1012" s="317">
        <v>3.0849811497771634E-3</v>
      </c>
      <c r="L1012" s="318">
        <v>5.7363126997622108E-4</v>
      </c>
      <c r="M1012" s="317">
        <v>2.7122420559095878E-3</v>
      </c>
      <c r="N1012" s="318">
        <v>2.0000005732018801E-3</v>
      </c>
      <c r="O1012" s="317">
        <v>2.7865232134822917E-2</v>
      </c>
      <c r="P1012" s="318">
        <v>1.7152096071602861E-2</v>
      </c>
      <c r="Q1012" s="319">
        <v>3.2244703079689846E-3</v>
      </c>
    </row>
    <row r="1013" spans="2:17" ht="15.75" x14ac:dyDescent="0.25">
      <c r="B1013" s="176">
        <v>2036</v>
      </c>
      <c r="C1013" s="177">
        <v>2033</v>
      </c>
      <c r="D1013" s="178" t="s">
        <v>3859</v>
      </c>
      <c r="E1013" s="461">
        <v>3.5548828157084496E-2</v>
      </c>
      <c r="F1013" s="462">
        <v>3.6361453638471326E-2</v>
      </c>
      <c r="G1013" s="316">
        <v>5.1959935359499117E-2</v>
      </c>
      <c r="H1013" s="317">
        <v>2.4365113525451386E-3</v>
      </c>
      <c r="I1013" s="317">
        <v>3.2575625819329532E-2</v>
      </c>
      <c r="J1013" s="317">
        <v>1.5007420783542018E-2</v>
      </c>
      <c r="K1013" s="317">
        <v>2.7250719389515913E-3</v>
      </c>
      <c r="L1013" s="318">
        <v>5.7381313409209968E-4</v>
      </c>
      <c r="M1013" s="317">
        <v>2.712015562908275E-3</v>
      </c>
      <c r="N1013" s="318">
        <v>2.0000005732018801E-3</v>
      </c>
      <c r="O1013" s="317">
        <v>2.7861379488870592E-2</v>
      </c>
      <c r="P1013" s="318">
        <v>1.7151987302175657E-2</v>
      </c>
      <c r="Q1013" s="319">
        <v>2.8482875997033509E-3</v>
      </c>
    </row>
    <row r="1014" spans="2:17" ht="15.75" x14ac:dyDescent="0.25">
      <c r="B1014" s="176">
        <v>2036</v>
      </c>
      <c r="C1014" s="177">
        <v>2034</v>
      </c>
      <c r="D1014" s="178" t="s">
        <v>3860</v>
      </c>
      <c r="E1014" s="461">
        <v>3.5511362346534306E-2</v>
      </c>
      <c r="F1014" s="462">
        <v>3.631375970361566E-2</v>
      </c>
      <c r="G1014" s="316">
        <v>5.0327305329590837E-2</v>
      </c>
      <c r="H1014" s="317">
        <v>2.4269597847767473E-3</v>
      </c>
      <c r="I1014" s="317">
        <v>3.0507226887117867E-2</v>
      </c>
      <c r="J1014" s="317">
        <v>1.4419658925452744E-2</v>
      </c>
      <c r="K1014" s="317">
        <v>2.3422107871403754E-3</v>
      </c>
      <c r="L1014" s="318">
        <v>5.7358595711477572E-4</v>
      </c>
      <c r="M1014" s="317">
        <v>2.7094831600178284E-3</v>
      </c>
      <c r="N1014" s="318">
        <v>2.0000005732018801E-3</v>
      </c>
      <c r="O1014" s="317">
        <v>2.7818303315704087E-2</v>
      </c>
      <c r="P1014" s="318">
        <v>1.7140020063912773E-2</v>
      </c>
      <c r="Q1014" s="319">
        <v>2.4481151655284202E-3</v>
      </c>
    </row>
    <row r="1015" spans="2:17" ht="15.75" x14ac:dyDescent="0.25">
      <c r="B1015" s="176">
        <v>2036</v>
      </c>
      <c r="C1015" s="177">
        <v>2035</v>
      </c>
      <c r="D1015" s="178" t="s">
        <v>3861</v>
      </c>
      <c r="E1015" s="461">
        <v>3.548430168808045E-2</v>
      </c>
      <c r="F1015" s="462">
        <v>3.624042199248402E-2</v>
      </c>
      <c r="G1015" s="316">
        <v>4.8697496880476365E-2</v>
      </c>
      <c r="H1015" s="317">
        <v>2.4114451372809422E-3</v>
      </c>
      <c r="I1015" s="317">
        <v>2.8388388934072389E-2</v>
      </c>
      <c r="J1015" s="317">
        <v>1.384857145313566E-2</v>
      </c>
      <c r="K1015" s="317">
        <v>1.9464920642136676E-3</v>
      </c>
      <c r="L1015" s="318">
        <v>5.7247634245930195E-4</v>
      </c>
      <c r="M1015" s="317">
        <v>2.7079911672332159E-3</v>
      </c>
      <c r="N1015" s="318">
        <v>2.0000005732018801E-3</v>
      </c>
      <c r="O1015" s="317">
        <v>2.7792924518437831E-2</v>
      </c>
      <c r="P1015" s="318">
        <v>1.7123373490565211E-2</v>
      </c>
      <c r="Q1015" s="319">
        <v>2.0345037979267928E-3</v>
      </c>
    </row>
    <row r="1016" spans="2:17" ht="15.75" x14ac:dyDescent="0.25">
      <c r="B1016" s="176">
        <v>2036</v>
      </c>
      <c r="C1016" s="177">
        <v>2036</v>
      </c>
      <c r="D1016" s="178" t="s">
        <v>3862</v>
      </c>
      <c r="E1016" s="461">
        <v>3.511239084861513E-2</v>
      </c>
      <c r="F1016" s="462">
        <v>3.5560943452459415E-2</v>
      </c>
      <c r="G1016" s="316">
        <v>4.5312414742350579E-2</v>
      </c>
      <c r="H1016" s="317">
        <v>2.2825054606910051E-3</v>
      </c>
      <c r="I1016" s="317">
        <v>2.54035185885748E-2</v>
      </c>
      <c r="J1016" s="317">
        <v>1.2723426452435602E-2</v>
      </c>
      <c r="K1016" s="317">
        <v>1.4936134261880215E-3</v>
      </c>
      <c r="L1016" s="318">
        <v>5.6023680515799158E-4</v>
      </c>
      <c r="M1016" s="317">
        <v>2.6793277601653716E-3</v>
      </c>
      <c r="N1016" s="318">
        <v>2.0000005732018801E-3</v>
      </c>
      <c r="O1016" s="317">
        <v>2.7305359964213804E-2</v>
      </c>
      <c r="P1016" s="318">
        <v>1.6899480239277318E-2</v>
      </c>
      <c r="Q1016" s="319">
        <v>1.5611479975088224E-3</v>
      </c>
    </row>
    <row r="1017" spans="2:17" ht="15.75" x14ac:dyDescent="0.25">
      <c r="B1017" s="176">
        <v>2037</v>
      </c>
      <c r="C1017" s="177">
        <v>1993</v>
      </c>
      <c r="D1017" s="178" t="s">
        <v>3863</v>
      </c>
      <c r="E1017" s="461">
        <v>5.7760578002452038E-2</v>
      </c>
      <c r="F1017" s="462">
        <v>7.6065817813627978E-2</v>
      </c>
      <c r="G1017" s="316">
        <v>0.36075815909362452</v>
      </c>
      <c r="H1017" s="317">
        <v>0.53830082826473802</v>
      </c>
      <c r="I1017" s="317">
        <v>8.5300130791161326</v>
      </c>
      <c r="J1017" s="317">
        <v>2.213371204087772</v>
      </c>
      <c r="K1017" s="317">
        <v>5.3852416288574595E-2</v>
      </c>
      <c r="L1017" s="318">
        <v>1.0053212432989362E-2</v>
      </c>
      <c r="M1017" s="317">
        <v>2.9314761208034303E-3</v>
      </c>
      <c r="N1017" s="318">
        <v>2.0000005732018801E-3</v>
      </c>
      <c r="O1017" s="317">
        <v>3.1594403578667177E-2</v>
      </c>
      <c r="P1017" s="318">
        <v>1.982749262849583E-2</v>
      </c>
      <c r="Q1017" s="319">
        <v>5.6287383586585846E-2</v>
      </c>
    </row>
    <row r="1018" spans="2:17" ht="15.75" x14ac:dyDescent="0.25">
      <c r="B1018" s="176">
        <v>2037</v>
      </c>
      <c r="C1018" s="177">
        <v>1994</v>
      </c>
      <c r="D1018" s="178" t="s">
        <v>3864</v>
      </c>
      <c r="E1018" s="461">
        <v>5.7301602925141921E-2</v>
      </c>
      <c r="F1018" s="462">
        <v>7.2687990075582715E-2</v>
      </c>
      <c r="G1018" s="316">
        <v>0.35116722419907748</v>
      </c>
      <c r="H1018" s="317">
        <v>0.53914736396741259</v>
      </c>
      <c r="I1018" s="317">
        <v>8.3702551716179112</v>
      </c>
      <c r="J1018" s="317">
        <v>2.1473700034100132</v>
      </c>
      <c r="K1018" s="317">
        <v>5.3938996204928417E-2</v>
      </c>
      <c r="L1018" s="318">
        <v>1.0159260756931025E-2</v>
      </c>
      <c r="M1018" s="317">
        <v>2.9064676758624691E-3</v>
      </c>
      <c r="N1018" s="318">
        <v>2.0000005732018805E-3</v>
      </c>
      <c r="O1018" s="317">
        <v>3.1169009930221422E-2</v>
      </c>
      <c r="P1018" s="318">
        <v>1.8905611258893701E-2</v>
      </c>
      <c r="Q1018" s="319">
        <v>5.6377878262564463E-2</v>
      </c>
    </row>
    <row r="1019" spans="2:17" ht="15.75" x14ac:dyDescent="0.25">
      <c r="B1019" s="176">
        <v>2037</v>
      </c>
      <c r="C1019" s="177">
        <v>1995</v>
      </c>
      <c r="D1019" s="178" t="s">
        <v>3865</v>
      </c>
      <c r="E1019" s="461">
        <v>5.7254869413924693E-2</v>
      </c>
      <c r="F1019" s="462">
        <v>7.4230380807317906E-2</v>
      </c>
      <c r="G1019" s="316">
        <v>0.35373586608329871</v>
      </c>
      <c r="H1019" s="317">
        <v>0.4081052924932006</v>
      </c>
      <c r="I1019" s="317">
        <v>8.60806985147196</v>
      </c>
      <c r="J1019" s="317">
        <v>1.6842872921869594</v>
      </c>
      <c r="K1019" s="317">
        <v>5.3385025266978053E-2</v>
      </c>
      <c r="L1019" s="318">
        <v>9.3841000232550657E-3</v>
      </c>
      <c r="M1019" s="317">
        <v>2.9305854321373666E-3</v>
      </c>
      <c r="N1019" s="318">
        <v>2.0000005732018801E-3</v>
      </c>
      <c r="O1019" s="317">
        <v>3.1579252964457433E-2</v>
      </c>
      <c r="P1019" s="318">
        <v>1.960870601388821E-2</v>
      </c>
      <c r="Q1019" s="319">
        <v>5.579885921700966E-2</v>
      </c>
    </row>
    <row r="1020" spans="2:17" ht="15.75" x14ac:dyDescent="0.25">
      <c r="B1020" s="176">
        <v>2037</v>
      </c>
      <c r="C1020" s="177">
        <v>1996</v>
      </c>
      <c r="D1020" s="178" t="s">
        <v>3866</v>
      </c>
      <c r="E1020" s="461">
        <v>5.7518765809177051E-2</v>
      </c>
      <c r="F1020" s="462">
        <v>7.409313860893002E-2</v>
      </c>
      <c r="G1020" s="316">
        <v>0.3600248846505596</v>
      </c>
      <c r="H1020" s="317">
        <v>0.14092225592530952</v>
      </c>
      <c r="I1020" s="317">
        <v>8.7110016938253469</v>
      </c>
      <c r="J1020" s="317">
        <v>1.0223262941979081</v>
      </c>
      <c r="K1020" s="317">
        <v>5.360275578547874E-2</v>
      </c>
      <c r="L1020" s="318">
        <v>2.8689906140466951E-3</v>
      </c>
      <c r="M1020" s="317">
        <v>2.9472712983700153E-3</v>
      </c>
      <c r="N1020" s="318">
        <v>2.0000005732018801E-3</v>
      </c>
      <c r="O1020" s="317">
        <v>3.1863079549074788E-2</v>
      </c>
      <c r="P1020" s="318">
        <v>1.9883711709094396E-2</v>
      </c>
      <c r="Q1020" s="319">
        <v>5.6026434543392102E-2</v>
      </c>
    </row>
    <row r="1021" spans="2:17" ht="15.75" x14ac:dyDescent="0.25">
      <c r="B1021" s="176">
        <v>2037</v>
      </c>
      <c r="C1021" s="177">
        <v>1997</v>
      </c>
      <c r="D1021" s="178" t="s">
        <v>3867</v>
      </c>
      <c r="E1021" s="461">
        <v>5.7790337615106678E-2</v>
      </c>
      <c r="F1021" s="462">
        <v>7.1992661283015486E-2</v>
      </c>
      <c r="G1021" s="316">
        <v>0.36588276529176667</v>
      </c>
      <c r="H1021" s="317">
        <v>0.14574926327549997</v>
      </c>
      <c r="I1021" s="317">
        <v>8.8085149308979833</v>
      </c>
      <c r="J1021" s="317">
        <v>1.0493010661287916</v>
      </c>
      <c r="K1021" s="317">
        <v>5.3851719909794135E-2</v>
      </c>
      <c r="L1021" s="318">
        <v>2.888085804707511E-3</v>
      </c>
      <c r="M1021" s="317">
        <v>2.962841765973721E-3</v>
      </c>
      <c r="N1021" s="318">
        <v>2.0000005732018801E-3</v>
      </c>
      <c r="O1021" s="317">
        <v>3.2127933203013832E-2</v>
      </c>
      <c r="P1021" s="318">
        <v>1.9312373339870695E-2</v>
      </c>
      <c r="Q1021" s="319">
        <v>5.6286655720646991E-2</v>
      </c>
    </row>
    <row r="1022" spans="2:17" ht="15.75" x14ac:dyDescent="0.25">
      <c r="B1022" s="176">
        <v>2037</v>
      </c>
      <c r="C1022" s="177">
        <v>1998</v>
      </c>
      <c r="D1022" s="178" t="s">
        <v>3868</v>
      </c>
      <c r="E1022" s="461">
        <v>5.7672323573089934E-2</v>
      </c>
      <c r="F1022" s="462">
        <v>6.8583980145263429E-2</v>
      </c>
      <c r="G1022" s="316">
        <v>0.36459209455652386</v>
      </c>
      <c r="H1022" s="317">
        <v>0.13533286864449015</v>
      </c>
      <c r="I1022" s="317">
        <v>8.8024037921814191</v>
      </c>
      <c r="J1022" s="317">
        <v>0.92743236924207106</v>
      </c>
      <c r="K1022" s="317">
        <v>5.3707046972329614E-2</v>
      </c>
      <c r="L1022" s="318">
        <v>2.9267336738228152E-3</v>
      </c>
      <c r="M1022" s="317">
        <v>2.9613164979909235E-3</v>
      </c>
      <c r="N1022" s="318">
        <v>2.0000005732018801E-3</v>
      </c>
      <c r="O1022" s="317">
        <v>3.2101988394626434E-2</v>
      </c>
      <c r="P1022" s="318">
        <v>1.8373868542719628E-2</v>
      </c>
      <c r="Q1022" s="319">
        <v>5.6135441314926968E-2</v>
      </c>
    </row>
    <row r="1023" spans="2:17" ht="15.75" x14ac:dyDescent="0.25">
      <c r="B1023" s="176">
        <v>2037</v>
      </c>
      <c r="C1023" s="177">
        <v>1999</v>
      </c>
      <c r="D1023" s="178" t="s">
        <v>3869</v>
      </c>
      <c r="E1023" s="461">
        <v>5.7984480869319607E-2</v>
      </c>
      <c r="F1023" s="462">
        <v>6.9065375367381804E-2</v>
      </c>
      <c r="G1023" s="316">
        <v>0.37271175657223743</v>
      </c>
      <c r="H1023" s="317">
        <v>0.1184946211232078</v>
      </c>
      <c r="I1023" s="317">
        <v>9.0247423229798844</v>
      </c>
      <c r="J1023" s="317">
        <v>0.769905111265345</v>
      </c>
      <c r="K1023" s="317">
        <v>5.3766995391084094E-2</v>
      </c>
      <c r="L1023" s="318">
        <v>2.933058954071015E-3</v>
      </c>
      <c r="M1023" s="317">
        <v>2.9899697034906684E-3</v>
      </c>
      <c r="N1023" s="318">
        <v>2.0000005732018801E-3</v>
      </c>
      <c r="O1023" s="317">
        <v>3.2589379420177096E-2</v>
      </c>
      <c r="P1023" s="318">
        <v>1.8545066391094767E-2</v>
      </c>
      <c r="Q1023" s="319">
        <v>5.6198100335160504E-2</v>
      </c>
    </row>
    <row r="1024" spans="2:17" ht="15.75" x14ac:dyDescent="0.25">
      <c r="B1024" s="176">
        <v>2037</v>
      </c>
      <c r="C1024" s="177">
        <v>2000</v>
      </c>
      <c r="D1024" s="178" t="s">
        <v>3870</v>
      </c>
      <c r="E1024" s="461">
        <v>5.7881116260171478E-2</v>
      </c>
      <c r="F1024" s="462">
        <v>7.5155221636255737E-2</v>
      </c>
      <c r="G1024" s="316">
        <v>0.37253668585698624</v>
      </c>
      <c r="H1024" s="317">
        <v>0.10188327013942788</v>
      </c>
      <c r="I1024" s="317">
        <v>9.107673913628572</v>
      </c>
      <c r="J1024" s="317">
        <v>0.61751144046303974</v>
      </c>
      <c r="K1024" s="317">
        <v>5.3441265609195154E-2</v>
      </c>
      <c r="L1024" s="318">
        <v>2.9292965036932669E-3</v>
      </c>
      <c r="M1024" s="317">
        <v>2.9974780888429382E-3</v>
      </c>
      <c r="N1024" s="318">
        <v>2.0000005732018801E-3</v>
      </c>
      <c r="O1024" s="317">
        <v>3.2717097055019212E-2</v>
      </c>
      <c r="P1024" s="318">
        <v>1.870929096008626E-2</v>
      </c>
      <c r="Q1024" s="319">
        <v>5.5857642497939078E-2</v>
      </c>
    </row>
    <row r="1025" spans="2:17" ht="15.75" x14ac:dyDescent="0.25">
      <c r="B1025" s="176">
        <v>2037</v>
      </c>
      <c r="C1025" s="177">
        <v>2001</v>
      </c>
      <c r="D1025" s="178" t="s">
        <v>3871</v>
      </c>
      <c r="E1025" s="461">
        <v>5.7936000291185348E-2</v>
      </c>
      <c r="F1025" s="462">
        <v>7.4086670822259504E-2</v>
      </c>
      <c r="G1025" s="316">
        <v>0.3728412159932244</v>
      </c>
      <c r="H1025" s="317">
        <v>8.7608489515225374E-2</v>
      </c>
      <c r="I1025" s="317">
        <v>9.0367430076339375</v>
      </c>
      <c r="J1025" s="317">
        <v>0.4764723292772986</v>
      </c>
      <c r="K1025" s="317">
        <v>5.3724341573288752E-2</v>
      </c>
      <c r="L1025" s="318">
        <v>2.948483295781359E-3</v>
      </c>
      <c r="M1025" s="317">
        <v>2.9913888178596509E-3</v>
      </c>
      <c r="N1025" s="318">
        <v>2.0000005732018801E-3</v>
      </c>
      <c r="O1025" s="317">
        <v>3.2613518555593482E-2</v>
      </c>
      <c r="P1025" s="318">
        <v>1.8383122909898231E-2</v>
      </c>
      <c r="Q1025" s="319">
        <v>5.6153517900997867E-2</v>
      </c>
    </row>
    <row r="1026" spans="2:17" ht="15.75" x14ac:dyDescent="0.25">
      <c r="B1026" s="176">
        <v>2037</v>
      </c>
      <c r="C1026" s="177">
        <v>2002</v>
      </c>
      <c r="D1026" s="178" t="s">
        <v>3872</v>
      </c>
      <c r="E1026" s="461">
        <v>5.7781957360123003E-2</v>
      </c>
      <c r="F1026" s="462">
        <v>7.2320652692882903E-2</v>
      </c>
      <c r="G1026" s="316">
        <v>0.28842964078880812</v>
      </c>
      <c r="H1026" s="317">
        <v>8.7547784944284876E-2</v>
      </c>
      <c r="I1026" s="317">
        <v>7.0168683995350802</v>
      </c>
      <c r="J1026" s="317">
        <v>0.4582109941465739</v>
      </c>
      <c r="K1026" s="317">
        <v>5.3866589269222769E-2</v>
      </c>
      <c r="L1026" s="318">
        <v>2.9725288859199944E-3</v>
      </c>
      <c r="M1026" s="317">
        <v>2.9970354842233388E-3</v>
      </c>
      <c r="N1026" s="318">
        <v>2.0000005732018801E-3</v>
      </c>
      <c r="O1026" s="317">
        <v>3.2709568350439824E-2</v>
      </c>
      <c r="P1026" s="318">
        <v>1.7834784188202685E-2</v>
      </c>
      <c r="Q1026" s="319">
        <v>5.630219740652731E-2</v>
      </c>
    </row>
    <row r="1027" spans="2:17" ht="15.75" x14ac:dyDescent="0.25">
      <c r="B1027" s="176">
        <v>2037</v>
      </c>
      <c r="C1027" s="177">
        <v>2003</v>
      </c>
      <c r="D1027" s="178" t="s">
        <v>3873</v>
      </c>
      <c r="E1027" s="461">
        <v>5.7571080969780974E-2</v>
      </c>
      <c r="F1027" s="462">
        <v>7.3477965154118988E-2</v>
      </c>
      <c r="G1027" s="316">
        <v>0.28611629424275076</v>
      </c>
      <c r="H1027" s="317">
        <v>7.0772696956657138E-2</v>
      </c>
      <c r="I1027" s="317">
        <v>7.0158707267493208</v>
      </c>
      <c r="J1027" s="317">
        <v>0.3917621173277317</v>
      </c>
      <c r="K1027" s="317">
        <v>5.3557515909149582E-2</v>
      </c>
      <c r="L1027" s="318">
        <v>2.9523721607483244E-3</v>
      </c>
      <c r="M1027" s="317">
        <v>2.993603826016468E-3</v>
      </c>
      <c r="N1027" s="318">
        <v>2.0000005732018801E-3</v>
      </c>
      <c r="O1027" s="317">
        <v>3.2651195844340945E-2</v>
      </c>
      <c r="P1027" s="318">
        <v>1.8256544752587173E-2</v>
      </c>
      <c r="Q1027" s="319">
        <v>5.5979149120604282E-2</v>
      </c>
    </row>
    <row r="1028" spans="2:17" ht="15.75" x14ac:dyDescent="0.25">
      <c r="B1028" s="176">
        <v>2037</v>
      </c>
      <c r="C1028" s="177">
        <v>2004</v>
      </c>
      <c r="D1028" s="178" t="s">
        <v>3874</v>
      </c>
      <c r="E1028" s="461">
        <v>5.7465984635907172E-2</v>
      </c>
      <c r="F1028" s="462">
        <v>7.3310823862829874E-2</v>
      </c>
      <c r="G1028" s="316">
        <v>0.23630488688440729</v>
      </c>
      <c r="H1028" s="317">
        <v>1.8185851188138525E-2</v>
      </c>
      <c r="I1028" s="317">
        <v>5.8574731219469776</v>
      </c>
      <c r="J1028" s="317">
        <v>0.11645429958596966</v>
      </c>
      <c r="K1028" s="317">
        <v>5.3315048950333115E-2</v>
      </c>
      <c r="L1028" s="318">
        <v>1.9714930851186415E-4</v>
      </c>
      <c r="M1028" s="317">
        <v>2.9922949618393889E-3</v>
      </c>
      <c r="N1028" s="318">
        <v>2.0000005732018801E-3</v>
      </c>
      <c r="O1028" s="317">
        <v>3.2628932064688837E-2</v>
      </c>
      <c r="P1028" s="318">
        <v>1.7910100844401304E-2</v>
      </c>
      <c r="Q1028" s="319">
        <v>5.5725718881841454E-2</v>
      </c>
    </row>
    <row r="1029" spans="2:17" ht="15.75" x14ac:dyDescent="0.25">
      <c r="B1029" s="176">
        <v>2037</v>
      </c>
      <c r="C1029" s="177">
        <v>2005</v>
      </c>
      <c r="D1029" s="178" t="s">
        <v>3875</v>
      </c>
      <c r="E1029" s="461">
        <v>5.7229410713879054E-2</v>
      </c>
      <c r="F1029" s="462">
        <v>6.9602855475646264E-2</v>
      </c>
      <c r="G1029" s="316">
        <v>0.23391039443518416</v>
      </c>
      <c r="H1029" s="317">
        <v>1.5866157603858861E-2</v>
      </c>
      <c r="I1029" s="317">
        <v>5.8552579542256868</v>
      </c>
      <c r="J1029" s="317">
        <v>9.4847100389160277E-2</v>
      </c>
      <c r="K1029" s="317">
        <v>5.2950179930783617E-2</v>
      </c>
      <c r="L1029" s="318">
        <v>1.9792693548661617E-4</v>
      </c>
      <c r="M1029" s="317">
        <v>2.9869144423122027E-3</v>
      </c>
      <c r="N1029" s="318">
        <v>2.0000005732018801E-3</v>
      </c>
      <c r="O1029" s="317">
        <v>3.2537409427531395E-2</v>
      </c>
      <c r="P1029" s="318">
        <v>1.7186450509969965E-2</v>
      </c>
      <c r="Q1029" s="319">
        <v>5.5344352104310116E-2</v>
      </c>
    </row>
    <row r="1030" spans="2:17" ht="15.75" x14ac:dyDescent="0.25">
      <c r="B1030" s="176">
        <v>2037</v>
      </c>
      <c r="C1030" s="177">
        <v>2006</v>
      </c>
      <c r="D1030" s="178" t="s">
        <v>3876</v>
      </c>
      <c r="E1030" s="461">
        <v>5.717354174798793E-2</v>
      </c>
      <c r="F1030" s="462">
        <v>7.3219554682167759E-2</v>
      </c>
      <c r="G1030" s="316">
        <v>0.23367800034292396</v>
      </c>
      <c r="H1030" s="317">
        <v>6.0619539552486364E-3</v>
      </c>
      <c r="I1030" s="317">
        <v>5.8543966954171944</v>
      </c>
      <c r="J1030" s="317">
        <v>6.7241205452081426E-2</v>
      </c>
      <c r="K1030" s="317">
        <v>5.2912351225554356E-2</v>
      </c>
      <c r="L1030" s="318">
        <v>1.935969475491343E-4</v>
      </c>
      <c r="M1030" s="317">
        <v>2.9864062084298533E-3</v>
      </c>
      <c r="N1030" s="318">
        <v>2.0000005732018801E-3</v>
      </c>
      <c r="O1030" s="317">
        <v>3.252876436919263E-2</v>
      </c>
      <c r="P1030" s="318">
        <v>1.9019353507914828E-2</v>
      </c>
      <c r="Q1030" s="319">
        <v>5.5304812952892808E-2</v>
      </c>
    </row>
    <row r="1031" spans="2:17" ht="15.75" x14ac:dyDescent="0.25">
      <c r="B1031" s="176">
        <v>2037</v>
      </c>
      <c r="C1031" s="177">
        <v>2007</v>
      </c>
      <c r="D1031" s="178" t="s">
        <v>3877</v>
      </c>
      <c r="E1031" s="461">
        <v>5.7025864743852822E-2</v>
      </c>
      <c r="F1031" s="462">
        <v>6.8585042972739749E-2</v>
      </c>
      <c r="G1031" s="316">
        <v>0.16887554054124385</v>
      </c>
      <c r="H1031" s="317">
        <v>8.5612923309527651E-3</v>
      </c>
      <c r="I1031" s="317">
        <v>3.0113997274185467</v>
      </c>
      <c r="J1031" s="317">
        <v>5.8660206410424888E-2</v>
      </c>
      <c r="K1031" s="317">
        <v>3.7302003722738536E-2</v>
      </c>
      <c r="L1031" s="318">
        <v>1.971015467641327E-4</v>
      </c>
      <c r="M1031" s="317">
        <v>2.9709416298686264E-3</v>
      </c>
      <c r="N1031" s="318">
        <v>2.0000005732018801E-3</v>
      </c>
      <c r="O1031" s="317">
        <v>3.2265711887866165E-2</v>
      </c>
      <c r="P1031" s="318">
        <v>1.7525087937100843E-2</v>
      </c>
      <c r="Q1031" s="319">
        <v>3.8988634805890744E-2</v>
      </c>
    </row>
    <row r="1032" spans="2:17" ht="15.75" x14ac:dyDescent="0.25">
      <c r="B1032" s="176">
        <v>2037</v>
      </c>
      <c r="C1032" s="177">
        <v>2008</v>
      </c>
      <c r="D1032" s="178" t="s">
        <v>3878</v>
      </c>
      <c r="E1032" s="461">
        <v>5.7029291157387439E-2</v>
      </c>
      <c r="F1032" s="462">
        <v>6.6952999998063645E-2</v>
      </c>
      <c r="G1032" s="316">
        <v>0.17009818274377153</v>
      </c>
      <c r="H1032" s="317">
        <v>8.3016850663945856E-3</v>
      </c>
      <c r="I1032" s="317">
        <v>3.0308335742003907</v>
      </c>
      <c r="J1032" s="317">
        <v>4.7217807894964041E-2</v>
      </c>
      <c r="K1032" s="317">
        <v>3.7553226379616556E-2</v>
      </c>
      <c r="L1032" s="318">
        <v>2.2515707596368917E-4</v>
      </c>
      <c r="M1032" s="317">
        <v>2.9784341822458355E-3</v>
      </c>
      <c r="N1032" s="318">
        <v>2.0000005732018797E-3</v>
      </c>
      <c r="O1032" s="317">
        <v>3.2393160203802486E-2</v>
      </c>
      <c r="P1032" s="318">
        <v>1.7517238579744573E-2</v>
      </c>
      <c r="Q1032" s="319">
        <v>3.9251216636528787E-2</v>
      </c>
    </row>
    <row r="1033" spans="2:17" ht="15.75" x14ac:dyDescent="0.25">
      <c r="B1033" s="176">
        <v>2037</v>
      </c>
      <c r="C1033" s="177">
        <v>2009</v>
      </c>
      <c r="D1033" s="178" t="s">
        <v>3879</v>
      </c>
      <c r="E1033" s="461">
        <v>5.6354371307347176E-2</v>
      </c>
      <c r="F1033" s="462">
        <v>6.1436601291230908E-2</v>
      </c>
      <c r="G1033" s="316">
        <v>0.16044191069815514</v>
      </c>
      <c r="H1033" s="317">
        <v>8.1348826082751815E-3</v>
      </c>
      <c r="I1033" s="317">
        <v>2.7661038704512344</v>
      </c>
      <c r="J1033" s="317">
        <v>3.4083419792817204E-2</v>
      </c>
      <c r="K1033" s="317">
        <v>3.5324961701356357E-2</v>
      </c>
      <c r="L1033" s="318">
        <v>2.5471783786267584E-4</v>
      </c>
      <c r="M1033" s="317">
        <v>2.8962676819743642E-3</v>
      </c>
      <c r="N1033" s="318">
        <v>2.0000005732018801E-3</v>
      </c>
      <c r="O1033" s="317">
        <v>3.0995508034184768E-2</v>
      </c>
      <c r="P1033" s="318">
        <v>1.6833288000917223E-2</v>
      </c>
      <c r="Q1033" s="319">
        <v>3.6922199717295781E-2</v>
      </c>
    </row>
    <row r="1034" spans="2:17" ht="15.75" x14ac:dyDescent="0.25">
      <c r="B1034" s="176">
        <v>2037</v>
      </c>
      <c r="C1034" s="177">
        <v>2010</v>
      </c>
      <c r="D1034" s="178" t="s">
        <v>3880</v>
      </c>
      <c r="E1034" s="461">
        <v>5.5136245978922006E-2</v>
      </c>
      <c r="F1034" s="462">
        <v>5.9463124690839288E-2</v>
      </c>
      <c r="G1034" s="316">
        <v>9.5019088009569333E-2</v>
      </c>
      <c r="H1034" s="317">
        <v>7.3125292734455257E-3</v>
      </c>
      <c r="I1034" s="317">
        <v>0.23997010856204759</v>
      </c>
      <c r="J1034" s="317">
        <v>3.3168912591911438E-2</v>
      </c>
      <c r="K1034" s="317">
        <v>2.0337988815196772E-2</v>
      </c>
      <c r="L1034" s="318">
        <v>3.1113397002256835E-4</v>
      </c>
      <c r="M1034" s="317">
        <v>2.8064347833964077E-3</v>
      </c>
      <c r="N1034" s="318">
        <v>2.0000005732018801E-3</v>
      </c>
      <c r="O1034" s="317">
        <v>2.946745042937372E-2</v>
      </c>
      <c r="P1034" s="318">
        <v>1.6448170112917722E-2</v>
      </c>
      <c r="Q1034" s="319">
        <v>2.1257582420931277E-2</v>
      </c>
    </row>
    <row r="1035" spans="2:17" ht="15.75" x14ac:dyDescent="0.25">
      <c r="B1035" s="176">
        <v>2037</v>
      </c>
      <c r="C1035" s="177">
        <v>2011</v>
      </c>
      <c r="D1035" s="178" t="s">
        <v>3881</v>
      </c>
      <c r="E1035" s="461">
        <v>5.4905288968810209E-2</v>
      </c>
      <c r="F1035" s="462">
        <v>5.8177251662541021E-2</v>
      </c>
      <c r="G1035" s="316">
        <v>9.5229263763006902E-2</v>
      </c>
      <c r="H1035" s="317">
        <v>7.4174696766833676E-3</v>
      </c>
      <c r="I1035" s="317">
        <v>0.24185067276438296</v>
      </c>
      <c r="J1035" s="317">
        <v>3.3504385953533708E-2</v>
      </c>
      <c r="K1035" s="317">
        <v>2.0493992398485174E-2</v>
      </c>
      <c r="L1035" s="318">
        <v>4.2124119506238637E-4</v>
      </c>
      <c r="M1035" s="317">
        <v>2.8200963016544707E-3</v>
      </c>
      <c r="N1035" s="318">
        <v>2.0000005732018801E-3</v>
      </c>
      <c r="O1035" s="317">
        <v>2.9699832854943372E-2</v>
      </c>
      <c r="P1035" s="318">
        <v>1.6586787458011662E-2</v>
      </c>
      <c r="Q1035" s="319">
        <v>2.1420639794000332E-2</v>
      </c>
    </row>
    <row r="1036" spans="2:17" ht="15.75" x14ac:dyDescent="0.25">
      <c r="B1036" s="176">
        <v>2037</v>
      </c>
      <c r="C1036" s="177">
        <v>2012</v>
      </c>
      <c r="D1036" s="178" t="s">
        <v>3882</v>
      </c>
      <c r="E1036" s="461">
        <v>5.2873041127132571E-2</v>
      </c>
      <c r="F1036" s="462">
        <v>5.8114270756389877E-2</v>
      </c>
      <c r="G1036" s="316">
        <v>8.3567633527463325E-2</v>
      </c>
      <c r="H1036" s="317">
        <v>6.9911760017520403E-3</v>
      </c>
      <c r="I1036" s="317">
        <v>0.20997543785541095</v>
      </c>
      <c r="J1036" s="317">
        <v>3.4587261096530542E-2</v>
      </c>
      <c r="K1036" s="317">
        <v>1.8258564014841494E-2</v>
      </c>
      <c r="L1036" s="318">
        <v>6.1126756349043061E-4</v>
      </c>
      <c r="M1036" s="317">
        <v>2.6907847529820234E-3</v>
      </c>
      <c r="N1036" s="318">
        <v>2.0000005732018801E-3</v>
      </c>
      <c r="O1036" s="317">
        <v>2.750024341202505E-2</v>
      </c>
      <c r="P1036" s="318">
        <v>1.6960109861396167E-2</v>
      </c>
      <c r="Q1036" s="319">
        <v>1.9084135258414733E-2</v>
      </c>
    </row>
    <row r="1037" spans="2:17" ht="15.75" x14ac:dyDescent="0.25">
      <c r="B1037" s="176">
        <v>2037</v>
      </c>
      <c r="C1037" s="177">
        <v>2013</v>
      </c>
      <c r="D1037" s="178" t="s">
        <v>3883</v>
      </c>
      <c r="E1037" s="461">
        <v>5.4729978821783869E-2</v>
      </c>
      <c r="F1037" s="462">
        <v>5.6733414062044921E-2</v>
      </c>
      <c r="G1037" s="316">
        <v>9.7316685577555129E-2</v>
      </c>
      <c r="H1037" s="317">
        <v>7.9185495584608596E-3</v>
      </c>
      <c r="I1037" s="317">
        <v>0.24690154931957811</v>
      </c>
      <c r="J1037" s="317">
        <v>3.3530594098315547E-2</v>
      </c>
      <c r="K1037" s="317">
        <v>2.083431906895479E-2</v>
      </c>
      <c r="L1037" s="318">
        <v>9.1288887466468187E-4</v>
      </c>
      <c r="M1037" s="317">
        <v>2.8373263287292524E-3</v>
      </c>
      <c r="N1037" s="318">
        <v>2.0000005732018801E-3</v>
      </c>
      <c r="O1037" s="317">
        <v>2.9992915615485418E-2</v>
      </c>
      <c r="P1037" s="318">
        <v>1.7026861796795478E-2</v>
      </c>
      <c r="Q1037" s="319">
        <v>2.1776354526331285E-2</v>
      </c>
    </row>
    <row r="1038" spans="2:17" ht="15.75" x14ac:dyDescent="0.25">
      <c r="B1038" s="176">
        <v>2037</v>
      </c>
      <c r="C1038" s="177">
        <v>2014</v>
      </c>
      <c r="D1038" s="178" t="s">
        <v>3884</v>
      </c>
      <c r="E1038" s="461">
        <v>5.195292585683383E-2</v>
      </c>
      <c r="F1038" s="462">
        <v>5.4443987381460959E-2</v>
      </c>
      <c r="G1038" s="316">
        <v>8.6613748980359326E-2</v>
      </c>
      <c r="H1038" s="317">
        <v>8.033321129176995E-3</v>
      </c>
      <c r="I1038" s="317">
        <v>0.21835455603296475</v>
      </c>
      <c r="J1038" s="317">
        <v>3.2013583311728377E-2</v>
      </c>
      <c r="K1038" s="317">
        <v>1.8834965402506312E-2</v>
      </c>
      <c r="L1038" s="318">
        <v>1.2814796376511106E-3</v>
      </c>
      <c r="M1038" s="317">
        <v>2.7271496375217601E-3</v>
      </c>
      <c r="N1038" s="318">
        <v>2.0000005732018801E-3</v>
      </c>
      <c r="O1038" s="317">
        <v>2.8118810098045968E-2</v>
      </c>
      <c r="P1038" s="318">
        <v>1.6523713622763649E-2</v>
      </c>
      <c r="Q1038" s="319">
        <v>1.9686598959086466E-2</v>
      </c>
    </row>
    <row r="1039" spans="2:17" ht="15.75" x14ac:dyDescent="0.25">
      <c r="B1039" s="176">
        <v>2037</v>
      </c>
      <c r="C1039" s="177">
        <v>2015</v>
      </c>
      <c r="D1039" s="178" t="s">
        <v>3885</v>
      </c>
      <c r="E1039" s="461">
        <v>5.0674910596290229E-2</v>
      </c>
      <c r="F1039" s="462">
        <v>5.6742208632541924E-2</v>
      </c>
      <c r="G1039" s="316">
        <v>8.1626789726554308E-2</v>
      </c>
      <c r="H1039" s="317">
        <v>8.0111473552929562E-3</v>
      </c>
      <c r="I1039" s="317">
        <v>0.20639326399609945</v>
      </c>
      <c r="J1039" s="317">
        <v>3.3429295819377626E-2</v>
      </c>
      <c r="K1039" s="317">
        <v>1.7993832438813803E-2</v>
      </c>
      <c r="L1039" s="318">
        <v>1.5924213507082891E-3</v>
      </c>
      <c r="M1039" s="317">
        <v>2.6899806491345532E-3</v>
      </c>
      <c r="N1039" s="318">
        <v>2.0000005732018801E-3</v>
      </c>
      <c r="O1039" s="317">
        <v>2.7486565605579574E-2</v>
      </c>
      <c r="P1039" s="318">
        <v>1.7502737706200994E-2</v>
      </c>
      <c r="Q1039" s="319">
        <v>1.8807433695248107E-2</v>
      </c>
    </row>
    <row r="1040" spans="2:17" ht="15.75" x14ac:dyDescent="0.25">
      <c r="B1040" s="176">
        <v>2037</v>
      </c>
      <c r="C1040" s="177">
        <v>2016</v>
      </c>
      <c r="D1040" s="178" t="s">
        <v>3886</v>
      </c>
      <c r="E1040" s="461">
        <v>5.1295812895438733E-2</v>
      </c>
      <c r="F1040" s="462">
        <v>5.8132071528955047E-2</v>
      </c>
      <c r="G1040" s="316">
        <v>9.5417744264167242E-2</v>
      </c>
      <c r="H1040" s="317">
        <v>7.7542336248768804E-3</v>
      </c>
      <c r="I1040" s="317">
        <v>0.21435101689037647</v>
      </c>
      <c r="J1040" s="317">
        <v>3.3783864479459517E-2</v>
      </c>
      <c r="K1040" s="317">
        <v>2.054544173359325E-2</v>
      </c>
      <c r="L1040" s="318">
        <v>1.8230986424971523E-3</v>
      </c>
      <c r="M1040" s="317">
        <v>2.8485499206495368E-3</v>
      </c>
      <c r="N1040" s="318">
        <v>2.0000005732018801E-3</v>
      </c>
      <c r="O1040" s="317">
        <v>3.0183828914049454E-2</v>
      </c>
      <c r="P1040" s="318">
        <v>1.8450560769426139E-2</v>
      </c>
      <c r="Q1040" s="319">
        <v>2.1474415439738867E-2</v>
      </c>
    </row>
    <row r="1041" spans="2:17" ht="15.75" x14ac:dyDescent="0.25">
      <c r="B1041" s="176">
        <v>2037</v>
      </c>
      <c r="C1041" s="177">
        <v>2017</v>
      </c>
      <c r="D1041" s="178" t="s">
        <v>3887</v>
      </c>
      <c r="E1041" s="461">
        <v>4.7755243361298827E-2</v>
      </c>
      <c r="F1041" s="462">
        <v>5.2130014451152007E-2</v>
      </c>
      <c r="G1041" s="316">
        <v>7.516254517818946E-2</v>
      </c>
      <c r="H1041" s="317">
        <v>7.7485406022746112E-3</v>
      </c>
      <c r="I1041" s="317">
        <v>0.15763522455570503</v>
      </c>
      <c r="J1041" s="317">
        <v>3.1099327551656859E-2</v>
      </c>
      <c r="K1041" s="317">
        <v>1.8425524390446438E-2</v>
      </c>
      <c r="L1041" s="318">
        <v>2.0079370038844279E-3</v>
      </c>
      <c r="M1041" s="317">
        <v>2.7917326230753403E-3</v>
      </c>
      <c r="N1041" s="318">
        <v>2.0000005732018801E-3</v>
      </c>
      <c r="O1041" s="317">
        <v>2.9217366682312378E-2</v>
      </c>
      <c r="P1041" s="318">
        <v>1.7359152291780477E-2</v>
      </c>
      <c r="Q1041" s="319">
        <v>1.9258644841328849E-2</v>
      </c>
    </row>
    <row r="1042" spans="2:17" ht="15.75" x14ac:dyDescent="0.25">
      <c r="B1042" s="176">
        <v>2037</v>
      </c>
      <c r="C1042" s="177">
        <v>2018</v>
      </c>
      <c r="D1042" s="178" t="s">
        <v>3888</v>
      </c>
      <c r="E1042" s="461">
        <v>4.4692280205836842E-2</v>
      </c>
      <c r="F1042" s="462">
        <v>4.9733109761624525E-2</v>
      </c>
      <c r="G1042" s="316">
        <v>7.4326272121657794E-2</v>
      </c>
      <c r="H1042" s="317">
        <v>7.3702843990229175E-3</v>
      </c>
      <c r="I1042" s="317">
        <v>0.12823260141125098</v>
      </c>
      <c r="J1042" s="317">
        <v>2.959028958760903E-2</v>
      </c>
      <c r="K1042" s="317">
        <v>1.6944412370902655E-2</v>
      </c>
      <c r="L1042" s="318">
        <v>2.0906989580908898E-3</v>
      </c>
      <c r="M1042" s="317">
        <v>2.784695703018281E-3</v>
      </c>
      <c r="N1042" s="318">
        <v>2.0000005732018801E-3</v>
      </c>
      <c r="O1042" s="317">
        <v>2.9097668672141787E-2</v>
      </c>
      <c r="P1042" s="318">
        <v>1.7329407454223091E-2</v>
      </c>
      <c r="Q1042" s="319">
        <v>1.7710563508598554E-2</v>
      </c>
    </row>
    <row r="1043" spans="2:17" ht="15.75" x14ac:dyDescent="0.25">
      <c r="B1043" s="176">
        <v>2037</v>
      </c>
      <c r="C1043" s="177">
        <v>2019</v>
      </c>
      <c r="D1043" s="178" t="s">
        <v>3889</v>
      </c>
      <c r="E1043" s="461">
        <v>4.4249864506642887E-2</v>
      </c>
      <c r="F1043" s="462">
        <v>4.7816633841167563E-2</v>
      </c>
      <c r="G1043" s="316">
        <v>7.3475411125557347E-2</v>
      </c>
      <c r="H1043" s="317">
        <v>6.5987313521025616E-3</v>
      </c>
      <c r="I1043" s="317">
        <v>0.10990700155417646</v>
      </c>
      <c r="J1043" s="317">
        <v>2.6733094032253133E-2</v>
      </c>
      <c r="K1043" s="317">
        <v>1.443753231097163E-2</v>
      </c>
      <c r="L1043" s="318">
        <v>1.9856757361102198E-3</v>
      </c>
      <c r="M1043" s="317">
        <v>2.7784450797819008E-3</v>
      </c>
      <c r="N1043" s="318">
        <v>2.0000005732018801E-3</v>
      </c>
      <c r="O1043" s="317">
        <v>2.8991345570890968E-2</v>
      </c>
      <c r="P1043" s="318">
        <v>1.7315770955536852E-2</v>
      </c>
      <c r="Q1043" s="319">
        <v>1.5090333456473018E-2</v>
      </c>
    </row>
    <row r="1044" spans="2:17" ht="15.75" x14ac:dyDescent="0.25">
      <c r="B1044" s="176">
        <v>2037</v>
      </c>
      <c r="C1044" s="177">
        <v>2020</v>
      </c>
      <c r="D1044" s="178" t="s">
        <v>3890</v>
      </c>
      <c r="E1044" s="461">
        <v>4.3734240347341385E-2</v>
      </c>
      <c r="F1044" s="462">
        <v>4.585511378349507E-2</v>
      </c>
      <c r="G1044" s="316">
        <v>7.2293282737801404E-2</v>
      </c>
      <c r="H1044" s="317">
        <v>5.6794399690533216E-3</v>
      </c>
      <c r="I1044" s="317">
        <v>9.1477856745381586E-2</v>
      </c>
      <c r="J1044" s="317">
        <v>2.4326648766186877E-2</v>
      </c>
      <c r="K1044" s="317">
        <v>1.1945498114329977E-2</v>
      </c>
      <c r="L1044" s="318">
        <v>1.465150913971191E-3</v>
      </c>
      <c r="M1044" s="317">
        <v>2.7684811647278877E-3</v>
      </c>
      <c r="N1044" s="318">
        <v>2.0000005732018801E-3</v>
      </c>
      <c r="O1044" s="317">
        <v>2.8821859375822202E-2</v>
      </c>
      <c r="P1044" s="318">
        <v>1.7290660157910392E-2</v>
      </c>
      <c r="Q1044" s="319">
        <v>1.2485620531697135E-2</v>
      </c>
    </row>
    <row r="1045" spans="2:17" ht="15.75" x14ac:dyDescent="0.25">
      <c r="B1045" s="176">
        <v>2037</v>
      </c>
      <c r="C1045" s="177">
        <v>2021</v>
      </c>
      <c r="D1045" s="178" t="s">
        <v>3891</v>
      </c>
      <c r="E1045" s="461">
        <v>4.2324124790611345E-2</v>
      </c>
      <c r="F1045" s="462">
        <v>4.3700750740771913E-2</v>
      </c>
      <c r="G1045" s="316">
        <v>6.8662504941899322E-2</v>
      </c>
      <c r="H1045" s="317">
        <v>4.9789866250188729E-3</v>
      </c>
      <c r="I1045" s="317">
        <v>6.864222264314522E-2</v>
      </c>
      <c r="J1045" s="317">
        <v>2.290631309538118E-2</v>
      </c>
      <c r="K1045" s="317">
        <v>8.4332891460667195E-3</v>
      </c>
      <c r="L1045" s="318">
        <v>9.6376495928987202E-4</v>
      </c>
      <c r="M1045" s="317">
        <v>2.7605755332842526E-3</v>
      </c>
      <c r="N1045" s="318">
        <v>2.0000005732018801E-3</v>
      </c>
      <c r="O1045" s="317">
        <v>2.8687384584965881E-2</v>
      </c>
      <c r="P1045" s="318">
        <v>1.7275952406703928E-2</v>
      </c>
      <c r="Q1045" s="319">
        <v>8.8146050590854792E-3</v>
      </c>
    </row>
    <row r="1046" spans="2:17" ht="15.75" x14ac:dyDescent="0.25">
      <c r="B1046" s="176">
        <v>2037</v>
      </c>
      <c r="C1046" s="177">
        <v>2022</v>
      </c>
      <c r="D1046" s="178" t="s">
        <v>3892</v>
      </c>
      <c r="E1046" s="461">
        <v>4.1061619247658325E-2</v>
      </c>
      <c r="F1046" s="462">
        <v>4.2066830203533141E-2</v>
      </c>
      <c r="G1046" s="316">
        <v>6.7481864618582882E-2</v>
      </c>
      <c r="H1046" s="317">
        <v>4.1810874491620947E-3</v>
      </c>
      <c r="I1046" s="317">
        <v>5.1429644467629272E-2</v>
      </c>
      <c r="J1046" s="317">
        <v>2.1285928451097894E-2</v>
      </c>
      <c r="K1046" s="317">
        <v>6.1784100285625998E-3</v>
      </c>
      <c r="L1046" s="318">
        <v>9.6287218960488304E-4</v>
      </c>
      <c r="M1046" s="317">
        <v>2.7532407217209895E-3</v>
      </c>
      <c r="N1046" s="318">
        <v>2.0000005732018801E-3</v>
      </c>
      <c r="O1046" s="317">
        <v>2.8562619440274856E-2</v>
      </c>
      <c r="P1046" s="318">
        <v>1.7264021801932445E-2</v>
      </c>
      <c r="Q1046" s="319">
        <v>6.4577703137657493E-3</v>
      </c>
    </row>
    <row r="1047" spans="2:17" ht="15.75" x14ac:dyDescent="0.25">
      <c r="B1047" s="176">
        <v>2037</v>
      </c>
      <c r="C1047" s="177">
        <v>2023</v>
      </c>
      <c r="D1047" s="178" t="s">
        <v>3893</v>
      </c>
      <c r="E1047" s="461">
        <v>3.9828494603073195E-2</v>
      </c>
      <c r="F1047" s="462">
        <v>4.0419856098535906E-2</v>
      </c>
      <c r="G1047" s="316">
        <v>6.639513581013376E-2</v>
      </c>
      <c r="H1047" s="317">
        <v>3.6167283439026941E-3</v>
      </c>
      <c r="I1047" s="317">
        <v>5.0228857555039488E-2</v>
      </c>
      <c r="J1047" s="317">
        <v>2.1167143019684323E-2</v>
      </c>
      <c r="K1047" s="317">
        <v>5.9649458112416356E-3</v>
      </c>
      <c r="L1047" s="318">
        <v>9.6186614320569006E-4</v>
      </c>
      <c r="M1047" s="317">
        <v>2.7478732260340509E-3</v>
      </c>
      <c r="N1047" s="318">
        <v>2.0000005732018801E-3</v>
      </c>
      <c r="O1047" s="317">
        <v>2.8471318338640028E-2</v>
      </c>
      <c r="P1047" s="318">
        <v>1.7247587299427453E-2</v>
      </c>
      <c r="Q1047" s="319">
        <v>6.2346541917709612E-3</v>
      </c>
    </row>
    <row r="1048" spans="2:17" ht="15.75" x14ac:dyDescent="0.25">
      <c r="B1048" s="176">
        <v>2037</v>
      </c>
      <c r="C1048" s="177">
        <v>2024</v>
      </c>
      <c r="D1048" s="178" t="s">
        <v>3894</v>
      </c>
      <c r="E1048" s="461">
        <v>3.8617338035454793E-2</v>
      </c>
      <c r="F1048" s="462">
        <v>3.8808231816123841E-2</v>
      </c>
      <c r="G1048" s="316">
        <v>6.5176511165517148E-2</v>
      </c>
      <c r="H1048" s="317">
        <v>3.1211718092626342E-3</v>
      </c>
      <c r="I1048" s="317">
        <v>4.8899691395047573E-2</v>
      </c>
      <c r="J1048" s="317">
        <v>2.1721530255310935E-2</v>
      </c>
      <c r="K1048" s="317">
        <v>5.730205045666974E-3</v>
      </c>
      <c r="L1048" s="318">
        <v>9.6114515725327252E-4</v>
      </c>
      <c r="M1048" s="317">
        <v>2.7416486213431616E-3</v>
      </c>
      <c r="N1048" s="318">
        <v>2.0000005732018801E-3</v>
      </c>
      <c r="O1048" s="317">
        <v>2.8365437812848008E-2</v>
      </c>
      <c r="P1048" s="318">
        <v>1.7238153185305242E-2</v>
      </c>
      <c r="Q1048" s="319">
        <v>5.9892994904237338E-3</v>
      </c>
    </row>
    <row r="1049" spans="2:17" ht="15.75" x14ac:dyDescent="0.25">
      <c r="B1049" s="176">
        <v>2037</v>
      </c>
      <c r="C1049" s="177">
        <v>2025</v>
      </c>
      <c r="D1049" s="178" t="s">
        <v>3895</v>
      </c>
      <c r="E1049" s="461">
        <v>3.7436447922732215E-2</v>
      </c>
      <c r="F1049" s="462">
        <v>3.7204957398888718E-2</v>
      </c>
      <c r="G1049" s="316">
        <v>6.4056154476647059E-2</v>
      </c>
      <c r="H1049" s="317">
        <v>2.8282121942295783E-3</v>
      </c>
      <c r="I1049" s="317">
        <v>4.7591646423921358E-2</v>
      </c>
      <c r="J1049" s="317">
        <v>2.2923342432360393E-2</v>
      </c>
      <c r="K1049" s="317">
        <v>5.4933905629719016E-3</v>
      </c>
      <c r="L1049" s="318">
        <v>9.6051180007118882E-4</v>
      </c>
      <c r="M1049" s="317">
        <v>2.737478096481929E-3</v>
      </c>
      <c r="N1049" s="318">
        <v>2.0000005732018797E-3</v>
      </c>
      <c r="O1049" s="317">
        <v>2.8294497184958443E-2</v>
      </c>
      <c r="P1049" s="318">
        <v>1.7230179545082481E-2</v>
      </c>
      <c r="Q1049" s="319">
        <v>5.7417773076698939E-3</v>
      </c>
    </row>
    <row r="1050" spans="2:17" ht="15.75" x14ac:dyDescent="0.25">
      <c r="B1050" s="176">
        <v>2037</v>
      </c>
      <c r="C1050" s="177">
        <v>2026</v>
      </c>
      <c r="D1050" s="178" t="s">
        <v>3896</v>
      </c>
      <c r="E1050" s="461">
        <v>3.6596920653099448E-2</v>
      </c>
      <c r="F1050" s="462">
        <v>3.6936146878904993E-2</v>
      </c>
      <c r="G1050" s="316">
        <v>6.2812380725905226E-2</v>
      </c>
      <c r="H1050" s="317">
        <v>2.795385199736706E-3</v>
      </c>
      <c r="I1050" s="317">
        <v>4.6161748705809899E-2</v>
      </c>
      <c r="J1050" s="317">
        <v>2.210256405482186E-2</v>
      </c>
      <c r="K1050" s="317">
        <v>5.2363233826753543E-3</v>
      </c>
      <c r="L1050" s="318">
        <v>8.3930573319091623E-4</v>
      </c>
      <c r="M1050" s="317">
        <v>2.732538462848687E-3</v>
      </c>
      <c r="N1050" s="318">
        <v>2.0000005732018801E-3</v>
      </c>
      <c r="O1050" s="317">
        <v>2.8210474016856994E-2</v>
      </c>
      <c r="P1050" s="318">
        <v>1.7216646984227139E-2</v>
      </c>
      <c r="Q1050" s="319">
        <v>5.4730866901990605E-3</v>
      </c>
    </row>
    <row r="1051" spans="2:17" ht="15.75" x14ac:dyDescent="0.25">
      <c r="B1051" s="176">
        <v>2037</v>
      </c>
      <c r="C1051" s="177">
        <v>2027</v>
      </c>
      <c r="D1051" s="178" t="s">
        <v>3897</v>
      </c>
      <c r="E1051" s="461">
        <v>3.5826828052800318E-2</v>
      </c>
      <c r="F1051" s="462">
        <v>3.6662787218903779E-2</v>
      </c>
      <c r="G1051" s="316">
        <v>6.1650123735289095E-2</v>
      </c>
      <c r="H1051" s="317">
        <v>2.758594077918064E-3</v>
      </c>
      <c r="I1051" s="317">
        <v>4.4739484936176958E-2</v>
      </c>
      <c r="J1051" s="317">
        <v>2.1182295006123644E-2</v>
      </c>
      <c r="K1051" s="317">
        <v>4.9749738392200768E-3</v>
      </c>
      <c r="L1051" s="318">
        <v>6.9756981405707239E-4</v>
      </c>
      <c r="M1051" s="317">
        <v>2.7294681026732177E-3</v>
      </c>
      <c r="N1051" s="318">
        <v>2.0000005732018801E-3</v>
      </c>
      <c r="O1051" s="317">
        <v>2.8158247190272268E-2</v>
      </c>
      <c r="P1051" s="318">
        <v>1.7197416150458118E-2</v>
      </c>
      <c r="Q1051" s="319">
        <v>5.1999200801101523E-3</v>
      </c>
    </row>
    <row r="1052" spans="2:17" ht="15.75" x14ac:dyDescent="0.25">
      <c r="B1052" s="176">
        <v>2037</v>
      </c>
      <c r="C1052" s="177">
        <v>2028</v>
      </c>
      <c r="D1052" s="178" t="s">
        <v>3898</v>
      </c>
      <c r="E1052" s="461">
        <v>3.5760605743414053E-2</v>
      </c>
      <c r="F1052" s="462">
        <v>3.6596170337602929E-2</v>
      </c>
      <c r="G1052" s="316">
        <v>6.030968045154924E-2</v>
      </c>
      <c r="H1052" s="317">
        <v>2.7182610404119603E-3</v>
      </c>
      <c r="I1052" s="317">
        <v>4.3162844679266829E-2</v>
      </c>
      <c r="J1052" s="317">
        <v>2.0285168754749158E-2</v>
      </c>
      <c r="K1052" s="317">
        <v>4.6897109993397322E-3</v>
      </c>
      <c r="L1052" s="318">
        <v>5.7617770301556545E-4</v>
      </c>
      <c r="M1052" s="317">
        <v>2.7248860498847883E-3</v>
      </c>
      <c r="N1052" s="318">
        <v>2.0000005732018801E-3</v>
      </c>
      <c r="O1052" s="317">
        <v>2.8080306472341075E-2</v>
      </c>
      <c r="P1052" s="318">
        <v>1.718524786554235E-2</v>
      </c>
      <c r="Q1052" s="319">
        <v>4.9017589204455236E-3</v>
      </c>
    </row>
    <row r="1053" spans="2:17" ht="15.75" x14ac:dyDescent="0.25">
      <c r="B1053" s="176">
        <v>2037</v>
      </c>
      <c r="C1053" s="177">
        <v>2029</v>
      </c>
      <c r="D1053" s="178" t="s">
        <v>3899</v>
      </c>
      <c r="E1053" s="461">
        <v>3.5728454565963137E-2</v>
      </c>
      <c r="F1053" s="462">
        <v>3.6564849082142893E-2</v>
      </c>
      <c r="G1053" s="316">
        <v>5.9105752748930943E-2</v>
      </c>
      <c r="H1053" s="317">
        <v>2.6726622961970557E-3</v>
      </c>
      <c r="I1053" s="317">
        <v>4.1624861835500813E-2</v>
      </c>
      <c r="J1053" s="317">
        <v>1.9370409916747825E-2</v>
      </c>
      <c r="K1053" s="317">
        <v>4.403326468636953E-3</v>
      </c>
      <c r="L1053" s="318">
        <v>5.7594673263989963E-4</v>
      </c>
      <c r="M1053" s="317">
        <v>2.7229959957301405E-3</v>
      </c>
      <c r="N1053" s="318">
        <v>2.0000005732018801E-3</v>
      </c>
      <c r="O1053" s="317">
        <v>2.8048156651170518E-2</v>
      </c>
      <c r="P1053" s="318">
        <v>1.7184465133668544E-2</v>
      </c>
      <c r="Q1053" s="319">
        <v>4.6024253520768974E-3</v>
      </c>
    </row>
    <row r="1054" spans="2:17" ht="15.75" x14ac:dyDescent="0.25">
      <c r="B1054" s="176">
        <v>2037</v>
      </c>
      <c r="C1054" s="177">
        <v>2030</v>
      </c>
      <c r="D1054" s="178" t="s">
        <v>3900</v>
      </c>
      <c r="E1054" s="461">
        <v>3.5677870100120072E-2</v>
      </c>
      <c r="F1054" s="462">
        <v>3.652506932421775E-2</v>
      </c>
      <c r="G1054" s="316">
        <v>5.7731469191321667E-2</v>
      </c>
      <c r="H1054" s="317">
        <v>2.621556538399124E-3</v>
      </c>
      <c r="I1054" s="317">
        <v>3.9938270269352302E-2</v>
      </c>
      <c r="J1054" s="317">
        <v>1.8392600772190421E-2</v>
      </c>
      <c r="K1054" s="317">
        <v>4.0939685942372695E-3</v>
      </c>
      <c r="L1054" s="318">
        <v>5.7541766833296866E-4</v>
      </c>
      <c r="M1054" s="317">
        <v>2.7196581768560643E-3</v>
      </c>
      <c r="N1054" s="318">
        <v>2.0000005732018801E-3</v>
      </c>
      <c r="O1054" s="317">
        <v>2.799138035212248E-2</v>
      </c>
      <c r="P1054" s="318">
        <v>1.7178822481274822E-2</v>
      </c>
      <c r="Q1054" s="319">
        <v>4.2790796873520952E-3</v>
      </c>
    </row>
    <row r="1055" spans="2:17" ht="15.75" x14ac:dyDescent="0.25">
      <c r="B1055" s="176">
        <v>2037</v>
      </c>
      <c r="C1055" s="177">
        <v>2031</v>
      </c>
      <c r="D1055" s="178" t="s">
        <v>3901</v>
      </c>
      <c r="E1055" s="461">
        <v>3.5636737603597313E-2</v>
      </c>
      <c r="F1055" s="462">
        <v>3.6471644425289808E-2</v>
      </c>
      <c r="G1055" s="316">
        <v>5.6345184182537748E-2</v>
      </c>
      <c r="H1055" s="317">
        <v>2.5662636530240199E-3</v>
      </c>
      <c r="I1055" s="317">
        <v>3.81992010403698E-2</v>
      </c>
      <c r="J1055" s="317">
        <v>1.7485732769241043E-2</v>
      </c>
      <c r="K1055" s="317">
        <v>3.7726301197519877E-3</v>
      </c>
      <c r="L1055" s="318">
        <v>5.7463890445836609E-4</v>
      </c>
      <c r="M1055" s="317">
        <v>2.7170319774850785E-3</v>
      </c>
      <c r="N1055" s="318">
        <v>2.0000005732018801E-3</v>
      </c>
      <c r="O1055" s="317">
        <v>2.7946708700822012E-2</v>
      </c>
      <c r="P1055" s="318">
        <v>1.7168461707236068E-2</v>
      </c>
      <c r="Q1055" s="319">
        <v>3.9432117129689567E-3</v>
      </c>
    </row>
    <row r="1056" spans="2:17" ht="15.75" x14ac:dyDescent="0.25">
      <c r="B1056" s="176">
        <v>2037</v>
      </c>
      <c r="C1056" s="177">
        <v>2032</v>
      </c>
      <c r="D1056" s="178" t="s">
        <v>3902</v>
      </c>
      <c r="E1056" s="461">
        <v>3.5578417320723976E-2</v>
      </c>
      <c r="F1056" s="462">
        <v>3.6389047551887113E-2</v>
      </c>
      <c r="G1056" s="316">
        <v>5.4801502219105139E-2</v>
      </c>
      <c r="H1056" s="317">
        <v>2.5108839382903055E-3</v>
      </c>
      <c r="I1056" s="317">
        <v>3.6324081293186226E-2</v>
      </c>
      <c r="J1056" s="317">
        <v>1.6564412312954926E-2</v>
      </c>
      <c r="K1056" s="317">
        <v>3.4306893541007416E-3</v>
      </c>
      <c r="L1056" s="318">
        <v>5.7334359299150218E-4</v>
      </c>
      <c r="M1056" s="317">
        <v>2.7130573530536363E-3</v>
      </c>
      <c r="N1056" s="318">
        <v>2.0000005732018801E-3</v>
      </c>
      <c r="O1056" s="317">
        <v>2.7879100339243179E-2</v>
      </c>
      <c r="P1056" s="318">
        <v>1.7147874194281806E-2</v>
      </c>
      <c r="Q1056" s="319">
        <v>3.5858099032346383E-3</v>
      </c>
    </row>
    <row r="1057" spans="2:17" ht="15.75" x14ac:dyDescent="0.25">
      <c r="B1057" s="176">
        <v>2037</v>
      </c>
      <c r="C1057" s="177">
        <v>2033</v>
      </c>
      <c r="D1057" s="178" t="s">
        <v>3903</v>
      </c>
      <c r="E1057" s="461">
        <v>3.5560103585546649E-2</v>
      </c>
      <c r="F1057" s="462">
        <v>3.6380981470463397E-2</v>
      </c>
      <c r="G1057" s="316">
        <v>5.340951129511419E-2</v>
      </c>
      <c r="H1057" s="317">
        <v>2.4652567854953427E-3</v>
      </c>
      <c r="I1057" s="317">
        <v>3.4486474630550899E-2</v>
      </c>
      <c r="J1057" s="317">
        <v>1.57254196816323E-2</v>
      </c>
      <c r="K1057" s="317">
        <v>3.0852867539862055E-3</v>
      </c>
      <c r="L1057" s="318">
        <v>5.7354147935242451E-4</v>
      </c>
      <c r="M1057" s="317">
        <v>2.712163120133369E-3</v>
      </c>
      <c r="N1057" s="318">
        <v>2.0000005732018801E-3</v>
      </c>
      <c r="O1057" s="317">
        <v>2.7863889437269432E-2</v>
      </c>
      <c r="P1057" s="318">
        <v>1.7151816469423275E-2</v>
      </c>
      <c r="Q1057" s="319">
        <v>3.2247897302442523E-3</v>
      </c>
    </row>
    <row r="1058" spans="2:17" ht="15.75" x14ac:dyDescent="0.25">
      <c r="B1058" s="176">
        <v>2037</v>
      </c>
      <c r="C1058" s="177">
        <v>2034</v>
      </c>
      <c r="D1058" s="178" t="s">
        <v>3904</v>
      </c>
      <c r="E1058" s="461">
        <v>3.5551357208914405E-2</v>
      </c>
      <c r="F1058" s="462">
        <v>3.6364480283438881E-2</v>
      </c>
      <c r="G1058" s="316">
        <v>5.1996585649663106E-2</v>
      </c>
      <c r="H1058" s="317">
        <v>2.4365669063599591E-3</v>
      </c>
      <c r="I1058" s="317">
        <v>3.2585074473520624E-2</v>
      </c>
      <c r="J1058" s="317">
        <v>1.5010667961866266E-2</v>
      </c>
      <c r="K1058" s="317">
        <v>2.7253763005937732E-3</v>
      </c>
      <c r="L1058" s="318">
        <v>5.7372341379972316E-4</v>
      </c>
      <c r="M1058" s="317">
        <v>2.7119460540924664E-3</v>
      </c>
      <c r="N1058" s="318">
        <v>2.0000005732018797E-3</v>
      </c>
      <c r="O1058" s="317">
        <v>2.7860197143913683E-2</v>
      </c>
      <c r="P1058" s="318">
        <v>1.7151724336248782E-2</v>
      </c>
      <c r="Q1058" s="319">
        <v>2.8486057232284048E-3</v>
      </c>
    </row>
    <row r="1059" spans="2:17" ht="15.75" x14ac:dyDescent="0.25">
      <c r="B1059" s="176">
        <v>2037</v>
      </c>
      <c r="C1059" s="177">
        <v>2035</v>
      </c>
      <c r="D1059" s="178" t="s">
        <v>3905</v>
      </c>
      <c r="E1059" s="461">
        <v>3.5514099035538656E-2</v>
      </c>
      <c r="F1059" s="462">
        <v>3.6316884278195433E-2</v>
      </c>
      <c r="G1059" s="316">
        <v>5.0364814497723787E-2</v>
      </c>
      <c r="H1059" s="317">
        <v>2.4266760091369794E-3</v>
      </c>
      <c r="I1059" s="317">
        <v>3.0516898688723437E-2</v>
      </c>
      <c r="J1059" s="317">
        <v>1.441475134366804E-2</v>
      </c>
      <c r="K1059" s="317">
        <v>2.3425254728134922E-3</v>
      </c>
      <c r="L1059" s="318">
        <v>5.7350195030716675E-4</v>
      </c>
      <c r="M1059" s="317">
        <v>2.7094307176118893E-3</v>
      </c>
      <c r="N1059" s="318">
        <v>2.0000005732018805E-3</v>
      </c>
      <c r="O1059" s="317">
        <v>2.781741127037906E-2</v>
      </c>
      <c r="P1059" s="318">
        <v>1.713981612193918E-2</v>
      </c>
      <c r="Q1059" s="319">
        <v>2.4484440798912873E-3</v>
      </c>
    </row>
    <row r="1060" spans="2:17" ht="15.75" x14ac:dyDescent="0.25">
      <c r="B1060" s="176">
        <v>2037</v>
      </c>
      <c r="C1060" s="177">
        <v>2036</v>
      </c>
      <c r="D1060" s="178" t="s">
        <v>3906</v>
      </c>
      <c r="E1060" s="461">
        <v>3.548704901937929E-2</v>
      </c>
      <c r="F1060" s="462">
        <v>3.624347210650402E-2</v>
      </c>
      <c r="G1060" s="316">
        <v>4.8733741320952956E-2</v>
      </c>
      <c r="H1060" s="317">
        <v>2.4110230184045994E-3</v>
      </c>
      <c r="I1060" s="317">
        <v>2.8397519886344678E-2</v>
      </c>
      <c r="J1060" s="317">
        <v>1.3857820138797812E-2</v>
      </c>
      <c r="K1060" s="317">
        <v>1.9467674879023499E-3</v>
      </c>
      <c r="L1060" s="318">
        <v>5.7239256195200285E-4</v>
      </c>
      <c r="M1060" s="317">
        <v>2.7079520272795051E-3</v>
      </c>
      <c r="N1060" s="318">
        <v>2.0000005732018801E-3</v>
      </c>
      <c r="O1060" s="317">
        <v>2.7792258747825219E-2</v>
      </c>
      <c r="P1060" s="318">
        <v>1.7123193444379937E-2</v>
      </c>
      <c r="Q1060" s="319">
        <v>2.0347916750525124E-3</v>
      </c>
    </row>
    <row r="1061" spans="2:17" ht="15.75" x14ac:dyDescent="0.25">
      <c r="B1061" s="176">
        <v>2037</v>
      </c>
      <c r="C1061" s="177">
        <v>2037</v>
      </c>
      <c r="D1061" s="178" t="s">
        <v>3907</v>
      </c>
      <c r="E1061" s="461">
        <v>3.5115370754666038E-2</v>
      </c>
      <c r="F1061" s="462">
        <v>3.5564232663576681E-2</v>
      </c>
      <c r="G1061" s="316">
        <v>4.5348907147268962E-2</v>
      </c>
      <c r="H1061" s="317">
        <v>2.282265911465155E-3</v>
      </c>
      <c r="I1061" s="317">
        <v>2.5412794666931311E-2</v>
      </c>
      <c r="J1061" s="317">
        <v>1.2723732348926865E-2</v>
      </c>
      <c r="K1061" s="317">
        <v>1.4938780431486124E-3</v>
      </c>
      <c r="L1061" s="318">
        <v>5.6015625363462613E-4</v>
      </c>
      <c r="M1061" s="317">
        <v>2.6793277601653716E-3</v>
      </c>
      <c r="N1061" s="318">
        <v>2.0000005732018801E-3</v>
      </c>
      <c r="O1061" s="317">
        <v>2.73053599642138E-2</v>
      </c>
      <c r="P1061" s="318">
        <v>1.6899480239277322E-2</v>
      </c>
      <c r="Q1061" s="319">
        <v>1.5614245792741563E-3</v>
      </c>
    </row>
    <row r="1062" spans="2:17" ht="15.75" x14ac:dyDescent="0.25">
      <c r="B1062" s="176">
        <v>2038</v>
      </c>
      <c r="C1062" s="177">
        <v>1994</v>
      </c>
      <c r="D1062" s="178" t="s">
        <v>3908</v>
      </c>
      <c r="E1062" s="461">
        <v>5.730130733314167E-2</v>
      </c>
      <c r="F1062" s="462">
        <v>7.2753430079331924E-2</v>
      </c>
      <c r="G1062" s="316">
        <v>0.35043811916558787</v>
      </c>
      <c r="H1062" s="317">
        <v>0.53947144801537772</v>
      </c>
      <c r="I1062" s="317">
        <v>8.3518389323096045</v>
      </c>
      <c r="J1062" s="317">
        <v>2.1471332454760637</v>
      </c>
      <c r="K1062" s="317">
        <v>5.3933599289478433E-2</v>
      </c>
      <c r="L1062" s="318">
        <v>1.016502944168849E-2</v>
      </c>
      <c r="M1062" s="317">
        <v>2.9039518290053866E-3</v>
      </c>
      <c r="N1062" s="318">
        <v>2.0000005732018805E-3</v>
      </c>
      <c r="O1062" s="317">
        <v>3.1126215375182453E-2</v>
      </c>
      <c r="P1062" s="318">
        <v>1.8905611258893701E-2</v>
      </c>
      <c r="Q1062" s="319">
        <v>5.6372237322546315E-2</v>
      </c>
    </row>
    <row r="1063" spans="2:17" ht="15.75" x14ac:dyDescent="0.25">
      <c r="B1063" s="176">
        <v>2038</v>
      </c>
      <c r="C1063" s="177">
        <v>1995</v>
      </c>
      <c r="D1063" s="178" t="s">
        <v>3909</v>
      </c>
      <c r="E1063" s="461">
        <v>5.7251668631683877E-2</v>
      </c>
      <c r="F1063" s="462">
        <v>7.4296352520287129E-2</v>
      </c>
      <c r="G1063" s="316">
        <v>0.35291165357006127</v>
      </c>
      <c r="H1063" s="317">
        <v>0.40836827910113416</v>
      </c>
      <c r="I1063" s="317">
        <v>8.5866457019702125</v>
      </c>
      <c r="J1063" s="317">
        <v>1.6841065862533402</v>
      </c>
      <c r="K1063" s="317">
        <v>5.3381648603934295E-2</v>
      </c>
      <c r="L1063" s="318">
        <v>9.389802583473059E-3</v>
      </c>
      <c r="M1063" s="317">
        <v>2.9276853062076553E-3</v>
      </c>
      <c r="N1063" s="318">
        <v>2.0000005732018801E-3</v>
      </c>
      <c r="O1063" s="317">
        <v>3.1529921822393045E-2</v>
      </c>
      <c r="P1063" s="318">
        <v>1.960870601388821E-2</v>
      </c>
      <c r="Q1063" s="319">
        <v>5.5795329876246816E-2</v>
      </c>
    </row>
    <row r="1064" spans="2:17" ht="15.75" x14ac:dyDescent="0.25">
      <c r="B1064" s="176">
        <v>2038</v>
      </c>
      <c r="C1064" s="177">
        <v>1996</v>
      </c>
      <c r="D1064" s="178" t="s">
        <v>3910</v>
      </c>
      <c r="E1064" s="461">
        <v>5.741326830596382E-2</v>
      </c>
      <c r="F1064" s="462">
        <v>7.4162737202184276E-2</v>
      </c>
      <c r="G1064" s="316">
        <v>0.35675725392512814</v>
      </c>
      <c r="H1064" s="317">
        <v>0.14102869432763659</v>
      </c>
      <c r="I1064" s="317">
        <v>8.6270610297254446</v>
      </c>
      <c r="J1064" s="317">
        <v>1.0221614959159031</v>
      </c>
      <c r="K1064" s="317">
        <v>5.3578265499469618E-2</v>
      </c>
      <c r="L1064" s="318">
        <v>2.8706278427337228E-3</v>
      </c>
      <c r="M1064" s="317">
        <v>2.9358915003539934E-3</v>
      </c>
      <c r="N1064" s="318">
        <v>2.0000005732018801E-3</v>
      </c>
      <c r="O1064" s="317">
        <v>3.1669509184822253E-2</v>
      </c>
      <c r="P1064" s="318">
        <v>1.9883711709094396E-2</v>
      </c>
      <c r="Q1064" s="319">
        <v>5.6000836915323565E-2</v>
      </c>
    </row>
    <row r="1065" spans="2:17" ht="15.75" x14ac:dyDescent="0.25">
      <c r="B1065" s="176">
        <v>2038</v>
      </c>
      <c r="C1065" s="177">
        <v>1997</v>
      </c>
      <c r="D1065" s="178" t="s">
        <v>3911</v>
      </c>
      <c r="E1065" s="461">
        <v>5.7770511491808965E-2</v>
      </c>
      <c r="F1065" s="462">
        <v>7.2062426386595352E-2</v>
      </c>
      <c r="G1065" s="316">
        <v>0.36467379009062934</v>
      </c>
      <c r="H1065" s="317">
        <v>0.14585814405951111</v>
      </c>
      <c r="I1065" s="317">
        <v>8.7776446121928728</v>
      </c>
      <c r="J1065" s="317">
        <v>1.0491221495486849</v>
      </c>
      <c r="K1065" s="317">
        <v>5.384407054405272E-2</v>
      </c>
      <c r="L1065" s="318">
        <v>2.8898356076254815E-3</v>
      </c>
      <c r="M1065" s="317">
        <v>2.9586410633612049E-3</v>
      </c>
      <c r="N1065" s="318">
        <v>2.0000005732018801E-3</v>
      </c>
      <c r="O1065" s="317">
        <v>3.2056479251574919E-2</v>
      </c>
      <c r="P1065" s="318">
        <v>1.9312809836242777E-2</v>
      </c>
      <c r="Q1065" s="319">
        <v>5.6278660484530459E-2</v>
      </c>
    </row>
    <row r="1066" spans="2:17" ht="15.75" x14ac:dyDescent="0.25">
      <c r="B1066" s="176">
        <v>2038</v>
      </c>
      <c r="C1066" s="177">
        <v>1998</v>
      </c>
      <c r="D1066" s="178" t="s">
        <v>3912</v>
      </c>
      <c r="E1066" s="461">
        <v>5.7573842247918387E-2</v>
      </c>
      <c r="F1066" s="462">
        <v>6.8701705886019357E-2</v>
      </c>
      <c r="G1066" s="316">
        <v>0.36156422359038987</v>
      </c>
      <c r="H1066" s="317">
        <v>0.13537633215167841</v>
      </c>
      <c r="I1066" s="317">
        <v>8.7250072752045629</v>
      </c>
      <c r="J1066" s="317">
        <v>0.92678004847001638</v>
      </c>
      <c r="K1066" s="317">
        <v>5.3682231580142327E-2</v>
      </c>
      <c r="L1066" s="318">
        <v>2.929355030104532E-3</v>
      </c>
      <c r="M1066" s="317">
        <v>2.9508027816153161E-3</v>
      </c>
      <c r="N1066" s="318">
        <v>2.0000005732018801E-3</v>
      </c>
      <c r="O1066" s="317">
        <v>3.1923150079077353E-2</v>
      </c>
      <c r="P1066" s="318">
        <v>1.8388251472631914E-2</v>
      </c>
      <c r="Q1066" s="319">
        <v>5.6109503880821789E-2</v>
      </c>
    </row>
    <row r="1067" spans="2:17" ht="15.75" x14ac:dyDescent="0.25">
      <c r="B1067" s="176">
        <v>2038</v>
      </c>
      <c r="C1067" s="177">
        <v>1999</v>
      </c>
      <c r="D1067" s="178" t="s">
        <v>3913</v>
      </c>
      <c r="E1067" s="461">
        <v>5.8000175055142794E-2</v>
      </c>
      <c r="F1067" s="462">
        <v>6.9315364500250637E-2</v>
      </c>
      <c r="G1067" s="316">
        <v>0.37239144397166291</v>
      </c>
      <c r="H1067" s="317">
        <v>0.11824915768525558</v>
      </c>
      <c r="I1067" s="317">
        <v>9.01657505962371</v>
      </c>
      <c r="J1067" s="317">
        <v>0.7688180430753242</v>
      </c>
      <c r="K1067" s="317">
        <v>5.3765674660826178E-2</v>
      </c>
      <c r="L1067" s="318">
        <v>2.933800958476188E-3</v>
      </c>
      <c r="M1067" s="317">
        <v>2.9888504126548139E-3</v>
      </c>
      <c r="N1067" s="318">
        <v>2.0000005732018801E-3</v>
      </c>
      <c r="O1067" s="317">
        <v>3.2570340283059218E-2</v>
      </c>
      <c r="P1067" s="318">
        <v>1.8590904601812966E-2</v>
      </c>
      <c r="Q1067" s="319">
        <v>5.6196719887340922E-2</v>
      </c>
    </row>
    <row r="1068" spans="2:17" ht="15.75" x14ac:dyDescent="0.25">
      <c r="B1068" s="176">
        <v>2038</v>
      </c>
      <c r="C1068" s="177">
        <v>2000</v>
      </c>
      <c r="D1068" s="178" t="s">
        <v>3914</v>
      </c>
      <c r="E1068" s="461">
        <v>5.7903628465594936E-2</v>
      </c>
      <c r="F1068" s="462">
        <v>7.5305909237174465E-2</v>
      </c>
      <c r="G1068" s="316">
        <v>0.37240088942101457</v>
      </c>
      <c r="H1068" s="317">
        <v>0.10180526782154954</v>
      </c>
      <c r="I1068" s="317">
        <v>9.1042277222922099</v>
      </c>
      <c r="J1068" s="317">
        <v>0.61735996167467022</v>
      </c>
      <c r="K1068" s="317">
        <v>5.3440467967368337E-2</v>
      </c>
      <c r="L1068" s="318">
        <v>2.9303268637267134E-3</v>
      </c>
      <c r="M1068" s="317">
        <v>2.996999988279399E-3</v>
      </c>
      <c r="N1068" s="318">
        <v>2.0000005732018801E-3</v>
      </c>
      <c r="O1068" s="317">
        <v>3.270896456443341E-2</v>
      </c>
      <c r="P1068" s="318">
        <v>1.8727687197053464E-2</v>
      </c>
      <c r="Q1068" s="319">
        <v>5.5856808790288329E-2</v>
      </c>
    </row>
    <row r="1069" spans="2:17" ht="15.75" x14ac:dyDescent="0.25">
      <c r="B1069" s="176">
        <v>2038</v>
      </c>
      <c r="C1069" s="177">
        <v>2001</v>
      </c>
      <c r="D1069" s="178" t="s">
        <v>3915</v>
      </c>
      <c r="E1069" s="461">
        <v>5.7954698124800363E-2</v>
      </c>
      <c r="F1069" s="462">
        <v>7.4031577150601005E-2</v>
      </c>
      <c r="G1069" s="316">
        <v>0.37263137647252986</v>
      </c>
      <c r="H1069" s="317">
        <v>8.7840667134741923E-2</v>
      </c>
      <c r="I1069" s="317">
        <v>9.0314450491299283</v>
      </c>
      <c r="J1069" s="317">
        <v>0.47684839344333685</v>
      </c>
      <c r="K1069" s="317">
        <v>5.3722973858790282E-2</v>
      </c>
      <c r="L1069" s="318">
        <v>2.9517381145177319E-3</v>
      </c>
      <c r="M1069" s="317">
        <v>2.9906576124271648E-3</v>
      </c>
      <c r="N1069" s="318">
        <v>2.0000005732018801E-3</v>
      </c>
      <c r="O1069" s="317">
        <v>3.2601080751186895E-2</v>
      </c>
      <c r="P1069" s="318">
        <v>1.8333173604094973E-2</v>
      </c>
      <c r="Q1069" s="319">
        <v>5.6152088344518944E-2</v>
      </c>
    </row>
    <row r="1070" spans="2:17" ht="15.75" x14ac:dyDescent="0.25">
      <c r="B1070" s="176">
        <v>2038</v>
      </c>
      <c r="C1070" s="177">
        <v>2002</v>
      </c>
      <c r="D1070" s="178" t="s">
        <v>3916</v>
      </c>
      <c r="E1070" s="461">
        <v>5.7804054716094636E-2</v>
      </c>
      <c r="F1070" s="462">
        <v>7.229757650813777E-2</v>
      </c>
      <c r="G1070" s="316">
        <v>0.28834725782584175</v>
      </c>
      <c r="H1070" s="317">
        <v>8.7740446000976358E-2</v>
      </c>
      <c r="I1070" s="317">
        <v>7.0147536263928414</v>
      </c>
      <c r="J1070" s="317">
        <v>0.45862003287894054</v>
      </c>
      <c r="K1070" s="317">
        <v>5.3865671767150722E-2</v>
      </c>
      <c r="L1070" s="318">
        <v>2.9757655938781251E-3</v>
      </c>
      <c r="M1070" s="317">
        <v>2.9966239261464945E-3</v>
      </c>
      <c r="N1070" s="318">
        <v>2.0000005732018801E-3</v>
      </c>
      <c r="O1070" s="317">
        <v>3.2702567747552709E-2</v>
      </c>
      <c r="P1070" s="318">
        <v>1.7799849549016124E-2</v>
      </c>
      <c r="Q1070" s="319">
        <v>5.6301238419082897E-2</v>
      </c>
    </row>
    <row r="1071" spans="2:17" ht="15.75" x14ac:dyDescent="0.25">
      <c r="B1071" s="176">
        <v>2038</v>
      </c>
      <c r="C1071" s="177">
        <v>2003</v>
      </c>
      <c r="D1071" s="178" t="s">
        <v>3917</v>
      </c>
      <c r="E1071" s="461">
        <v>5.7594104606384672E-2</v>
      </c>
      <c r="F1071" s="462">
        <v>7.3469216864104694E-2</v>
      </c>
      <c r="G1071" s="316">
        <v>0.28605828526719812</v>
      </c>
      <c r="H1071" s="317">
        <v>7.0921736081882389E-2</v>
      </c>
      <c r="I1071" s="317">
        <v>7.0143055999264652</v>
      </c>
      <c r="J1071" s="317">
        <v>0.39202255028996641</v>
      </c>
      <c r="K1071" s="317">
        <v>5.3557497778597973E-2</v>
      </c>
      <c r="L1071" s="318">
        <v>2.9560947875467447E-3</v>
      </c>
      <c r="M1071" s="317">
        <v>2.9933009010975147E-3</v>
      </c>
      <c r="N1071" s="318">
        <v>2.0000005732018801E-3</v>
      </c>
      <c r="O1071" s="317">
        <v>3.2646043091469547E-2</v>
      </c>
      <c r="P1071" s="318">
        <v>1.8223913021502128E-2</v>
      </c>
      <c r="Q1071" s="319">
        <v>5.5979130170269564E-2</v>
      </c>
    </row>
    <row r="1072" spans="2:17" ht="15.75" x14ac:dyDescent="0.25">
      <c r="B1072" s="176">
        <v>2038</v>
      </c>
      <c r="C1072" s="177">
        <v>2004</v>
      </c>
      <c r="D1072" s="178" t="s">
        <v>3918</v>
      </c>
      <c r="E1072" s="461">
        <v>5.7488394346310166E-2</v>
      </c>
      <c r="F1072" s="462">
        <v>7.3317614120815056E-2</v>
      </c>
      <c r="G1072" s="316">
        <v>0.23618242437172021</v>
      </c>
      <c r="H1072" s="317">
        <v>1.819926153805658E-2</v>
      </c>
      <c r="I1072" s="317">
        <v>5.8540195324314253</v>
      </c>
      <c r="J1072" s="317">
        <v>0.11622168266119685</v>
      </c>
      <c r="K1072" s="317">
        <v>5.331434473380716E-2</v>
      </c>
      <c r="L1072" s="318">
        <v>1.9732452921967974E-4</v>
      </c>
      <c r="M1072" s="317">
        <v>2.9914579966743246E-3</v>
      </c>
      <c r="N1072" s="318">
        <v>2.0000005732018801E-3</v>
      </c>
      <c r="O1072" s="317">
        <v>3.2614695287231092E-2</v>
      </c>
      <c r="P1072" s="318">
        <v>1.7885302222601113E-2</v>
      </c>
      <c r="Q1072" s="319">
        <v>5.5724982823768983E-2</v>
      </c>
    </row>
    <row r="1073" spans="2:17" ht="15.75" x14ac:dyDescent="0.25">
      <c r="B1073" s="176">
        <v>2038</v>
      </c>
      <c r="C1073" s="177">
        <v>2005</v>
      </c>
      <c r="D1073" s="178" t="s">
        <v>3919</v>
      </c>
      <c r="E1073" s="461">
        <v>5.7251533097076431E-2</v>
      </c>
      <c r="F1073" s="462">
        <v>6.9693852498162401E-2</v>
      </c>
      <c r="G1073" s="316">
        <v>0.2338214005562097</v>
      </c>
      <c r="H1073" s="317">
        <v>1.5873967670166734E-2</v>
      </c>
      <c r="I1073" s="317">
        <v>5.8526686517577833</v>
      </c>
      <c r="J1073" s="317">
        <v>9.4936049986960175E-2</v>
      </c>
      <c r="K1073" s="317">
        <v>5.2950232333644098E-2</v>
      </c>
      <c r="L1073" s="318">
        <v>1.9801617837621053E-4</v>
      </c>
      <c r="M1073" s="317">
        <v>2.9862899355459042E-3</v>
      </c>
      <c r="N1073" s="318">
        <v>2.0000005732018801E-3</v>
      </c>
      <c r="O1073" s="317">
        <v>3.2526786567436662E-2</v>
      </c>
      <c r="P1073" s="318">
        <v>1.7191027902150255E-2</v>
      </c>
      <c r="Q1073" s="319">
        <v>5.5344406876595371E-2</v>
      </c>
    </row>
    <row r="1074" spans="2:17" ht="15.75" x14ac:dyDescent="0.25">
      <c r="B1074" s="176">
        <v>2038</v>
      </c>
      <c r="C1074" s="177">
        <v>2006</v>
      </c>
      <c r="D1074" s="178" t="s">
        <v>3920</v>
      </c>
      <c r="E1074" s="461">
        <v>5.7196218433492395E-2</v>
      </c>
      <c r="F1074" s="462">
        <v>7.3190558959728008E-2</v>
      </c>
      <c r="G1074" s="316">
        <v>0.23362560953044603</v>
      </c>
      <c r="H1074" s="317">
        <v>6.0440569615726955E-3</v>
      </c>
      <c r="I1074" s="317">
        <v>5.8528337817186706</v>
      </c>
      <c r="J1074" s="317">
        <v>6.6724508909104127E-2</v>
      </c>
      <c r="K1074" s="317">
        <v>5.291286317587264E-2</v>
      </c>
      <c r="L1074" s="318">
        <v>1.9390853334874306E-4</v>
      </c>
      <c r="M1074" s="317">
        <v>2.9860273754276534E-3</v>
      </c>
      <c r="N1074" s="318">
        <v>2.0000005732018801E-3</v>
      </c>
      <c r="O1074" s="317">
        <v>3.2522320419825217E-2</v>
      </c>
      <c r="P1074" s="318">
        <v>1.8983700353893799E-2</v>
      </c>
      <c r="Q1074" s="319">
        <v>5.5305348051332769E-2</v>
      </c>
    </row>
    <row r="1075" spans="2:17" ht="15.75" x14ac:dyDescent="0.25">
      <c r="B1075" s="176">
        <v>2038</v>
      </c>
      <c r="C1075" s="177">
        <v>2007</v>
      </c>
      <c r="D1075" s="178" t="s">
        <v>3921</v>
      </c>
      <c r="E1075" s="461">
        <v>5.7042083766398514E-2</v>
      </c>
      <c r="F1075" s="462">
        <v>6.8657602429455289E-2</v>
      </c>
      <c r="G1075" s="316">
        <v>0.16870040904411038</v>
      </c>
      <c r="H1075" s="317">
        <v>8.5666335356034528E-3</v>
      </c>
      <c r="I1075" s="317">
        <v>3.0078832576049406</v>
      </c>
      <c r="J1075" s="317">
        <v>5.8673780083012772E-2</v>
      </c>
      <c r="K1075" s="317">
        <v>3.7265509315906581E-2</v>
      </c>
      <c r="L1075" s="318">
        <v>1.9718881729047656E-4</v>
      </c>
      <c r="M1075" s="317">
        <v>2.9697899579091453E-3</v>
      </c>
      <c r="N1075" s="318">
        <v>2.0000005732018801E-3</v>
      </c>
      <c r="O1075" s="317">
        <v>3.2246121947835396E-2</v>
      </c>
      <c r="P1075" s="318">
        <v>1.7524268200482404E-2</v>
      </c>
      <c r="Q1075" s="319">
        <v>3.8950490283923382E-2</v>
      </c>
    </row>
    <row r="1076" spans="2:17" ht="15.75" x14ac:dyDescent="0.25">
      <c r="B1076" s="176">
        <v>2038</v>
      </c>
      <c r="C1076" s="177">
        <v>2008</v>
      </c>
      <c r="D1076" s="178" t="s">
        <v>3922</v>
      </c>
      <c r="E1076" s="461">
        <v>5.705807799875913E-2</v>
      </c>
      <c r="F1076" s="462">
        <v>6.7031892646956109E-2</v>
      </c>
      <c r="G1076" s="316">
        <v>0.17019486533444253</v>
      </c>
      <c r="H1076" s="317">
        <v>8.3030790369574541E-3</v>
      </c>
      <c r="I1076" s="317">
        <v>3.0326958690005092</v>
      </c>
      <c r="J1076" s="317">
        <v>4.7275438459702002E-2</v>
      </c>
      <c r="K1076" s="317">
        <v>3.7573038122713294E-2</v>
      </c>
      <c r="L1076" s="318">
        <v>2.2513393379050507E-4</v>
      </c>
      <c r="M1076" s="317">
        <v>2.9790385142860875E-3</v>
      </c>
      <c r="N1076" s="318">
        <v>2.0000005732018801E-3</v>
      </c>
      <c r="O1076" s="317">
        <v>3.2403439891807176E-2</v>
      </c>
      <c r="P1076" s="318">
        <v>1.752364828406535E-2</v>
      </c>
      <c r="Q1076" s="319">
        <v>3.9271924178735061E-2</v>
      </c>
    </row>
    <row r="1077" spans="2:17" ht="15.75" x14ac:dyDescent="0.25">
      <c r="B1077" s="176">
        <v>2038</v>
      </c>
      <c r="C1077" s="177">
        <v>2009</v>
      </c>
      <c r="D1077" s="178" t="s">
        <v>3923</v>
      </c>
      <c r="E1077" s="461">
        <v>5.6416690140067914E-2</v>
      </c>
      <c r="F1077" s="462">
        <v>6.1525959400342937E-2</v>
      </c>
      <c r="G1077" s="316">
        <v>0.16102896368827072</v>
      </c>
      <c r="H1077" s="317">
        <v>8.1373426724046724E-3</v>
      </c>
      <c r="I1077" s="317">
        <v>2.7774107895541031</v>
      </c>
      <c r="J1077" s="317">
        <v>3.4107085215077187E-2</v>
      </c>
      <c r="K1077" s="317">
        <v>3.5445661681214047E-2</v>
      </c>
      <c r="L1077" s="318">
        <v>2.5474560347695272E-4</v>
      </c>
      <c r="M1077" s="317">
        <v>2.8999756457846106E-3</v>
      </c>
      <c r="N1077" s="318">
        <v>2.0000005732018801E-3</v>
      </c>
      <c r="O1077" s="317">
        <v>3.1058580498597058E-2</v>
      </c>
      <c r="P1077" s="318">
        <v>1.6842546405875562E-2</v>
      </c>
      <c r="Q1077" s="319">
        <v>3.7048357214644306E-2</v>
      </c>
    </row>
    <row r="1078" spans="2:17" ht="15.75" x14ac:dyDescent="0.25">
      <c r="B1078" s="176">
        <v>2038</v>
      </c>
      <c r="C1078" s="177">
        <v>2010</v>
      </c>
      <c r="D1078" s="178" t="s">
        <v>3924</v>
      </c>
      <c r="E1078" s="461">
        <v>5.5285025636757384E-2</v>
      </c>
      <c r="F1078" s="462">
        <v>5.9529140666156367E-2</v>
      </c>
      <c r="G1078" s="316">
        <v>9.6110881913260851E-2</v>
      </c>
      <c r="H1078" s="317">
        <v>7.3109463172159172E-3</v>
      </c>
      <c r="I1078" s="317">
        <v>0.24289964182787835</v>
      </c>
      <c r="J1078" s="317">
        <v>3.3182100937428904E-2</v>
      </c>
      <c r="K1078" s="317">
        <v>2.0540676901975315E-2</v>
      </c>
      <c r="L1078" s="318">
        <v>3.1101309835370334E-4</v>
      </c>
      <c r="M1078" s="317">
        <v>2.8180410993165518E-3</v>
      </c>
      <c r="N1078" s="318">
        <v>2.0000005732018801E-3</v>
      </c>
      <c r="O1078" s="317">
        <v>2.9664873863175373E-2</v>
      </c>
      <c r="P1078" s="318">
        <v>1.6451898101092252E-2</v>
      </c>
      <c r="Q1078" s="319">
        <v>2.1469435163578791E-2</v>
      </c>
    </row>
    <row r="1079" spans="2:17" ht="15.75" x14ac:dyDescent="0.25">
      <c r="B1079" s="176">
        <v>2038</v>
      </c>
      <c r="C1079" s="177">
        <v>2011</v>
      </c>
      <c r="D1079" s="178" t="s">
        <v>3925</v>
      </c>
      <c r="E1079" s="461">
        <v>5.4932293547348791E-2</v>
      </c>
      <c r="F1079" s="462">
        <v>5.8249949353502938E-2</v>
      </c>
      <c r="G1079" s="316">
        <v>9.528724364209458E-2</v>
      </c>
      <c r="H1079" s="317">
        <v>7.4204291454564005E-3</v>
      </c>
      <c r="I1079" s="317">
        <v>0.24199906216028749</v>
      </c>
      <c r="J1079" s="317">
        <v>3.351782482711748E-2</v>
      </c>
      <c r="K1079" s="317">
        <v>2.0504251969168205E-2</v>
      </c>
      <c r="L1079" s="318">
        <v>4.2138575566883841E-4</v>
      </c>
      <c r="M1079" s="317">
        <v>2.8206675867073401E-3</v>
      </c>
      <c r="N1079" s="318">
        <v>2.0000005732018801E-3</v>
      </c>
      <c r="O1079" s="317">
        <v>2.9709550413692679E-2</v>
      </c>
      <c r="P1079" s="318">
        <v>1.6591379568041013E-2</v>
      </c>
      <c r="Q1079" s="319">
        <v>2.1431363256943399E-2</v>
      </c>
    </row>
    <row r="1080" spans="2:17" ht="15.75" x14ac:dyDescent="0.25">
      <c r="B1080" s="176">
        <v>2038</v>
      </c>
      <c r="C1080" s="177">
        <v>2012</v>
      </c>
      <c r="D1080" s="178" t="s">
        <v>3926</v>
      </c>
      <c r="E1080" s="461">
        <v>5.3004366258055297E-2</v>
      </c>
      <c r="F1080" s="462">
        <v>5.8295824887804042E-2</v>
      </c>
      <c r="G1080" s="316">
        <v>8.4342575851690207E-2</v>
      </c>
      <c r="H1080" s="317">
        <v>6.9965616423021204E-3</v>
      </c>
      <c r="I1080" s="317">
        <v>0.21203332289989096</v>
      </c>
      <c r="J1080" s="317">
        <v>3.4666208397758275E-2</v>
      </c>
      <c r="K1080" s="317">
        <v>1.8401774981388157E-2</v>
      </c>
      <c r="L1080" s="318">
        <v>6.1124192263237176E-4</v>
      </c>
      <c r="M1080" s="317">
        <v>2.698896728539929E-3</v>
      </c>
      <c r="N1080" s="318">
        <v>2.0000005732018801E-3</v>
      </c>
      <c r="O1080" s="317">
        <v>2.7638228116265016E-2</v>
      </c>
      <c r="P1080" s="318">
        <v>1.6996124957244688E-2</v>
      </c>
      <c r="Q1080" s="319">
        <v>1.9233821589379436E-2</v>
      </c>
    </row>
    <row r="1081" spans="2:17" ht="15.75" x14ac:dyDescent="0.25">
      <c r="B1081" s="176">
        <v>2038</v>
      </c>
      <c r="C1081" s="177">
        <v>2013</v>
      </c>
      <c r="D1081" s="178" t="s">
        <v>3927</v>
      </c>
      <c r="E1081" s="461">
        <v>5.4828184180705571E-2</v>
      </c>
      <c r="F1081" s="462">
        <v>5.6930264014216012E-2</v>
      </c>
      <c r="G1081" s="316">
        <v>9.7807491955353265E-2</v>
      </c>
      <c r="H1081" s="317">
        <v>7.9265882912036758E-3</v>
      </c>
      <c r="I1081" s="317">
        <v>0.2482055426803606</v>
      </c>
      <c r="J1081" s="317">
        <v>3.3631887518329261E-2</v>
      </c>
      <c r="K1081" s="317">
        <v>2.0925539213068393E-2</v>
      </c>
      <c r="L1081" s="318">
        <v>9.130093754798808E-4</v>
      </c>
      <c r="M1081" s="317">
        <v>2.8424695446318598E-3</v>
      </c>
      <c r="N1081" s="318">
        <v>2.0000005732018801E-3</v>
      </c>
      <c r="O1081" s="317">
        <v>3.0080401717988758E-2</v>
      </c>
      <c r="P1081" s="318">
        <v>1.7064402014595626E-2</v>
      </c>
      <c r="Q1081" s="319">
        <v>2.1871699240578354E-2</v>
      </c>
    </row>
    <row r="1082" spans="2:17" ht="15.75" x14ac:dyDescent="0.25">
      <c r="B1082" s="176">
        <v>2038</v>
      </c>
      <c r="C1082" s="177">
        <v>2014</v>
      </c>
      <c r="D1082" s="178" t="s">
        <v>3928</v>
      </c>
      <c r="E1082" s="461">
        <v>5.2096677519457596E-2</v>
      </c>
      <c r="F1082" s="462">
        <v>5.4567668305336478E-2</v>
      </c>
      <c r="G1082" s="316">
        <v>8.7531808640702272E-2</v>
      </c>
      <c r="H1082" s="317">
        <v>8.0469667604006964E-3</v>
      </c>
      <c r="I1082" s="317">
        <v>0.22090387542884221</v>
      </c>
      <c r="J1082" s="317">
        <v>3.2100442871063291E-2</v>
      </c>
      <c r="K1082" s="317">
        <v>1.9032889746157414E-2</v>
      </c>
      <c r="L1082" s="318">
        <v>1.281924916081031E-3</v>
      </c>
      <c r="M1082" s="317">
        <v>2.7360416961238862E-3</v>
      </c>
      <c r="N1082" s="318">
        <v>2.0000005732018797E-3</v>
      </c>
      <c r="O1082" s="317">
        <v>2.8270064014868132E-2</v>
      </c>
      <c r="P1082" s="318">
        <v>1.6543850085425048E-2</v>
      </c>
      <c r="Q1082" s="319">
        <v>1.9893472563281202E-2</v>
      </c>
    </row>
    <row r="1083" spans="2:17" ht="15.75" x14ac:dyDescent="0.25">
      <c r="B1083" s="176">
        <v>2038</v>
      </c>
      <c r="C1083" s="177">
        <v>2015</v>
      </c>
      <c r="D1083" s="178" t="s">
        <v>3929</v>
      </c>
      <c r="E1083" s="461">
        <v>5.084323363391878E-2</v>
      </c>
      <c r="F1083" s="462">
        <v>5.6921953278357716E-2</v>
      </c>
      <c r="G1083" s="316">
        <v>8.2738146529892323E-2</v>
      </c>
      <c r="H1083" s="317">
        <v>8.0314149126887655E-3</v>
      </c>
      <c r="I1083" s="317">
        <v>0.20958752804485481</v>
      </c>
      <c r="J1083" s="317">
        <v>3.3578834357147265E-2</v>
      </c>
      <c r="K1083" s="317">
        <v>1.8259096758543102E-2</v>
      </c>
      <c r="L1083" s="318">
        <v>1.5925212249787047E-3</v>
      </c>
      <c r="M1083" s="317">
        <v>2.7002384930987122E-3</v>
      </c>
      <c r="N1083" s="318">
        <v>2.0000005732018788E-3</v>
      </c>
      <c r="O1083" s="317">
        <v>2.7661051531409922E-2</v>
      </c>
      <c r="P1083" s="318">
        <v>1.7537071650126919E-2</v>
      </c>
      <c r="Q1083" s="319">
        <v>1.9084692090422566E-2</v>
      </c>
    </row>
    <row r="1084" spans="2:17" ht="15.75" x14ac:dyDescent="0.25">
      <c r="B1084" s="176">
        <v>2038</v>
      </c>
      <c r="C1084" s="177">
        <v>2016</v>
      </c>
      <c r="D1084" s="178" t="s">
        <v>3930</v>
      </c>
      <c r="E1084" s="461">
        <v>5.1398381452043659E-2</v>
      </c>
      <c r="F1084" s="462">
        <v>5.8364538671588743E-2</v>
      </c>
      <c r="G1084" s="316">
        <v>9.6222075449233432E-2</v>
      </c>
      <c r="H1084" s="317">
        <v>7.7794151092552832E-3</v>
      </c>
      <c r="I1084" s="317">
        <v>0.21661174749856427</v>
      </c>
      <c r="J1084" s="317">
        <v>3.3973662809904381E-2</v>
      </c>
      <c r="K1084" s="317">
        <v>2.0798953674936234E-2</v>
      </c>
      <c r="L1084" s="318">
        <v>1.8230415518810021E-3</v>
      </c>
      <c r="M1084" s="317">
        <v>2.8543258763395018E-3</v>
      </c>
      <c r="N1084" s="318">
        <v>2.0000005732018801E-3</v>
      </c>
      <c r="O1084" s="317">
        <v>3.0282077920335757E-2</v>
      </c>
      <c r="P1084" s="318">
        <v>1.8498302467062692E-2</v>
      </c>
      <c r="Q1084" s="319">
        <v>2.1739390066126785E-2</v>
      </c>
    </row>
    <row r="1085" spans="2:17" ht="15.75" x14ac:dyDescent="0.25">
      <c r="B1085" s="176">
        <v>2038</v>
      </c>
      <c r="C1085" s="177">
        <v>2017</v>
      </c>
      <c r="D1085" s="178" t="s">
        <v>3931</v>
      </c>
      <c r="E1085" s="461">
        <v>4.7858470135037343E-2</v>
      </c>
      <c r="F1085" s="462">
        <v>5.2249119070902891E-2</v>
      </c>
      <c r="G1085" s="316">
        <v>7.5946878318282632E-2</v>
      </c>
      <c r="H1085" s="317">
        <v>7.7806787744379609E-3</v>
      </c>
      <c r="I1085" s="317">
        <v>0.15970151013223227</v>
      </c>
      <c r="J1085" s="317">
        <v>3.1239181499962319E-2</v>
      </c>
      <c r="K1085" s="317">
        <v>1.8718613212706004E-2</v>
      </c>
      <c r="L1085" s="318">
        <v>2.008613023776831E-3</v>
      </c>
      <c r="M1085" s="317">
        <v>2.7984130921097838E-3</v>
      </c>
      <c r="N1085" s="318">
        <v>2.0000005732018801E-3</v>
      </c>
      <c r="O1085" s="317">
        <v>2.9331001460588257E-2</v>
      </c>
      <c r="P1085" s="318">
        <v>1.7377889853758946E-2</v>
      </c>
      <c r="Q1085" s="319">
        <v>1.9564985839568588E-2</v>
      </c>
    </row>
    <row r="1086" spans="2:17" ht="15.75" x14ac:dyDescent="0.25">
      <c r="B1086" s="176">
        <v>2038</v>
      </c>
      <c r="C1086" s="177">
        <v>2018</v>
      </c>
      <c r="D1086" s="178" t="s">
        <v>3932</v>
      </c>
      <c r="E1086" s="461">
        <v>4.4785904062424914E-2</v>
      </c>
      <c r="F1086" s="462">
        <v>4.9882678445327358E-2</v>
      </c>
      <c r="G1086" s="316">
        <v>7.520406181581453E-2</v>
      </c>
      <c r="H1086" s="317">
        <v>7.406090142130119E-3</v>
      </c>
      <c r="I1086" s="317">
        <v>0.13011986896844419</v>
      </c>
      <c r="J1086" s="317">
        <v>2.9766392279174474E-2</v>
      </c>
      <c r="K1086" s="317">
        <v>1.7262550507571594E-2</v>
      </c>
      <c r="L1086" s="318">
        <v>2.0909403318680442E-3</v>
      </c>
      <c r="M1086" s="317">
        <v>2.7916531333467931E-3</v>
      </c>
      <c r="N1086" s="318">
        <v>2.0000005732018805E-3</v>
      </c>
      <c r="O1086" s="317">
        <v>2.9216014562029779E-2</v>
      </c>
      <c r="P1086" s="318">
        <v>1.7358784981564148E-2</v>
      </c>
      <c r="Q1086" s="319">
        <v>1.8043086440090558E-2</v>
      </c>
    </row>
    <row r="1087" spans="2:17" ht="15.75" x14ac:dyDescent="0.25">
      <c r="B1087" s="176">
        <v>2038</v>
      </c>
      <c r="C1087" s="177">
        <v>2019</v>
      </c>
      <c r="D1087" s="178" t="s">
        <v>3933</v>
      </c>
      <c r="E1087" s="461">
        <v>4.4343646802263138E-2</v>
      </c>
      <c r="F1087" s="462">
        <v>4.7943010928667873E-2</v>
      </c>
      <c r="G1087" s="316">
        <v>7.4367773063140588E-2</v>
      </c>
      <c r="H1087" s="317">
        <v>6.6360882121404762E-3</v>
      </c>
      <c r="I1087" s="317">
        <v>0.11160068271622192</v>
      </c>
      <c r="J1087" s="317">
        <v>2.6919717068222892E-2</v>
      </c>
      <c r="K1087" s="317">
        <v>1.4734434628260032E-2</v>
      </c>
      <c r="L1087" s="318">
        <v>1.9858117194888024E-3</v>
      </c>
      <c r="M1087" s="317">
        <v>2.7846094274877058E-3</v>
      </c>
      <c r="N1087" s="318">
        <v>2.0000005732018801E-3</v>
      </c>
      <c r="O1087" s="317">
        <v>2.9096201125366705E-2</v>
      </c>
      <c r="P1087" s="318">
        <v>1.7338088597223633E-2</v>
      </c>
      <c r="Q1087" s="319">
        <v>1.5400660379064667E-2</v>
      </c>
    </row>
    <row r="1088" spans="2:17" ht="15.75" x14ac:dyDescent="0.25">
      <c r="B1088" s="176">
        <v>2038</v>
      </c>
      <c r="C1088" s="177">
        <v>2020</v>
      </c>
      <c r="D1088" s="178" t="s">
        <v>3934</v>
      </c>
      <c r="E1088" s="461">
        <v>4.3890829351588709E-2</v>
      </c>
      <c r="F1088" s="462">
        <v>4.604526789419594E-2</v>
      </c>
      <c r="G1088" s="316">
        <v>7.3516851866082783E-2</v>
      </c>
      <c r="H1088" s="317">
        <v>5.7163201111346696E-3</v>
      </c>
      <c r="I1088" s="317">
        <v>9.3280651334940443E-2</v>
      </c>
      <c r="J1088" s="317">
        <v>2.4579952714494663E-2</v>
      </c>
      <c r="K1088" s="317">
        <v>1.2249231342377702E-2</v>
      </c>
      <c r="L1088" s="318">
        <v>1.4658661694932542E-3</v>
      </c>
      <c r="M1088" s="317">
        <v>2.7783560894378469E-3</v>
      </c>
      <c r="N1088" s="318">
        <v>2.0000005732018801E-3</v>
      </c>
      <c r="O1088" s="317">
        <v>2.8989831845138606E-2</v>
      </c>
      <c r="P1088" s="318">
        <v>1.7330200193051353E-2</v>
      </c>
      <c r="Q1088" s="319">
        <v>1.2803087228520964E-2</v>
      </c>
    </row>
    <row r="1089" spans="2:17" ht="15.75" x14ac:dyDescent="0.25">
      <c r="B1089" s="176">
        <v>2038</v>
      </c>
      <c r="C1089" s="177">
        <v>2021</v>
      </c>
      <c r="D1089" s="178" t="s">
        <v>3935</v>
      </c>
      <c r="E1089" s="461">
        <v>4.2454325067862897E-2</v>
      </c>
      <c r="F1089" s="462">
        <v>4.3859943621089602E-2</v>
      </c>
      <c r="G1089" s="316">
        <v>6.9867048264599454E-2</v>
      </c>
      <c r="H1089" s="317">
        <v>5.0170915334907954E-3</v>
      </c>
      <c r="I1089" s="317">
        <v>7.0215900254102778E-2</v>
      </c>
      <c r="J1089" s="317">
        <v>2.3210845969630418E-2</v>
      </c>
      <c r="K1089" s="317">
        <v>8.7014166627904319E-3</v>
      </c>
      <c r="L1089" s="318">
        <v>9.65444830412676E-4</v>
      </c>
      <c r="M1089" s="317">
        <v>2.768385521625082E-3</v>
      </c>
      <c r="N1089" s="318">
        <v>2.0000005732018801E-3</v>
      </c>
      <c r="O1089" s="317">
        <v>2.882023248664348E-2</v>
      </c>
      <c r="P1089" s="318">
        <v>1.7307845044365992E-2</v>
      </c>
      <c r="Q1089" s="319">
        <v>9.0948561123172858E-3</v>
      </c>
    </row>
    <row r="1090" spans="2:17" ht="15.75" x14ac:dyDescent="0.25">
      <c r="B1090" s="176">
        <v>2038</v>
      </c>
      <c r="C1090" s="177">
        <v>2022</v>
      </c>
      <c r="D1090" s="178" t="s">
        <v>3936</v>
      </c>
      <c r="E1090" s="461">
        <v>4.1182715510641288E-2</v>
      </c>
      <c r="F1090" s="462">
        <v>4.2179372273176384E-2</v>
      </c>
      <c r="G1090" s="316">
        <v>6.870337077578445E-2</v>
      </c>
      <c r="H1090" s="317">
        <v>4.2163111138766472E-3</v>
      </c>
      <c r="I1090" s="317">
        <v>5.2662352486849723E-2</v>
      </c>
      <c r="J1090" s="317">
        <v>2.1655101222745259E-2</v>
      </c>
      <c r="K1090" s="317">
        <v>6.3902933084682171E-3</v>
      </c>
      <c r="L1090" s="318">
        <v>9.6391204628157334E-4</v>
      </c>
      <c r="M1090" s="317">
        <v>2.7604753851062994E-3</v>
      </c>
      <c r="N1090" s="318">
        <v>2.0000005732018801E-3</v>
      </c>
      <c r="O1090" s="317">
        <v>2.8685681064458984E-2</v>
      </c>
      <c r="P1090" s="318">
        <v>1.7284338564009311E-2</v>
      </c>
      <c r="Q1090" s="319">
        <v>6.6792340153705712E-3</v>
      </c>
    </row>
    <row r="1091" spans="2:17" ht="15.75" x14ac:dyDescent="0.25">
      <c r="B1091" s="176">
        <v>2038</v>
      </c>
      <c r="C1091" s="177">
        <v>2023</v>
      </c>
      <c r="D1091" s="178" t="s">
        <v>3937</v>
      </c>
      <c r="E1091" s="461">
        <v>3.9919743044126647E-2</v>
      </c>
      <c r="F1091" s="462">
        <v>4.0541378254244011E-2</v>
      </c>
      <c r="G1091" s="316">
        <v>6.752262484026568E-2</v>
      </c>
      <c r="H1091" s="317">
        <v>3.6503382113080912E-3</v>
      </c>
      <c r="I1091" s="317">
        <v>5.1441497835128788E-2</v>
      </c>
      <c r="J1091" s="317">
        <v>2.165868796283113E-2</v>
      </c>
      <c r="K1091" s="317">
        <v>6.1787867606976719E-3</v>
      </c>
      <c r="L1091" s="318">
        <v>9.6297202347671567E-4</v>
      </c>
      <c r="M1091" s="317">
        <v>2.7531377467177095E-3</v>
      </c>
      <c r="N1091" s="318">
        <v>2.0000005732018801E-3</v>
      </c>
      <c r="O1091" s="317">
        <v>2.8560867835469073E-2</v>
      </c>
      <c r="P1091" s="318">
        <v>1.7271250252364024E-2</v>
      </c>
      <c r="Q1091" s="319">
        <v>6.4581640800562426E-3</v>
      </c>
    </row>
    <row r="1092" spans="2:17" ht="15.75" x14ac:dyDescent="0.25">
      <c r="B1092" s="176">
        <v>2038</v>
      </c>
      <c r="C1092" s="177">
        <v>2024</v>
      </c>
      <c r="D1092" s="178" t="s">
        <v>3938</v>
      </c>
      <c r="E1092" s="461">
        <v>3.8721449057241855E-2</v>
      </c>
      <c r="F1092" s="462">
        <v>3.8901825573377666E-2</v>
      </c>
      <c r="G1092" s="316">
        <v>6.6435064091351095E-2</v>
      </c>
      <c r="H1092" s="317">
        <v>3.1527202344305513E-3</v>
      </c>
      <c r="I1092" s="317">
        <v>5.0240360510979964E-2</v>
      </c>
      <c r="J1092" s="317">
        <v>2.2376628942205341E-2</v>
      </c>
      <c r="K1092" s="317">
        <v>5.9653066735249434E-3</v>
      </c>
      <c r="L1092" s="318">
        <v>9.6195058425034075E-4</v>
      </c>
      <c r="M1092" s="317">
        <v>2.7477709153770468E-3</v>
      </c>
      <c r="N1092" s="318">
        <v>2.0000005732018801E-3</v>
      </c>
      <c r="O1092" s="317">
        <v>2.8469578034364399E-2</v>
      </c>
      <c r="P1092" s="318">
        <v>1.7254391415937927E-2</v>
      </c>
      <c r="Q1092" s="319">
        <v>6.2350313706454157E-3</v>
      </c>
    </row>
    <row r="1093" spans="2:17" ht="15.75" x14ac:dyDescent="0.25">
      <c r="B1093" s="176">
        <v>2038</v>
      </c>
      <c r="C1093" s="177">
        <v>2025</v>
      </c>
      <c r="D1093" s="178" t="s">
        <v>3939</v>
      </c>
      <c r="E1093" s="461">
        <v>3.7509610743650459E-2</v>
      </c>
      <c r="F1093" s="462">
        <v>3.728889283821446E-2</v>
      </c>
      <c r="G1093" s="316">
        <v>6.52164382485486E-2</v>
      </c>
      <c r="H1093" s="317">
        <v>2.8598091610412108E-3</v>
      </c>
      <c r="I1093" s="317">
        <v>4.8911087306312127E-2</v>
      </c>
      <c r="J1093" s="317">
        <v>2.3773108858166078E-2</v>
      </c>
      <c r="K1093" s="317">
        <v>5.7305586065977583E-3</v>
      </c>
      <c r="L1093" s="318">
        <v>9.6121434543895929E-4</v>
      </c>
      <c r="M1093" s="317">
        <v>2.7415446870258497E-3</v>
      </c>
      <c r="N1093" s="318">
        <v>2.0000005732018801E-3</v>
      </c>
      <c r="O1093" s="317">
        <v>2.8363669890110528E-2</v>
      </c>
      <c r="P1093" s="318">
        <v>1.7244583893792808E-2</v>
      </c>
      <c r="Q1093" s="319">
        <v>5.9896690378109067E-3</v>
      </c>
    </row>
    <row r="1094" spans="2:17" ht="15.75" x14ac:dyDescent="0.25">
      <c r="B1094" s="176">
        <v>2038</v>
      </c>
      <c r="C1094" s="177">
        <v>2026</v>
      </c>
      <c r="D1094" s="178" t="s">
        <v>3940</v>
      </c>
      <c r="E1094" s="461">
        <v>3.667616851756117E-2</v>
      </c>
      <c r="F1094" s="462">
        <v>3.7014418087671044E-2</v>
      </c>
      <c r="G1094" s="316">
        <v>6.4095169819220699E-2</v>
      </c>
      <c r="H1094" s="317">
        <v>2.8287562357862438E-3</v>
      </c>
      <c r="I1094" s="317">
        <v>4.7602609230648428E-2</v>
      </c>
      <c r="J1094" s="317">
        <v>2.2977537198274341E-2</v>
      </c>
      <c r="K1094" s="317">
        <v>5.4937187699077954E-3</v>
      </c>
      <c r="L1094" s="318">
        <v>8.4005777398322068E-4</v>
      </c>
      <c r="M1094" s="317">
        <v>2.7373733970473555E-3</v>
      </c>
      <c r="N1094" s="318">
        <v>2.0000005732018801E-3</v>
      </c>
      <c r="O1094" s="317">
        <v>2.8292716247576344E-2</v>
      </c>
      <c r="P1094" s="318">
        <v>1.722984608285805E-2</v>
      </c>
      <c r="Q1094" s="319">
        <v>5.7421203546670326E-3</v>
      </c>
    </row>
    <row r="1095" spans="2:17" ht="15.75" x14ac:dyDescent="0.25">
      <c r="B1095" s="176">
        <v>2038</v>
      </c>
      <c r="C1095" s="177">
        <v>2027</v>
      </c>
      <c r="D1095" s="178" t="s">
        <v>3941</v>
      </c>
      <c r="E1095" s="461">
        <v>3.5876377918999773E-2</v>
      </c>
      <c r="F1095" s="462">
        <v>3.6756167560852177E-2</v>
      </c>
      <c r="G1095" s="316">
        <v>6.2852408299595E-2</v>
      </c>
      <c r="H1095" s="317">
        <v>2.795488929190649E-3</v>
      </c>
      <c r="I1095" s="317">
        <v>4.617303245208048E-2</v>
      </c>
      <c r="J1095" s="317">
        <v>2.2079308744009665E-2</v>
      </c>
      <c r="K1095" s="317">
        <v>5.2366807039211268E-3</v>
      </c>
      <c r="L1095" s="318">
        <v>6.9875353286998803E-4</v>
      </c>
      <c r="M1095" s="317">
        <v>2.7324346865093625E-3</v>
      </c>
      <c r="N1095" s="318">
        <v>2.0000005732018801E-3</v>
      </c>
      <c r="O1095" s="317">
        <v>2.820870878132509E-2</v>
      </c>
      <c r="P1095" s="318">
        <v>1.7216316927808839E-2</v>
      </c>
      <c r="Q1095" s="319">
        <v>5.4734601679259712E-3</v>
      </c>
    </row>
    <row r="1096" spans="2:17" ht="15.75" x14ac:dyDescent="0.25">
      <c r="B1096" s="176">
        <v>2038</v>
      </c>
      <c r="C1096" s="177">
        <v>2028</v>
      </c>
      <c r="D1096" s="178" t="s">
        <v>3942</v>
      </c>
      <c r="E1096" s="461">
        <v>3.5829306537533405E-2</v>
      </c>
      <c r="F1096" s="462">
        <v>3.6666382426711393E-2</v>
      </c>
      <c r="G1096" s="316">
        <v>6.1689062021696703E-2</v>
      </c>
      <c r="H1096" s="317">
        <v>2.7588807671105071E-3</v>
      </c>
      <c r="I1096" s="317">
        <v>4.4750363563272104E-2</v>
      </c>
      <c r="J1096" s="317">
        <v>2.1202329949731796E-2</v>
      </c>
      <c r="K1096" s="317">
        <v>4.9753202596796902E-3</v>
      </c>
      <c r="L1096" s="318">
        <v>5.7698675829148216E-4</v>
      </c>
      <c r="M1096" s="317">
        <v>2.7293678054121826E-3</v>
      </c>
      <c r="N1096" s="318">
        <v>2.0000005732018801E-3</v>
      </c>
      <c r="O1096" s="317">
        <v>2.8156541133862054E-2</v>
      </c>
      <c r="P1096" s="318">
        <v>1.7197097943280327E-2</v>
      </c>
      <c r="Q1096" s="319">
        <v>5.2002821641657327E-3</v>
      </c>
    </row>
    <row r="1097" spans="2:17" ht="15.75" x14ac:dyDescent="0.25">
      <c r="B1097" s="176">
        <v>2038</v>
      </c>
      <c r="C1097" s="177">
        <v>2029</v>
      </c>
      <c r="D1097" s="178" t="s">
        <v>3943</v>
      </c>
      <c r="E1097" s="461">
        <v>3.5763036289451412E-2</v>
      </c>
      <c r="F1097" s="462">
        <v>3.6599633765815126E-2</v>
      </c>
      <c r="G1097" s="316">
        <v>6.0348053487884877E-2</v>
      </c>
      <c r="H1097" s="317">
        <v>2.7185534571961441E-3</v>
      </c>
      <c r="I1097" s="317">
        <v>4.3173446323498642E-2</v>
      </c>
      <c r="J1097" s="317">
        <v>2.030436255628186E-2</v>
      </c>
      <c r="K1097" s="317">
        <v>4.6900492269321614E-3</v>
      </c>
      <c r="L1097" s="318">
        <v>5.7607976156375993E-4</v>
      </c>
      <c r="M1097" s="317">
        <v>2.7247880413998199E-3</v>
      </c>
      <c r="N1097" s="318">
        <v>2.0000005732018801E-3</v>
      </c>
      <c r="O1097" s="317">
        <v>2.8078639348011761E-2</v>
      </c>
      <c r="P1097" s="318">
        <v>1.7184937095984253E-2</v>
      </c>
      <c r="Q1097" s="319">
        <v>4.9021124411888148E-3</v>
      </c>
    </row>
    <row r="1098" spans="2:17" ht="15.75" x14ac:dyDescent="0.25">
      <c r="B1098" s="176">
        <v>2038</v>
      </c>
      <c r="C1098" s="177">
        <v>2030</v>
      </c>
      <c r="D1098" s="178" t="s">
        <v>3944</v>
      </c>
      <c r="E1098" s="461">
        <v>3.5730890078769374E-2</v>
      </c>
      <c r="F1098" s="462">
        <v>3.656825592796669E-2</v>
      </c>
      <c r="G1098" s="316">
        <v>5.9144341374650647E-2</v>
      </c>
      <c r="H1098" s="317">
        <v>2.6732012060649729E-3</v>
      </c>
      <c r="I1098" s="317">
        <v>4.1635433578213844E-2</v>
      </c>
      <c r="J1098" s="317">
        <v>1.9336906857436307E-2</v>
      </c>
      <c r="K1098" s="317">
        <v>4.4036661431680448E-3</v>
      </c>
      <c r="L1098" s="318">
        <v>5.7585150156151926E-4</v>
      </c>
      <c r="M1098" s="317">
        <v>2.7228983519080124E-3</v>
      </c>
      <c r="N1098" s="318">
        <v>2.0000005732018805E-3</v>
      </c>
      <c r="O1098" s="317">
        <v>2.8046495729756118E-2</v>
      </c>
      <c r="P1098" s="318">
        <v>1.7184166743437965E-2</v>
      </c>
      <c r="Q1098" s="319">
        <v>4.602780385183006E-3</v>
      </c>
    </row>
    <row r="1099" spans="2:17" ht="15.75" x14ac:dyDescent="0.25">
      <c r="B1099" s="176">
        <v>2038</v>
      </c>
      <c r="C1099" s="177">
        <v>2031</v>
      </c>
      <c r="D1099" s="178" t="s">
        <v>3945</v>
      </c>
      <c r="E1099" s="461">
        <v>3.5680206586476623E-2</v>
      </c>
      <c r="F1099" s="462">
        <v>3.6528309359517432E-2</v>
      </c>
      <c r="G1099" s="316">
        <v>5.7768639247205322E-2</v>
      </c>
      <c r="H1099" s="317">
        <v>2.6224608337051007E-3</v>
      </c>
      <c r="I1099" s="317">
        <v>3.9948230603284896E-2</v>
      </c>
      <c r="J1099" s="317">
        <v>1.8436215097852118E-2</v>
      </c>
      <c r="K1099" s="317">
        <v>4.0942770576536808E-3</v>
      </c>
      <c r="L1099" s="318">
        <v>5.7532159829505895E-4</v>
      </c>
      <c r="M1099" s="317">
        <v>2.7195621084766708E-3</v>
      </c>
      <c r="N1099" s="318">
        <v>2.0000005732018801E-3</v>
      </c>
      <c r="O1099" s="317">
        <v>2.7989746228989001E-2</v>
      </c>
      <c r="P1099" s="318">
        <v>1.7178513788081922E-2</v>
      </c>
      <c r="Q1099" s="319">
        <v>4.2794020981154124E-3</v>
      </c>
    </row>
    <row r="1100" spans="2:17" ht="15.75" x14ac:dyDescent="0.25">
      <c r="B1100" s="176">
        <v>2038</v>
      </c>
      <c r="C1100" s="177">
        <v>2032</v>
      </c>
      <c r="D1100" s="178" t="s">
        <v>3946</v>
      </c>
      <c r="E1100" s="461">
        <v>3.5639113297989029E-2</v>
      </c>
      <c r="F1100" s="462">
        <v>3.64748335990909E-2</v>
      </c>
      <c r="G1100" s="316">
        <v>5.6382440559415624E-2</v>
      </c>
      <c r="H1100" s="317">
        <v>2.5674466701865978E-3</v>
      </c>
      <c r="I1100" s="317">
        <v>3.8209136322073088E-2</v>
      </c>
      <c r="J1100" s="317">
        <v>1.7490283227455924E-2</v>
      </c>
      <c r="K1100" s="317">
        <v>3.7729473905560597E-3</v>
      </c>
      <c r="L1100" s="318">
        <v>5.7454559476890631E-4</v>
      </c>
      <c r="M1100" s="317">
        <v>2.7169406994290175E-3</v>
      </c>
      <c r="N1100" s="318">
        <v>2.0000005732018801E-3</v>
      </c>
      <c r="O1100" s="317">
        <v>2.7945156061088414E-2</v>
      </c>
      <c r="P1100" s="318">
        <v>1.7168171345690871E-2</v>
      </c>
      <c r="Q1100" s="319">
        <v>3.9435433293509171E-3</v>
      </c>
    </row>
    <row r="1101" spans="2:17" ht="15.75" x14ac:dyDescent="0.25">
      <c r="B1101" s="176">
        <v>2038</v>
      </c>
      <c r="C1101" s="177">
        <v>2033</v>
      </c>
      <c r="D1101" s="178" t="s">
        <v>3947</v>
      </c>
      <c r="E1101" s="461">
        <v>3.5580789651305268E-2</v>
      </c>
      <c r="F1101" s="462">
        <v>3.6392177626227255E-2</v>
      </c>
      <c r="G1101" s="316">
        <v>5.4837920635425336E-2</v>
      </c>
      <c r="H1101" s="317">
        <v>2.5118818618672838E-3</v>
      </c>
      <c r="I1101" s="317">
        <v>3.6333665390601608E-2</v>
      </c>
      <c r="J1101" s="317">
        <v>1.6563441055747974E-2</v>
      </c>
      <c r="K1101" s="317">
        <v>3.4309963509296273E-3</v>
      </c>
      <c r="L1101" s="318">
        <v>5.7325221915931212E-4</v>
      </c>
      <c r="M1101" s="317">
        <v>2.7129724908746093E-3</v>
      </c>
      <c r="N1101" s="318">
        <v>2.0000005732018801E-3</v>
      </c>
      <c r="O1101" s="317">
        <v>2.787765683357793E-2</v>
      </c>
      <c r="P1101" s="318">
        <v>1.7147601139778562E-2</v>
      </c>
      <c r="Q1101" s="319">
        <v>3.5861307810978438E-3</v>
      </c>
    </row>
    <row r="1102" spans="2:17" ht="15.75" x14ac:dyDescent="0.25">
      <c r="B1102" s="176">
        <v>2038</v>
      </c>
      <c r="C1102" s="177">
        <v>2034</v>
      </c>
      <c r="D1102" s="178" t="s">
        <v>3948</v>
      </c>
      <c r="E1102" s="461">
        <v>3.5562500606914522E-2</v>
      </c>
      <c r="F1102" s="462">
        <v>3.6383945057313051E-2</v>
      </c>
      <c r="G1102" s="316">
        <v>5.3445847392407986E-2</v>
      </c>
      <c r="H1102" s="317">
        <v>2.4657019193153168E-3</v>
      </c>
      <c r="I1102" s="317">
        <v>3.4495906440375819E-2</v>
      </c>
      <c r="J1102" s="317">
        <v>1.5729354119374438E-2</v>
      </c>
      <c r="K1102" s="317">
        <v>3.085587628755469E-3</v>
      </c>
      <c r="L1102" s="318">
        <v>5.7344903955787181E-4</v>
      </c>
      <c r="M1102" s="317">
        <v>2.7120834492755062E-3</v>
      </c>
      <c r="N1102" s="318">
        <v>2.0000005732018801E-3</v>
      </c>
      <c r="O1102" s="317">
        <v>2.7862534235977187E-2</v>
      </c>
      <c r="P1102" s="318">
        <v>1.7151534294467762E-2</v>
      </c>
      <c r="Q1102" s="319">
        <v>3.2251042092354804E-3</v>
      </c>
    </row>
    <row r="1103" spans="2:17" ht="15.75" x14ac:dyDescent="0.25">
      <c r="B1103" s="176">
        <v>2038</v>
      </c>
      <c r="C1103" s="177">
        <v>2035</v>
      </c>
      <c r="D1103" s="178" t="s">
        <v>3949</v>
      </c>
      <c r="E1103" s="461">
        <v>3.5553910609026934E-2</v>
      </c>
      <c r="F1103" s="462">
        <v>3.6367443374206998E-2</v>
      </c>
      <c r="G1103" s="316">
        <v>5.2033634245151346E-2</v>
      </c>
      <c r="H1103" s="317">
        <v>2.4364774834636782E-3</v>
      </c>
      <c r="I1103" s="317">
        <v>3.259466652047259E-2</v>
      </c>
      <c r="J1103" s="317">
        <v>1.5004373727178734E-2</v>
      </c>
      <c r="K1103" s="317">
        <v>2.7256884853569092E-3</v>
      </c>
      <c r="L1103" s="318">
        <v>5.736354676709384E-4</v>
      </c>
      <c r="M1103" s="317">
        <v>2.7118772822548719E-3</v>
      </c>
      <c r="N1103" s="318">
        <v>2.0000005732018801E-3</v>
      </c>
      <c r="O1103" s="317">
        <v>2.7859027334956196E-2</v>
      </c>
      <c r="P1103" s="318">
        <v>1.7151464408518887E-2</v>
      </c>
      <c r="Q1103" s="319">
        <v>2.8489320236012362E-3</v>
      </c>
    </row>
    <row r="1104" spans="2:17" ht="15.75" x14ac:dyDescent="0.25">
      <c r="B1104" s="176">
        <v>2038</v>
      </c>
      <c r="C1104" s="177">
        <v>2036</v>
      </c>
      <c r="D1104" s="178" t="s">
        <v>3950</v>
      </c>
      <c r="E1104" s="461">
        <v>3.5516708306636058E-2</v>
      </c>
      <c r="F1104" s="462">
        <v>3.6319879166871828E-2</v>
      </c>
      <c r="G1104" s="316">
        <v>5.0400814843611898E-2</v>
      </c>
      <c r="H1104" s="317">
        <v>2.4265663772936566E-3</v>
      </c>
      <c r="I1104" s="317">
        <v>3.0526111298664751E-2</v>
      </c>
      <c r="J1104" s="317">
        <v>1.4427478698067682E-2</v>
      </c>
      <c r="K1104" s="317">
        <v>2.3428205829284293E-3</v>
      </c>
      <c r="L1104" s="318">
        <v>5.7341655540757484E-4</v>
      </c>
      <c r="M1104" s="317">
        <v>2.7093783895567837E-3</v>
      </c>
      <c r="N1104" s="318">
        <v>2.0000005732018801E-3</v>
      </c>
      <c r="O1104" s="317">
        <v>2.7816521170161711E-2</v>
      </c>
      <c r="P1104" s="318">
        <v>1.7139609785849878E-2</v>
      </c>
      <c r="Q1104" s="319">
        <v>2.4487525335760915E-3</v>
      </c>
    </row>
    <row r="1105" spans="2:17" ht="15.75" x14ac:dyDescent="0.25">
      <c r="B1105" s="176">
        <v>2038</v>
      </c>
      <c r="C1105" s="177">
        <v>2037</v>
      </c>
      <c r="D1105" s="178" t="s">
        <v>3951</v>
      </c>
      <c r="E1105" s="461">
        <v>3.548980559847148E-2</v>
      </c>
      <c r="F1105" s="462">
        <v>3.6246454492885508E-2</v>
      </c>
      <c r="G1105" s="316">
        <v>4.8770106169553254E-2</v>
      </c>
      <c r="H1105" s="317">
        <v>2.4102717679723388E-3</v>
      </c>
      <c r="I1105" s="317">
        <v>2.8406719023486345E-2</v>
      </c>
      <c r="J1105" s="317">
        <v>1.3856162539371235E-2</v>
      </c>
      <c r="K1105" s="317">
        <v>1.9470471979540658E-3</v>
      </c>
      <c r="L1105" s="318">
        <v>5.7231044432872304E-4</v>
      </c>
      <c r="M1105" s="317">
        <v>2.7079141750837848E-3</v>
      </c>
      <c r="N1105" s="318">
        <v>2.0000005732018805E-3</v>
      </c>
      <c r="O1105" s="317">
        <v>2.7791614881976009E-2</v>
      </c>
      <c r="P1105" s="318">
        <v>1.7123019783071292E-2</v>
      </c>
      <c r="Q1105" s="319">
        <v>2.0350840323515688E-3</v>
      </c>
    </row>
    <row r="1106" spans="2:17" ht="15.75" x14ac:dyDescent="0.25">
      <c r="B1106" s="176">
        <v>2038</v>
      </c>
      <c r="C1106" s="177">
        <v>2038</v>
      </c>
      <c r="D1106" s="178" t="s">
        <v>3952</v>
      </c>
      <c r="E1106" s="461">
        <v>3.5118313451525836E-2</v>
      </c>
      <c r="F1106" s="462">
        <v>3.5567431022555926E-2</v>
      </c>
      <c r="G1106" s="316">
        <v>4.5385124957041591E-2</v>
      </c>
      <c r="H1106" s="317">
        <v>2.2821248420090089E-3</v>
      </c>
      <c r="I1106" s="317">
        <v>2.5421987142576416E-2</v>
      </c>
      <c r="J1106" s="317">
        <v>1.2724942028018847E-2</v>
      </c>
      <c r="K1106" s="317">
        <v>1.49413971475193E-3</v>
      </c>
      <c r="L1106" s="318">
        <v>5.6007446846196088E-4</v>
      </c>
      <c r="M1106" s="317">
        <v>2.6793277601653721E-3</v>
      </c>
      <c r="N1106" s="318">
        <v>2.0000005732018801E-3</v>
      </c>
      <c r="O1106" s="317">
        <v>2.7305359964213807E-2</v>
      </c>
      <c r="P1106" s="318">
        <v>1.6899480239277322E-2</v>
      </c>
      <c r="Q1106" s="319">
        <v>1.5616980825062263E-3</v>
      </c>
    </row>
    <row r="1107" spans="2:17" ht="15.75" x14ac:dyDescent="0.25">
      <c r="B1107" s="176">
        <v>2039</v>
      </c>
      <c r="C1107" s="177">
        <v>1995</v>
      </c>
      <c r="D1107" s="178" t="s">
        <v>3953</v>
      </c>
      <c r="E1107" s="461">
        <v>5.7259349518096296E-2</v>
      </c>
      <c r="F1107" s="462">
        <v>7.4360492560172478E-2</v>
      </c>
      <c r="G1107" s="316">
        <v>0.35234544742614277</v>
      </c>
      <c r="H1107" s="317">
        <v>0.40862888421763743</v>
      </c>
      <c r="I1107" s="317">
        <v>8.5719561132254238</v>
      </c>
      <c r="J1107" s="317">
        <v>1.683923693666278</v>
      </c>
      <c r="K1107" s="317">
        <v>5.3379437861572537E-2</v>
      </c>
      <c r="L1107" s="318">
        <v>9.3954559957335187E-3</v>
      </c>
      <c r="M1107" s="317">
        <v>2.9256933853578798E-3</v>
      </c>
      <c r="N1107" s="318">
        <v>2.0000005732018801E-3</v>
      </c>
      <c r="O1107" s="317">
        <v>3.149603924873836E-2</v>
      </c>
      <c r="P1107" s="318">
        <v>1.960870601388821E-2</v>
      </c>
      <c r="Q1107" s="319">
        <v>5.5793019173925519E-2</v>
      </c>
    </row>
    <row r="1108" spans="2:17" ht="15.75" x14ac:dyDescent="0.25">
      <c r="B1108" s="176">
        <v>2039</v>
      </c>
      <c r="C1108" s="177">
        <v>1996</v>
      </c>
      <c r="D1108" s="178" t="s">
        <v>3954</v>
      </c>
      <c r="E1108" s="461">
        <v>5.7411392340896442E-2</v>
      </c>
      <c r="F1108" s="462">
        <v>7.423023215778457E-2</v>
      </c>
      <c r="G1108" s="316">
        <v>0.35598446472424627</v>
      </c>
      <c r="H1108" s="317">
        <v>0.14113451144702516</v>
      </c>
      <c r="I1108" s="317">
        <v>8.6072407329071137</v>
      </c>
      <c r="J1108" s="317">
        <v>1.0219937623925546</v>
      </c>
      <c r="K1108" s="317">
        <v>5.3573141969431193E-2</v>
      </c>
      <c r="L1108" s="318">
        <v>2.8722520690498119E-3</v>
      </c>
      <c r="M1108" s="317">
        <v>2.9331971441215543E-3</v>
      </c>
      <c r="N1108" s="318">
        <v>2.0000005732018801E-3</v>
      </c>
      <c r="O1108" s="317">
        <v>3.1623678185308465E-2</v>
      </c>
      <c r="P1108" s="318">
        <v>1.9883711709094396E-2</v>
      </c>
      <c r="Q1108" s="319">
        <v>5.5995481721992243E-2</v>
      </c>
    </row>
    <row r="1109" spans="2:17" ht="15.75" x14ac:dyDescent="0.25">
      <c r="B1109" s="176">
        <v>2039</v>
      </c>
      <c r="C1109" s="177">
        <v>1997</v>
      </c>
      <c r="D1109" s="178" t="s">
        <v>3955</v>
      </c>
      <c r="E1109" s="461">
        <v>5.7694260024904916E-2</v>
      </c>
      <c r="F1109" s="462">
        <v>7.2128379635047937E-2</v>
      </c>
      <c r="G1109" s="316">
        <v>0.36206755911149552</v>
      </c>
      <c r="H1109" s="317">
        <v>0.14596867709068215</v>
      </c>
      <c r="I1109" s="317">
        <v>8.710979788065849</v>
      </c>
      <c r="J1109" s="317">
        <v>1.0489574098070649</v>
      </c>
      <c r="K1109" s="317">
        <v>5.3827425667045584E-2</v>
      </c>
      <c r="L1109" s="318">
        <v>2.8915466349098951E-3</v>
      </c>
      <c r="M1109" s="317">
        <v>2.9495844282169106E-3</v>
      </c>
      <c r="N1109" s="318">
        <v>2.0000005732018801E-3</v>
      </c>
      <c r="O1109" s="317">
        <v>3.1902425887770487E-2</v>
      </c>
      <c r="P1109" s="318">
        <v>1.9312809836242777E-2</v>
      </c>
      <c r="Q1109" s="319">
        <v>5.6261263000045497E-2</v>
      </c>
    </row>
    <row r="1110" spans="2:17" ht="15.75" x14ac:dyDescent="0.25">
      <c r="B1110" s="176">
        <v>2039</v>
      </c>
      <c r="C1110" s="177">
        <v>1998</v>
      </c>
      <c r="D1110" s="178" t="s">
        <v>3956</v>
      </c>
      <c r="E1110" s="461">
        <v>5.7536305777570559E-2</v>
      </c>
      <c r="F1110" s="462">
        <v>6.8767546763998363E-2</v>
      </c>
      <c r="G1110" s="316">
        <v>0.35998407990171655</v>
      </c>
      <c r="H1110" s="317">
        <v>0.13547896883635221</v>
      </c>
      <c r="I1110" s="317">
        <v>8.6846798366089413</v>
      </c>
      <c r="J1110" s="317">
        <v>0.92664073338018027</v>
      </c>
      <c r="K1110" s="317">
        <v>5.3669321703966148E-2</v>
      </c>
      <c r="L1110" s="318">
        <v>2.9312325170238948E-3</v>
      </c>
      <c r="M1110" s="317">
        <v>2.9453183741613019E-3</v>
      </c>
      <c r="N1110" s="318">
        <v>2.0000005732018801E-3</v>
      </c>
      <c r="O1110" s="317">
        <v>3.1829860308284566E-2</v>
      </c>
      <c r="P1110" s="318">
        <v>1.8388598093492508E-2</v>
      </c>
      <c r="Q1110" s="319">
        <v>5.6096010277331687E-2</v>
      </c>
    </row>
    <row r="1111" spans="2:17" ht="15.75" x14ac:dyDescent="0.25">
      <c r="B1111" s="176">
        <v>2039</v>
      </c>
      <c r="C1111" s="177">
        <v>1999</v>
      </c>
      <c r="D1111" s="178" t="s">
        <v>3957</v>
      </c>
      <c r="E1111" s="461">
        <v>5.7993397099946747E-2</v>
      </c>
      <c r="F1111" s="462">
        <v>6.9435195789818743E-2</v>
      </c>
      <c r="G1111" s="316">
        <v>0.37148955897333708</v>
      </c>
      <c r="H1111" s="317">
        <v>0.11828173116953954</v>
      </c>
      <c r="I1111" s="317">
        <v>8.9933648781941375</v>
      </c>
      <c r="J1111" s="317">
        <v>0.76834860974623498</v>
      </c>
      <c r="K1111" s="317">
        <v>5.3762010130845861E-2</v>
      </c>
      <c r="L1111" s="318">
        <v>2.9363881854652333E-3</v>
      </c>
      <c r="M1111" s="317">
        <v>2.9856967605507339E-3</v>
      </c>
      <c r="N1111" s="318">
        <v>2.0000005732018801E-3</v>
      </c>
      <c r="O1111" s="317">
        <v>3.2516696660768812E-2</v>
      </c>
      <c r="P1111" s="318">
        <v>1.8606455431170454E-2</v>
      </c>
      <c r="Q1111" s="319">
        <v>5.6192889663576065E-2</v>
      </c>
    </row>
    <row r="1112" spans="2:17" ht="15.75" x14ac:dyDescent="0.25">
      <c r="B1112" s="176">
        <v>2039</v>
      </c>
      <c r="C1112" s="177">
        <v>2000</v>
      </c>
      <c r="D1112" s="178" t="s">
        <v>3958</v>
      </c>
      <c r="E1112" s="461">
        <v>5.7928673989515157E-2</v>
      </c>
      <c r="F1112" s="462">
        <v>7.5542743279711527E-2</v>
      </c>
      <c r="G1112" s="316">
        <v>0.37231388696926937</v>
      </c>
      <c r="H1112" s="317">
        <v>0.10160160532025424</v>
      </c>
      <c r="I1112" s="317">
        <v>9.1020744207198163</v>
      </c>
      <c r="J1112" s="317">
        <v>0.61677487445976975</v>
      </c>
      <c r="K1112" s="317">
        <v>5.3439876049863416E-2</v>
      </c>
      <c r="L1112" s="318">
        <v>2.931043476908281E-3</v>
      </c>
      <c r="M1112" s="317">
        <v>2.9966951008712234E-3</v>
      </c>
      <c r="N1112" s="318">
        <v>2.0000005732018801E-3</v>
      </c>
      <c r="O1112" s="317">
        <v>3.2703778429620342E-2</v>
      </c>
      <c r="P1112" s="318">
        <v>1.8773852909256983E-2</v>
      </c>
      <c r="Q1112" s="319">
        <v>5.5856190108900396E-2</v>
      </c>
    </row>
    <row r="1113" spans="2:17" ht="15.75" x14ac:dyDescent="0.25">
      <c r="B1113" s="176">
        <v>2039</v>
      </c>
      <c r="C1113" s="177">
        <v>2001</v>
      </c>
      <c r="D1113" s="178" t="s">
        <v>3959</v>
      </c>
      <c r="E1113" s="461">
        <v>5.7961516347172039E-2</v>
      </c>
      <c r="F1113" s="462">
        <v>7.4174919107201781E-2</v>
      </c>
      <c r="G1113" s="316">
        <v>0.37211595358765853</v>
      </c>
      <c r="H1113" s="317">
        <v>8.7783950074570363E-2</v>
      </c>
      <c r="I1113" s="317">
        <v>9.0182920672426921</v>
      </c>
      <c r="J1113" s="317">
        <v>0.47688184306192299</v>
      </c>
      <c r="K1113" s="317">
        <v>5.3719606477712782E-2</v>
      </c>
      <c r="L1113" s="318">
        <v>2.9526789583362136E-3</v>
      </c>
      <c r="M1113" s="317">
        <v>2.9888619976872828E-3</v>
      </c>
      <c r="N1113" s="318">
        <v>2.0000005732018801E-3</v>
      </c>
      <c r="O1113" s="317">
        <v>3.2570537344461505E-2</v>
      </c>
      <c r="P1113" s="318">
        <v>1.8350691240541988E-2</v>
      </c>
      <c r="Q1113" s="319">
        <v>5.6148568705411704E-2</v>
      </c>
    </row>
    <row r="1114" spans="2:17" ht="15.75" x14ac:dyDescent="0.25">
      <c r="B1114" s="176">
        <v>2039</v>
      </c>
      <c r="C1114" s="177">
        <v>2002</v>
      </c>
      <c r="D1114" s="178" t="s">
        <v>3960</v>
      </c>
      <c r="E1114" s="461">
        <v>5.7828462515240049E-2</v>
      </c>
      <c r="F1114" s="462">
        <v>7.2267093088399598E-2</v>
      </c>
      <c r="G1114" s="316">
        <v>0.28829617347194797</v>
      </c>
      <c r="H1114" s="317">
        <v>8.7915973608704651E-2</v>
      </c>
      <c r="I1114" s="317">
        <v>7.0134877484082203</v>
      </c>
      <c r="J1114" s="317">
        <v>0.45905573649710885</v>
      </c>
      <c r="K1114" s="317">
        <v>5.3865017799363285E-2</v>
      </c>
      <c r="L1114" s="318">
        <v>2.97830221593324E-3</v>
      </c>
      <c r="M1114" s="317">
        <v>2.9963704225254273E-3</v>
      </c>
      <c r="N1114" s="318">
        <v>2.0000005732018801E-3</v>
      </c>
      <c r="O1114" s="317">
        <v>3.2698255650958345E-2</v>
      </c>
      <c r="P1114" s="318">
        <v>1.776073061996665E-2</v>
      </c>
      <c r="Q1114" s="319">
        <v>5.6300554881774059E-2</v>
      </c>
    </row>
    <row r="1115" spans="2:17" ht="15.75" x14ac:dyDescent="0.25">
      <c r="B1115" s="176">
        <v>2039</v>
      </c>
      <c r="C1115" s="177">
        <v>2003</v>
      </c>
      <c r="D1115" s="178" t="s">
        <v>3961</v>
      </c>
      <c r="E1115" s="461">
        <v>5.7610218394577535E-2</v>
      </c>
      <c r="F1115" s="462">
        <v>7.3423055833306716E-2</v>
      </c>
      <c r="G1115" s="316">
        <v>0.28586972933069593</v>
      </c>
      <c r="H1115" s="317">
        <v>7.1097775492119542E-2</v>
      </c>
      <c r="I1115" s="317">
        <v>7.0092577510224858</v>
      </c>
      <c r="J1115" s="317">
        <v>0.39230748442178864</v>
      </c>
      <c r="K1115" s="317">
        <v>5.3556234474678735E-2</v>
      </c>
      <c r="L1115" s="318">
        <v>2.9597396813175179E-3</v>
      </c>
      <c r="M1115" s="317">
        <v>2.9923441915473913E-3</v>
      </c>
      <c r="N1115" s="318">
        <v>2.0000005732018801E-3</v>
      </c>
      <c r="O1115" s="317">
        <v>3.2629769462021951E-2</v>
      </c>
      <c r="P1115" s="318">
        <v>1.8180943520314501E-2</v>
      </c>
      <c r="Q1115" s="319">
        <v>5.5977809745353012E-2</v>
      </c>
    </row>
    <row r="1116" spans="2:17" ht="15.75" x14ac:dyDescent="0.25">
      <c r="B1116" s="176">
        <v>2039</v>
      </c>
      <c r="C1116" s="177">
        <v>2004</v>
      </c>
      <c r="D1116" s="178" t="s">
        <v>3962</v>
      </c>
      <c r="E1116" s="461">
        <v>5.7513059678101087E-2</v>
      </c>
      <c r="F1116" s="462">
        <v>7.3317743791315684E-2</v>
      </c>
      <c r="G1116" s="316">
        <v>0.23612596433964375</v>
      </c>
      <c r="H1116" s="317">
        <v>1.8216760228315178E-2</v>
      </c>
      <c r="I1116" s="317">
        <v>5.8524377237287197</v>
      </c>
      <c r="J1116" s="317">
        <v>0.11596530200035138</v>
      </c>
      <c r="K1116" s="317">
        <v>5.3314168079824809E-2</v>
      </c>
      <c r="L1116" s="318">
        <v>1.9755056082633885E-4</v>
      </c>
      <c r="M1116" s="317">
        <v>2.9910675436501167E-3</v>
      </c>
      <c r="N1116" s="318">
        <v>2.0000005732018801E-3</v>
      </c>
      <c r="O1116" s="317">
        <v>3.2608053681289315E-2</v>
      </c>
      <c r="P1116" s="318">
        <v>1.7856805330650646E-2</v>
      </c>
      <c r="Q1116" s="319">
        <v>5.5724798182277491E-2</v>
      </c>
    </row>
    <row r="1117" spans="2:17" ht="15.75" x14ac:dyDescent="0.25">
      <c r="B1117" s="176">
        <v>2039</v>
      </c>
      <c r="C1117" s="177">
        <v>2005</v>
      </c>
      <c r="D1117" s="178" t="s">
        <v>3963</v>
      </c>
      <c r="E1117" s="461">
        <v>5.7269714505231904E-2</v>
      </c>
      <c r="F1117" s="462">
        <v>6.9718437554474197E-2</v>
      </c>
      <c r="G1117" s="316">
        <v>0.23360813422782328</v>
      </c>
      <c r="H1117" s="317">
        <v>1.5882147402475115E-2</v>
      </c>
      <c r="I1117" s="317">
        <v>5.8465522675994688</v>
      </c>
      <c r="J1117" s="317">
        <v>9.4759123965715175E-2</v>
      </c>
      <c r="K1117" s="317">
        <v>5.2949363938829389E-2</v>
      </c>
      <c r="L1117" s="318">
        <v>1.9816487749089486E-4</v>
      </c>
      <c r="M1117" s="317">
        <v>2.9848236687651285E-3</v>
      </c>
      <c r="N1117" s="318">
        <v>2.0000005732018801E-3</v>
      </c>
      <c r="O1117" s="317">
        <v>3.2501845369495672E-2</v>
      </c>
      <c r="P1117" s="318">
        <v>1.7173544045482447E-2</v>
      </c>
      <c r="Q1117" s="319">
        <v>5.5343499216820587E-2</v>
      </c>
    </row>
    <row r="1118" spans="2:17" ht="15.75" x14ac:dyDescent="0.25">
      <c r="B1118" s="176">
        <v>2039</v>
      </c>
      <c r="C1118" s="177">
        <v>2006</v>
      </c>
      <c r="D1118" s="178" t="s">
        <v>3964</v>
      </c>
      <c r="E1118" s="461">
        <v>5.7217493978941991E-2</v>
      </c>
      <c r="F1118" s="462">
        <v>7.3319443245941501E-2</v>
      </c>
      <c r="G1118" s="316">
        <v>0.23353456172063863</v>
      </c>
      <c r="H1118" s="317">
        <v>6.0617735950218871E-3</v>
      </c>
      <c r="I1118" s="317">
        <v>5.8502010638107471</v>
      </c>
      <c r="J1118" s="317">
        <v>6.6983986349715016E-2</v>
      </c>
      <c r="K1118" s="317">
        <v>5.2912751319508657E-2</v>
      </c>
      <c r="L1118" s="318">
        <v>1.9400903752395734E-4</v>
      </c>
      <c r="M1118" s="317">
        <v>2.9853916362683193E-3</v>
      </c>
      <c r="N1118" s="318">
        <v>2.0000005732018801E-3</v>
      </c>
      <c r="O1118" s="317">
        <v>3.2511506496724948E-2</v>
      </c>
      <c r="P1118" s="318">
        <v>1.8996808382298443E-2</v>
      </c>
      <c r="Q1118" s="319">
        <v>5.5305231137320277E-2</v>
      </c>
    </row>
    <row r="1119" spans="2:17" ht="15.75" x14ac:dyDescent="0.25">
      <c r="B1119" s="176">
        <v>2039</v>
      </c>
      <c r="C1119" s="177">
        <v>2007</v>
      </c>
      <c r="D1119" s="178" t="s">
        <v>3965</v>
      </c>
      <c r="E1119" s="461">
        <v>5.7061281924459209E-2</v>
      </c>
      <c r="F1119" s="462">
        <v>6.8664466870178645E-2</v>
      </c>
      <c r="G1119" s="316">
        <v>0.16858033891431079</v>
      </c>
      <c r="H1119" s="317">
        <v>8.5650301603151131E-3</v>
      </c>
      <c r="I1119" s="317">
        <v>3.0054525689163558</v>
      </c>
      <c r="J1119" s="317">
        <v>5.837925927858538E-2</v>
      </c>
      <c r="K1119" s="317">
        <v>3.7240354538610944E-2</v>
      </c>
      <c r="L1119" s="318">
        <v>1.9745426197021081E-4</v>
      </c>
      <c r="M1119" s="317">
        <v>2.9689915576849983E-3</v>
      </c>
      <c r="N1119" s="318">
        <v>2.0000005732018801E-3</v>
      </c>
      <c r="O1119" s="317">
        <v>3.2232541160022644E-2</v>
      </c>
      <c r="P1119" s="318">
        <v>1.7502597390211306E-2</v>
      </c>
      <c r="Q1119" s="319">
        <v>3.892419811922114E-2</v>
      </c>
    </row>
    <row r="1120" spans="2:17" ht="15.75" x14ac:dyDescent="0.25">
      <c r="B1120" s="176">
        <v>2039</v>
      </c>
      <c r="C1120" s="177">
        <v>2008</v>
      </c>
      <c r="D1120" s="178" t="s">
        <v>3966</v>
      </c>
      <c r="E1120" s="461">
        <v>5.707541898459665E-2</v>
      </c>
      <c r="F1120" s="462">
        <v>6.7115370812548411E-2</v>
      </c>
      <c r="G1120" s="316">
        <v>0.17006870486500197</v>
      </c>
      <c r="H1120" s="317">
        <v>8.3090596456675634E-3</v>
      </c>
      <c r="I1120" s="317">
        <v>3.0301729229176977</v>
      </c>
      <c r="J1120" s="317">
        <v>4.7316073708069943E-2</v>
      </c>
      <c r="K1120" s="317">
        <v>3.7546734961284446E-2</v>
      </c>
      <c r="L1120" s="318">
        <v>2.2522754485014982E-4</v>
      </c>
      <c r="M1120" s="317">
        <v>2.978208804291929E-3</v>
      </c>
      <c r="N1120" s="318">
        <v>2.0000005732018801E-3</v>
      </c>
      <c r="O1120" s="317">
        <v>3.2389326524806542E-2</v>
      </c>
      <c r="P1120" s="318">
        <v>1.752628165978538E-2</v>
      </c>
      <c r="Q1120" s="319">
        <v>3.9244431705064968E-2</v>
      </c>
    </row>
    <row r="1121" spans="2:17" ht="15.75" x14ac:dyDescent="0.25">
      <c r="B1121" s="176">
        <v>2039</v>
      </c>
      <c r="C1121" s="177">
        <v>2009</v>
      </c>
      <c r="D1121" s="178" t="s">
        <v>3967</v>
      </c>
      <c r="E1121" s="461">
        <v>5.6467920041397862E-2</v>
      </c>
      <c r="F1121" s="462">
        <v>6.1597381682916355E-2</v>
      </c>
      <c r="G1121" s="316">
        <v>0.16146251453033378</v>
      </c>
      <c r="H1121" s="317">
        <v>8.137407406558465E-3</v>
      </c>
      <c r="I1121" s="317">
        <v>2.7857707511473606</v>
      </c>
      <c r="J1121" s="317">
        <v>3.4120334527714201E-2</v>
      </c>
      <c r="K1121" s="317">
        <v>3.5534804704845185E-2</v>
      </c>
      <c r="L1121" s="318">
        <v>2.5473775169897802E-4</v>
      </c>
      <c r="M1121" s="317">
        <v>2.9027153855688994E-3</v>
      </c>
      <c r="N1121" s="318">
        <v>2.0000005732018801E-3</v>
      </c>
      <c r="O1121" s="317">
        <v>3.1105183472327803E-2</v>
      </c>
      <c r="P1121" s="318">
        <v>1.6847283866945978E-2</v>
      </c>
      <c r="Q1121" s="319">
        <v>3.7141530890237764E-2</v>
      </c>
    </row>
    <row r="1122" spans="2:17" ht="15.75" x14ac:dyDescent="0.25">
      <c r="B1122" s="176">
        <v>2039</v>
      </c>
      <c r="C1122" s="177">
        <v>2010</v>
      </c>
      <c r="D1122" s="178" t="s">
        <v>3968</v>
      </c>
      <c r="E1122" s="461">
        <v>5.5373464281593988E-2</v>
      </c>
      <c r="F1122" s="462">
        <v>5.9603425451778172E-2</v>
      </c>
      <c r="G1122" s="316">
        <v>9.6683102109782412E-2</v>
      </c>
      <c r="H1122" s="317">
        <v>7.3130065744154097E-3</v>
      </c>
      <c r="I1122" s="317">
        <v>0.24442963748897792</v>
      </c>
      <c r="J1122" s="317">
        <v>3.3197104544810209E-2</v>
      </c>
      <c r="K1122" s="317">
        <v>2.0646621055257743E-2</v>
      </c>
      <c r="L1122" s="318">
        <v>3.1104279016336034E-4</v>
      </c>
      <c r="M1122" s="317">
        <v>2.8240936803809505E-3</v>
      </c>
      <c r="N1122" s="318">
        <v>2.0000005732018797E-3</v>
      </c>
      <c r="O1122" s="317">
        <v>2.9767828267080795E-2</v>
      </c>
      <c r="P1122" s="318">
        <v>1.6457654321993986E-2</v>
      </c>
      <c r="Q1122" s="319">
        <v>2.1580169641352499E-2</v>
      </c>
    </row>
    <row r="1123" spans="2:17" ht="15.75" x14ac:dyDescent="0.25">
      <c r="B1123" s="176">
        <v>2039</v>
      </c>
      <c r="C1123" s="177">
        <v>2011</v>
      </c>
      <c r="D1123" s="178" t="s">
        <v>3969</v>
      </c>
      <c r="E1123" s="461">
        <v>5.5087641105589578E-2</v>
      </c>
      <c r="F1123" s="462">
        <v>5.8319315099231668E-2</v>
      </c>
      <c r="G1123" s="316">
        <v>9.6287291564361235E-2</v>
      </c>
      <c r="H1123" s="317">
        <v>7.4190812640310714E-3</v>
      </c>
      <c r="I1123" s="317">
        <v>0.24469006482079819</v>
      </c>
      <c r="J1123" s="317">
        <v>3.3533467589854302E-2</v>
      </c>
      <c r="K1123" s="317">
        <v>2.0691010982085499E-2</v>
      </c>
      <c r="L1123" s="318">
        <v>4.2122876590034179E-4</v>
      </c>
      <c r="M1123" s="317">
        <v>2.8313862372937345E-3</v>
      </c>
      <c r="N1123" s="318">
        <v>2.0000005732018801E-3</v>
      </c>
      <c r="O1123" s="317">
        <v>2.9891874660167256E-2</v>
      </c>
      <c r="P1123" s="318">
        <v>1.659593980676213E-2</v>
      </c>
      <c r="Q1123" s="319">
        <v>2.1626566683693928E-2</v>
      </c>
    </row>
    <row r="1124" spans="2:17" ht="15.75" x14ac:dyDescent="0.25">
      <c r="B1124" s="176">
        <v>2039</v>
      </c>
      <c r="C1124" s="177">
        <v>2012</v>
      </c>
      <c r="D1124" s="178" t="s">
        <v>3970</v>
      </c>
      <c r="E1124" s="461">
        <v>5.3029798934227941E-2</v>
      </c>
      <c r="F1124" s="462">
        <v>5.8374017424704792E-2</v>
      </c>
      <c r="G1124" s="316">
        <v>8.4401529301117259E-2</v>
      </c>
      <c r="H1124" s="317">
        <v>6.9996239649811106E-3</v>
      </c>
      <c r="I1124" s="317">
        <v>0.21218078489444747</v>
      </c>
      <c r="J1124" s="317">
        <v>3.4682922031372958E-2</v>
      </c>
      <c r="K1124" s="317">
        <v>1.8412051549179183E-2</v>
      </c>
      <c r="L1124" s="318">
        <v>6.1143955944424318E-4</v>
      </c>
      <c r="M1124" s="317">
        <v>2.6994584139152051E-3</v>
      </c>
      <c r="N1124" s="318">
        <v>2.0000005732018801E-3</v>
      </c>
      <c r="O1124" s="317">
        <v>2.7647782384498464E-2</v>
      </c>
      <c r="P1124" s="318">
        <v>1.7002021384615155E-2</v>
      </c>
      <c r="Q1124" s="319">
        <v>1.9244562817964373E-2</v>
      </c>
    </row>
    <row r="1125" spans="2:17" ht="15.75" x14ac:dyDescent="0.25">
      <c r="B1125" s="176">
        <v>2039</v>
      </c>
      <c r="C1125" s="177">
        <v>2013</v>
      </c>
      <c r="D1125" s="178" t="s">
        <v>3971</v>
      </c>
      <c r="E1125" s="461">
        <v>5.4928071750270091E-2</v>
      </c>
      <c r="F1125" s="462">
        <v>5.7125318335867377E-2</v>
      </c>
      <c r="G1125" s="316">
        <v>9.830600210934716E-2</v>
      </c>
      <c r="H1125" s="317">
        <v>7.9306481559860784E-3</v>
      </c>
      <c r="I1125" s="317">
        <v>0.24953591809896358</v>
      </c>
      <c r="J1125" s="317">
        <v>3.3722194821870159E-2</v>
      </c>
      <c r="K1125" s="317">
        <v>2.1017775861752793E-2</v>
      </c>
      <c r="L1125" s="318">
        <v>9.1297181782364479E-4</v>
      </c>
      <c r="M1125" s="317">
        <v>2.8477351916078772E-3</v>
      </c>
      <c r="N1125" s="318">
        <v>2.0000005732018801E-3</v>
      </c>
      <c r="O1125" s="317">
        <v>3.0169970373050827E-2</v>
      </c>
      <c r="P1125" s="318">
        <v>1.71026923689819E-2</v>
      </c>
      <c r="Q1125" s="319">
        <v>2.1968106421222149E-2</v>
      </c>
    </row>
    <row r="1126" spans="2:17" ht="15.75" x14ac:dyDescent="0.25">
      <c r="B1126" s="176">
        <v>2039</v>
      </c>
      <c r="C1126" s="177">
        <v>2014</v>
      </c>
      <c r="D1126" s="178" t="s">
        <v>3972</v>
      </c>
      <c r="E1126" s="461">
        <v>5.221914086858645E-2</v>
      </c>
      <c r="F1126" s="462">
        <v>5.4713739294132112E-2</v>
      </c>
      <c r="G1126" s="316">
        <v>8.8228357472081978E-2</v>
      </c>
      <c r="H1126" s="317">
        <v>8.0551303455372054E-3</v>
      </c>
      <c r="I1126" s="317">
        <v>0.22275713841319705</v>
      </c>
      <c r="J1126" s="317">
        <v>3.2169834199101306E-2</v>
      </c>
      <c r="K1126" s="317">
        <v>1.9163076732114086E-2</v>
      </c>
      <c r="L1126" s="318">
        <v>1.2823493857570384E-3</v>
      </c>
      <c r="M1126" s="317">
        <v>2.7433678773037561E-3</v>
      </c>
      <c r="N1126" s="318">
        <v>2.0000005732018801E-3</v>
      </c>
      <c r="O1126" s="317">
        <v>2.8394682356737731E-2</v>
      </c>
      <c r="P1126" s="318">
        <v>1.6568890272680669E-2</v>
      </c>
      <c r="Q1126" s="319">
        <v>2.0029546027046648E-2</v>
      </c>
    </row>
    <row r="1127" spans="2:17" ht="15.75" x14ac:dyDescent="0.25">
      <c r="B1127" s="176">
        <v>2039</v>
      </c>
      <c r="C1127" s="177">
        <v>2015</v>
      </c>
      <c r="D1127" s="178" t="s">
        <v>3973</v>
      </c>
      <c r="E1127" s="461">
        <v>5.0997506703732931E-2</v>
      </c>
      <c r="F1127" s="462">
        <v>5.712878372257945E-2</v>
      </c>
      <c r="G1127" s="316">
        <v>8.3675315304345119E-2</v>
      </c>
      <c r="H1127" s="317">
        <v>8.0459440101571956E-3</v>
      </c>
      <c r="I1127" s="317">
        <v>0.21219656098047326</v>
      </c>
      <c r="J1127" s="317">
        <v>3.3715118957351839E-2</v>
      </c>
      <c r="K1127" s="317">
        <v>1.8461677273691114E-2</v>
      </c>
      <c r="L1127" s="318">
        <v>1.5925346246183957E-3</v>
      </c>
      <c r="M1127" s="317">
        <v>2.7094987355901603E-3</v>
      </c>
      <c r="N1127" s="318">
        <v>2.0000005732018801E-3</v>
      </c>
      <c r="O1127" s="317">
        <v>2.7818568256189457E-2</v>
      </c>
      <c r="P1127" s="318">
        <v>1.7579911684082447E-2</v>
      </c>
      <c r="Q1127" s="319">
        <v>1.9296432397527805E-2</v>
      </c>
    </row>
    <row r="1128" spans="2:17" ht="15.75" x14ac:dyDescent="0.25">
      <c r="B1128" s="176">
        <v>2039</v>
      </c>
      <c r="C1128" s="177">
        <v>2016</v>
      </c>
      <c r="D1128" s="178" t="s">
        <v>3974</v>
      </c>
      <c r="E1128" s="461">
        <v>5.1502597478007027E-2</v>
      </c>
      <c r="F1128" s="462">
        <v>5.8603932282984474E-2</v>
      </c>
      <c r="G1128" s="316">
        <v>9.694035864846226E-2</v>
      </c>
      <c r="H1128" s="317">
        <v>7.7974507987959608E-3</v>
      </c>
      <c r="I1128" s="317">
        <v>0.21853545510572453</v>
      </c>
      <c r="J1128" s="317">
        <v>3.4135048931856628E-2</v>
      </c>
      <c r="K1128" s="317">
        <v>2.1000953776305471E-2</v>
      </c>
      <c r="L1128" s="318">
        <v>1.8228376593887692E-3</v>
      </c>
      <c r="M1128" s="317">
        <v>2.8601962420532123E-3</v>
      </c>
      <c r="N1128" s="318">
        <v>2.0000005732018801E-3</v>
      </c>
      <c r="O1128" s="317">
        <v>3.0381932841125961E-2</v>
      </c>
      <c r="P1128" s="318">
        <v>1.8548656985390394E-2</v>
      </c>
      <c r="Q1128" s="319">
        <v>2.1950523715717853E-2</v>
      </c>
    </row>
    <row r="1129" spans="2:17" ht="15.75" x14ac:dyDescent="0.25">
      <c r="B1129" s="176">
        <v>2039</v>
      </c>
      <c r="C1129" s="177">
        <v>2017</v>
      </c>
      <c r="D1129" s="178" t="s">
        <v>3975</v>
      </c>
      <c r="E1129" s="461">
        <v>4.7976600410291198E-2</v>
      </c>
      <c r="F1129" s="462">
        <v>5.2408655663358755E-2</v>
      </c>
      <c r="G1129" s="316">
        <v>7.6736426456193968E-2</v>
      </c>
      <c r="H1129" s="317">
        <v>7.8056365222816705E-3</v>
      </c>
      <c r="I1129" s="317">
        <v>0.1616870695523652</v>
      </c>
      <c r="J1129" s="317">
        <v>3.1366087025727178E-2</v>
      </c>
      <c r="K1129" s="317">
        <v>1.898266665915881E-2</v>
      </c>
      <c r="L1129" s="318">
        <v>2.0090441937108583E-3</v>
      </c>
      <c r="M1129" s="317">
        <v>2.8062258068276757E-3</v>
      </c>
      <c r="N1129" s="318">
        <v>2.0000005732018801E-3</v>
      </c>
      <c r="O1129" s="317">
        <v>2.9463895737939585E-2</v>
      </c>
      <c r="P1129" s="318">
        <v>1.7408371825838397E-2</v>
      </c>
      <c r="Q1129" s="319">
        <v>1.984097861115024E-2</v>
      </c>
    </row>
    <row r="1130" spans="2:17" ht="15.75" x14ac:dyDescent="0.25">
      <c r="B1130" s="176">
        <v>2039</v>
      </c>
      <c r="C1130" s="177">
        <v>2018</v>
      </c>
      <c r="D1130" s="178" t="s">
        <v>3976</v>
      </c>
      <c r="E1130" s="461">
        <v>4.4876743827339104E-2</v>
      </c>
      <c r="F1130" s="462">
        <v>4.999667006131412E-2</v>
      </c>
      <c r="G1130" s="316">
        <v>7.5988158651581664E-2</v>
      </c>
      <c r="H1130" s="317">
        <v>7.4357212918708905E-3</v>
      </c>
      <c r="I1130" s="317">
        <v>0.13176846019979047</v>
      </c>
      <c r="J1130" s="317">
        <v>2.9893889707723421E-2</v>
      </c>
      <c r="K1130" s="317">
        <v>1.7533700548626491E-2</v>
      </c>
      <c r="L1130" s="318">
        <v>2.0916484756703397E-3</v>
      </c>
      <c r="M1130" s="317">
        <v>2.7983353291427056E-3</v>
      </c>
      <c r="N1130" s="318">
        <v>2.0000005732018801E-3</v>
      </c>
      <c r="O1130" s="317">
        <v>2.9329678712518258E-2</v>
      </c>
      <c r="P1130" s="318">
        <v>1.7377515978509166E-2</v>
      </c>
      <c r="Q1130" s="319">
        <v>1.832649668279145E-2</v>
      </c>
    </row>
    <row r="1131" spans="2:17" ht="15.75" x14ac:dyDescent="0.25">
      <c r="B1131" s="176">
        <v>2039</v>
      </c>
      <c r="C1131" s="177">
        <v>2019</v>
      </c>
      <c r="D1131" s="178" t="s">
        <v>3977</v>
      </c>
      <c r="E1131" s="461">
        <v>4.4448626958393467E-2</v>
      </c>
      <c r="F1131" s="462">
        <v>4.8094679181012623E-2</v>
      </c>
      <c r="G1131" s="316">
        <v>7.5245411993661512E-2</v>
      </c>
      <c r="H1131" s="317">
        <v>6.667644465310269E-3</v>
      </c>
      <c r="I1131" s="317">
        <v>0.11319792290308049</v>
      </c>
      <c r="J1131" s="317">
        <v>2.7079077299405306E-2</v>
      </c>
      <c r="K1131" s="317">
        <v>1.500355517392272E-2</v>
      </c>
      <c r="L1131" s="318">
        <v>1.9862700134106689E-3</v>
      </c>
      <c r="M1131" s="317">
        <v>2.7915685395777782E-3</v>
      </c>
      <c r="N1131" s="318">
        <v>2.0000005732018801E-3</v>
      </c>
      <c r="O1131" s="317">
        <v>2.9214575622018835E-2</v>
      </c>
      <c r="P1131" s="318">
        <v>1.7367608719717941E-2</v>
      </c>
      <c r="Q1131" s="319">
        <v>1.5681949361597444E-2</v>
      </c>
    </row>
    <row r="1132" spans="2:17" ht="15.75" x14ac:dyDescent="0.25">
      <c r="B1132" s="176">
        <v>2039</v>
      </c>
      <c r="C1132" s="177">
        <v>2020</v>
      </c>
      <c r="D1132" s="178" t="s">
        <v>3978</v>
      </c>
      <c r="E1132" s="461">
        <v>4.3994676457873083E-2</v>
      </c>
      <c r="F1132" s="462">
        <v>4.6173059728430409E-2</v>
      </c>
      <c r="G1132" s="316">
        <v>7.4408956241372518E-2</v>
      </c>
      <c r="H1132" s="317">
        <v>5.7483415908982883E-3</v>
      </c>
      <c r="I1132" s="317">
        <v>9.4669201208005815E-2</v>
      </c>
      <c r="J1132" s="317">
        <v>2.4781210206802535E-2</v>
      </c>
      <c r="K1132" s="317">
        <v>1.2493094148374712E-2</v>
      </c>
      <c r="L1132" s="318">
        <v>1.4666070542778266E-3</v>
      </c>
      <c r="M1132" s="317">
        <v>2.7845206221285544E-3</v>
      </c>
      <c r="N1132" s="318">
        <v>2.0000005732018801E-3</v>
      </c>
      <c r="O1132" s="317">
        <v>2.9094690546207527E-2</v>
      </c>
      <c r="P1132" s="318">
        <v>1.7352684185415322E-2</v>
      </c>
      <c r="Q1132" s="319">
        <v>1.3057976428479959E-2</v>
      </c>
    </row>
    <row r="1133" spans="2:17" ht="15.75" x14ac:dyDescent="0.25">
      <c r="B1133" s="176">
        <v>2039</v>
      </c>
      <c r="C1133" s="177">
        <v>2021</v>
      </c>
      <c r="D1133" s="178" t="s">
        <v>3979</v>
      </c>
      <c r="E1133" s="461">
        <v>4.2615143874706683E-2</v>
      </c>
      <c r="F1133" s="462">
        <v>4.4048219758266761E-2</v>
      </c>
      <c r="G1133" s="316">
        <v>7.1173904461168142E-2</v>
      </c>
      <c r="H1133" s="317">
        <v>5.0495552640230403E-3</v>
      </c>
      <c r="I1133" s="317">
        <v>7.1836194860941144E-2</v>
      </c>
      <c r="J1133" s="317">
        <v>2.3489788485179981E-2</v>
      </c>
      <c r="K1133" s="317">
        <v>8.9695674790459777E-3</v>
      </c>
      <c r="L1133" s="318">
        <v>9.6739441194820309E-4</v>
      </c>
      <c r="M1133" s="317">
        <v>2.7782610955567576E-3</v>
      </c>
      <c r="N1133" s="318">
        <v>2.0000005732018801E-3</v>
      </c>
      <c r="O1133" s="317">
        <v>2.8988215999221276E-2</v>
      </c>
      <c r="P1133" s="318">
        <v>1.7347766150366782E-2</v>
      </c>
      <c r="Q1133" s="319">
        <v>9.3751315185822102E-3</v>
      </c>
    </row>
    <row r="1134" spans="2:17" ht="15.75" x14ac:dyDescent="0.25">
      <c r="B1134" s="176">
        <v>2039</v>
      </c>
      <c r="C1134" s="177">
        <v>2022</v>
      </c>
      <c r="D1134" s="178" t="s">
        <v>3980</v>
      </c>
      <c r="E1134" s="461">
        <v>4.1313078956311908E-2</v>
      </c>
      <c r="F1134" s="462">
        <v>4.2335646747810179E-2</v>
      </c>
      <c r="G1134" s="316">
        <v>6.9907900194077541E-2</v>
      </c>
      <c r="H1134" s="317">
        <v>4.248658412057048E-3</v>
      </c>
      <c r="I1134" s="317">
        <v>5.3842110801480506E-2</v>
      </c>
      <c r="J1134" s="317">
        <v>2.2001445656286256E-2</v>
      </c>
      <c r="K1134" s="317">
        <v>6.5906829606343659E-3</v>
      </c>
      <c r="L1134" s="318">
        <v>9.6560138067301336E-4</v>
      </c>
      <c r="M1134" s="317">
        <v>2.7682863218138481E-3</v>
      </c>
      <c r="N1134" s="318">
        <v>2.0000005732018801E-3</v>
      </c>
      <c r="O1134" s="317">
        <v>2.8818545097854389E-2</v>
      </c>
      <c r="P1134" s="318">
        <v>1.7316388286681146E-2</v>
      </c>
      <c r="Q1134" s="319">
        <v>6.8886843983917536E-3</v>
      </c>
    </row>
    <row r="1135" spans="2:17" ht="15.75" x14ac:dyDescent="0.25">
      <c r="B1135" s="176">
        <v>2039</v>
      </c>
      <c r="C1135" s="177">
        <v>2023</v>
      </c>
      <c r="D1135" s="178" t="s">
        <v>3981</v>
      </c>
      <c r="E1135" s="461">
        <v>4.0040971239517151E-2</v>
      </c>
      <c r="F1135" s="462">
        <v>4.06513956760867E-2</v>
      </c>
      <c r="G1135" s="316">
        <v>6.8744071454551692E-2</v>
      </c>
      <c r="H1135" s="317">
        <v>3.6818127329106272E-3</v>
      </c>
      <c r="I1135" s="317">
        <v>5.267424726637298E-2</v>
      </c>
      <c r="J1135" s="317">
        <v>2.2120737055777186E-2</v>
      </c>
      <c r="K1135" s="317">
        <v>6.3906681496272493E-3</v>
      </c>
      <c r="L1135" s="318">
        <v>9.6401707396818526E-4</v>
      </c>
      <c r="M1135" s="317">
        <v>2.7603724817957323E-3</v>
      </c>
      <c r="N1135" s="318">
        <v>2.0000005732018801E-3</v>
      </c>
      <c r="O1135" s="317">
        <v>2.8683930679146239E-2</v>
      </c>
      <c r="P1135" s="318">
        <v>1.7291639384686211E-2</v>
      </c>
      <c r="Q1135" s="319">
        <v>6.6796258051834787E-3</v>
      </c>
    </row>
    <row r="1136" spans="2:17" ht="15.75" x14ac:dyDescent="0.25">
      <c r="B1136" s="176">
        <v>2039</v>
      </c>
      <c r="C1136" s="177">
        <v>2024</v>
      </c>
      <c r="D1136" s="178" t="s">
        <v>3982</v>
      </c>
      <c r="E1136" s="461">
        <v>3.8812940824640603E-2</v>
      </c>
      <c r="F1136" s="462">
        <v>3.9020784722731294E-2</v>
      </c>
      <c r="G1136" s="316">
        <v>6.7562275501635696E-2</v>
      </c>
      <c r="H1136" s="317">
        <v>3.1831841755114759E-3</v>
      </c>
      <c r="I1136" s="317">
        <v>5.1452929439022424E-2</v>
      </c>
      <c r="J1136" s="317">
        <v>2.3005917993630186E-2</v>
      </c>
      <c r="K1136" s="317">
        <v>6.1791329864587406E-3</v>
      </c>
      <c r="L1136" s="318">
        <v>9.6306232396472992E-4</v>
      </c>
      <c r="M1136" s="317">
        <v>2.7530339571939207E-3</v>
      </c>
      <c r="N1136" s="318">
        <v>2.0000005732018797E-3</v>
      </c>
      <c r="O1136" s="317">
        <v>2.8559102375669419E-2</v>
      </c>
      <c r="P1136" s="318">
        <v>1.7278132666637937E-2</v>
      </c>
      <c r="Q1136" s="319">
        <v>6.4585259606098656E-3</v>
      </c>
    </row>
    <row r="1137" spans="2:17" ht="15.75" x14ac:dyDescent="0.25">
      <c r="B1137" s="176">
        <v>2039</v>
      </c>
      <c r="C1137" s="177">
        <v>2025</v>
      </c>
      <c r="D1137" s="178" t="s">
        <v>3983</v>
      </c>
      <c r="E1137" s="461">
        <v>3.7614085166139871E-2</v>
      </c>
      <c r="F1137" s="462">
        <v>3.7380221449024795E-2</v>
      </c>
      <c r="G1137" s="316">
        <v>6.6474856937846188E-2</v>
      </c>
      <c r="H1137" s="317">
        <v>2.8901349531144645E-3</v>
      </c>
      <c r="I1137" s="317">
        <v>5.0251754686804047E-2</v>
      </c>
      <c r="J1137" s="317">
        <v>2.4594172765714482E-2</v>
      </c>
      <c r="K1137" s="317">
        <v>5.9656507835936859E-3</v>
      </c>
      <c r="L1137" s="318">
        <v>9.6202460654009443E-4</v>
      </c>
      <c r="M1137" s="317">
        <v>2.7476657112795711E-3</v>
      </c>
      <c r="N1137" s="318">
        <v>2.0000005732018801E-3</v>
      </c>
      <c r="O1137" s="317">
        <v>2.846778851266633E-2</v>
      </c>
      <c r="P1137" s="318">
        <v>1.7260885957409836E-2</v>
      </c>
      <c r="Q1137" s="319">
        <v>6.2353910398445034E-3</v>
      </c>
    </row>
    <row r="1138" spans="2:17" ht="15.75" x14ac:dyDescent="0.25">
      <c r="B1138" s="176">
        <v>2039</v>
      </c>
      <c r="C1138" s="177">
        <v>2026</v>
      </c>
      <c r="D1138" s="178" t="s">
        <v>3984</v>
      </c>
      <c r="E1138" s="461">
        <v>3.674478646133756E-2</v>
      </c>
      <c r="F1138" s="462">
        <v>3.7096215042963475E-2</v>
      </c>
      <c r="G1138" s="316">
        <v>6.5255179469176139E-2</v>
      </c>
      <c r="H1138" s="317">
        <v>2.8601285132648642E-3</v>
      </c>
      <c r="I1138" s="317">
        <v>4.8921990102023812E-2</v>
      </c>
      <c r="J1138" s="317">
        <v>2.3826530659327962E-2</v>
      </c>
      <c r="K1138" s="317">
        <v>5.7308719978464177E-3</v>
      </c>
      <c r="L1138" s="318">
        <v>8.4087227428180018E-4</v>
      </c>
      <c r="M1138" s="317">
        <v>2.7414381847031158E-3</v>
      </c>
      <c r="N1138" s="318">
        <v>2.0000005732018801E-3</v>
      </c>
      <c r="O1138" s="317">
        <v>2.8361858285600831E-2</v>
      </c>
      <c r="P1138" s="318">
        <v>1.7244236400925893E-2</v>
      </c>
      <c r="Q1138" s="319">
        <v>5.9899965992211771E-3</v>
      </c>
    </row>
    <row r="1139" spans="2:17" ht="15.75" x14ac:dyDescent="0.25">
      <c r="B1139" s="176">
        <v>2039</v>
      </c>
      <c r="C1139" s="177">
        <v>2027</v>
      </c>
      <c r="D1139" s="178" t="s">
        <v>3985</v>
      </c>
      <c r="E1139" s="461">
        <v>3.5950539256813137E-2</v>
      </c>
      <c r="F1139" s="462">
        <v>3.6832551165172672E-2</v>
      </c>
      <c r="G1139" s="316">
        <v>6.4135048465850539E-2</v>
      </c>
      <c r="H1139" s="317">
        <v>2.8285295697641297E-3</v>
      </c>
      <c r="I1139" s="317">
        <v>4.7613894780925863E-2</v>
      </c>
      <c r="J1139" s="317">
        <v>2.2949364702115199E-2</v>
      </c>
      <c r="K1139" s="317">
        <v>5.4940657389009962E-3</v>
      </c>
      <c r="L1139" s="318">
        <v>6.9963652707504041E-4</v>
      </c>
      <c r="M1139" s="317">
        <v>2.7372676398306462E-3</v>
      </c>
      <c r="N1139" s="318">
        <v>2.0000005732018797E-3</v>
      </c>
      <c r="O1139" s="317">
        <v>2.829091731732012E-2</v>
      </c>
      <c r="P1139" s="318">
        <v>1.7229509540784831E-2</v>
      </c>
      <c r="Q1139" s="319">
        <v>5.7424830120584545E-3</v>
      </c>
    </row>
    <row r="1140" spans="2:17" ht="15.75" x14ac:dyDescent="0.25">
      <c r="B1140" s="176">
        <v>2039</v>
      </c>
      <c r="C1140" s="177">
        <v>2028</v>
      </c>
      <c r="D1140" s="178" t="s">
        <v>3986</v>
      </c>
      <c r="E1140" s="461">
        <v>3.5878802119005515E-2</v>
      </c>
      <c r="F1140" s="462">
        <v>3.6759722840449038E-2</v>
      </c>
      <c r="G1140" s="316">
        <v>6.2891077992742947E-2</v>
      </c>
      <c r="H1140" s="317">
        <v>2.7954129788077724E-3</v>
      </c>
      <c r="I1140" s="317">
        <v>4.6183870831845372E-2</v>
      </c>
      <c r="J1140" s="317">
        <v>2.2096395270276736E-2</v>
      </c>
      <c r="K1140" s="317">
        <v>5.2370140073697219E-3</v>
      </c>
      <c r="L1140" s="318">
        <v>5.783308771996822E-4</v>
      </c>
      <c r="M1140" s="317">
        <v>2.7323319869178592E-3</v>
      </c>
      <c r="N1140" s="318">
        <v>2.0000005732018801E-3</v>
      </c>
      <c r="O1140" s="317">
        <v>2.8206961861273618E-2</v>
      </c>
      <c r="P1140" s="318">
        <v>1.721599263110981E-2</v>
      </c>
      <c r="Q1140" s="319">
        <v>5.4738085418774987E-3</v>
      </c>
    </row>
    <row r="1141" spans="2:17" ht="15.75" x14ac:dyDescent="0.25">
      <c r="B1141" s="176">
        <v>2039</v>
      </c>
      <c r="C1141" s="177">
        <v>2029</v>
      </c>
      <c r="D1141" s="178" t="s">
        <v>3987</v>
      </c>
      <c r="E1141" s="461">
        <v>3.5831678728184407E-2</v>
      </c>
      <c r="F1141" s="462">
        <v>3.6669778275871458E-2</v>
      </c>
      <c r="G1141" s="316">
        <v>6.1727219881535428E-2</v>
      </c>
      <c r="H1141" s="317">
        <v>2.7586028467677182E-3</v>
      </c>
      <c r="I1141" s="317">
        <v>4.4760931820163725E-2</v>
      </c>
      <c r="J1141" s="317">
        <v>2.1217687985517229E-2</v>
      </c>
      <c r="K1141" s="317">
        <v>4.9756428516340278E-3</v>
      </c>
      <c r="L1141" s="318">
        <v>5.7688882570943194E-4</v>
      </c>
      <c r="M1141" s="317">
        <v>2.7292659688796443E-3</v>
      </c>
      <c r="N1141" s="318">
        <v>2.0000005732018801E-3</v>
      </c>
      <c r="O1141" s="317">
        <v>2.8154808894443578E-2</v>
      </c>
      <c r="P1141" s="318">
        <v>1.7196774218639087E-2</v>
      </c>
      <c r="Q1141" s="319">
        <v>5.2006193422967674E-3</v>
      </c>
    </row>
    <row r="1142" spans="2:17" ht="15.75" x14ac:dyDescent="0.25">
      <c r="B1142" s="176">
        <v>2039</v>
      </c>
      <c r="C1142" s="177">
        <v>2030</v>
      </c>
      <c r="D1142" s="178" t="s">
        <v>3988</v>
      </c>
      <c r="E1142" s="461">
        <v>3.5765426808504662E-2</v>
      </c>
      <c r="F1142" s="462">
        <v>3.6602959836135228E-2</v>
      </c>
      <c r="G1142" s="316">
        <v>6.0386498601329899E-2</v>
      </c>
      <c r="H1142" s="317">
        <v>2.7183637618806477E-3</v>
      </c>
      <c r="I1142" s="317">
        <v>4.3184074455666431E-2</v>
      </c>
      <c r="J1142" s="317">
        <v>2.0261678092569919E-2</v>
      </c>
      <c r="K1142" s="317">
        <v>4.6903868854218439E-3</v>
      </c>
      <c r="L1142" s="318">
        <v>5.7598414366369149E-4</v>
      </c>
      <c r="M1142" s="317">
        <v>2.7246889461873037E-3</v>
      </c>
      <c r="N1142" s="318">
        <v>2.0000005732018801E-3</v>
      </c>
      <c r="O1142" s="317">
        <v>2.8076953738446861E-2</v>
      </c>
      <c r="P1142" s="318">
        <v>1.7184623357631094E-2</v>
      </c>
      <c r="Q1142" s="319">
        <v>4.9024653670970732E-3</v>
      </c>
    </row>
    <row r="1143" spans="2:17" ht="15.75" x14ac:dyDescent="0.25">
      <c r="B1143" s="176">
        <v>2039</v>
      </c>
      <c r="C1143" s="177">
        <v>2031</v>
      </c>
      <c r="D1143" s="178" t="s">
        <v>3989</v>
      </c>
      <c r="E1143" s="461">
        <v>3.5733185130916979E-2</v>
      </c>
      <c r="F1143" s="462">
        <v>3.6571484352491204E-2</v>
      </c>
      <c r="G1143" s="316">
        <v>5.9181446079706289E-2</v>
      </c>
      <c r="H1143" s="317">
        <v>2.6733173472526231E-3</v>
      </c>
      <c r="I1143" s="317">
        <v>4.1645474356580524E-2</v>
      </c>
      <c r="J1143" s="317">
        <v>1.9377792896996985E-2</v>
      </c>
      <c r="K1143" s="317">
        <v>4.4039725341251026E-3</v>
      </c>
      <c r="L1143" s="318">
        <v>5.757565992587769E-4</v>
      </c>
      <c r="M1143" s="317">
        <v>2.7228000041580242E-3</v>
      </c>
      <c r="N1143" s="318">
        <v>2.0000005732018801E-3</v>
      </c>
      <c r="O1143" s="317">
        <v>2.8044822834528818E-2</v>
      </c>
      <c r="P1143" s="318">
        <v>1.718386718633258E-2</v>
      </c>
      <c r="Q1143" s="319">
        <v>4.6031006297795494E-3</v>
      </c>
    </row>
    <row r="1144" spans="2:17" ht="15.75" x14ac:dyDescent="0.25">
      <c r="B1144" s="176">
        <v>2039</v>
      </c>
      <c r="C1144" s="177">
        <v>2032</v>
      </c>
      <c r="D1144" s="178" t="s">
        <v>3990</v>
      </c>
      <c r="E1144" s="461">
        <v>3.5682522776024836E-2</v>
      </c>
      <c r="F1144" s="462">
        <v>3.6531433371054724E-2</v>
      </c>
      <c r="G1144" s="316">
        <v>5.7805768323567104E-2</v>
      </c>
      <c r="H1144" s="317">
        <v>2.6230642407547686E-3</v>
      </c>
      <c r="I1144" s="317">
        <v>3.9958227619344991E-2</v>
      </c>
      <c r="J1144" s="317">
        <v>1.8434932086415976E-2</v>
      </c>
      <c r="K1144" s="317">
        <v>4.0945913347241788E-3</v>
      </c>
      <c r="L1144" s="318">
        <v>5.7522856504862432E-4</v>
      </c>
      <c r="M1144" s="317">
        <v>2.7194672818558635E-3</v>
      </c>
      <c r="N1144" s="318">
        <v>2.0000005732018801E-3</v>
      </c>
      <c r="O1144" s="317">
        <v>2.7988133228169058E-2</v>
      </c>
      <c r="P1144" s="318">
        <v>1.7178209682770944E-2</v>
      </c>
      <c r="Q1144" s="319">
        <v>4.2797305854004562E-3</v>
      </c>
    </row>
    <row r="1145" spans="2:17" ht="15.75" x14ac:dyDescent="0.25">
      <c r="B1145" s="176">
        <v>2039</v>
      </c>
      <c r="C1145" s="177">
        <v>2033</v>
      </c>
      <c r="D1145" s="178" t="s">
        <v>3991</v>
      </c>
      <c r="E1145" s="461">
        <v>3.5641422594613031E-2</v>
      </c>
      <c r="F1145" s="462">
        <v>3.6477913717842834E-2</v>
      </c>
      <c r="G1145" s="316">
        <v>5.6418778623497583E-2</v>
      </c>
      <c r="H1145" s="317">
        <v>2.5682217601008567E-3</v>
      </c>
      <c r="I1145" s="317">
        <v>3.8218798640077295E-2</v>
      </c>
      <c r="J1145" s="317">
        <v>1.7484041303298885E-2</v>
      </c>
      <c r="K1145" s="317">
        <v>3.7732526503732921E-3</v>
      </c>
      <c r="L1145" s="318">
        <v>5.7445468645855706E-4</v>
      </c>
      <c r="M1145" s="317">
        <v>2.716850888663551E-3</v>
      </c>
      <c r="N1145" s="318">
        <v>2.0000005732018801E-3</v>
      </c>
      <c r="O1145" s="317">
        <v>2.794362837996783E-2</v>
      </c>
      <c r="P1145" s="318">
        <v>1.7167885520292428E-2</v>
      </c>
      <c r="Q1145" s="319">
        <v>3.943862391662516E-3</v>
      </c>
    </row>
    <row r="1146" spans="2:17" ht="15.75" x14ac:dyDescent="0.25">
      <c r="B1146" s="176">
        <v>2039</v>
      </c>
      <c r="C1146" s="177">
        <v>2034</v>
      </c>
      <c r="D1146" s="178" t="s">
        <v>3992</v>
      </c>
      <c r="E1146" s="461">
        <v>3.5583090604465219E-2</v>
      </c>
      <c r="F1146" s="462">
        <v>3.6395133593745174E-2</v>
      </c>
      <c r="G1146" s="316">
        <v>5.4873985625152555E-2</v>
      </c>
      <c r="H1146" s="317">
        <v>2.5124820922262487E-3</v>
      </c>
      <c r="I1146" s="317">
        <v>3.6343124965129071E-2</v>
      </c>
      <c r="J1146" s="317">
        <v>1.6566466648161419E-2</v>
      </c>
      <c r="K1146" s="317">
        <v>3.4312955330495685E-3</v>
      </c>
      <c r="L1146" s="318">
        <v>5.731603323954307E-4</v>
      </c>
      <c r="M1146" s="317">
        <v>2.712886797411562E-3</v>
      </c>
      <c r="N1146" s="318">
        <v>2.0000005732018801E-3</v>
      </c>
      <c r="O1146" s="317">
        <v>2.7876199187771497E-2</v>
      </c>
      <c r="P1146" s="318">
        <v>1.7147325362755254E-2</v>
      </c>
      <c r="Q1146" s="319">
        <v>3.5864434909056542E-3</v>
      </c>
    </row>
    <row r="1147" spans="2:17" ht="15.75" x14ac:dyDescent="0.25">
      <c r="B1147" s="176">
        <v>2039</v>
      </c>
      <c r="C1147" s="177">
        <v>2035</v>
      </c>
      <c r="D1147" s="178" t="s">
        <v>3993</v>
      </c>
      <c r="E1147" s="461">
        <v>3.5564907649962112E-2</v>
      </c>
      <c r="F1147" s="462">
        <v>3.6386830519545547E-2</v>
      </c>
      <c r="G1147" s="316">
        <v>5.3482411855466802E-2</v>
      </c>
      <c r="H1147" s="317">
        <v>2.4658878310889875E-3</v>
      </c>
      <c r="I1147" s="317">
        <v>3.4505446947961149E-2</v>
      </c>
      <c r="J1147" s="317">
        <v>1.5721869836904975E-2</v>
      </c>
      <c r="K1147" s="317">
        <v>3.0858957364936963E-3</v>
      </c>
      <c r="L1147" s="318">
        <v>5.7336050523160229E-4</v>
      </c>
      <c r="M1147" s="317">
        <v>2.7120045844899097E-3</v>
      </c>
      <c r="N1147" s="318">
        <v>2.0000005732018801E-3</v>
      </c>
      <c r="O1147" s="317">
        <v>2.7861192745974189E-2</v>
      </c>
      <c r="P1147" s="318">
        <v>1.715125507068423E-2</v>
      </c>
      <c r="Q1147" s="319">
        <v>3.2254262482384172E-3</v>
      </c>
    </row>
    <row r="1148" spans="2:17" ht="15.75" x14ac:dyDescent="0.25">
      <c r="B1148" s="176">
        <v>2039</v>
      </c>
      <c r="C1148" s="177">
        <v>2036</v>
      </c>
      <c r="D1148" s="178" t="s">
        <v>3994</v>
      </c>
      <c r="E1148" s="461">
        <v>3.5556322952342331E-2</v>
      </c>
      <c r="F1148" s="462">
        <v>3.6370262550774829E-2</v>
      </c>
      <c r="G1148" s="316">
        <v>5.2068959434574701E-2</v>
      </c>
      <c r="H1148" s="317">
        <v>2.4365407185552011E-3</v>
      </c>
      <c r="I1148" s="317">
        <v>3.2603732065714472E-2</v>
      </c>
      <c r="J1148" s="317">
        <v>1.5019934485878223E-2</v>
      </c>
      <c r="K1148" s="317">
        <v>2.7259767468581996E-3</v>
      </c>
      <c r="L1148" s="318">
        <v>5.7354810697049909E-4</v>
      </c>
      <c r="M1148" s="317">
        <v>2.711808854509582E-3</v>
      </c>
      <c r="N1148" s="318">
        <v>2.0000005732018805E-3</v>
      </c>
      <c r="O1148" s="317">
        <v>2.7857863379008811E-2</v>
      </c>
      <c r="P1148" s="318">
        <v>1.7151202732399413E-2</v>
      </c>
      <c r="Q1148" s="319">
        <v>2.8492333190084642E-3</v>
      </c>
    </row>
    <row r="1149" spans="2:17" ht="15.75" x14ac:dyDescent="0.25">
      <c r="B1149" s="176">
        <v>2039</v>
      </c>
      <c r="C1149" s="177">
        <v>2037</v>
      </c>
      <c r="D1149" s="178" t="s">
        <v>3995</v>
      </c>
      <c r="E1149" s="461">
        <v>3.5519314147951675E-2</v>
      </c>
      <c r="F1149" s="462">
        <v>3.6322813401494534E-2</v>
      </c>
      <c r="G1149" s="316">
        <v>5.0436774958482769E-2</v>
      </c>
      <c r="H1149" s="317">
        <v>2.4267025620829516E-3</v>
      </c>
      <c r="I1149" s="317">
        <v>3.0535363126666767E-2</v>
      </c>
      <c r="J1149" s="317">
        <v>1.4428585517103271E-2</v>
      </c>
      <c r="K1149" s="317">
        <v>2.3431201236494242E-3</v>
      </c>
      <c r="L1149" s="318">
        <v>5.7333494795901141E-4</v>
      </c>
      <c r="M1149" s="317">
        <v>2.7093275870838014E-3</v>
      </c>
      <c r="N1149" s="318">
        <v>2.0000005732018797E-3</v>
      </c>
      <c r="O1149" s="317">
        <v>2.7815657020096293E-2</v>
      </c>
      <c r="P1149" s="318">
        <v>1.713941252780982E-2</v>
      </c>
      <c r="Q1149" s="319">
        <v>2.4490656181992967E-3</v>
      </c>
    </row>
    <row r="1150" spans="2:17" ht="15.75" x14ac:dyDescent="0.25">
      <c r="B1150" s="176">
        <v>2039</v>
      </c>
      <c r="C1150" s="177">
        <v>2038</v>
      </c>
      <c r="D1150" s="178" t="s">
        <v>3996</v>
      </c>
      <c r="E1150" s="461">
        <v>3.5492498652656627E-2</v>
      </c>
      <c r="F1150" s="462">
        <v>3.6249301463948752E-2</v>
      </c>
      <c r="G1150" s="316">
        <v>4.8805963138666267E-2</v>
      </c>
      <c r="H1150" s="317">
        <v>2.4090214640089015E-3</v>
      </c>
      <c r="I1150" s="317">
        <v>2.8415766960622795E-2</v>
      </c>
      <c r="J1150" s="317">
        <v>1.3852137388731981E-2</v>
      </c>
      <c r="K1150" s="317">
        <v>1.9473207952733914E-3</v>
      </c>
      <c r="L1150" s="318">
        <v>5.7222840179768208E-4</v>
      </c>
      <c r="M1150" s="317">
        <v>2.7078758008901682E-3</v>
      </c>
      <c r="N1150" s="318">
        <v>2.0000005732018801E-3</v>
      </c>
      <c r="O1150" s="317">
        <v>2.7790962136942581E-2</v>
      </c>
      <c r="P1150" s="318">
        <v>1.7122843548732194E-2</v>
      </c>
      <c r="Q1150" s="319">
        <v>2.0353700005276074E-3</v>
      </c>
    </row>
    <row r="1151" spans="2:17" ht="15.75" x14ac:dyDescent="0.25">
      <c r="B1151" s="176">
        <v>2039</v>
      </c>
      <c r="C1151" s="177">
        <v>2039</v>
      </c>
      <c r="D1151" s="178" t="s">
        <v>3997</v>
      </c>
      <c r="E1151" s="461">
        <v>3.5121192087018097E-2</v>
      </c>
      <c r="F1151" s="462">
        <v>3.5570530313007873E-2</v>
      </c>
      <c r="G1151" s="316">
        <v>4.5420670060147245E-2</v>
      </c>
      <c r="H1151" s="317">
        <v>2.2821053670073893E-3</v>
      </c>
      <c r="I1151" s="317">
        <v>2.5431006919383669E-2</v>
      </c>
      <c r="J1151" s="317">
        <v>1.2721674705612989E-2</v>
      </c>
      <c r="K1151" s="317">
        <v>1.4943963049697374E-3</v>
      </c>
      <c r="L1151" s="318">
        <v>5.5999456578262254E-4</v>
      </c>
      <c r="M1151" s="317">
        <v>2.6793277601653716E-3</v>
      </c>
      <c r="N1151" s="318">
        <v>2.0000005732018797E-3</v>
      </c>
      <c r="O1151" s="317">
        <v>2.73053599642138E-2</v>
      </c>
      <c r="P1151" s="318">
        <v>1.6899480239277322E-2</v>
      </c>
      <c r="Q1151" s="319">
        <v>1.5619662745950786E-3</v>
      </c>
    </row>
    <row r="1152" spans="2:17" ht="15.75" x14ac:dyDescent="0.25">
      <c r="B1152" s="176">
        <v>2040</v>
      </c>
      <c r="C1152" s="177">
        <v>1996</v>
      </c>
      <c r="D1152" s="178" t="s">
        <v>3998</v>
      </c>
      <c r="E1152" s="461">
        <v>5.7420235903002367E-2</v>
      </c>
      <c r="F1152" s="462">
        <v>7.4295718926482957E-2</v>
      </c>
      <c r="G1152" s="316">
        <v>0.35545360339654486</v>
      </c>
      <c r="H1152" s="317">
        <v>0.14123984640390014</v>
      </c>
      <c r="I1152" s="317">
        <v>8.5936419704976625</v>
      </c>
      <c r="J1152" s="317">
        <v>1.0218221100412184</v>
      </c>
      <c r="K1152" s="317">
        <v>5.3569874583923344E-2</v>
      </c>
      <c r="L1152" s="318">
        <v>2.8738712307049522E-3</v>
      </c>
      <c r="M1152" s="317">
        <v>2.9313458100768981E-3</v>
      </c>
      <c r="N1152" s="318">
        <v>2.0000005732018801E-3</v>
      </c>
      <c r="O1152" s="317">
        <v>3.1592186993208864E-2</v>
      </c>
      <c r="P1152" s="318">
        <v>1.9883711709094403E-2</v>
      </c>
      <c r="Q1152" s="319">
        <v>5.59920665998105E-2</v>
      </c>
    </row>
    <row r="1153" spans="2:17" ht="15.75" x14ac:dyDescent="0.25">
      <c r="B1153" s="176">
        <v>2040</v>
      </c>
      <c r="C1153" s="177">
        <v>1997</v>
      </c>
      <c r="D1153" s="178" t="s">
        <v>3999</v>
      </c>
      <c r="E1153" s="461">
        <v>5.7699318740636524E-2</v>
      </c>
      <c r="F1153" s="462">
        <v>7.2192310580998051E-2</v>
      </c>
      <c r="G1153" s="316">
        <v>0.36144791032630452</v>
      </c>
      <c r="H1153" s="317">
        <v>0.14607883535674768</v>
      </c>
      <c r="I1153" s="317">
        <v>8.6952139138794671</v>
      </c>
      <c r="J1153" s="317">
        <v>1.0487887171993331</v>
      </c>
      <c r="K1153" s="317">
        <v>5.3823608347390681E-2</v>
      </c>
      <c r="L1153" s="318">
        <v>2.8932548988367542E-3</v>
      </c>
      <c r="M1153" s="317">
        <v>2.9474332276881545E-3</v>
      </c>
      <c r="N1153" s="318">
        <v>2.0000005732018801E-3</v>
      </c>
      <c r="O1153" s="317">
        <v>3.1865833966776343E-2</v>
      </c>
      <c r="P1153" s="318">
        <v>1.9312809836242777E-2</v>
      </c>
      <c r="Q1153" s="319">
        <v>5.6257273078134953E-2</v>
      </c>
    </row>
    <row r="1154" spans="2:17" ht="15.75" x14ac:dyDescent="0.25">
      <c r="B1154" s="176">
        <v>2040</v>
      </c>
      <c r="C1154" s="177">
        <v>1998</v>
      </c>
      <c r="D1154" s="178" t="s">
        <v>4000</v>
      </c>
      <c r="E1154" s="461">
        <v>5.7422918669904267E-2</v>
      </c>
      <c r="F1154" s="462">
        <v>6.8829892778736551E-2</v>
      </c>
      <c r="G1154" s="316">
        <v>0.35659364609940625</v>
      </c>
      <c r="H1154" s="317">
        <v>0.13558239901547786</v>
      </c>
      <c r="I1154" s="317">
        <v>8.5980023856905259</v>
      </c>
      <c r="J1154" s="317">
        <v>0.92650757199063771</v>
      </c>
      <c r="K1154" s="317">
        <v>5.3641492456602401E-2</v>
      </c>
      <c r="L1154" s="318">
        <v>2.9330760998973111E-3</v>
      </c>
      <c r="M1154" s="317">
        <v>2.9335466744620734E-3</v>
      </c>
      <c r="N1154" s="318">
        <v>2.0000005732018801E-3</v>
      </c>
      <c r="O1154" s="317">
        <v>3.162962369640069E-2</v>
      </c>
      <c r="P1154" s="318">
        <v>1.8388598093492491E-2</v>
      </c>
      <c r="Q1154" s="319">
        <v>5.6066922714892539E-2</v>
      </c>
    </row>
    <row r="1155" spans="2:17" ht="15.75" x14ac:dyDescent="0.25">
      <c r="B1155" s="176">
        <v>2040</v>
      </c>
      <c r="C1155" s="177">
        <v>1999</v>
      </c>
      <c r="D1155" s="178" t="s">
        <v>4001</v>
      </c>
      <c r="E1155" s="461">
        <v>5.8004141234920863E-2</v>
      </c>
      <c r="F1155" s="462">
        <v>6.9499459550314419E-2</v>
      </c>
      <c r="G1155" s="316">
        <v>0.37101435733886573</v>
      </c>
      <c r="H1155" s="317">
        <v>0.11837176667423201</v>
      </c>
      <c r="I1155" s="317">
        <v>8.981198628682213</v>
      </c>
      <c r="J1155" s="317">
        <v>0.76825705770738573</v>
      </c>
      <c r="K1155" s="317">
        <v>5.3759972600101784E-2</v>
      </c>
      <c r="L1155" s="318">
        <v>2.9382967114542284E-3</v>
      </c>
      <c r="M1155" s="317">
        <v>2.9840370099159827E-3</v>
      </c>
      <c r="N1155" s="318">
        <v>2.0000005732018801E-3</v>
      </c>
      <c r="O1155" s="317">
        <v>3.2488464302471702E-2</v>
      </c>
      <c r="P1155" s="318">
        <v>1.8606847597185942E-2</v>
      </c>
      <c r="Q1155" s="319">
        <v>5.6190760004733088E-2</v>
      </c>
    </row>
    <row r="1156" spans="2:17" ht="15.75" x14ac:dyDescent="0.25">
      <c r="B1156" s="176">
        <v>2040</v>
      </c>
      <c r="C1156" s="177">
        <v>2000</v>
      </c>
      <c r="D1156" s="178" t="s">
        <v>4002</v>
      </c>
      <c r="E1156" s="461">
        <v>5.7947127434935734E-2</v>
      </c>
      <c r="F1156" s="462">
        <v>7.5662046220149867E-2</v>
      </c>
      <c r="G1156" s="316">
        <v>0.37204892778770793</v>
      </c>
      <c r="H1156" s="317">
        <v>0.10162599269415953</v>
      </c>
      <c r="I1156" s="317">
        <v>9.0952854336902114</v>
      </c>
      <c r="J1156" s="317">
        <v>0.61650435456822406</v>
      </c>
      <c r="K1156" s="317">
        <v>5.3438185789303413E-2</v>
      </c>
      <c r="L1156" s="318">
        <v>2.9335240487424513E-3</v>
      </c>
      <c r="M1156" s="317">
        <v>2.9957657071286912E-3</v>
      </c>
      <c r="N1156" s="318">
        <v>2.0000005732018801E-3</v>
      </c>
      <c r="O1156" s="317">
        <v>3.2687969442059872E-2</v>
      </c>
      <c r="P1156" s="318">
        <v>1.87901079201034E-2</v>
      </c>
      <c r="Q1156" s="319">
        <v>5.5854423422258222E-2</v>
      </c>
    </row>
    <row r="1157" spans="2:17" ht="15.75" x14ac:dyDescent="0.25">
      <c r="B1157" s="176">
        <v>2040</v>
      </c>
      <c r="C1157" s="177">
        <v>2001</v>
      </c>
      <c r="D1157" s="178" t="s">
        <v>4003</v>
      </c>
      <c r="E1157" s="461">
        <v>5.7975609954602776E-2</v>
      </c>
      <c r="F1157" s="462">
        <v>7.4397292375045568E-2</v>
      </c>
      <c r="G1157" s="316">
        <v>0.37176506729107589</v>
      </c>
      <c r="H1157" s="317">
        <v>8.763801541468115E-2</v>
      </c>
      <c r="I1157" s="317">
        <v>9.0093679371306035</v>
      </c>
      <c r="J1157" s="317">
        <v>0.47679300739190106</v>
      </c>
      <c r="K1157" s="317">
        <v>5.3717331002440548E-2</v>
      </c>
      <c r="L1157" s="318">
        <v>2.9533647546049662E-3</v>
      </c>
      <c r="M1157" s="317">
        <v>2.9876397927674583E-3</v>
      </c>
      <c r="N1157" s="318">
        <v>2.0000005732018801E-3</v>
      </c>
      <c r="O1157" s="317">
        <v>3.2549747638775293E-2</v>
      </c>
      <c r="P1157" s="318">
        <v>1.8393830219104752E-2</v>
      </c>
      <c r="Q1157" s="319">
        <v>5.614619034324491E-2</v>
      </c>
    </row>
    <row r="1158" spans="2:17" ht="15.75" x14ac:dyDescent="0.25">
      <c r="B1158" s="176">
        <v>2040</v>
      </c>
      <c r="C1158" s="177">
        <v>2002</v>
      </c>
      <c r="D1158" s="178" t="s">
        <v>4004</v>
      </c>
      <c r="E1158" s="461">
        <v>5.7848591655178569E-2</v>
      </c>
      <c r="F1158" s="462">
        <v>7.2392704842223599E-2</v>
      </c>
      <c r="G1158" s="316">
        <v>0.28815983395872746</v>
      </c>
      <c r="H1158" s="317">
        <v>8.7873336264577578E-2</v>
      </c>
      <c r="I1158" s="317">
        <v>7.0099542307154703</v>
      </c>
      <c r="J1158" s="317">
        <v>0.45902256997466923</v>
      </c>
      <c r="K1158" s="317">
        <v>5.3863401536409374E-2</v>
      </c>
      <c r="L1158" s="318">
        <v>2.9791140192930964E-3</v>
      </c>
      <c r="M1158" s="317">
        <v>2.9956919441770503E-3</v>
      </c>
      <c r="N1158" s="318">
        <v>2.0000005732018805E-3</v>
      </c>
      <c r="O1158" s="317">
        <v>3.2686714734252456E-2</v>
      </c>
      <c r="P1158" s="318">
        <v>1.7774878638394182E-2</v>
      </c>
      <c r="Q1158" s="319">
        <v>5.629886553858144E-2</v>
      </c>
    </row>
    <row r="1159" spans="2:17" ht="15.75" x14ac:dyDescent="0.25">
      <c r="B1159" s="176">
        <v>2040</v>
      </c>
      <c r="C1159" s="177">
        <v>2003</v>
      </c>
      <c r="D1159" s="178" t="s">
        <v>4005</v>
      </c>
      <c r="E1159" s="461">
        <v>5.7630764015446527E-2</v>
      </c>
      <c r="F1159" s="462">
        <v>7.3368704224126988E-2</v>
      </c>
      <c r="G1159" s="316">
        <v>0.28574971837875385</v>
      </c>
      <c r="H1159" s="317">
        <v>7.1266251545276466E-2</v>
      </c>
      <c r="I1159" s="317">
        <v>7.0060518097709652</v>
      </c>
      <c r="J1159" s="317">
        <v>0.39262093738920767</v>
      </c>
      <c r="K1159" s="317">
        <v>5.3555485400557587E-2</v>
      </c>
      <c r="L1159" s="318">
        <v>2.962908477074944E-3</v>
      </c>
      <c r="M1159" s="317">
        <v>2.9917327483882294E-3</v>
      </c>
      <c r="N1159" s="318">
        <v>2.0000005732018801E-3</v>
      </c>
      <c r="O1159" s="317">
        <v>3.2619368813884615E-2</v>
      </c>
      <c r="P1159" s="318">
        <v>1.8132442255627393E-2</v>
      </c>
      <c r="Q1159" s="319">
        <v>5.5977026801424044E-2</v>
      </c>
    </row>
    <row r="1160" spans="2:17" ht="15.75" x14ac:dyDescent="0.25">
      <c r="B1160" s="176">
        <v>2040</v>
      </c>
      <c r="C1160" s="177">
        <v>2004</v>
      </c>
      <c r="D1160" s="178" t="s">
        <v>4006</v>
      </c>
      <c r="E1160" s="461">
        <v>5.7534607796037786E-2</v>
      </c>
      <c r="F1160" s="462">
        <v>7.3279826133767309E-2</v>
      </c>
      <c r="G1160" s="316">
        <v>0.23593977175477585</v>
      </c>
      <c r="H1160" s="317">
        <v>1.8232902061170606E-2</v>
      </c>
      <c r="I1160" s="317">
        <v>5.8472149585544582</v>
      </c>
      <c r="J1160" s="317">
        <v>0.11557813286713604</v>
      </c>
      <c r="K1160" s="317">
        <v>5.3312706947104514E-2</v>
      </c>
      <c r="L1160" s="318">
        <v>1.9777277824180545E-4</v>
      </c>
      <c r="M1160" s="317">
        <v>2.9898059145380181E-3</v>
      </c>
      <c r="N1160" s="318">
        <v>2.0000005732018801E-3</v>
      </c>
      <c r="O1160" s="317">
        <v>3.258659337009253E-2</v>
      </c>
      <c r="P1160" s="318">
        <v>1.7817584314052889E-2</v>
      </c>
      <c r="Q1160" s="319">
        <v>5.5723270983619198E-2</v>
      </c>
    </row>
    <row r="1161" spans="2:17" ht="15.75" x14ac:dyDescent="0.25">
      <c r="B1161" s="176">
        <v>2040</v>
      </c>
      <c r="C1161" s="177">
        <v>2005</v>
      </c>
      <c r="D1161" s="178" t="s">
        <v>4007</v>
      </c>
      <c r="E1161" s="461">
        <v>5.7292683839145292E-2</v>
      </c>
      <c r="F1161" s="462">
        <v>6.9726580793343526E-2</v>
      </c>
      <c r="G1161" s="316">
        <v>0.23351510000372411</v>
      </c>
      <c r="H1161" s="317">
        <v>1.5892951595686579E-2</v>
      </c>
      <c r="I1161" s="317">
        <v>5.8438612864779582</v>
      </c>
      <c r="J1161" s="317">
        <v>9.4520753215148232E-2</v>
      </c>
      <c r="K1161" s="317">
        <v>5.2949394093171342E-2</v>
      </c>
      <c r="L1161" s="318">
        <v>1.9836659708675442E-4</v>
      </c>
      <c r="M1161" s="317">
        <v>2.9841737662113662E-3</v>
      </c>
      <c r="N1161" s="318">
        <v>2.0000005732018801E-3</v>
      </c>
      <c r="O1161" s="317">
        <v>3.2490790527056168E-2</v>
      </c>
      <c r="P1161" s="318">
        <v>1.7149833626280451E-2</v>
      </c>
      <c r="Q1161" s="319">
        <v>5.5343530734608126E-2</v>
      </c>
    </row>
    <row r="1162" spans="2:17" ht="15.75" x14ac:dyDescent="0.25">
      <c r="B1162" s="176">
        <v>2040</v>
      </c>
      <c r="C1162" s="177">
        <v>2006</v>
      </c>
      <c r="D1162" s="178" t="s">
        <v>4008</v>
      </c>
      <c r="E1162" s="461">
        <v>5.7233548395968691E-2</v>
      </c>
      <c r="F1162" s="462">
        <v>7.330066853156221E-2</v>
      </c>
      <c r="G1162" s="316">
        <v>0.2333086134884424</v>
      </c>
      <c r="H1162" s="317">
        <v>6.0445740712905816E-3</v>
      </c>
      <c r="I1162" s="317">
        <v>5.8437272008643841</v>
      </c>
      <c r="J1162" s="317">
        <v>6.6525616943700752E-2</v>
      </c>
      <c r="K1162" s="317">
        <v>5.2911579125489973E-2</v>
      </c>
      <c r="L1162" s="318">
        <v>1.9422097816611467E-4</v>
      </c>
      <c r="M1162" s="317">
        <v>2.9838404753875399E-3</v>
      </c>
      <c r="N1162" s="318">
        <v>2.0000005732018801E-3</v>
      </c>
      <c r="O1162" s="317">
        <v>3.2485121250142884E-2</v>
      </c>
      <c r="P1162" s="318">
        <v>1.8964473154478984E-2</v>
      </c>
      <c r="Q1162" s="319">
        <v>5.5304005941889688E-2</v>
      </c>
    </row>
    <row r="1163" spans="2:17" ht="15.75" x14ac:dyDescent="0.25">
      <c r="B1163" s="176">
        <v>2040</v>
      </c>
      <c r="C1163" s="177">
        <v>2007</v>
      </c>
      <c r="D1163" s="178" t="s">
        <v>4009</v>
      </c>
      <c r="E1163" s="461">
        <v>5.7076880696920448E-2</v>
      </c>
      <c r="F1163" s="462">
        <v>6.8759724244710455E-2</v>
      </c>
      <c r="G1163" s="316">
        <v>0.16837631118143306</v>
      </c>
      <c r="H1163" s="317">
        <v>8.5740125098988894E-3</v>
      </c>
      <c r="I1163" s="317">
        <v>3.001375209628705</v>
      </c>
      <c r="J1163" s="317">
        <v>5.8497567918290416E-2</v>
      </c>
      <c r="K1163" s="317">
        <v>3.7197873544798768E-2</v>
      </c>
      <c r="L1163" s="318">
        <v>1.9755041424599764E-4</v>
      </c>
      <c r="M1163" s="317">
        <v>2.9676559074516837E-3</v>
      </c>
      <c r="N1163" s="318">
        <v>2.0000005732018801E-3</v>
      </c>
      <c r="O1163" s="317">
        <v>3.2209821749553967E-2</v>
      </c>
      <c r="P1163" s="318">
        <v>1.7508707288873767E-2</v>
      </c>
      <c r="Q1163" s="319">
        <v>3.8879796323375349E-2</v>
      </c>
    </row>
    <row r="1164" spans="2:17" ht="15.75" x14ac:dyDescent="0.25">
      <c r="B1164" s="176">
        <v>2040</v>
      </c>
      <c r="C1164" s="177">
        <v>2008</v>
      </c>
      <c r="D1164" s="178" t="s">
        <v>4010</v>
      </c>
      <c r="E1164" s="461">
        <v>5.709528713074119E-2</v>
      </c>
      <c r="F1164" s="462">
        <v>6.7122420285727485E-2</v>
      </c>
      <c r="G1164" s="316">
        <v>0.16997729191069508</v>
      </c>
      <c r="H1164" s="317">
        <v>8.3122911838009409E-3</v>
      </c>
      <c r="I1164" s="317">
        <v>3.0283222828762359</v>
      </c>
      <c r="J1164" s="317">
        <v>4.7159963390722842E-2</v>
      </c>
      <c r="K1164" s="317">
        <v>3.7527552793700646E-2</v>
      </c>
      <c r="L1164" s="318">
        <v>2.2552394224441573E-4</v>
      </c>
      <c r="M1164" s="317">
        <v>2.9775990604102073E-3</v>
      </c>
      <c r="N1164" s="318">
        <v>2.0000005732018801E-3</v>
      </c>
      <c r="O1164" s="317">
        <v>3.2378954781378456E-2</v>
      </c>
      <c r="P1164" s="318">
        <v>1.7505891798688018E-2</v>
      </c>
      <c r="Q1164" s="319">
        <v>3.9224382204982595E-2</v>
      </c>
    </row>
    <row r="1165" spans="2:17" ht="15.75" x14ac:dyDescent="0.25">
      <c r="B1165" s="176">
        <v>2040</v>
      </c>
      <c r="C1165" s="177">
        <v>2009</v>
      </c>
      <c r="D1165" s="178" t="s">
        <v>4011</v>
      </c>
      <c r="E1165" s="461">
        <v>5.6453970461668113E-2</v>
      </c>
      <c r="F1165" s="462">
        <v>6.1669961524846113E-2</v>
      </c>
      <c r="G1165" s="316">
        <v>0.16095026989809577</v>
      </c>
      <c r="H1165" s="317">
        <v>8.1411592535857395E-3</v>
      </c>
      <c r="I1165" s="317">
        <v>2.7758264252365654</v>
      </c>
      <c r="J1165" s="317">
        <v>3.4130150481132118E-2</v>
      </c>
      <c r="K1165" s="317">
        <v>3.5429022764573541E-2</v>
      </c>
      <c r="L1165" s="318">
        <v>2.5483168319316362E-4</v>
      </c>
      <c r="M1165" s="317">
        <v>2.8994448380977719E-3</v>
      </c>
      <c r="N1165" s="318">
        <v>2.0000005732018805E-3</v>
      </c>
      <c r="O1165" s="317">
        <v>3.1049551459843928E-2</v>
      </c>
      <c r="P1165" s="318">
        <v>1.6848784418593925E-2</v>
      </c>
      <c r="Q1165" s="319">
        <v>3.7030965960027452E-2</v>
      </c>
    </row>
    <row r="1166" spans="2:17" ht="15.75" x14ac:dyDescent="0.25">
      <c r="B1166" s="176">
        <v>2040</v>
      </c>
      <c r="C1166" s="177">
        <v>2010</v>
      </c>
      <c r="D1166" s="178" t="s">
        <v>4012</v>
      </c>
      <c r="E1166" s="461">
        <v>5.5444478884314349E-2</v>
      </c>
      <c r="F1166" s="462">
        <v>5.9668126577866437E-2</v>
      </c>
      <c r="G1166" s="316">
        <v>9.711740649833378E-2</v>
      </c>
      <c r="H1166" s="317">
        <v>7.3130370374324717E-3</v>
      </c>
      <c r="I1166" s="317">
        <v>0.2455914396304828</v>
      </c>
      <c r="J1166" s="317">
        <v>3.3206765939831746E-2</v>
      </c>
      <c r="K1166" s="317">
        <v>2.0727020683189802E-2</v>
      </c>
      <c r="L1166" s="318">
        <v>3.1103197035285999E-4</v>
      </c>
      <c r="M1166" s="317">
        <v>2.8286908718739867E-3</v>
      </c>
      <c r="N1166" s="318">
        <v>2.0000005732018801E-3</v>
      </c>
      <c r="O1166" s="317">
        <v>2.9846026494377332E-2</v>
      </c>
      <c r="P1166" s="318">
        <v>1.6460671764955893E-2</v>
      </c>
      <c r="Q1166" s="319">
        <v>2.1664204583691483E-2</v>
      </c>
    </row>
    <row r="1167" spans="2:17" ht="15.75" x14ac:dyDescent="0.25">
      <c r="B1167" s="176">
        <v>2040</v>
      </c>
      <c r="C1167" s="177">
        <v>2011</v>
      </c>
      <c r="D1167" s="178" t="s">
        <v>4013</v>
      </c>
      <c r="E1167" s="461">
        <v>5.5180102262855364E-2</v>
      </c>
      <c r="F1167" s="462">
        <v>5.8398759672232861E-2</v>
      </c>
      <c r="G1167" s="316">
        <v>9.6815504319397033E-2</v>
      </c>
      <c r="H1167" s="317">
        <v>7.4213559225548035E-3</v>
      </c>
      <c r="I1167" s="317">
        <v>0.24610615235738292</v>
      </c>
      <c r="J1167" s="317">
        <v>3.3551959845871858E-2</v>
      </c>
      <c r="K1167" s="317">
        <v>2.0789336226744119E-2</v>
      </c>
      <c r="L1167" s="318">
        <v>4.21269408096292E-4</v>
      </c>
      <c r="M1167" s="317">
        <v>2.8370142933088842E-3</v>
      </c>
      <c r="N1167" s="318">
        <v>2.0000005732018801E-3</v>
      </c>
      <c r="O1167" s="317">
        <v>2.9987607892984949E-2</v>
      </c>
      <c r="P1167" s="318">
        <v>1.6603037192951555E-2</v>
      </c>
      <c r="Q1167" s="319">
        <v>2.1729337759604284E-2</v>
      </c>
    </row>
    <row r="1168" spans="2:17" ht="15.75" x14ac:dyDescent="0.25">
      <c r="B1168" s="176">
        <v>2040</v>
      </c>
      <c r="C1168" s="177">
        <v>2012</v>
      </c>
      <c r="D1168" s="178" t="s">
        <v>4014</v>
      </c>
      <c r="E1168" s="461">
        <v>5.3251705949159858E-2</v>
      </c>
      <c r="F1168" s="462">
        <v>5.8449204291809151E-2</v>
      </c>
      <c r="G1168" s="316">
        <v>8.5781109445612749E-2</v>
      </c>
      <c r="H1168" s="317">
        <v>6.9992050360777819E-3</v>
      </c>
      <c r="I1168" s="317">
        <v>0.21587553114627825</v>
      </c>
      <c r="J1168" s="317">
        <v>3.4701674914613512E-2</v>
      </c>
      <c r="K1168" s="317">
        <v>1.8668853539009704E-2</v>
      </c>
      <c r="L1168" s="318">
        <v>6.1124564361683936E-4</v>
      </c>
      <c r="M1168" s="317">
        <v>2.7140877073282121E-3</v>
      </c>
      <c r="N1168" s="318">
        <v>2.0000005732018797E-3</v>
      </c>
      <c r="O1168" s="317">
        <v>2.7896626665453717E-2</v>
      </c>
      <c r="P1168" s="318">
        <v>1.7007243760532011E-2</v>
      </c>
      <c r="Q1168" s="319">
        <v>1.9512976254233084E-2</v>
      </c>
    </row>
    <row r="1169" spans="2:17" ht="15.75" x14ac:dyDescent="0.25">
      <c r="B1169" s="176">
        <v>2040</v>
      </c>
      <c r="C1169" s="177">
        <v>2013</v>
      </c>
      <c r="D1169" s="178" t="s">
        <v>4015</v>
      </c>
      <c r="E1169" s="461">
        <v>5.4955550825786417E-2</v>
      </c>
      <c r="F1169" s="462">
        <v>5.7205653573572893E-2</v>
      </c>
      <c r="G1169" s="316">
        <v>9.835530509985059E-2</v>
      </c>
      <c r="H1169" s="317">
        <v>7.9337366476536445E-3</v>
      </c>
      <c r="I1169" s="317">
        <v>0.24966176028362885</v>
      </c>
      <c r="J1169" s="317">
        <v>3.3740819211701328E-2</v>
      </c>
      <c r="K1169" s="317">
        <v>2.102645393139034E-2</v>
      </c>
      <c r="L1169" s="318">
        <v>9.1327041807899969E-4</v>
      </c>
      <c r="M1169" s="317">
        <v>2.8482184247156429E-3</v>
      </c>
      <c r="N1169" s="318">
        <v>2.0000005732018805E-3</v>
      </c>
      <c r="O1169" s="317">
        <v>3.0178190168213916E-2</v>
      </c>
      <c r="P1169" s="318">
        <v>1.7109072811341733E-2</v>
      </c>
      <c r="Q1169" s="319">
        <v>2.1977176874660369E-2</v>
      </c>
    </row>
    <row r="1170" spans="2:17" ht="15.75" x14ac:dyDescent="0.25">
      <c r="B1170" s="176">
        <v>2040</v>
      </c>
      <c r="C1170" s="177">
        <v>2014</v>
      </c>
      <c r="D1170" s="178" t="s">
        <v>4016</v>
      </c>
      <c r="E1170" s="461">
        <v>5.2342965384077907E-2</v>
      </c>
      <c r="F1170" s="462">
        <v>5.4858785767473398E-2</v>
      </c>
      <c r="G1170" s="316">
        <v>8.893127277035244E-2</v>
      </c>
      <c r="H1170" s="317">
        <v>8.0591672746591139E-3</v>
      </c>
      <c r="I1170" s="317">
        <v>0.22463445319987763</v>
      </c>
      <c r="J1170" s="317">
        <v>3.2229598578194268E-2</v>
      </c>
      <c r="K1170" s="317">
        <v>1.9293616772488587E-2</v>
      </c>
      <c r="L1170" s="318">
        <v>1.2825684586486423E-3</v>
      </c>
      <c r="M1170" s="317">
        <v>2.750811169001631E-3</v>
      </c>
      <c r="N1170" s="318">
        <v>2.0000005732018801E-3</v>
      </c>
      <c r="O1170" s="317">
        <v>2.8521292748518567E-2</v>
      </c>
      <c r="P1170" s="318">
        <v>1.6594684518897503E-2</v>
      </c>
      <c r="Q1170" s="319">
        <v>2.0165988508784132E-2</v>
      </c>
    </row>
    <row r="1171" spans="2:17" ht="15.75" x14ac:dyDescent="0.25">
      <c r="B1171" s="176">
        <v>2040</v>
      </c>
      <c r="C1171" s="177">
        <v>2015</v>
      </c>
      <c r="D1171" s="178" t="s">
        <v>4017</v>
      </c>
      <c r="E1171" s="461">
        <v>5.1131483814052005E-2</v>
      </c>
      <c r="F1171" s="462">
        <v>5.737686600888698E-2</v>
      </c>
      <c r="G1171" s="316">
        <v>8.4407392575054321E-2</v>
      </c>
      <c r="H1171" s="317">
        <v>8.0545822784616004E-3</v>
      </c>
      <c r="I1171" s="317">
        <v>0.21415500408534358</v>
      </c>
      <c r="J1171" s="317">
        <v>3.3846920554205573E-2</v>
      </c>
      <c r="K1171" s="317">
        <v>1.8599965516881353E-2</v>
      </c>
      <c r="L1171" s="318">
        <v>1.5924232134003362E-3</v>
      </c>
      <c r="M1171" s="317">
        <v>2.7173058260366793E-3</v>
      </c>
      <c r="N1171" s="318">
        <v>2.0000005732018801E-3</v>
      </c>
      <c r="O1171" s="317">
        <v>2.7951366864684742E-2</v>
      </c>
      <c r="P1171" s="318">
        <v>1.7632550557549791E-2</v>
      </c>
      <c r="Q1171" s="319">
        <v>1.9440973421430099E-2</v>
      </c>
    </row>
    <row r="1172" spans="2:17" ht="15.75" x14ac:dyDescent="0.25">
      <c r="B1172" s="176">
        <v>2040</v>
      </c>
      <c r="C1172" s="177">
        <v>2016</v>
      </c>
      <c r="D1172" s="178" t="s">
        <v>4018</v>
      </c>
      <c r="E1172" s="461">
        <v>5.1597566325088967E-2</v>
      </c>
      <c r="F1172" s="462">
        <v>5.8882667480803633E-2</v>
      </c>
      <c r="G1172" s="316">
        <v>9.7502150904066581E-2</v>
      </c>
      <c r="H1172" s="317">
        <v>7.8101409622793145E-3</v>
      </c>
      <c r="I1172" s="317">
        <v>0.2199537178879816</v>
      </c>
      <c r="J1172" s="317">
        <v>3.4291258519112064E-2</v>
      </c>
      <c r="K1172" s="317">
        <v>2.1137429415189195E-2</v>
      </c>
      <c r="L1172" s="318">
        <v>1.8223738068299533E-3</v>
      </c>
      <c r="M1172" s="317">
        <v>2.8653966565104607E-3</v>
      </c>
      <c r="N1172" s="318">
        <v>2.0000005732018719E-3</v>
      </c>
      <c r="O1172" s="317">
        <v>3.0470391891043759E-2</v>
      </c>
      <c r="P1172" s="318">
        <v>1.8611282139981679E-2</v>
      </c>
      <c r="Q1172" s="319">
        <v>2.2093170177390219E-2</v>
      </c>
    </row>
    <row r="1173" spans="2:17" ht="15.75" x14ac:dyDescent="0.25">
      <c r="B1173" s="176">
        <v>2040</v>
      </c>
      <c r="C1173" s="177">
        <v>2017</v>
      </c>
      <c r="D1173" s="178" t="s">
        <v>4019</v>
      </c>
      <c r="E1173" s="461">
        <v>4.8097335911809813E-2</v>
      </c>
      <c r="F1173" s="462">
        <v>5.2571388878370533E-2</v>
      </c>
      <c r="G1173" s="316">
        <v>7.7462735794257165E-2</v>
      </c>
      <c r="H1173" s="317">
        <v>7.8233065696716331E-3</v>
      </c>
      <c r="I1173" s="317">
        <v>0.16344039140466146</v>
      </c>
      <c r="J1173" s="317">
        <v>3.1470610291771596E-2</v>
      </c>
      <c r="K1173" s="317">
        <v>1.9201891985153506E-2</v>
      </c>
      <c r="L1173" s="318">
        <v>2.0092695546535151E-3</v>
      </c>
      <c r="M1173" s="317">
        <v>2.8142243377858771E-3</v>
      </c>
      <c r="N1173" s="318">
        <v>2.000000573201871E-3</v>
      </c>
      <c r="O1173" s="317">
        <v>2.9599950749538598E-2</v>
      </c>
      <c r="P1173" s="318">
        <v>1.744053073772121E-2</v>
      </c>
      <c r="Q1173" s="319">
        <v>2.0070116333588389E-2</v>
      </c>
    </row>
    <row r="1174" spans="2:17" ht="15.75" x14ac:dyDescent="0.25">
      <c r="B1174" s="176">
        <v>2040</v>
      </c>
      <c r="C1174" s="177">
        <v>2018</v>
      </c>
      <c r="D1174" s="178" t="s">
        <v>4020</v>
      </c>
      <c r="E1174" s="461">
        <v>4.4980677569619348E-2</v>
      </c>
      <c r="F1174" s="462">
        <v>5.0149536061976571E-2</v>
      </c>
      <c r="G1174" s="316">
        <v>7.6778694851604976E-2</v>
      </c>
      <c r="H1174" s="317">
        <v>7.4583298000897537E-3</v>
      </c>
      <c r="I1174" s="317">
        <v>0.13334330137940309</v>
      </c>
      <c r="J1174" s="317">
        <v>3.0007572566383218E-2</v>
      </c>
      <c r="K1174" s="317">
        <v>1.7777209428274425E-2</v>
      </c>
      <c r="L1174" s="318">
        <v>2.0921100430231162E-3</v>
      </c>
      <c r="M1174" s="317">
        <v>2.8061504027963465E-3</v>
      </c>
      <c r="N1174" s="318">
        <v>2.0000005732018801E-3</v>
      </c>
      <c r="O1174" s="317">
        <v>2.9462613115366684E-2</v>
      </c>
      <c r="P1174" s="318">
        <v>1.7407986414804059E-2</v>
      </c>
      <c r="Q1174" s="319">
        <v>1.8581015953422479E-2</v>
      </c>
    </row>
    <row r="1175" spans="2:17" ht="15.75" x14ac:dyDescent="0.25">
      <c r="B1175" s="176">
        <v>2040</v>
      </c>
      <c r="C1175" s="177">
        <v>2019</v>
      </c>
      <c r="D1175" s="178" t="s">
        <v>4021</v>
      </c>
      <c r="E1175" s="461">
        <v>4.4550478392748581E-2</v>
      </c>
      <c r="F1175" s="462">
        <v>4.8209477696863061E-2</v>
      </c>
      <c r="G1175" s="316">
        <v>7.603041837969074E-2</v>
      </c>
      <c r="H1175" s="317">
        <v>6.6935137839543484E-3</v>
      </c>
      <c r="I1175" s="317">
        <v>0.11459052619613617</v>
      </c>
      <c r="J1175" s="317">
        <v>2.7193991017694815E-2</v>
      </c>
      <c r="K1175" s="317">
        <v>1.5232187951730231E-2</v>
      </c>
      <c r="L1175" s="318">
        <v>1.9871008749589272E-3</v>
      </c>
      <c r="M1175" s="317">
        <v>2.7982524490643918E-3</v>
      </c>
      <c r="N1175" s="318">
        <v>2.0000005732018797E-3</v>
      </c>
      <c r="O1175" s="317">
        <v>2.9328268922386141E-2</v>
      </c>
      <c r="P1175" s="318">
        <v>1.7386428165024056E-2</v>
      </c>
      <c r="Q1175" s="319">
        <v>1.592091989907456E-2</v>
      </c>
    </row>
    <row r="1176" spans="2:17" ht="15.75" x14ac:dyDescent="0.25">
      <c r="B1176" s="176">
        <v>2040</v>
      </c>
      <c r="C1176" s="177">
        <v>2020</v>
      </c>
      <c r="D1176" s="178" t="s">
        <v>4022</v>
      </c>
      <c r="E1176" s="461">
        <v>4.4111122914109721E-2</v>
      </c>
      <c r="F1176" s="462">
        <v>4.6327329274341925E-2</v>
      </c>
      <c r="G1176" s="316">
        <v>7.528757349883855E-2</v>
      </c>
      <c r="H1176" s="317">
        <v>5.7753503343538461E-3</v>
      </c>
      <c r="I1176" s="317">
        <v>9.5972126909029065E-2</v>
      </c>
      <c r="J1176" s="317">
        <v>2.495293951196979E-2</v>
      </c>
      <c r="K1176" s="317">
        <v>1.271256618517112E-2</v>
      </c>
      <c r="L1176" s="318">
        <v>1.4677602638570033E-3</v>
      </c>
      <c r="M1176" s="317">
        <v>2.7914814325606004E-3</v>
      </c>
      <c r="N1176" s="318">
        <v>2.0000005732018801E-3</v>
      </c>
      <c r="O1176" s="317">
        <v>2.921309393165664E-2</v>
      </c>
      <c r="P1176" s="318">
        <v>1.7382444611405801E-2</v>
      </c>
      <c r="Q1176" s="319">
        <v>1.3287372016887605E-2</v>
      </c>
    </row>
    <row r="1177" spans="2:17" ht="15.75" x14ac:dyDescent="0.25">
      <c r="B1177" s="176">
        <v>2040</v>
      </c>
      <c r="C1177" s="177">
        <v>2021</v>
      </c>
      <c r="D1177" s="178" t="s">
        <v>4023</v>
      </c>
      <c r="E1177" s="461">
        <v>4.2721536390989981E-2</v>
      </c>
      <c r="F1177" s="462">
        <v>4.4174114501584837E-2</v>
      </c>
      <c r="G1177" s="316">
        <v>7.2113589443761866E-2</v>
      </c>
      <c r="H1177" s="317">
        <v>5.0776310569636482E-3</v>
      </c>
      <c r="I1177" s="317">
        <v>7.3059524750976337E-2</v>
      </c>
      <c r="J1177" s="317">
        <v>2.3718460304151475E-2</v>
      </c>
      <c r="K1177" s="317">
        <v>9.1780438726314448E-3</v>
      </c>
      <c r="L1177" s="318">
        <v>9.6873056586643813E-4</v>
      </c>
      <c r="M1177" s="317">
        <v>2.7844257549082857E-3</v>
      </c>
      <c r="N1177" s="318">
        <v>2.0000005732018801E-3</v>
      </c>
      <c r="O1177" s="317">
        <v>2.9093076854790765E-2</v>
      </c>
      <c r="P1177" s="318">
        <v>1.7370455307928273E-2</v>
      </c>
      <c r="Q1177" s="319">
        <v>9.5930342895853542E-3</v>
      </c>
    </row>
    <row r="1178" spans="2:17" ht="15.75" x14ac:dyDescent="0.25">
      <c r="B1178" s="176">
        <v>2040</v>
      </c>
      <c r="C1178" s="177">
        <v>2022</v>
      </c>
      <c r="D1178" s="178" t="s">
        <v>4024</v>
      </c>
      <c r="E1178" s="461">
        <v>4.147431183240162E-2</v>
      </c>
      <c r="F1178" s="462">
        <v>4.2520783297181876E-2</v>
      </c>
      <c r="G1178" s="316">
        <v>7.1215888339223127E-2</v>
      </c>
      <c r="H1178" s="317">
        <v>4.2763142294944155E-3</v>
      </c>
      <c r="I1178" s="317">
        <v>5.504939027789986E-2</v>
      </c>
      <c r="J1178" s="317">
        <v>2.2316824631566701E-2</v>
      </c>
      <c r="K1178" s="317">
        <v>6.7904349337214254E-3</v>
      </c>
      <c r="L1178" s="318">
        <v>9.675654977232105E-4</v>
      </c>
      <c r="M1178" s="317">
        <v>2.7781625484635808E-3</v>
      </c>
      <c r="N1178" s="318">
        <v>2.0000005732018801E-3</v>
      </c>
      <c r="O1178" s="317">
        <v>2.8986539713166375E-2</v>
      </c>
      <c r="P1178" s="318">
        <v>1.7356491207177253E-2</v>
      </c>
      <c r="Q1178" s="319">
        <v>7.0974682693155577E-3</v>
      </c>
    </row>
    <row r="1179" spans="2:17" ht="15.75" x14ac:dyDescent="0.25">
      <c r="B1179" s="176">
        <v>2040</v>
      </c>
      <c r="C1179" s="177">
        <v>2023</v>
      </c>
      <c r="D1179" s="178" t="s">
        <v>4025</v>
      </c>
      <c r="E1179" s="461">
        <v>4.0171591198084257E-2</v>
      </c>
      <c r="F1179" s="462">
        <v>4.08047619527626E-2</v>
      </c>
      <c r="G1179" s="316">
        <v>6.9949656170742128E-2</v>
      </c>
      <c r="H1179" s="317">
        <v>3.7112144910428435E-3</v>
      </c>
      <c r="I1179" s="317">
        <v>5.385452296950885E-2</v>
      </c>
      <c r="J1179" s="317">
        <v>2.2552736458425218E-2</v>
      </c>
      <c r="K1179" s="317">
        <v>6.5910932811247451E-3</v>
      </c>
      <c r="L1179" s="318">
        <v>9.657182456657054E-4</v>
      </c>
      <c r="M1179" s="317">
        <v>2.7681843556357994E-3</v>
      </c>
      <c r="N1179" s="318">
        <v>2.0000005732018801E-3</v>
      </c>
      <c r="O1179" s="317">
        <v>2.8816810653165777E-2</v>
      </c>
      <c r="P1179" s="318">
        <v>1.7323825637160041E-2</v>
      </c>
      <c r="Q1179" s="319">
        <v>6.8891132717539359E-3</v>
      </c>
    </row>
    <row r="1180" spans="2:17" ht="15.75" x14ac:dyDescent="0.25">
      <c r="B1180" s="176">
        <v>2040</v>
      </c>
      <c r="C1180" s="177">
        <v>2024</v>
      </c>
      <c r="D1180" s="178" t="s">
        <v>4026</v>
      </c>
      <c r="E1180" s="461">
        <v>3.8934743773421918E-2</v>
      </c>
      <c r="F1180" s="462">
        <v>3.9128460764019796E-2</v>
      </c>
      <c r="G1180" s="316">
        <v>6.8784689060186144E-2</v>
      </c>
      <c r="H1180" s="317">
        <v>3.2117344128741667E-3</v>
      </c>
      <c r="I1180" s="317">
        <v>5.2686143111056974E-2</v>
      </c>
      <c r="J1180" s="317">
        <v>2.3597814484945252E-2</v>
      </c>
      <c r="K1180" s="317">
        <v>6.391042303427563E-3</v>
      </c>
      <c r="L1180" s="318">
        <v>9.6411561668836691E-4</v>
      </c>
      <c r="M1180" s="317">
        <v>2.7602687315744757E-3</v>
      </c>
      <c r="N1180" s="318">
        <v>2.0000005732018801E-3</v>
      </c>
      <c r="O1180" s="317">
        <v>2.8682165887882648E-2</v>
      </c>
      <c r="P1180" s="318">
        <v>1.7298589862374245E-2</v>
      </c>
      <c r="Q1180" s="319">
        <v>6.680016876558355E-3</v>
      </c>
    </row>
    <row r="1181" spans="2:17" ht="15.75" x14ac:dyDescent="0.25">
      <c r="B1181" s="176">
        <v>2040</v>
      </c>
      <c r="C1181" s="177">
        <v>2025</v>
      </c>
      <c r="D1181" s="178" t="s">
        <v>4027</v>
      </c>
      <c r="E1181" s="461">
        <v>3.7705906196537679E-2</v>
      </c>
      <c r="F1181" s="462">
        <v>3.7496673323249588E-2</v>
      </c>
      <c r="G1181" s="316">
        <v>6.7602815989887655E-2</v>
      </c>
      <c r="H1181" s="317">
        <v>2.9196678900145958E-3</v>
      </c>
      <c r="I1181" s="317">
        <v>5.1464671837425952E-2</v>
      </c>
      <c r="J1181" s="317">
        <v>2.5380382589810138E-2</v>
      </c>
      <c r="K1181" s="317">
        <v>6.1794915358601753E-3</v>
      </c>
      <c r="L1181" s="318">
        <v>9.6314518082941437E-4</v>
      </c>
      <c r="M1181" s="317">
        <v>2.7529272015295019E-3</v>
      </c>
      <c r="N1181" s="318">
        <v>2.0000005732018801E-3</v>
      </c>
      <c r="O1181" s="317">
        <v>2.8557286461817658E-2</v>
      </c>
      <c r="P1181" s="318">
        <v>1.7284700560104876E-2</v>
      </c>
      <c r="Q1181" s="319">
        <v>6.4589007220242035E-3</v>
      </c>
    </row>
    <row r="1182" spans="2:17" ht="15.75" x14ac:dyDescent="0.25">
      <c r="B1182" s="176">
        <v>2040</v>
      </c>
      <c r="C1182" s="177">
        <v>2026</v>
      </c>
      <c r="D1182" s="178" t="s">
        <v>4028</v>
      </c>
      <c r="E1182" s="461">
        <v>3.6842693143485462E-2</v>
      </c>
      <c r="F1182" s="462">
        <v>3.7185257150481293E-2</v>
      </c>
      <c r="G1182" s="316">
        <v>6.6514450231218561E-2</v>
      </c>
      <c r="H1182" s="317">
        <v>2.8903107657075335E-3</v>
      </c>
      <c r="I1182" s="317">
        <v>5.0263052871956281E-2</v>
      </c>
      <c r="J1182" s="317">
        <v>2.4647633613523699E-2</v>
      </c>
      <c r="K1182" s="317">
        <v>5.9659816167170936E-3</v>
      </c>
      <c r="L1182" s="318">
        <v>8.4181338596256525E-4</v>
      </c>
      <c r="M1182" s="317">
        <v>2.7475578648939272E-3</v>
      </c>
      <c r="N1182" s="318">
        <v>2.0000005732018801E-3</v>
      </c>
      <c r="O1182" s="317">
        <v>2.846595404564653E-2</v>
      </c>
      <c r="P1182" s="318">
        <v>1.7260535294672991E-2</v>
      </c>
      <c r="Q1182" s="319">
        <v>6.2357368317736989E-3</v>
      </c>
    </row>
    <row r="1183" spans="2:17" ht="15.75" x14ac:dyDescent="0.25">
      <c r="B1183" s="176">
        <v>2040</v>
      </c>
      <c r="C1183" s="177">
        <v>2027</v>
      </c>
      <c r="D1183" s="178" t="s">
        <v>4029</v>
      </c>
      <c r="E1183" s="461">
        <v>3.6014903827843565E-2</v>
      </c>
      <c r="F1183" s="462">
        <v>3.6912402518084926E-2</v>
      </c>
      <c r="G1183" s="316">
        <v>6.5295793417074699E-2</v>
      </c>
      <c r="H1183" s="317">
        <v>2.8597011519006454E-3</v>
      </c>
      <c r="I1183" s="317">
        <v>4.8933627767622015E-2</v>
      </c>
      <c r="J1183" s="317">
        <v>2.3795038104938885E-2</v>
      </c>
      <c r="K1183" s="317">
        <v>5.7312328381662666E-3</v>
      </c>
      <c r="L1183" s="318">
        <v>7.0058289005833535E-4</v>
      </c>
      <c r="M1183" s="317">
        <v>2.7413306311307663E-3</v>
      </c>
      <c r="N1183" s="318">
        <v>2.0000005732018805E-3</v>
      </c>
      <c r="O1183" s="317">
        <v>2.8360028799335163E-2</v>
      </c>
      <c r="P1183" s="318">
        <v>1.7243885830128449E-2</v>
      </c>
      <c r="Q1183" s="319">
        <v>5.9903737551390817E-3</v>
      </c>
    </row>
    <row r="1184" spans="2:17" ht="15.75" x14ac:dyDescent="0.25">
      <c r="B1184" s="176">
        <v>2040</v>
      </c>
      <c r="C1184" s="177">
        <v>2028</v>
      </c>
      <c r="D1184" s="178" t="s">
        <v>4030</v>
      </c>
      <c r="E1184" s="461">
        <v>3.5953007889442203E-2</v>
      </c>
      <c r="F1184" s="462">
        <v>3.6836150439155259E-2</v>
      </c>
      <c r="G1184" s="316">
        <v>6.4174515853038239E-2</v>
      </c>
      <c r="H1184" s="317">
        <v>2.8283006402901878E-3</v>
      </c>
      <c r="I1184" s="317">
        <v>4.7625110266125724E-2</v>
      </c>
      <c r="J1184" s="317">
        <v>2.2965258297321874E-2</v>
      </c>
      <c r="K1184" s="317">
        <v>5.4944139479445615E-3</v>
      </c>
      <c r="L1184" s="318">
        <v>5.7932748421196494E-4</v>
      </c>
      <c r="M1184" s="317">
        <v>2.7371629494276871E-3</v>
      </c>
      <c r="N1184" s="318">
        <v>2.0000005732018801E-3</v>
      </c>
      <c r="O1184" s="317">
        <v>2.8289136533565785E-2</v>
      </c>
      <c r="P1184" s="318">
        <v>1.7229178935298316E-2</v>
      </c>
      <c r="Q1184" s="319">
        <v>5.7428469655698188E-3</v>
      </c>
    </row>
    <row r="1185" spans="2:17" ht="15.75" x14ac:dyDescent="0.25">
      <c r="B1185" s="176">
        <v>2040</v>
      </c>
      <c r="C1185" s="177">
        <v>2029</v>
      </c>
      <c r="D1185" s="178" t="s">
        <v>4031</v>
      </c>
      <c r="E1185" s="461">
        <v>3.5881199163937838E-2</v>
      </c>
      <c r="F1185" s="462">
        <v>3.6763167289625212E-2</v>
      </c>
      <c r="G1185" s="316">
        <v>6.2929906253631804E-2</v>
      </c>
      <c r="H1185" s="317">
        <v>2.7948137756524825E-3</v>
      </c>
      <c r="I1185" s="317">
        <v>4.6194765852905453E-2</v>
      </c>
      <c r="J1185" s="317">
        <v>2.2110057338202028E-2</v>
      </c>
      <c r="K1185" s="317">
        <v>5.2373473011132687E-3</v>
      </c>
      <c r="L1185" s="318">
        <v>5.7823574460979209E-4</v>
      </c>
      <c r="M1185" s="317">
        <v>2.7322277090423082E-3</v>
      </c>
      <c r="N1185" s="318">
        <v>2.0000005732018801E-3</v>
      </c>
      <c r="O1185" s="317">
        <v>2.8205188094610485E-2</v>
      </c>
      <c r="P1185" s="318">
        <v>1.7215662640980827E-2</v>
      </c>
      <c r="Q1185" s="319">
        <v>5.4741569056851683E-3</v>
      </c>
    </row>
    <row r="1186" spans="2:17" ht="15.75" x14ac:dyDescent="0.25">
      <c r="B1186" s="176">
        <v>2040</v>
      </c>
      <c r="C1186" s="177">
        <v>2030</v>
      </c>
      <c r="D1186" s="178" t="s">
        <v>4032</v>
      </c>
      <c r="E1186" s="461">
        <v>3.5834089321121525E-2</v>
      </c>
      <c r="F1186" s="462">
        <v>3.6673123151627296E-2</v>
      </c>
      <c r="G1186" s="316">
        <v>6.1766388290507054E-2</v>
      </c>
      <c r="H1186" s="317">
        <v>2.7578990386355122E-3</v>
      </c>
      <c r="I1186" s="317">
        <v>4.4771892987627612E-2</v>
      </c>
      <c r="J1186" s="317">
        <v>2.1167697469927357E-2</v>
      </c>
      <c r="K1186" s="317">
        <v>4.9759886756275146E-3</v>
      </c>
      <c r="L1186" s="318">
        <v>5.7679535464389569E-4</v>
      </c>
      <c r="M1186" s="317">
        <v>2.7291630049314712E-3</v>
      </c>
      <c r="N1186" s="318">
        <v>2.0000005732018801E-3</v>
      </c>
      <c r="O1186" s="317">
        <v>2.8153057477685154E-2</v>
      </c>
      <c r="P1186" s="318">
        <v>1.7196447636725377E-2</v>
      </c>
      <c r="Q1186" s="319">
        <v>5.2009808029166698E-3</v>
      </c>
    </row>
    <row r="1187" spans="2:17" ht="15.75" x14ac:dyDescent="0.25">
      <c r="B1187" s="176">
        <v>2040</v>
      </c>
      <c r="C1187" s="177">
        <v>2031</v>
      </c>
      <c r="D1187" s="178" t="s">
        <v>4033</v>
      </c>
      <c r="E1187" s="461">
        <v>3.5767754864457664E-2</v>
      </c>
      <c r="F1187" s="462">
        <v>3.6606191301984226E-2</v>
      </c>
      <c r="G1187" s="316">
        <v>6.0424346835206602E-2</v>
      </c>
      <c r="H1187" s="317">
        <v>2.7177423867676439E-3</v>
      </c>
      <c r="I1187" s="317">
        <v>4.31945047271282E-2</v>
      </c>
      <c r="J1187" s="317">
        <v>2.0301066662519563E-2</v>
      </c>
      <c r="K1187" s="317">
        <v>4.6907115845657658E-3</v>
      </c>
      <c r="L1187" s="318">
        <v>5.7589097698974693E-4</v>
      </c>
      <c r="M1187" s="317">
        <v>2.72458913511204E-3</v>
      </c>
      <c r="N1187" s="318">
        <v>2.0000005732018801E-3</v>
      </c>
      <c r="O1187" s="317">
        <v>2.8075255952056625E-2</v>
      </c>
      <c r="P1187" s="318">
        <v>1.7184308442963796E-2</v>
      </c>
      <c r="Q1187" s="319">
        <v>4.9028047476954535E-3</v>
      </c>
    </row>
    <row r="1188" spans="2:17" ht="15.75" x14ac:dyDescent="0.25">
      <c r="B1188" s="176">
        <v>2040</v>
      </c>
      <c r="C1188" s="177">
        <v>2032</v>
      </c>
      <c r="D1188" s="178" t="s">
        <v>4034</v>
      </c>
      <c r="E1188" s="461">
        <v>3.5735537817723463E-2</v>
      </c>
      <c r="F1188" s="462">
        <v>3.6574677040089126E-2</v>
      </c>
      <c r="G1188" s="316">
        <v>5.9219411062548293E-2</v>
      </c>
      <c r="H1188" s="317">
        <v>2.6731868792866822E-3</v>
      </c>
      <c r="I1188" s="317">
        <v>4.1655895658287194E-2</v>
      </c>
      <c r="J1188" s="317">
        <v>1.9371211345101343E-2</v>
      </c>
      <c r="K1188" s="317">
        <v>4.4043066043153133E-3</v>
      </c>
      <c r="L1188" s="318">
        <v>5.7566681328530712E-4</v>
      </c>
      <c r="M1188" s="317">
        <v>2.7227029427935047E-3</v>
      </c>
      <c r="N1188" s="318">
        <v>2.0000005732018801E-3</v>
      </c>
      <c r="O1188" s="317">
        <v>2.8043171820718343E-2</v>
      </c>
      <c r="P1188" s="318">
        <v>1.7183571857292215E-2</v>
      </c>
      <c r="Q1188" s="319">
        <v>4.6034498051413485E-3</v>
      </c>
    </row>
    <row r="1189" spans="2:17" ht="15.75" x14ac:dyDescent="0.25">
      <c r="B1189" s="176">
        <v>2040</v>
      </c>
      <c r="C1189" s="177">
        <v>2033</v>
      </c>
      <c r="D1189" s="178" t="s">
        <v>4035</v>
      </c>
      <c r="E1189" s="461">
        <v>3.5684850118430485E-2</v>
      </c>
      <c r="F1189" s="462">
        <v>3.6534530108122625E-2</v>
      </c>
      <c r="G1189" s="316">
        <v>5.7842840751222625E-2</v>
      </c>
      <c r="H1189" s="317">
        <v>2.6232473281065567E-3</v>
      </c>
      <c r="I1189" s="317">
        <v>3.9968268817713322E-2</v>
      </c>
      <c r="J1189" s="317">
        <v>1.8422664710275E-2</v>
      </c>
      <c r="K1189" s="317">
        <v>4.0949125927642145E-3</v>
      </c>
      <c r="L1189" s="318">
        <v>5.7514009120813948E-4</v>
      </c>
      <c r="M1189" s="317">
        <v>2.7193739995244933E-3</v>
      </c>
      <c r="N1189" s="318">
        <v>2.0000005732018801E-3</v>
      </c>
      <c r="O1189" s="317">
        <v>2.7986546495712462E-2</v>
      </c>
      <c r="P1189" s="318">
        <v>1.717791049070733E-2</v>
      </c>
      <c r="Q1189" s="319">
        <v>4.2800663693035043E-3</v>
      </c>
    </row>
    <row r="1190" spans="2:17" ht="15.75" x14ac:dyDescent="0.25">
      <c r="B1190" s="176">
        <v>2040</v>
      </c>
      <c r="C1190" s="177">
        <v>2034</v>
      </c>
      <c r="D1190" s="178" t="s">
        <v>4036</v>
      </c>
      <c r="E1190" s="461">
        <v>3.5643735457307084E-2</v>
      </c>
      <c r="F1190" s="462">
        <v>3.6480897132646788E-2</v>
      </c>
      <c r="G1190" s="316">
        <v>5.6455604673075907E-2</v>
      </c>
      <c r="H1190" s="317">
        <v>2.5685949076737881E-3</v>
      </c>
      <c r="I1190" s="317">
        <v>3.8228638868349575E-2</v>
      </c>
      <c r="J1190" s="317">
        <v>1.7484883315746335E-2</v>
      </c>
      <c r="K1190" s="317">
        <v>3.7735670801967202E-3</v>
      </c>
      <c r="L1190" s="318">
        <v>5.7436536419933309E-4</v>
      </c>
      <c r="M1190" s="317">
        <v>2.7167601770838393E-3</v>
      </c>
      <c r="N1190" s="318">
        <v>2.0000005732018805E-3</v>
      </c>
      <c r="O1190" s="317">
        <v>2.7942085375996854E-2</v>
      </c>
      <c r="P1190" s="318">
        <v>1.7167596641155958E-2</v>
      </c>
      <c r="Q1190" s="319">
        <v>3.9441910386072967E-3</v>
      </c>
    </row>
    <row r="1191" spans="2:17" ht="15.75" x14ac:dyDescent="0.25">
      <c r="B1191" s="176">
        <v>2040</v>
      </c>
      <c r="C1191" s="177">
        <v>2035</v>
      </c>
      <c r="D1191" s="178" t="s">
        <v>4037</v>
      </c>
      <c r="E1191" s="461">
        <v>3.5585477784115152E-2</v>
      </c>
      <c r="F1191" s="462">
        <v>3.6398087592273122E-2</v>
      </c>
      <c r="G1191" s="316">
        <v>5.4911122200141736E-2</v>
      </c>
      <c r="H1191" s="317">
        <v>2.512737124109952E-3</v>
      </c>
      <c r="I1191" s="317">
        <v>3.6352997601555317E-2</v>
      </c>
      <c r="J1191" s="317">
        <v>1.6557322103038095E-2</v>
      </c>
      <c r="K1191" s="317">
        <v>3.431619388853089E-3</v>
      </c>
      <c r="L1191" s="318">
        <v>5.7307453589516616E-4</v>
      </c>
      <c r="M1191" s="317">
        <v>2.7128019561471761E-3</v>
      </c>
      <c r="N1191" s="318">
        <v>2.0000005732018805E-3</v>
      </c>
      <c r="O1191" s="317">
        <v>2.7874756037864289E-2</v>
      </c>
      <c r="P1191" s="318">
        <v>1.7147052319037279E-2</v>
      </c>
      <c r="Q1191" s="319">
        <v>3.5867819900315167E-3</v>
      </c>
    </row>
    <row r="1192" spans="2:17" ht="15.75" x14ac:dyDescent="0.25">
      <c r="B1192" s="176">
        <v>2040</v>
      </c>
      <c r="C1192" s="177">
        <v>2036</v>
      </c>
      <c r="D1192" s="178" t="s">
        <v>4038</v>
      </c>
      <c r="E1192" s="461">
        <v>3.5567250404008599E-2</v>
      </c>
      <c r="F1192" s="462">
        <v>3.6389643890159758E-2</v>
      </c>
      <c r="G1192" s="316">
        <v>5.3518033253129045E-2</v>
      </c>
      <c r="H1192" s="317">
        <v>2.4658991371388815E-3</v>
      </c>
      <c r="I1192" s="317">
        <v>3.451471842698986E-2</v>
      </c>
      <c r="J1192" s="317">
        <v>1.5740012007795817E-2</v>
      </c>
      <c r="K1192" s="317">
        <v>3.086191958744362E-3</v>
      </c>
      <c r="L1192" s="318">
        <v>5.7327474706875259E-4</v>
      </c>
      <c r="M1192" s="317">
        <v>2.7119262324595854E-3</v>
      </c>
      <c r="N1192" s="318">
        <v>2.0000005732018797E-3</v>
      </c>
      <c r="O1192" s="317">
        <v>2.785985997793837E-2</v>
      </c>
      <c r="P1192" s="318">
        <v>1.7150974369603274E-2</v>
      </c>
      <c r="Q1192" s="319">
        <v>3.2257358643447897E-3</v>
      </c>
    </row>
    <row r="1193" spans="2:17" ht="15.75" x14ac:dyDescent="0.25">
      <c r="B1193" s="176">
        <v>2040</v>
      </c>
      <c r="C1193" s="177">
        <v>2037</v>
      </c>
      <c r="D1193" s="178" t="s">
        <v>4039</v>
      </c>
      <c r="E1193" s="461">
        <v>3.5558808742133775E-2</v>
      </c>
      <c r="F1193" s="462">
        <v>3.6373099316760291E-2</v>
      </c>
      <c r="G1193" s="316">
        <v>5.2105046994388247E-2</v>
      </c>
      <c r="H1193" s="317">
        <v>2.4366858249559339E-3</v>
      </c>
      <c r="I1193" s="317">
        <v>3.261311217985069E-2</v>
      </c>
      <c r="J1193" s="317">
        <v>1.5020629892755417E-2</v>
      </c>
      <c r="K1193" s="317">
        <v>2.7262837684507652E-3</v>
      </c>
      <c r="L1193" s="318">
        <v>5.7346687517898117E-4</v>
      </c>
      <c r="M1193" s="317">
        <v>2.7117421579549938E-3</v>
      </c>
      <c r="N1193" s="318">
        <v>2.0000005732018801E-3</v>
      </c>
      <c r="O1193" s="317">
        <v>2.7856728870615275E-2</v>
      </c>
      <c r="P1193" s="318">
        <v>1.7150950817184374E-2</v>
      </c>
      <c r="Q1193" s="319">
        <v>2.8495542227550568E-3</v>
      </c>
    </row>
    <row r="1194" spans="2:17" ht="15.75" x14ac:dyDescent="0.25">
      <c r="B1194" s="176">
        <v>2040</v>
      </c>
      <c r="C1194" s="177">
        <v>2038</v>
      </c>
      <c r="D1194" s="178" t="s">
        <v>4040</v>
      </c>
      <c r="E1194" s="461">
        <v>3.5521928054394331E-2</v>
      </c>
      <c r="F1194" s="462">
        <v>3.6325704729206924E-2</v>
      </c>
      <c r="G1194" s="316">
        <v>5.0472970938968652E-2</v>
      </c>
      <c r="H1194" s="317">
        <v>2.4273207465463657E-3</v>
      </c>
      <c r="I1194" s="317">
        <v>3.0544697822364311E-2</v>
      </c>
      <c r="J1194" s="317">
        <v>1.4435157493118708E-2</v>
      </c>
      <c r="K1194" s="317">
        <v>2.343423035857673E-3</v>
      </c>
      <c r="L1194" s="318">
        <v>5.7325560221667838E-4</v>
      </c>
      <c r="M1194" s="317">
        <v>2.709276149367217E-3</v>
      </c>
      <c r="N1194" s="318">
        <v>2.0000005732018801E-3</v>
      </c>
      <c r="O1194" s="317">
        <v>2.7814782064537188E-2</v>
      </c>
      <c r="P1194" s="318">
        <v>1.7139211456927622E-2</v>
      </c>
      <c r="Q1194" s="319">
        <v>2.4493822267534515E-3</v>
      </c>
    </row>
    <row r="1195" spans="2:17" ht="15.75" x14ac:dyDescent="0.25">
      <c r="B1195" s="176">
        <v>2040</v>
      </c>
      <c r="C1195" s="177">
        <v>2039</v>
      </c>
      <c r="D1195" s="178" t="s">
        <v>4041</v>
      </c>
      <c r="E1195" s="461">
        <v>3.5495196144512374E-2</v>
      </c>
      <c r="F1195" s="462">
        <v>3.6252107526180154E-2</v>
      </c>
      <c r="G1195" s="316">
        <v>4.8841835144412149E-2</v>
      </c>
      <c r="H1195" s="317">
        <v>2.4071038614238266E-3</v>
      </c>
      <c r="I1195" s="317">
        <v>2.8424849594459071E-2</v>
      </c>
      <c r="J1195" s="317">
        <v>1.3834097688351008E-2</v>
      </c>
      <c r="K1195" s="317">
        <v>1.9475965639632333E-3</v>
      </c>
      <c r="L1195" s="318">
        <v>5.7215058838428823E-4</v>
      </c>
      <c r="M1195" s="317">
        <v>2.7078374262427393E-3</v>
      </c>
      <c r="N1195" s="318">
        <v>2.0000005732018801E-3</v>
      </c>
      <c r="O1195" s="317">
        <v>2.7790309384189821E-2</v>
      </c>
      <c r="P1195" s="318">
        <v>1.7122667730792816E-2</v>
      </c>
      <c r="Q1195" s="319">
        <v>2.0356582382538937E-3</v>
      </c>
    </row>
    <row r="1196" spans="2:17" ht="15.75" x14ac:dyDescent="0.25">
      <c r="B1196" s="176">
        <v>2040</v>
      </c>
      <c r="C1196" s="177">
        <v>2040</v>
      </c>
      <c r="D1196" s="178" t="s">
        <v>4042</v>
      </c>
      <c r="E1196" s="461">
        <v>3.5124144193181474E-2</v>
      </c>
      <c r="F1196" s="462">
        <v>3.5573622345226756E-2</v>
      </c>
      <c r="G1196" s="316">
        <v>4.5456899486524427E-2</v>
      </c>
      <c r="H1196" s="317">
        <v>2.282213497611151E-3</v>
      </c>
      <c r="I1196" s="317">
        <v>2.5440251863143054E-2</v>
      </c>
      <c r="J1196" s="317">
        <v>1.2723902193141677E-2</v>
      </c>
      <c r="K1196" s="317">
        <v>1.4946609535267405E-3</v>
      </c>
      <c r="L1196" s="318">
        <v>5.5992044684704298E-4</v>
      </c>
      <c r="M1196" s="317">
        <v>2.6793277601653716E-3</v>
      </c>
      <c r="N1196" s="318">
        <v>2.0000005732018801E-3</v>
      </c>
      <c r="O1196" s="317">
        <v>2.7305359964213797E-2</v>
      </c>
      <c r="P1196" s="318">
        <v>1.6899480239277322E-2</v>
      </c>
      <c r="Q1196" s="319">
        <v>1.5622428893854671E-3</v>
      </c>
    </row>
    <row r="1197" spans="2:17" ht="15.75" x14ac:dyDescent="0.25">
      <c r="B1197" s="176">
        <v>2041</v>
      </c>
      <c r="C1197" s="177">
        <v>1997</v>
      </c>
      <c r="D1197" s="178" t="s">
        <v>4043</v>
      </c>
      <c r="E1197" s="461">
        <v>5.7712947314727328E-2</v>
      </c>
      <c r="F1197" s="462">
        <v>7.2254172298785113E-2</v>
      </c>
      <c r="G1197" s="316">
        <v>0.36102058478262311</v>
      </c>
      <c r="H1197" s="317">
        <v>0.14618745785790568</v>
      </c>
      <c r="I1197" s="317">
        <v>8.684409189194529</v>
      </c>
      <c r="J1197" s="317">
        <v>1.048615438237064</v>
      </c>
      <c r="K1197" s="317">
        <v>5.3820908844510663E-2</v>
      </c>
      <c r="L1197" s="318">
        <v>2.8949344143338177E-3</v>
      </c>
      <c r="M1197" s="317">
        <v>2.9459535693605468E-3</v>
      </c>
      <c r="N1197" s="318">
        <v>2.0000005732018801E-3</v>
      </c>
      <c r="O1197" s="317">
        <v>3.1840664978623735E-2</v>
      </c>
      <c r="P1197" s="318">
        <v>1.9312809836242777E-2</v>
      </c>
      <c r="Q1197" s="319">
        <v>5.6254451515713497E-2</v>
      </c>
    </row>
    <row r="1198" spans="2:17" ht="15.75" x14ac:dyDescent="0.25">
      <c r="B1198" s="176">
        <v>2041</v>
      </c>
      <c r="C1198" s="177">
        <v>1998</v>
      </c>
      <c r="D1198" s="178" t="s">
        <v>4044</v>
      </c>
      <c r="E1198" s="461">
        <v>5.7419065371508524E-2</v>
      </c>
      <c r="F1198" s="462">
        <v>6.8890097985143811E-2</v>
      </c>
      <c r="G1198" s="316">
        <v>0.35579035711414131</v>
      </c>
      <c r="H1198" s="317">
        <v>0.13568459172797448</v>
      </c>
      <c r="I1198" s="317">
        <v>8.577558060198168</v>
      </c>
      <c r="J1198" s="317">
        <v>0.92637063171696277</v>
      </c>
      <c r="K1198" s="317">
        <v>5.3635143353913645E-2</v>
      </c>
      <c r="L1198" s="318">
        <v>2.934892887376465E-3</v>
      </c>
      <c r="M1198" s="317">
        <v>2.930761061847191E-3</v>
      </c>
      <c r="N1198" s="318">
        <v>2.0000005732018801E-3</v>
      </c>
      <c r="O1198" s="317">
        <v>3.1582240425821549E-2</v>
      </c>
      <c r="P1198" s="318">
        <v>1.8388598093492508E-2</v>
      </c>
      <c r="Q1198" s="319">
        <v>5.6060286533953937E-2</v>
      </c>
    </row>
    <row r="1199" spans="2:17" ht="15.75" x14ac:dyDescent="0.25">
      <c r="B1199" s="176">
        <v>2041</v>
      </c>
      <c r="C1199" s="177">
        <v>1999</v>
      </c>
      <c r="D1199" s="178" t="s">
        <v>4045</v>
      </c>
      <c r="E1199" s="461">
        <v>5.7993345598265973E-2</v>
      </c>
      <c r="F1199" s="462">
        <v>6.9560325609976742E-2</v>
      </c>
      <c r="G1199" s="316">
        <v>0.36998133169218816</v>
      </c>
      <c r="H1199" s="317">
        <v>0.11846188802795443</v>
      </c>
      <c r="I1199" s="317">
        <v>8.9546246949189001</v>
      </c>
      <c r="J1199" s="317">
        <v>0.76817010848293121</v>
      </c>
      <c r="K1199" s="317">
        <v>5.3755599615938003E-2</v>
      </c>
      <c r="L1199" s="318">
        <v>2.9401480595094062E-3</v>
      </c>
      <c r="M1199" s="317">
        <v>2.9804278330033311E-3</v>
      </c>
      <c r="N1199" s="318">
        <v>2.0000005732018801E-3</v>
      </c>
      <c r="O1199" s="317">
        <v>3.2427072203187496E-2</v>
      </c>
      <c r="P1199" s="318">
        <v>1.8606847597185942E-2</v>
      </c>
      <c r="Q1199" s="319">
        <v>5.6186189293630166E-2</v>
      </c>
    </row>
    <row r="1200" spans="2:17" ht="15.75" x14ac:dyDescent="0.25">
      <c r="B1200" s="176">
        <v>2041</v>
      </c>
      <c r="C1200" s="177">
        <v>2000</v>
      </c>
      <c r="D1200" s="178" t="s">
        <v>4046</v>
      </c>
      <c r="E1200" s="461">
        <v>5.7971351537122975E-2</v>
      </c>
      <c r="F1200" s="462">
        <v>7.57304360245252E-2</v>
      </c>
      <c r="G1200" s="316">
        <v>0.37190647138018834</v>
      </c>
      <c r="H1200" s="317">
        <v>0.10170228764734648</v>
      </c>
      <c r="I1200" s="317">
        <v>9.0917225750882622</v>
      </c>
      <c r="J1200" s="317">
        <v>0.6164532051396564</v>
      </c>
      <c r="K1200" s="317">
        <v>5.3437139177870172E-2</v>
      </c>
      <c r="L1200" s="318">
        <v>2.9354077609016738E-3</v>
      </c>
      <c r="M1200" s="317">
        <v>2.9952694351658179E-3</v>
      </c>
      <c r="N1200" s="318">
        <v>2.0000005732018805E-3</v>
      </c>
      <c r="O1200" s="317">
        <v>3.2679527855971405E-2</v>
      </c>
      <c r="P1200" s="318">
        <v>1.8790520829147835E-2</v>
      </c>
      <c r="Q1200" s="319">
        <v>5.5853329487700276E-2</v>
      </c>
    </row>
    <row r="1201" spans="2:17" ht="15.75" x14ac:dyDescent="0.25">
      <c r="B1201" s="176">
        <v>2041</v>
      </c>
      <c r="C1201" s="177">
        <v>2001</v>
      </c>
      <c r="D1201" s="178" t="s">
        <v>4047</v>
      </c>
      <c r="E1201" s="461">
        <v>5.7964057089988301E-2</v>
      </c>
      <c r="F1201" s="462">
        <v>7.4511726617290941E-2</v>
      </c>
      <c r="G1201" s="316">
        <v>0.37076660603654332</v>
      </c>
      <c r="H1201" s="317">
        <v>8.7667383953819816E-2</v>
      </c>
      <c r="I1201" s="317">
        <v>8.9837831713632337</v>
      </c>
      <c r="J1201" s="317">
        <v>0.47673655540280724</v>
      </c>
      <c r="K1201" s="317">
        <v>5.3711014870471183E-2</v>
      </c>
      <c r="L1201" s="318">
        <v>2.9559420643783226E-3</v>
      </c>
      <c r="M1201" s="317">
        <v>2.9841608059341935E-3</v>
      </c>
      <c r="N1201" s="318">
        <v>2.0000005732018801E-3</v>
      </c>
      <c r="O1201" s="317">
        <v>3.2490570072741469E-2</v>
      </c>
      <c r="P1201" s="318">
        <v>1.8409012848392477E-2</v>
      </c>
      <c r="Q1201" s="319">
        <v>5.6139588623815309E-2</v>
      </c>
    </row>
    <row r="1202" spans="2:17" ht="15.75" x14ac:dyDescent="0.25">
      <c r="B1202" s="176">
        <v>2041</v>
      </c>
      <c r="C1202" s="177">
        <v>2002</v>
      </c>
      <c r="D1202" s="178" t="s">
        <v>4048</v>
      </c>
      <c r="E1202" s="461">
        <v>5.7871967779149665E-2</v>
      </c>
      <c r="F1202" s="462">
        <v>7.2579503761806233E-2</v>
      </c>
      <c r="G1202" s="316">
        <v>0.28806816611717639</v>
      </c>
      <c r="H1202" s="317">
        <v>8.7766665365108368E-2</v>
      </c>
      <c r="I1202" s="317">
        <v>7.007638781442072</v>
      </c>
      <c r="J1202" s="317">
        <v>0.45880125244114117</v>
      </c>
      <c r="K1202" s="317">
        <v>5.3862145711359874E-2</v>
      </c>
      <c r="L1202" s="318">
        <v>2.9797725414680764E-3</v>
      </c>
      <c r="M1202" s="317">
        <v>2.995240090165753E-3</v>
      </c>
      <c r="N1202" s="318">
        <v>2.0000005732018801E-3</v>
      </c>
      <c r="O1202" s="317">
        <v>3.267902869752029E-2</v>
      </c>
      <c r="P1202" s="318">
        <v>1.7809347078708099E-2</v>
      </c>
      <c r="Q1202" s="319">
        <v>5.6297552930695778E-2</v>
      </c>
    </row>
    <row r="1203" spans="2:17" ht="15.75" x14ac:dyDescent="0.25">
      <c r="B1203" s="176">
        <v>2041</v>
      </c>
      <c r="C1203" s="177">
        <v>2003</v>
      </c>
      <c r="D1203" s="178" t="s">
        <v>4049</v>
      </c>
      <c r="E1203" s="461">
        <v>5.7641224013492191E-2</v>
      </c>
      <c r="F1203" s="462">
        <v>7.3503539990465355E-2</v>
      </c>
      <c r="G1203" s="316">
        <v>0.28544096803254232</v>
      </c>
      <c r="H1203" s="317">
        <v>7.1232946012245613E-2</v>
      </c>
      <c r="I1203" s="317">
        <v>6.9978124360920297</v>
      </c>
      <c r="J1203" s="317">
        <v>0.39264086277708216</v>
      </c>
      <c r="K1203" s="317">
        <v>5.3552967051187429E-2</v>
      </c>
      <c r="L1203" s="318">
        <v>2.9638326143126815E-3</v>
      </c>
      <c r="M1203" s="317">
        <v>2.9901763994012974E-3</v>
      </c>
      <c r="N1203" s="318">
        <v>2.0000005732018801E-3</v>
      </c>
      <c r="O1203" s="317">
        <v>3.2592895317616895E-2</v>
      </c>
      <c r="P1203" s="318">
        <v>1.8148638848093854E-2</v>
      </c>
      <c r="Q1203" s="319">
        <v>5.5974394583470435E-2</v>
      </c>
    </row>
    <row r="1204" spans="2:17" ht="15.75" x14ac:dyDescent="0.25">
      <c r="B1204" s="176">
        <v>2041</v>
      </c>
      <c r="C1204" s="177">
        <v>2004</v>
      </c>
      <c r="D1204" s="178" t="s">
        <v>4050</v>
      </c>
      <c r="E1204" s="461">
        <v>5.7558672085903546E-2</v>
      </c>
      <c r="F1204" s="462">
        <v>7.3233492644306397E-2</v>
      </c>
      <c r="G1204" s="316">
        <v>0.23582420730277312</v>
      </c>
      <c r="H1204" s="317">
        <v>1.8246487762595277E-2</v>
      </c>
      <c r="I1204" s="317">
        <v>5.844011530986668</v>
      </c>
      <c r="J1204" s="317">
        <v>0.11516181044582453</v>
      </c>
      <c r="K1204" s="317">
        <v>5.3311685325179457E-2</v>
      </c>
      <c r="L1204" s="318">
        <v>1.9794972320014224E-4</v>
      </c>
      <c r="M1204" s="317">
        <v>2.9890247140281186E-3</v>
      </c>
      <c r="N1204" s="318">
        <v>2.0000005732018801E-3</v>
      </c>
      <c r="O1204" s="317">
        <v>3.257330514941912E-2</v>
      </c>
      <c r="P1204" s="318">
        <v>1.7773791919166872E-2</v>
      </c>
      <c r="Q1204" s="319">
        <v>5.5722203168484162E-2</v>
      </c>
    </row>
    <row r="1205" spans="2:17" ht="15.75" x14ac:dyDescent="0.25">
      <c r="B1205" s="176">
        <v>2041</v>
      </c>
      <c r="C1205" s="177">
        <v>2005</v>
      </c>
      <c r="D1205" s="178" t="s">
        <v>4051</v>
      </c>
      <c r="E1205" s="461">
        <v>5.7308119735599489E-2</v>
      </c>
      <c r="F1205" s="462">
        <v>6.9710640129471119E-2</v>
      </c>
      <c r="G1205" s="316">
        <v>0.23319609349620915</v>
      </c>
      <c r="H1205" s="317">
        <v>1.5901313594081656E-2</v>
      </c>
      <c r="I1205" s="317">
        <v>5.83475265962731</v>
      </c>
      <c r="J1205" s="317">
        <v>9.4195598551729071E-2</v>
      </c>
      <c r="K1205" s="317">
        <v>5.2947696100231458E-2</v>
      </c>
      <c r="L1205" s="318">
        <v>1.9855476543859636E-4</v>
      </c>
      <c r="M1205" s="317">
        <v>2.9819934340241032E-3</v>
      </c>
      <c r="N1205" s="318">
        <v>2.0000005732018801E-3</v>
      </c>
      <c r="O1205" s="317">
        <v>3.2453703076550822E-2</v>
      </c>
      <c r="P1205" s="318">
        <v>1.7119691594588923E-2</v>
      </c>
      <c r="Q1205" s="319">
        <v>5.5341755965962296E-2</v>
      </c>
    </row>
    <row r="1206" spans="2:17" ht="15.75" x14ac:dyDescent="0.25">
      <c r="B1206" s="176">
        <v>2041</v>
      </c>
      <c r="C1206" s="177">
        <v>2006</v>
      </c>
      <c r="D1206" s="178" t="s">
        <v>4052</v>
      </c>
      <c r="E1206" s="461">
        <v>5.7255800589396937E-2</v>
      </c>
      <c r="F1206" s="462">
        <v>7.3258715377689465E-2</v>
      </c>
      <c r="G1206" s="316">
        <v>0.2332151210479623</v>
      </c>
      <c r="H1206" s="317">
        <v>6.0233484375029362E-3</v>
      </c>
      <c r="I1206" s="317">
        <v>5.8410519191240642</v>
      </c>
      <c r="J1206" s="317">
        <v>6.5939436690107517E-2</v>
      </c>
      <c r="K1206" s="317">
        <v>5.2911377720139104E-2</v>
      </c>
      <c r="L1206" s="318">
        <v>1.9450344282298616E-4</v>
      </c>
      <c r="M1206" s="317">
        <v>2.9831924645135829E-3</v>
      </c>
      <c r="N1206" s="318">
        <v>2.0000005732018801E-3</v>
      </c>
      <c r="O1206" s="317">
        <v>3.2474098585176879E-2</v>
      </c>
      <c r="P1206" s="318">
        <v>1.8922629646499045E-2</v>
      </c>
      <c r="Q1206" s="319">
        <v>5.5303795429882549E-2</v>
      </c>
    </row>
    <row r="1207" spans="2:17" ht="15.75" x14ac:dyDescent="0.25">
      <c r="B1207" s="176">
        <v>2041</v>
      </c>
      <c r="C1207" s="177">
        <v>2007</v>
      </c>
      <c r="D1207" s="178" t="s">
        <v>4053</v>
      </c>
      <c r="E1207" s="461">
        <v>5.7079390911752168E-2</v>
      </c>
      <c r="F1207" s="462">
        <v>6.8752800034406938E-2</v>
      </c>
      <c r="G1207" s="316">
        <v>0.16786412771051826</v>
      </c>
      <c r="H1207" s="317">
        <v>8.5659775704407786E-3</v>
      </c>
      <c r="I1207" s="317">
        <v>2.991230783184756</v>
      </c>
      <c r="J1207" s="317">
        <v>5.814947389426306E-2</v>
      </c>
      <c r="K1207" s="317">
        <v>3.709164045134894E-2</v>
      </c>
      <c r="L1207" s="318">
        <v>1.9771360851186383E-4</v>
      </c>
      <c r="M1207" s="317">
        <v>2.9643389462138551E-3</v>
      </c>
      <c r="N1207" s="318">
        <v>2.0000005732018797E-3</v>
      </c>
      <c r="O1207" s="317">
        <v>3.2153400238898511E-2</v>
      </c>
      <c r="P1207" s="318">
        <v>1.7483432102257345E-2</v>
      </c>
      <c r="Q1207" s="319">
        <v>3.8768759840842035E-2</v>
      </c>
    </row>
    <row r="1208" spans="2:17" ht="15.75" x14ac:dyDescent="0.25">
      <c r="B1208" s="176">
        <v>2041</v>
      </c>
      <c r="C1208" s="177">
        <v>2008</v>
      </c>
      <c r="D1208" s="178" t="s">
        <v>4054</v>
      </c>
      <c r="E1208" s="461">
        <v>5.7112093521956606E-2</v>
      </c>
      <c r="F1208" s="462">
        <v>6.7224122172168679E-2</v>
      </c>
      <c r="G1208" s="316">
        <v>0.16982532106864481</v>
      </c>
      <c r="H1208" s="317">
        <v>8.3195450822153901E-3</v>
      </c>
      <c r="I1208" s="317">
        <v>3.0253045700650762</v>
      </c>
      <c r="J1208" s="317">
        <v>4.7248874691626912E-2</v>
      </c>
      <c r="K1208" s="317">
        <v>3.7495923609248694E-2</v>
      </c>
      <c r="L1208" s="318">
        <v>2.2562530877038778E-4</v>
      </c>
      <c r="M1208" s="317">
        <v>2.9766067484475875E-3</v>
      </c>
      <c r="N1208" s="318">
        <v>2.0000005732018801E-3</v>
      </c>
      <c r="O1208" s="317">
        <v>3.2362075554894197E-2</v>
      </c>
      <c r="P1208" s="318">
        <v>1.7513936294212325E-2</v>
      </c>
      <c r="Q1208" s="319">
        <v>3.9191322889162064E-2</v>
      </c>
    </row>
    <row r="1209" spans="2:17" ht="15.75" x14ac:dyDescent="0.25">
      <c r="B1209" s="176">
        <v>2041</v>
      </c>
      <c r="C1209" s="177">
        <v>2009</v>
      </c>
      <c r="D1209" s="178" t="s">
        <v>4055</v>
      </c>
      <c r="E1209" s="461">
        <v>5.6450781267971858E-2</v>
      </c>
      <c r="F1209" s="462">
        <v>6.1694806319504615E-2</v>
      </c>
      <c r="G1209" s="316">
        <v>0.1605726397244191</v>
      </c>
      <c r="H1209" s="317">
        <v>8.1492151567695275E-3</v>
      </c>
      <c r="I1209" s="317">
        <v>2.7684550144799025</v>
      </c>
      <c r="J1209" s="317">
        <v>3.4110745272085567E-2</v>
      </c>
      <c r="K1209" s="317">
        <v>3.53507238924173E-2</v>
      </c>
      <c r="L1209" s="318">
        <v>2.5514229100888488E-4</v>
      </c>
      <c r="M1209" s="317">
        <v>2.8970172172721282E-3</v>
      </c>
      <c r="N1209" s="318">
        <v>2.0000005732018801E-3</v>
      </c>
      <c r="O1209" s="317">
        <v>3.1008257629599734E-2</v>
      </c>
      <c r="P1209" s="318">
        <v>1.6836344193124467E-2</v>
      </c>
      <c r="Q1209" s="319">
        <v>3.6949126760318404E-2</v>
      </c>
    </row>
    <row r="1210" spans="2:17" ht="15.75" x14ac:dyDescent="0.25">
      <c r="B1210" s="176">
        <v>2041</v>
      </c>
      <c r="C1210" s="177">
        <v>2010</v>
      </c>
      <c r="D1210" s="178" t="s">
        <v>4056</v>
      </c>
      <c r="E1210" s="461">
        <v>5.5406536630352325E-2</v>
      </c>
      <c r="F1210" s="462">
        <v>5.9733920745010501E-2</v>
      </c>
      <c r="G1210" s="316">
        <v>9.6637046727536702E-2</v>
      </c>
      <c r="H1210" s="317">
        <v>7.3160770726986447E-3</v>
      </c>
      <c r="I1210" s="317">
        <v>0.2442963271824139</v>
      </c>
      <c r="J1210" s="317">
        <v>3.3213005154258082E-2</v>
      </c>
      <c r="K1210" s="317">
        <v>2.0637387175095435E-2</v>
      </c>
      <c r="L1210" s="318">
        <v>3.1113491799681357E-4</v>
      </c>
      <c r="M1210" s="317">
        <v>2.8235520780875859E-3</v>
      </c>
      <c r="N1210" s="318">
        <v>2.0000005732018797E-3</v>
      </c>
      <c r="O1210" s="317">
        <v>2.9758615612070671E-2</v>
      </c>
      <c r="P1210" s="318">
        <v>1.6461086182082849E-2</v>
      </c>
      <c r="Q1210" s="319">
        <v>2.1570518246103954E-2</v>
      </c>
    </row>
    <row r="1211" spans="2:17" ht="15.75" x14ac:dyDescent="0.25">
      <c r="B1211" s="176">
        <v>2041</v>
      </c>
      <c r="C1211" s="177">
        <v>2011</v>
      </c>
      <c r="D1211" s="178" t="s">
        <v>4057</v>
      </c>
      <c r="E1211" s="461">
        <v>5.525402827903169E-2</v>
      </c>
      <c r="F1211" s="462">
        <v>5.8464598532008805E-2</v>
      </c>
      <c r="G1211" s="316">
        <v>9.721358987076234E-2</v>
      </c>
      <c r="H1211" s="317">
        <v>7.4213212145195955E-3</v>
      </c>
      <c r="I1211" s="317">
        <v>0.24717443964947039</v>
      </c>
      <c r="J1211" s="317">
        <v>3.3562692468688198E-2</v>
      </c>
      <c r="K1211" s="317">
        <v>2.0863488312400983E-2</v>
      </c>
      <c r="L1211" s="318">
        <v>4.2124859816016012E-4</v>
      </c>
      <c r="M1211" s="317">
        <v>2.8412643520023852E-3</v>
      </c>
      <c r="N1211" s="318">
        <v>2.0000005732018801E-3</v>
      </c>
      <c r="O1211" s="317">
        <v>3.0059901391361402E-2</v>
      </c>
      <c r="P1211" s="318">
        <v>1.6606634981977252E-2</v>
      </c>
      <c r="Q1211" s="319">
        <v>2.1806842673529545E-2</v>
      </c>
    </row>
    <row r="1212" spans="2:17" ht="15.75" x14ac:dyDescent="0.25">
      <c r="B1212" s="176">
        <v>2041</v>
      </c>
      <c r="C1212" s="177">
        <v>2012</v>
      </c>
      <c r="D1212" s="178" t="s">
        <v>4058</v>
      </c>
      <c r="E1212" s="461">
        <v>5.337989336103624E-2</v>
      </c>
      <c r="F1212" s="462">
        <v>5.853956480247819E-2</v>
      </c>
      <c r="G1212" s="316">
        <v>8.6519713300757972E-2</v>
      </c>
      <c r="H1212" s="317">
        <v>7.0020408383687808E-3</v>
      </c>
      <c r="I1212" s="317">
        <v>0.21784783119986839</v>
      </c>
      <c r="J1212" s="317">
        <v>3.4726034423487574E-2</v>
      </c>
      <c r="K1212" s="317">
        <v>1.8806058404932203E-2</v>
      </c>
      <c r="L1212" s="318">
        <v>6.113002576549686E-4</v>
      </c>
      <c r="M1212" s="317">
        <v>2.7218858344571781E-3</v>
      </c>
      <c r="N1212" s="318">
        <v>2.0000005732018801E-3</v>
      </c>
      <c r="O1212" s="317">
        <v>2.8029272807917425E-2</v>
      </c>
      <c r="P1212" s="318">
        <v>1.7016608202592078E-2</v>
      </c>
      <c r="Q1212" s="319">
        <v>1.9656384915355027E-2</v>
      </c>
    </row>
    <row r="1213" spans="2:17" ht="15.75" x14ac:dyDescent="0.25">
      <c r="B1213" s="176">
        <v>2041</v>
      </c>
      <c r="C1213" s="177">
        <v>2013</v>
      </c>
      <c r="D1213" s="178" t="s">
        <v>4059</v>
      </c>
      <c r="E1213" s="461">
        <v>5.5121077639820888E-2</v>
      </c>
      <c r="F1213" s="462">
        <v>5.728383931763889E-2</v>
      </c>
      <c r="G1213" s="316">
        <v>9.925133253566927E-2</v>
      </c>
      <c r="H1213" s="317">
        <v>7.9329088913265514E-3</v>
      </c>
      <c r="I1213" s="317">
        <v>0.25207104723269297</v>
      </c>
      <c r="J1213" s="317">
        <v>3.3761742034713986E-2</v>
      </c>
      <c r="K1213" s="317">
        <v>2.1193370218305765E-2</v>
      </c>
      <c r="L1213" s="318">
        <v>9.1299784548794357E-4</v>
      </c>
      <c r="M1213" s="317">
        <v>2.8577965795675976E-3</v>
      </c>
      <c r="N1213" s="318">
        <v>2.0000005732018797E-3</v>
      </c>
      <c r="O1213" s="317">
        <v>3.0341114582245657E-2</v>
      </c>
      <c r="P1213" s="318">
        <v>1.7114783190191461E-2</v>
      </c>
      <c r="Q1213" s="319">
        <v>2.2151640375390108E-2</v>
      </c>
    </row>
    <row r="1214" spans="2:17" ht="15.75" x14ac:dyDescent="0.25">
      <c r="B1214" s="176">
        <v>2041</v>
      </c>
      <c r="C1214" s="177">
        <v>2014</v>
      </c>
      <c r="D1214" s="178" t="s">
        <v>4060</v>
      </c>
      <c r="E1214" s="461">
        <v>5.2370356887361649E-2</v>
      </c>
      <c r="F1214" s="462">
        <v>5.4928561083637598E-2</v>
      </c>
      <c r="G1214" s="316">
        <v>8.8997534266381198E-2</v>
      </c>
      <c r="H1214" s="317">
        <v>8.0621774940739365E-3</v>
      </c>
      <c r="I1214" s="317">
        <v>0.22480543154864091</v>
      </c>
      <c r="J1214" s="317">
        <v>3.2242684347563236E-2</v>
      </c>
      <c r="K1214" s="317">
        <v>1.9305532717161015E-2</v>
      </c>
      <c r="L1214" s="318">
        <v>1.2830199106334409E-3</v>
      </c>
      <c r="M1214" s="317">
        <v>2.7514787613747514E-3</v>
      </c>
      <c r="N1214" s="318">
        <v>2.0000005732018801E-3</v>
      </c>
      <c r="O1214" s="317">
        <v>2.8532648494785349E-2</v>
      </c>
      <c r="P1214" s="318">
        <v>1.6599123062573516E-2</v>
      </c>
      <c r="Q1214" s="319">
        <v>2.0178443239598342E-2</v>
      </c>
    </row>
    <row r="1215" spans="2:17" ht="15.75" x14ac:dyDescent="0.25">
      <c r="B1215" s="176">
        <v>2041</v>
      </c>
      <c r="C1215" s="177">
        <v>2015</v>
      </c>
      <c r="D1215" s="178" t="s">
        <v>4061</v>
      </c>
      <c r="E1215" s="461">
        <v>5.1264927624578252E-2</v>
      </c>
      <c r="F1215" s="462">
        <v>5.7625588727593248E-2</v>
      </c>
      <c r="G1215" s="316">
        <v>8.5132949002146907E-2</v>
      </c>
      <c r="H1215" s="317">
        <v>8.0585198769493136E-3</v>
      </c>
      <c r="I1215" s="317">
        <v>0.21610378513878883</v>
      </c>
      <c r="J1215" s="317">
        <v>3.3971477226105808E-2</v>
      </c>
      <c r="K1215" s="317">
        <v>1.8736164775464755E-2</v>
      </c>
      <c r="L1215" s="318">
        <v>1.59199010412099E-3</v>
      </c>
      <c r="M1215" s="317">
        <v>2.7251019696230639E-3</v>
      </c>
      <c r="N1215" s="318">
        <v>2.0000005732018801E-3</v>
      </c>
      <c r="O1215" s="317">
        <v>2.8083979267089155E-2</v>
      </c>
      <c r="P1215" s="318">
        <v>1.7686580753465787E-2</v>
      </c>
      <c r="Q1215" s="319">
        <v>1.9583331006111433E-2</v>
      </c>
    </row>
    <row r="1216" spans="2:17" ht="15.75" x14ac:dyDescent="0.25">
      <c r="B1216" s="176">
        <v>2041</v>
      </c>
      <c r="C1216" s="177">
        <v>2016</v>
      </c>
      <c r="D1216" s="178" t="s">
        <v>4062</v>
      </c>
      <c r="E1216" s="461">
        <v>5.1680711580776209E-2</v>
      </c>
      <c r="F1216" s="462">
        <v>5.9219219335842573E-2</v>
      </c>
      <c r="G1216" s="316">
        <v>9.7904406378906544E-2</v>
      </c>
      <c r="H1216" s="317">
        <v>7.8178073904193943E-3</v>
      </c>
      <c r="I1216" s="317">
        <v>0.22088383157284275</v>
      </c>
      <c r="J1216" s="317">
        <v>3.4454481821654892E-2</v>
      </c>
      <c r="K1216" s="317">
        <v>2.1213742490455628E-2</v>
      </c>
      <c r="L1216" s="318">
        <v>1.8216335172451619E-3</v>
      </c>
      <c r="M1216" s="317">
        <v>2.8697370058032123E-3</v>
      </c>
      <c r="N1216" s="318">
        <v>2.0000005732018801E-3</v>
      </c>
      <c r="O1216" s="317">
        <v>3.054422123251346E-2</v>
      </c>
      <c r="P1216" s="318">
        <v>1.8688026599170137E-2</v>
      </c>
      <c r="Q1216" s="319">
        <v>2.2172933791285876E-2</v>
      </c>
    </row>
    <row r="1217" spans="2:17" ht="15.75" x14ac:dyDescent="0.25">
      <c r="B1217" s="176">
        <v>2041</v>
      </c>
      <c r="C1217" s="177">
        <v>2017</v>
      </c>
      <c r="D1217" s="178" t="s">
        <v>4063</v>
      </c>
      <c r="E1217" s="461">
        <v>4.8207597281095048E-2</v>
      </c>
      <c r="F1217" s="462">
        <v>5.2759494993714497E-2</v>
      </c>
      <c r="G1217" s="316">
        <v>7.8049889568726313E-2</v>
      </c>
      <c r="H1217" s="317">
        <v>7.8359270120235223E-3</v>
      </c>
      <c r="I1217" s="317">
        <v>0.16479003909542619</v>
      </c>
      <c r="J1217" s="317">
        <v>3.156640841623793E-2</v>
      </c>
      <c r="K1217" s="317">
        <v>1.93584315826941E-2</v>
      </c>
      <c r="L1217" s="318">
        <v>2.0094650728135128E-3</v>
      </c>
      <c r="M1217" s="317">
        <v>2.8213461316775445E-3</v>
      </c>
      <c r="N1217" s="318">
        <v>2.0000005732018801E-3</v>
      </c>
      <c r="O1217" s="317">
        <v>2.972109246363586E-2</v>
      </c>
      <c r="P1217" s="318">
        <v>1.7480705774284223E-2</v>
      </c>
      <c r="Q1217" s="319">
        <v>2.0233733957095646E-2</v>
      </c>
    </row>
    <row r="1218" spans="2:17" ht="15.75" x14ac:dyDescent="0.25">
      <c r="B1218" s="176">
        <v>2041</v>
      </c>
      <c r="C1218" s="177">
        <v>2018</v>
      </c>
      <c r="D1218" s="178" t="s">
        <v>4064</v>
      </c>
      <c r="E1218" s="461">
        <v>4.5086859656178285E-2</v>
      </c>
      <c r="F1218" s="462">
        <v>5.0305496390541181E-2</v>
      </c>
      <c r="G1218" s="316">
        <v>7.7505232517521755E-2</v>
      </c>
      <c r="H1218" s="317">
        <v>7.4740596062392072E-3</v>
      </c>
      <c r="I1218" s="317">
        <v>0.13472496577976317</v>
      </c>
      <c r="J1218" s="317">
        <v>3.0100398375261024E-2</v>
      </c>
      <c r="K1218" s="317">
        <v>1.7978598838936651E-2</v>
      </c>
      <c r="L1218" s="318">
        <v>2.0923441041751163E-3</v>
      </c>
      <c r="M1218" s="317">
        <v>2.8141515044274638E-3</v>
      </c>
      <c r="N1218" s="318">
        <v>2.0000005732018801E-3</v>
      </c>
      <c r="O1218" s="317">
        <v>2.9598711854111986E-2</v>
      </c>
      <c r="P1218" s="318">
        <v>1.7440128928395696E-2</v>
      </c>
      <c r="Q1218" s="319">
        <v>1.8791511299582602E-2</v>
      </c>
    </row>
    <row r="1219" spans="2:17" ht="15.75" x14ac:dyDescent="0.25">
      <c r="B1219" s="176">
        <v>2041</v>
      </c>
      <c r="C1219" s="177">
        <v>2019</v>
      </c>
      <c r="D1219" s="178" t="s">
        <v>4065</v>
      </c>
      <c r="E1219" s="461">
        <v>4.4667275945442925E-2</v>
      </c>
      <c r="F1219" s="462">
        <v>4.8364900354116266E-2</v>
      </c>
      <c r="G1219" s="316">
        <v>7.6821220072258556E-2</v>
      </c>
      <c r="H1219" s="317">
        <v>6.7131325212876599E-3</v>
      </c>
      <c r="I1219" s="317">
        <v>0.11591223623527494</v>
      </c>
      <c r="J1219" s="317">
        <v>2.7295404045912512E-2</v>
      </c>
      <c r="K1219" s="317">
        <v>1.5435643541384192E-2</v>
      </c>
      <c r="L1219" s="318">
        <v>1.987777444679594E-3</v>
      </c>
      <c r="M1219" s="317">
        <v>2.8060699809596577E-3</v>
      </c>
      <c r="N1219" s="318">
        <v>2.0000005732018801E-3</v>
      </c>
      <c r="O1219" s="317">
        <v>2.9461245139924607E-2</v>
      </c>
      <c r="P1219" s="318">
        <v>1.7417042124533041E-2</v>
      </c>
      <c r="Q1219" s="319">
        <v>1.6133574847671854E-2</v>
      </c>
    </row>
    <row r="1220" spans="2:17" ht="15.75" x14ac:dyDescent="0.25">
      <c r="B1220" s="176">
        <v>2041</v>
      </c>
      <c r="C1220" s="177">
        <v>2020</v>
      </c>
      <c r="D1220" s="178" t="s">
        <v>4066</v>
      </c>
      <c r="E1220" s="461">
        <v>4.4223961881384971E-2</v>
      </c>
      <c r="F1220" s="462">
        <v>4.644320725364301E-2</v>
      </c>
      <c r="G1220" s="316">
        <v>7.6072755996249838E-2</v>
      </c>
      <c r="H1220" s="317">
        <v>5.7972503932096232E-3</v>
      </c>
      <c r="I1220" s="317">
        <v>9.7103439385123697E-2</v>
      </c>
      <c r="J1220" s="317">
        <v>2.508037982934121E-2</v>
      </c>
      <c r="K1220" s="317">
        <v>1.2898012815955259E-2</v>
      </c>
      <c r="L1220" s="318">
        <v>1.4689029318073433E-3</v>
      </c>
      <c r="M1220" s="317">
        <v>2.7981670274868434E-3</v>
      </c>
      <c r="N1220" s="318">
        <v>2.0000005732018801E-3</v>
      </c>
      <c r="O1220" s="317">
        <v>2.9326815901352034E-2</v>
      </c>
      <c r="P1220" s="318">
        <v>1.7401414560093961E-2</v>
      </c>
      <c r="Q1220" s="319">
        <v>1.3481203721408605E-2</v>
      </c>
    </row>
    <row r="1221" spans="2:17" ht="15.75" x14ac:dyDescent="0.25">
      <c r="B1221" s="176">
        <v>2041</v>
      </c>
      <c r="C1221" s="177">
        <v>2021</v>
      </c>
      <c r="D1221" s="178" t="s">
        <v>4067</v>
      </c>
      <c r="E1221" s="461">
        <v>4.2840853959938099E-2</v>
      </c>
      <c r="F1221" s="462">
        <v>4.4326579932967264E-2</v>
      </c>
      <c r="G1221" s="316">
        <v>7.3050295425408335E-2</v>
      </c>
      <c r="H1221" s="317">
        <v>5.101236895826769E-3</v>
      </c>
      <c r="I1221" s="317">
        <v>7.4226303363649868E-2</v>
      </c>
      <c r="J1221" s="317">
        <v>2.3913229851529494E-2</v>
      </c>
      <c r="K1221" s="317">
        <v>9.3719846518163577E-3</v>
      </c>
      <c r="L1221" s="318">
        <v>9.7055886881744523E-4</v>
      </c>
      <c r="M1221" s="317">
        <v>2.7913883189718916E-3</v>
      </c>
      <c r="N1221" s="318">
        <v>2.0000005732018801E-3</v>
      </c>
      <c r="O1221" s="317">
        <v>2.9211510069512711E-2</v>
      </c>
      <c r="P1221" s="318">
        <v>1.7400508181206354E-2</v>
      </c>
      <c r="Q1221" s="319">
        <v>9.7957442102055113E-3</v>
      </c>
    </row>
    <row r="1222" spans="2:17" ht="15.75" x14ac:dyDescent="0.25">
      <c r="B1222" s="176">
        <v>2041</v>
      </c>
      <c r="C1222" s="177">
        <v>2022</v>
      </c>
      <c r="D1222" s="178" t="s">
        <v>4068</v>
      </c>
      <c r="E1222" s="461">
        <v>4.1580785981853177E-2</v>
      </c>
      <c r="F1222" s="462">
        <v>4.2644223881315446E-2</v>
      </c>
      <c r="G1222" s="316">
        <v>7.2155663373864573E-2</v>
      </c>
      <c r="H1222" s="317">
        <v>4.3000359327328326E-3</v>
      </c>
      <c r="I1222" s="317">
        <v>5.5965022219981612E-2</v>
      </c>
      <c r="J1222" s="317">
        <v>2.2583016304374124E-2</v>
      </c>
      <c r="K1222" s="317">
        <v>6.9461129350229904E-3</v>
      </c>
      <c r="L1222" s="318">
        <v>9.6890513372369438E-4</v>
      </c>
      <c r="M1222" s="317">
        <v>2.7843272906934399E-3</v>
      </c>
      <c r="N1222" s="318">
        <v>2.0000005732018801E-3</v>
      </c>
      <c r="O1222" s="317">
        <v>2.9091401978496235E-2</v>
      </c>
      <c r="P1222" s="318">
        <v>1.7379272526893925E-2</v>
      </c>
      <c r="Q1222" s="319">
        <v>7.2601853390250768E-3</v>
      </c>
    </row>
    <row r="1223" spans="2:17" ht="15.75" x14ac:dyDescent="0.25">
      <c r="B1223" s="176">
        <v>2041</v>
      </c>
      <c r="C1223" s="177">
        <v>2023</v>
      </c>
      <c r="D1223" s="178" t="s">
        <v>4069</v>
      </c>
      <c r="E1223" s="461">
        <v>4.0333203667525346E-2</v>
      </c>
      <c r="F1223" s="462">
        <v>4.0986670370222467E-2</v>
      </c>
      <c r="G1223" s="316">
        <v>7.1258102968686593E-2</v>
      </c>
      <c r="H1223" s="317">
        <v>3.7367620270329252E-3</v>
      </c>
      <c r="I1223" s="317">
        <v>5.5062029785815987E-2</v>
      </c>
      <c r="J1223" s="317">
        <v>2.294578623988559E-2</v>
      </c>
      <c r="K1223" s="317">
        <v>6.7908578081095584E-3</v>
      </c>
      <c r="L1223" s="318">
        <v>9.6768975345986415E-4</v>
      </c>
      <c r="M1223" s="317">
        <v>2.7780612399823613E-3</v>
      </c>
      <c r="N1223" s="318">
        <v>2.0000005732018801E-3</v>
      </c>
      <c r="O1223" s="317">
        <v>2.89848164559008E-2</v>
      </c>
      <c r="P1223" s="318">
        <v>1.7364084775013736E-2</v>
      </c>
      <c r="Q1223" s="319">
        <v>7.0979102642070432E-3</v>
      </c>
    </row>
    <row r="1224" spans="2:17" ht="15.75" x14ac:dyDescent="0.25">
      <c r="B1224" s="176">
        <v>2041</v>
      </c>
      <c r="C1224" s="177">
        <v>2024</v>
      </c>
      <c r="D1224" s="178" t="s">
        <v>4070</v>
      </c>
      <c r="E1224" s="461">
        <v>3.906596724353547E-2</v>
      </c>
      <c r="F1224" s="462">
        <v>3.9279084242171948E-2</v>
      </c>
      <c r="G1224" s="316">
        <v>6.9990640585672378E-2</v>
      </c>
      <c r="H1224" s="317">
        <v>3.2388864393642441E-3</v>
      </c>
      <c r="I1224" s="317">
        <v>5.3866618270182888E-2</v>
      </c>
      <c r="J1224" s="317">
        <v>2.4149810405472531E-2</v>
      </c>
      <c r="K1224" s="317">
        <v>6.5914786761337918E-3</v>
      </c>
      <c r="L1224" s="318">
        <v>9.658224143962908E-4</v>
      </c>
      <c r="M1224" s="317">
        <v>2.7680815207380702E-3</v>
      </c>
      <c r="N1224" s="318">
        <v>2.0000005732018801E-3</v>
      </c>
      <c r="O1224" s="317">
        <v>2.8815061431555319E-2</v>
      </c>
      <c r="P1224" s="318">
        <v>1.7330905913063757E-2</v>
      </c>
      <c r="Q1224" s="319">
        <v>6.8895160926151274E-3</v>
      </c>
    </row>
    <row r="1225" spans="2:17" ht="15.75" x14ac:dyDescent="0.25">
      <c r="B1225" s="176">
        <v>2041</v>
      </c>
      <c r="C1225" s="177">
        <v>2025</v>
      </c>
      <c r="D1225" s="178" t="s">
        <v>4071</v>
      </c>
      <c r="E1225" s="461">
        <v>3.7828249802925547E-2</v>
      </c>
      <c r="F1225" s="462">
        <v>3.760199600415183E-2</v>
      </c>
      <c r="G1225" s="316">
        <v>6.8825538102180936E-2</v>
      </c>
      <c r="H1225" s="317">
        <v>2.9473429208178694E-3</v>
      </c>
      <c r="I1225" s="317">
        <v>5.2698047325850782E-2</v>
      </c>
      <c r="J1225" s="317">
        <v>2.6120562991851122E-2</v>
      </c>
      <c r="K1225" s="317">
        <v>6.3914057573444868E-3</v>
      </c>
      <c r="L1225" s="318">
        <v>9.6420066605975197E-4</v>
      </c>
      <c r="M1225" s="317">
        <v>2.7601619747268818E-3</v>
      </c>
      <c r="N1225" s="318">
        <v>2.0000005732018801E-3</v>
      </c>
      <c r="O1225" s="317">
        <v>2.8680349953905081E-2</v>
      </c>
      <c r="P1225" s="318">
        <v>1.7305221857816924E-2</v>
      </c>
      <c r="Q1225" s="319">
        <v>6.6803967642485992E-3</v>
      </c>
    </row>
    <row r="1226" spans="2:17" ht="15.75" x14ac:dyDescent="0.25">
      <c r="B1226" s="176">
        <v>2041</v>
      </c>
      <c r="C1226" s="177">
        <v>2026</v>
      </c>
      <c r="D1226" s="178" t="s">
        <v>4072</v>
      </c>
      <c r="E1226" s="461">
        <v>3.6928789045253679E-2</v>
      </c>
      <c r="F1226" s="462">
        <v>3.7298427717849324E-2</v>
      </c>
      <c r="G1226" s="316">
        <v>6.7642484497412073E-2</v>
      </c>
      <c r="H1226" s="317">
        <v>2.9197503684195631E-3</v>
      </c>
      <c r="I1226" s="317">
        <v>5.1476009316616694E-2</v>
      </c>
      <c r="J1226" s="317">
        <v>2.543479673140351E-2</v>
      </c>
      <c r="K1226" s="317">
        <v>6.1798132309395281E-3</v>
      </c>
      <c r="L1226" s="318">
        <v>8.4311112819624194E-4</v>
      </c>
      <c r="M1226" s="317">
        <v>2.7528177246630261E-3</v>
      </c>
      <c r="N1226" s="318">
        <v>2.0000005732018801E-3</v>
      </c>
      <c r="O1226" s="317">
        <v>2.8555424260318901E-2</v>
      </c>
      <c r="P1226" s="318">
        <v>1.7284325258445171E-2</v>
      </c>
      <c r="Q1226" s="319">
        <v>6.4592369627275385E-3</v>
      </c>
    </row>
    <row r="1227" spans="2:17" ht="15.75" x14ac:dyDescent="0.25">
      <c r="B1227" s="176">
        <v>2041</v>
      </c>
      <c r="C1227" s="177">
        <v>2027</v>
      </c>
      <c r="D1227" s="178" t="s">
        <v>4073</v>
      </c>
      <c r="E1227" s="461">
        <v>3.610651546935207E-2</v>
      </c>
      <c r="F1227" s="462">
        <v>3.6999297951603144E-2</v>
      </c>
      <c r="G1227" s="316">
        <v>6.6555297933028196E-2</v>
      </c>
      <c r="H1227" s="317">
        <v>2.889771647959082E-3</v>
      </c>
      <c r="I1227" s="317">
        <v>5.0274810944147832E-2</v>
      </c>
      <c r="J1227" s="317">
        <v>2.4614208361642284E-2</v>
      </c>
      <c r="K1227" s="317">
        <v>5.9663400757137813E-3</v>
      </c>
      <c r="L1227" s="318">
        <v>7.0167013159725246E-4</v>
      </c>
      <c r="M1227" s="317">
        <v>2.7474489716086442E-3</v>
      </c>
      <c r="N1227" s="318">
        <v>2.0000005732018805E-3</v>
      </c>
      <c r="O1227" s="317">
        <v>2.8464101770863871E-2</v>
      </c>
      <c r="P1227" s="318">
        <v>1.7260181386057571E-2</v>
      </c>
      <c r="Q1227" s="319">
        <v>6.2361114986955839E-3</v>
      </c>
    </row>
    <row r="1228" spans="2:17" ht="15.75" x14ac:dyDescent="0.25">
      <c r="B1228" s="176">
        <v>2041</v>
      </c>
      <c r="C1228" s="177">
        <v>2028</v>
      </c>
      <c r="D1228" s="178" t="s">
        <v>4074</v>
      </c>
      <c r="E1228" s="461">
        <v>3.6017381179922814E-2</v>
      </c>
      <c r="F1228" s="462">
        <v>3.6916053175136972E-2</v>
      </c>
      <c r="G1228" s="316">
        <v>6.5335343872690882E-2</v>
      </c>
      <c r="H1228" s="317">
        <v>2.859502924618707E-3</v>
      </c>
      <c r="I1228" s="317">
        <v>4.8944903487907677E-2</v>
      </c>
      <c r="J1228" s="317">
        <v>2.3811499845114756E-2</v>
      </c>
      <c r="K1228" s="317">
        <v>5.7315738464961451E-3</v>
      </c>
      <c r="L1228" s="318">
        <v>5.8038220504581187E-4</v>
      </c>
      <c r="M1228" s="317">
        <v>2.7412241468168347E-3</v>
      </c>
      <c r="N1228" s="318">
        <v>2.0000005732018801E-3</v>
      </c>
      <c r="O1228" s="317">
        <v>2.8358217501155185E-2</v>
      </c>
      <c r="P1228" s="318">
        <v>1.7243541436652864E-2</v>
      </c>
      <c r="Q1228" s="319">
        <v>5.9907301823524366E-3</v>
      </c>
    </row>
    <row r="1229" spans="2:17" ht="15.75" x14ac:dyDescent="0.25">
      <c r="B1229" s="176">
        <v>2041</v>
      </c>
      <c r="C1229" s="177">
        <v>2029</v>
      </c>
      <c r="D1229" s="178" t="s">
        <v>4075</v>
      </c>
      <c r="E1229" s="461">
        <v>3.5955417910359187E-2</v>
      </c>
      <c r="F1229" s="462">
        <v>3.6839669313664267E-2</v>
      </c>
      <c r="G1229" s="316">
        <v>6.4213509129912583E-2</v>
      </c>
      <c r="H1229" s="317">
        <v>2.8276519073819071E-3</v>
      </c>
      <c r="I1229" s="317">
        <v>4.7636101192918646E-2</v>
      </c>
      <c r="J1229" s="317">
        <v>2.2979397422964645E-2</v>
      </c>
      <c r="K1229" s="317">
        <v>5.4947417572332059E-3</v>
      </c>
      <c r="L1229" s="318">
        <v>5.7923132426015707E-4</v>
      </c>
      <c r="M1229" s="317">
        <v>2.7370566530971418E-3</v>
      </c>
      <c r="N1229" s="318">
        <v>2.0000005732018801E-3</v>
      </c>
      <c r="O1229" s="317">
        <v>2.8287328432983209E-2</v>
      </c>
      <c r="P1229" s="318">
        <v>1.7228842439756115E-2</v>
      </c>
      <c r="Q1229" s="319">
        <v>5.7431895969398596E-3</v>
      </c>
    </row>
    <row r="1230" spans="2:17" ht="15.75" x14ac:dyDescent="0.25">
      <c r="B1230" s="176">
        <v>2041</v>
      </c>
      <c r="C1230" s="177">
        <v>2030</v>
      </c>
      <c r="D1230" s="178" t="s">
        <v>4076</v>
      </c>
      <c r="E1230" s="461">
        <v>3.5883602178292222E-2</v>
      </c>
      <c r="F1230" s="462">
        <v>3.6766588513057093E-2</v>
      </c>
      <c r="G1230" s="316">
        <v>6.2969138609921899E-2</v>
      </c>
      <c r="H1230" s="317">
        <v>2.7938986365846968E-3</v>
      </c>
      <c r="I1230" s="317">
        <v>4.620579076012004E-2</v>
      </c>
      <c r="J1230" s="317">
        <v>2.2055257983333881E-2</v>
      </c>
      <c r="K1230" s="317">
        <v>5.2376854717455625E-3</v>
      </c>
      <c r="L1230" s="318">
        <v>5.7814165231645737E-4</v>
      </c>
      <c r="M1230" s="317">
        <v>2.7321222541404708E-3</v>
      </c>
      <c r="N1230" s="318">
        <v>2.0000005732018801E-3</v>
      </c>
      <c r="O1230" s="317">
        <v>2.8203394306730238E-2</v>
      </c>
      <c r="P1230" s="318">
        <v>1.7215329639923997E-2</v>
      </c>
      <c r="Q1230" s="319">
        <v>5.4745103668928444E-3</v>
      </c>
    </row>
    <row r="1231" spans="2:17" ht="15.75" x14ac:dyDescent="0.25">
      <c r="B1231" s="176">
        <v>2041</v>
      </c>
      <c r="C1231" s="177">
        <v>2031</v>
      </c>
      <c r="D1231" s="178" t="s">
        <v>4077</v>
      </c>
      <c r="E1231" s="461">
        <v>3.5836403699456176E-2</v>
      </c>
      <c r="F1231" s="462">
        <v>3.6676399591796492E-2</v>
      </c>
      <c r="G1231" s="316">
        <v>6.1804329985042053E-2</v>
      </c>
      <c r="H1231" s="317">
        <v>2.7568018255175529E-3</v>
      </c>
      <c r="I1231" s="317">
        <v>4.4782380594540004E-2</v>
      </c>
      <c r="J1231" s="317">
        <v>2.1208246313461489E-2</v>
      </c>
      <c r="K1231" s="317">
        <v>4.9763020581077184E-3</v>
      </c>
      <c r="L1231" s="318">
        <v>5.7670091723750121E-4</v>
      </c>
      <c r="M1231" s="317">
        <v>2.7290592839515552E-3</v>
      </c>
      <c r="N1231" s="318">
        <v>2.0000005732018801E-3</v>
      </c>
      <c r="O1231" s="317">
        <v>2.8151293183816782E-2</v>
      </c>
      <c r="P1231" s="318">
        <v>1.7196119863958127E-2</v>
      </c>
      <c r="Q1231" s="319">
        <v>5.2013083551620126E-3</v>
      </c>
    </row>
    <row r="1232" spans="2:17" ht="15.75" x14ac:dyDescent="0.25">
      <c r="B1232" s="176">
        <v>2041</v>
      </c>
      <c r="C1232" s="177">
        <v>2032</v>
      </c>
      <c r="D1232" s="178" t="s">
        <v>4078</v>
      </c>
      <c r="E1232" s="461">
        <v>3.5770107183356374E-2</v>
      </c>
      <c r="F1232" s="462">
        <v>3.6609412051529559E-2</v>
      </c>
      <c r="G1232" s="316">
        <v>6.0462474024254302E-2</v>
      </c>
      <c r="H1232" s="317">
        <v>2.7170050518526205E-3</v>
      </c>
      <c r="I1232" s="317">
        <v>4.3205073741371627E-2</v>
      </c>
      <c r="J1232" s="317">
        <v>2.029117697248186E-2</v>
      </c>
      <c r="K1232" s="317">
        <v>4.6910485417166704E-3</v>
      </c>
      <c r="L1232" s="318">
        <v>5.7579953847076049E-4</v>
      </c>
      <c r="M1232" s="317">
        <v>2.7244906335881082E-3</v>
      </c>
      <c r="N1232" s="318">
        <v>2.0000005732018801E-3</v>
      </c>
      <c r="O1232" s="317">
        <v>2.8073580441134553E-2</v>
      </c>
      <c r="P1232" s="318">
        <v>1.7183998018517371E-2</v>
      </c>
      <c r="Q1232" s="319">
        <v>4.9031569405534872E-3</v>
      </c>
    </row>
    <row r="1233" spans="2:17" ht="15.75" x14ac:dyDescent="0.25">
      <c r="B1233" s="176">
        <v>2041</v>
      </c>
      <c r="C1233" s="177">
        <v>2033</v>
      </c>
      <c r="D1233" s="178" t="s">
        <v>4079</v>
      </c>
      <c r="E1233" s="461">
        <v>3.5737867762305815E-2</v>
      </c>
      <c r="F1233" s="462">
        <v>3.6577866028395807E-2</v>
      </c>
      <c r="G1233" s="316">
        <v>5.925673364384338E-2</v>
      </c>
      <c r="H1233" s="317">
        <v>2.6726667486962311E-3</v>
      </c>
      <c r="I1233" s="317">
        <v>4.166611756868744E-2</v>
      </c>
      <c r="J1233" s="317">
        <v>1.935375992644121E-2</v>
      </c>
      <c r="K1233" s="317">
        <v>4.4046321613304814E-3</v>
      </c>
      <c r="L1233" s="318">
        <v>5.7557820573887785E-4</v>
      </c>
      <c r="M1233" s="317">
        <v>2.7226074907620271E-3</v>
      </c>
      <c r="N1233" s="318">
        <v>2.0000005732018801E-3</v>
      </c>
      <c r="O1233" s="317">
        <v>2.8041548181662917E-2</v>
      </c>
      <c r="P1233" s="318">
        <v>1.7183281618698351E-2</v>
      </c>
      <c r="Q1233" s="319">
        <v>4.6037900824001006E-3</v>
      </c>
    </row>
    <row r="1234" spans="2:17" ht="15.75" x14ac:dyDescent="0.25">
      <c r="B1234" s="176">
        <v>2041</v>
      </c>
      <c r="C1234" s="177">
        <v>2034</v>
      </c>
      <c r="D1234" s="178" t="s">
        <v>4080</v>
      </c>
      <c r="E1234" s="461">
        <v>3.5687144582929521E-2</v>
      </c>
      <c r="F1234" s="462">
        <v>3.6537550905488859E-2</v>
      </c>
      <c r="G1234" s="316">
        <v>5.7879830879727895E-2</v>
      </c>
      <c r="H1234" s="317">
        <v>2.6230674800366716E-3</v>
      </c>
      <c r="I1234" s="317">
        <v>3.9978254547667222E-2</v>
      </c>
      <c r="J1234" s="317">
        <v>1.8420912619763093E-2</v>
      </c>
      <c r="K1234" s="317">
        <v>4.0952282587087534E-3</v>
      </c>
      <c r="L1234" s="318">
        <v>5.7504977545676001E-4</v>
      </c>
      <c r="M1234" s="317">
        <v>2.719279748777803E-3</v>
      </c>
      <c r="N1234" s="318">
        <v>2.0000005732018801E-3</v>
      </c>
      <c r="O1234" s="317">
        <v>2.7984943290511259E-2</v>
      </c>
      <c r="P1234" s="318">
        <v>1.7177608013438962E-2</v>
      </c>
      <c r="Q1234" s="319">
        <v>4.2803963082613016E-3</v>
      </c>
    </row>
    <row r="1235" spans="2:17" ht="15.75" x14ac:dyDescent="0.25">
      <c r="B1235" s="176">
        <v>2041</v>
      </c>
      <c r="C1235" s="177">
        <v>2035</v>
      </c>
      <c r="D1235" s="178" t="s">
        <v>4081</v>
      </c>
      <c r="E1235" s="461">
        <v>3.5646099115887335E-2</v>
      </c>
      <c r="F1235" s="462">
        <v>3.6483900229840681E-2</v>
      </c>
      <c r="G1235" s="316">
        <v>5.6492973703657197E-2</v>
      </c>
      <c r="H1235" s="317">
        <v>2.5686229980228922E-3</v>
      </c>
      <c r="I1235" s="317">
        <v>3.823868813253381E-2</v>
      </c>
      <c r="J1235" s="317">
        <v>1.7473260575103212E-2</v>
      </c>
      <c r="K1235" s="317">
        <v>3.7738949375629282E-3</v>
      </c>
      <c r="L1235" s="318">
        <v>5.7427880948048113E-4</v>
      </c>
      <c r="M1235" s="317">
        <v>2.7166703874196819E-3</v>
      </c>
      <c r="N1235" s="318">
        <v>2.0000005732018801E-3</v>
      </c>
      <c r="O1235" s="317">
        <v>2.7940558053809614E-2</v>
      </c>
      <c r="P1235" s="318">
        <v>1.7167310676647358E-2</v>
      </c>
      <c r="Q1235" s="319">
        <v>3.944533720228763E-3</v>
      </c>
    </row>
    <row r="1236" spans="2:17" ht="15.75" x14ac:dyDescent="0.25">
      <c r="B1236" s="176">
        <v>2041</v>
      </c>
      <c r="C1236" s="177">
        <v>2036</v>
      </c>
      <c r="D1236" s="178" t="s">
        <v>4082</v>
      </c>
      <c r="E1236" s="461">
        <v>3.5587764096710543E-2</v>
      </c>
      <c r="F1236" s="462">
        <v>3.6400982569456793E-2</v>
      </c>
      <c r="G1236" s="316">
        <v>5.4946750816527758E-2</v>
      </c>
      <c r="H1236" s="317">
        <v>2.5125571293691308E-3</v>
      </c>
      <c r="I1236" s="317">
        <v>3.6362373280516377E-2</v>
      </c>
      <c r="J1236" s="317">
        <v>1.6578219519729712E-2</v>
      </c>
      <c r="K1236" s="317">
        <v>3.4319175360384493E-3</v>
      </c>
      <c r="L1236" s="318">
        <v>5.7298807845267813E-4</v>
      </c>
      <c r="M1236" s="317">
        <v>2.7127177236995412E-3</v>
      </c>
      <c r="N1236" s="318">
        <v>2.0000005732018805E-3</v>
      </c>
      <c r="O1236" s="317">
        <v>2.787332324393002E-2</v>
      </c>
      <c r="P1236" s="318">
        <v>1.714677748508265E-2</v>
      </c>
      <c r="Q1236" s="319">
        <v>3.5870936181095904E-3</v>
      </c>
    </row>
    <row r="1237" spans="2:17" ht="15.75" x14ac:dyDescent="0.25">
      <c r="B1237" s="176">
        <v>2041</v>
      </c>
      <c r="C1237" s="177">
        <v>2037</v>
      </c>
      <c r="D1237" s="178" t="s">
        <v>4083</v>
      </c>
      <c r="E1237" s="461">
        <v>3.5569629166289432E-2</v>
      </c>
      <c r="F1237" s="462">
        <v>3.6392482862456318E-2</v>
      </c>
      <c r="G1237" s="316">
        <v>5.3553907245315099E-2</v>
      </c>
      <c r="H1237" s="317">
        <v>2.4654832569559917E-3</v>
      </c>
      <c r="I1237" s="317">
        <v>3.4524119255823882E-2</v>
      </c>
      <c r="J1237" s="317">
        <v>1.5739057144656312E-2</v>
      </c>
      <c r="K1237" s="317">
        <v>3.0864982961670046E-3</v>
      </c>
      <c r="L1237" s="318">
        <v>5.7319175798360288E-4</v>
      </c>
      <c r="M1237" s="317">
        <v>2.7118497106096914E-3</v>
      </c>
      <c r="N1237" s="318">
        <v>2.0000005732018797E-3</v>
      </c>
      <c r="O1237" s="317">
        <v>2.7858558341271676E-2</v>
      </c>
      <c r="P1237" s="318">
        <v>1.7150703697611153E-2</v>
      </c>
      <c r="Q1237" s="319">
        <v>3.2260560529863247E-3</v>
      </c>
    </row>
    <row r="1238" spans="2:17" ht="15.75" x14ac:dyDescent="0.25">
      <c r="B1238" s="176">
        <v>2041</v>
      </c>
      <c r="C1238" s="177">
        <v>2038</v>
      </c>
      <c r="D1238" s="178" t="s">
        <v>4084</v>
      </c>
      <c r="E1238" s="461">
        <v>3.5561260542693623E-2</v>
      </c>
      <c r="F1238" s="462">
        <v>3.6375900655923811E-2</v>
      </c>
      <c r="G1238" s="316">
        <v>5.2140849339002412E-2</v>
      </c>
      <c r="H1238" s="317">
        <v>2.4369201755111997E-3</v>
      </c>
      <c r="I1238" s="317">
        <v>3.2622381547395052E-2</v>
      </c>
      <c r="J1238" s="317">
        <v>1.5025975213606007E-2</v>
      </c>
      <c r="K1238" s="317">
        <v>2.7265842024346456E-3</v>
      </c>
      <c r="L1238" s="318">
        <v>5.7338438700784084E-4</v>
      </c>
      <c r="M1238" s="317">
        <v>2.7116747402994661E-3</v>
      </c>
      <c r="N1238" s="318">
        <v>2.0000005732018805E-3</v>
      </c>
      <c r="O1238" s="317">
        <v>2.7855582096294743E-2</v>
      </c>
      <c r="P1238" s="318">
        <v>1.7150694800980446E-2</v>
      </c>
      <c r="Q1238" s="319">
        <v>2.8498682410305286E-3</v>
      </c>
    </row>
    <row r="1239" spans="2:17" ht="15.75" x14ac:dyDescent="0.25">
      <c r="B1239" s="176">
        <v>2041</v>
      </c>
      <c r="C1239" s="177">
        <v>2039</v>
      </c>
      <c r="D1239" s="178" t="s">
        <v>4085</v>
      </c>
      <c r="E1239" s="461">
        <v>3.5524504118467866E-2</v>
      </c>
      <c r="F1239" s="462">
        <v>3.6328598743743806E-2</v>
      </c>
      <c r="G1239" s="316">
        <v>5.050867507570761E-2</v>
      </c>
      <c r="H1239" s="317">
        <v>2.4289768307792147E-3</v>
      </c>
      <c r="I1239" s="317">
        <v>3.0553885393623272E-2</v>
      </c>
      <c r="J1239" s="317">
        <v>1.4431875053483093E-2</v>
      </c>
      <c r="K1239" s="317">
        <v>2.3437196483783369E-3</v>
      </c>
      <c r="L1239" s="318">
        <v>5.7317705717910327E-4</v>
      </c>
      <c r="M1239" s="317">
        <v>2.7092246969578591E-3</v>
      </c>
      <c r="N1239" s="318">
        <v>2.0000005732018801E-3</v>
      </c>
      <c r="O1239" s="317">
        <v>2.7813906859054015E-2</v>
      </c>
      <c r="P1239" s="318">
        <v>1.7139011148608038E-2</v>
      </c>
      <c r="Q1239" s="319">
        <v>2.4496922507760981E-3</v>
      </c>
    </row>
    <row r="1240" spans="2:17" ht="15.75" x14ac:dyDescent="0.25">
      <c r="B1240" s="176">
        <v>2041</v>
      </c>
      <c r="C1240" s="177">
        <v>2040</v>
      </c>
      <c r="D1240" s="178" t="s">
        <v>4086</v>
      </c>
      <c r="E1240" s="461">
        <v>3.5497928179308524E-2</v>
      </c>
      <c r="F1240" s="462">
        <v>3.6254909984002721E-2</v>
      </c>
      <c r="G1240" s="316">
        <v>4.8877987983648362E-2</v>
      </c>
      <c r="H1240" s="317">
        <v>2.4044154233409361E-3</v>
      </c>
      <c r="I1240" s="317">
        <v>2.843403082737208E-2</v>
      </c>
      <c r="J1240" s="317">
        <v>1.3820357266635613E-2</v>
      </c>
      <c r="K1240" s="317">
        <v>1.9478767180224376E-3</v>
      </c>
      <c r="L1240" s="318">
        <v>5.7207534771082261E-4</v>
      </c>
      <c r="M1240" s="317">
        <v>2.7077996532828873E-3</v>
      </c>
      <c r="N1240" s="318">
        <v>2.0000005732018801E-3</v>
      </c>
      <c r="O1240" s="317">
        <v>2.7789666866142742E-2</v>
      </c>
      <c r="P1240" s="318">
        <v>1.7122494546850085E-2</v>
      </c>
      <c r="Q1240" s="319">
        <v>2.035951059636487E-3</v>
      </c>
    </row>
    <row r="1241" spans="2:17" ht="15.75" x14ac:dyDescent="0.25">
      <c r="B1241" s="176">
        <v>2041</v>
      </c>
      <c r="C1241" s="177">
        <v>2041</v>
      </c>
      <c r="D1241" s="178" t="s">
        <v>4087</v>
      </c>
      <c r="E1241" s="461">
        <v>3.5127066912363725E-2</v>
      </c>
      <c r="F1241" s="462">
        <v>3.5576688949610587E-2</v>
      </c>
      <c r="G1241" s="316">
        <v>4.5492762545552227E-2</v>
      </c>
      <c r="H1241" s="317">
        <v>2.2824002834634077E-3</v>
      </c>
      <c r="I1241" s="317">
        <v>2.5449386043519203E-2</v>
      </c>
      <c r="J1241" s="317">
        <v>1.4209880138516165E-2</v>
      </c>
      <c r="K1241" s="317">
        <v>1.4949217733725806E-3</v>
      </c>
      <c r="L1241" s="318">
        <v>5.59846324486857E-4</v>
      </c>
      <c r="M1241" s="317">
        <v>2.6793277601653721E-3</v>
      </c>
      <c r="N1241" s="318">
        <v>2.0000005732018805E-3</v>
      </c>
      <c r="O1241" s="317">
        <v>2.7305359964213807E-2</v>
      </c>
      <c r="P1241" s="318">
        <v>1.6899480239277322E-2</v>
      </c>
      <c r="Q1241" s="319">
        <v>1.5625155023473651E-3</v>
      </c>
    </row>
    <row r="1242" spans="2:17" ht="15.75" x14ac:dyDescent="0.25">
      <c r="B1242" s="176">
        <v>2042</v>
      </c>
      <c r="C1242" s="177">
        <v>1998</v>
      </c>
      <c r="D1242" s="178" t="s">
        <v>4088</v>
      </c>
      <c r="E1242" s="461">
        <v>5.7426361905643583E-2</v>
      </c>
      <c r="F1242" s="462">
        <v>6.8947599905221743E-2</v>
      </c>
      <c r="G1242" s="316">
        <v>0.35523676085357458</v>
      </c>
      <c r="H1242" s="317">
        <v>0.13578664091834253</v>
      </c>
      <c r="I1242" s="317">
        <v>8.5635552861375661</v>
      </c>
      <c r="J1242" s="317">
        <v>0.92623025120846536</v>
      </c>
      <c r="K1242" s="317">
        <v>5.3630690465542433E-2</v>
      </c>
      <c r="L1242" s="318">
        <v>2.9367023844682509E-3</v>
      </c>
      <c r="M1242" s="317">
        <v>2.9288473640910716E-3</v>
      </c>
      <c r="N1242" s="318">
        <v>2.0000005732018801E-3</v>
      </c>
      <c r="O1242" s="317">
        <v>3.1549688426989957E-2</v>
      </c>
      <c r="P1242" s="318">
        <v>1.8388598093492508E-2</v>
      </c>
      <c r="Q1242" s="319">
        <v>5.6055632305730026E-2</v>
      </c>
    </row>
    <row r="1243" spans="2:17" ht="15.75" x14ac:dyDescent="0.25">
      <c r="B1243" s="176">
        <v>2042</v>
      </c>
      <c r="C1243" s="177">
        <v>1999</v>
      </c>
      <c r="D1243" s="178" t="s">
        <v>4089</v>
      </c>
      <c r="E1243" s="461">
        <v>5.801435957693616E-2</v>
      </c>
      <c r="F1243" s="462">
        <v>6.961882436843829E-2</v>
      </c>
      <c r="G1243" s="316">
        <v>0.36973128200312433</v>
      </c>
      <c r="H1243" s="317">
        <v>0.1185519238888787</v>
      </c>
      <c r="I1243" s="317">
        <v>8.9483755256240478</v>
      </c>
      <c r="J1243" s="317">
        <v>0.76808085276928073</v>
      </c>
      <c r="K1243" s="317">
        <v>5.3754118642704962E-2</v>
      </c>
      <c r="L1243" s="318">
        <v>2.9419934179002851E-3</v>
      </c>
      <c r="M1243" s="317">
        <v>2.9795643552491748E-3</v>
      </c>
      <c r="N1243" s="318">
        <v>2.0000005732018801E-3</v>
      </c>
      <c r="O1243" s="317">
        <v>3.2412384446589296E-2</v>
      </c>
      <c r="P1243" s="318">
        <v>1.8606847597185942E-2</v>
      </c>
      <c r="Q1243" s="319">
        <v>5.6184641357359302E-2</v>
      </c>
    </row>
    <row r="1244" spans="2:17" ht="15.75" x14ac:dyDescent="0.25">
      <c r="B1244" s="176">
        <v>2042</v>
      </c>
      <c r="C1244" s="177">
        <v>2000</v>
      </c>
      <c r="D1244" s="178" t="s">
        <v>4090</v>
      </c>
      <c r="E1244" s="461">
        <v>5.7989224412859301E-2</v>
      </c>
      <c r="F1244" s="462">
        <v>7.5795024106441303E-2</v>
      </c>
      <c r="G1244" s="316">
        <v>0.3715945491457307</v>
      </c>
      <c r="H1244" s="317">
        <v>0.10177960739344603</v>
      </c>
      <c r="I1244" s="317">
        <v>9.0838179969794783</v>
      </c>
      <c r="J1244" s="317">
        <v>0.61640464909896209</v>
      </c>
      <c r="K1244" s="317">
        <v>5.3434763962469295E-2</v>
      </c>
      <c r="L1244" s="318">
        <v>2.9372582414421791E-3</v>
      </c>
      <c r="M1244" s="317">
        <v>2.9941847244765321E-3</v>
      </c>
      <c r="N1244" s="318">
        <v>2.0000005732018805E-3</v>
      </c>
      <c r="O1244" s="317">
        <v>3.2661076927146641E-2</v>
      </c>
      <c r="P1244" s="318">
        <v>1.8790520829147835E-2</v>
      </c>
      <c r="Q1244" s="319">
        <v>5.5850846875598749E-2</v>
      </c>
    </row>
    <row r="1245" spans="2:17" ht="15.75" x14ac:dyDescent="0.25">
      <c r="B1245" s="176">
        <v>2042</v>
      </c>
      <c r="C1245" s="177">
        <v>2001</v>
      </c>
      <c r="D1245" s="178" t="s">
        <v>4091</v>
      </c>
      <c r="E1245" s="461">
        <v>5.7972212191387353E-2</v>
      </c>
      <c r="F1245" s="462">
        <v>7.4577957271861936E-2</v>
      </c>
      <c r="G1245" s="316">
        <v>0.37023796420633553</v>
      </c>
      <c r="H1245" s="317">
        <v>8.7732326190555279E-2</v>
      </c>
      <c r="I1245" s="317">
        <v>8.9703624401586399</v>
      </c>
      <c r="J1245" s="317">
        <v>0.476721801790981</v>
      </c>
      <c r="K1245" s="317">
        <v>5.3707428322594557E-2</v>
      </c>
      <c r="L1245" s="318">
        <v>2.9578606884161709E-3</v>
      </c>
      <c r="M1245" s="317">
        <v>2.9823259975651916E-3</v>
      </c>
      <c r="N1245" s="318">
        <v>2.0000005732018805E-3</v>
      </c>
      <c r="O1245" s="317">
        <v>3.2459359982384736E-2</v>
      </c>
      <c r="P1245" s="318">
        <v>1.8409391776563252E-2</v>
      </c>
      <c r="Q1245" s="319">
        <v>5.6135839908158798E-2</v>
      </c>
    </row>
    <row r="1246" spans="2:17" ht="15.75" x14ac:dyDescent="0.25">
      <c r="B1246" s="176">
        <v>2042</v>
      </c>
      <c r="C1246" s="177">
        <v>2002</v>
      </c>
      <c r="D1246" s="178" t="s">
        <v>4092</v>
      </c>
      <c r="E1246" s="461">
        <v>5.7885523523026373E-2</v>
      </c>
      <c r="F1246" s="462">
        <v>7.268054243051153E-2</v>
      </c>
      <c r="G1246" s="316">
        <v>0.28779670860304329</v>
      </c>
      <c r="H1246" s="317">
        <v>8.7815578779580669E-2</v>
      </c>
      <c r="I1246" s="317">
        <v>7.0006084512121936</v>
      </c>
      <c r="J1246" s="317">
        <v>0.45871651724606677</v>
      </c>
      <c r="K1246" s="317">
        <v>5.3858600863777736E-2</v>
      </c>
      <c r="L1246" s="318">
        <v>2.9826440355916763E-3</v>
      </c>
      <c r="M1246" s="317">
        <v>2.9938998943035374E-3</v>
      </c>
      <c r="N1246" s="318">
        <v>2.0000005732018801E-3</v>
      </c>
      <c r="O1246" s="317">
        <v>3.2656231965904003E-2</v>
      </c>
      <c r="P1246" s="318">
        <v>1.7821156807737385E-2</v>
      </c>
      <c r="Q1246" s="319">
        <v>5.6293847800835906E-2</v>
      </c>
    </row>
    <row r="1247" spans="2:17" ht="15.75" x14ac:dyDescent="0.25">
      <c r="B1247" s="176">
        <v>2042</v>
      </c>
      <c r="C1247" s="177">
        <v>2003</v>
      </c>
      <c r="D1247" s="178" t="s">
        <v>4093</v>
      </c>
      <c r="E1247" s="461">
        <v>5.7657745831081242E-2</v>
      </c>
      <c r="F1247" s="462">
        <v>7.3703941636020329E-2</v>
      </c>
      <c r="G1247" s="316">
        <v>0.28523016875550006</v>
      </c>
      <c r="H1247" s="317">
        <v>7.1145289679429624E-2</v>
      </c>
      <c r="I1247" s="317">
        <v>6.992259137129536</v>
      </c>
      <c r="J1247" s="317">
        <v>0.39255614638015002</v>
      </c>
      <c r="K1247" s="317">
        <v>5.355099598948964E-2</v>
      </c>
      <c r="L1247" s="318">
        <v>2.9644506420017946E-3</v>
      </c>
      <c r="M1247" s="317">
        <v>2.9891200831853727E-3</v>
      </c>
      <c r="N1247" s="318">
        <v>2.0000005732018801E-3</v>
      </c>
      <c r="O1247" s="317">
        <v>3.2574927378784022E-2</v>
      </c>
      <c r="P1247" s="318">
        <v>1.8186772815733446E-2</v>
      </c>
      <c r="Q1247" s="319">
        <v>5.5972334399109001E-2</v>
      </c>
    </row>
    <row r="1248" spans="2:17" ht="15.75" x14ac:dyDescent="0.25">
      <c r="B1248" s="176">
        <v>2042</v>
      </c>
      <c r="C1248" s="177">
        <v>2004</v>
      </c>
      <c r="D1248" s="178" t="s">
        <v>4094</v>
      </c>
      <c r="E1248" s="461">
        <v>5.7577663946109275E-2</v>
      </c>
      <c r="F1248" s="462">
        <v>7.3356088701994657E-2</v>
      </c>
      <c r="G1248" s="316">
        <v>0.23551463515368168</v>
      </c>
      <c r="H1248" s="317">
        <v>1.8252465690680848E-2</v>
      </c>
      <c r="I1248" s="317">
        <v>5.8354123090223515</v>
      </c>
      <c r="J1248" s="317">
        <v>0.11536240802935611</v>
      </c>
      <c r="K1248" s="317">
        <v>5.3308546705324894E-2</v>
      </c>
      <c r="L1248" s="318">
        <v>1.9800984822670279E-4</v>
      </c>
      <c r="M1248" s="317">
        <v>2.9869485714575273E-3</v>
      </c>
      <c r="N1248" s="318">
        <v>2.0000005732018801E-3</v>
      </c>
      <c r="O1248" s="317">
        <v>3.2537989964293371E-2</v>
      </c>
      <c r="P1248" s="318">
        <v>1.7787751665708864E-2</v>
      </c>
      <c r="Q1248" s="319">
        <v>5.5718922634167174E-2</v>
      </c>
    </row>
    <row r="1249" spans="2:17" ht="15.75" x14ac:dyDescent="0.25">
      <c r="B1249" s="176">
        <v>2042</v>
      </c>
      <c r="C1249" s="177">
        <v>2005</v>
      </c>
      <c r="D1249" s="178" t="s">
        <v>4095</v>
      </c>
      <c r="E1249" s="461">
        <v>5.7328173153491223E-2</v>
      </c>
      <c r="F1249" s="462">
        <v>6.9680893963965845E-2</v>
      </c>
      <c r="G1249" s="316">
        <v>0.23299867508297653</v>
      </c>
      <c r="H1249" s="317">
        <v>1.5905753432693921E-2</v>
      </c>
      <c r="I1249" s="317">
        <v>5.8291862263363647</v>
      </c>
      <c r="J1249" s="317">
        <v>9.3828799870685181E-2</v>
      </c>
      <c r="K1249" s="317">
        <v>5.2946311877626988E-2</v>
      </c>
      <c r="L1249" s="318">
        <v>1.9867953101376074E-4</v>
      </c>
      <c r="M1249" s="317">
        <v>2.9806515077309467E-3</v>
      </c>
      <c r="N1249" s="318">
        <v>2.0000005732018801E-3</v>
      </c>
      <c r="O1249" s="317">
        <v>3.2430876910304232E-2</v>
      </c>
      <c r="P1249" s="318">
        <v>1.708515671546567E-2</v>
      </c>
      <c r="Q1249" s="319">
        <v>5.5340309154954068E-2</v>
      </c>
    </row>
    <row r="1250" spans="2:17" ht="15.75" x14ac:dyDescent="0.25">
      <c r="B1250" s="176">
        <v>2042</v>
      </c>
      <c r="C1250" s="177">
        <v>2006</v>
      </c>
      <c r="D1250" s="178" t="s">
        <v>4096</v>
      </c>
      <c r="E1250" s="461">
        <v>5.7268070737772243E-2</v>
      </c>
      <c r="F1250" s="462">
        <v>7.3167600074544606E-2</v>
      </c>
      <c r="G1250" s="316">
        <v>0.23288054885228188</v>
      </c>
      <c r="H1250" s="317">
        <v>5.9896033527825623E-3</v>
      </c>
      <c r="I1250" s="317">
        <v>5.8315625447446724</v>
      </c>
      <c r="J1250" s="317">
        <v>6.5140149355161936E-2</v>
      </c>
      <c r="K1250" s="317">
        <v>5.2908946708016623E-2</v>
      </c>
      <c r="L1250" s="318">
        <v>1.9477891586530468E-4</v>
      </c>
      <c r="M1250" s="317">
        <v>2.9809177120156973E-3</v>
      </c>
      <c r="N1250" s="318">
        <v>2.0000005732018801E-3</v>
      </c>
      <c r="O1250" s="317">
        <v>3.2435405045187847E-2</v>
      </c>
      <c r="P1250" s="318">
        <v>1.8868162232356548E-2</v>
      </c>
      <c r="Q1250" s="319">
        <v>5.5301254498179318E-2</v>
      </c>
    </row>
    <row r="1251" spans="2:17" ht="15.75" x14ac:dyDescent="0.25">
      <c r="B1251" s="176">
        <v>2042</v>
      </c>
      <c r="C1251" s="177">
        <v>2007</v>
      </c>
      <c r="D1251" s="178" t="s">
        <v>4097</v>
      </c>
      <c r="E1251" s="461">
        <v>5.709563529355767E-2</v>
      </c>
      <c r="F1251" s="462">
        <v>6.8749875455912463E-2</v>
      </c>
      <c r="G1251" s="316">
        <v>0.16765529105364971</v>
      </c>
      <c r="H1251" s="317">
        <v>8.5608496791611307E-3</v>
      </c>
      <c r="I1251" s="317">
        <v>2.987119349122398</v>
      </c>
      <c r="J1251" s="317">
        <v>5.7813853032953444E-2</v>
      </c>
      <c r="K1251" s="317">
        <v>3.7048316787974787E-2</v>
      </c>
      <c r="L1251" s="318">
        <v>1.979233937627848E-4</v>
      </c>
      <c r="M1251" s="317">
        <v>2.9629883870982711E-3</v>
      </c>
      <c r="N1251" s="318">
        <v>2.0000005732018801E-3</v>
      </c>
      <c r="O1251" s="317">
        <v>3.2130427228342417E-2</v>
      </c>
      <c r="P1251" s="318">
        <v>1.7457930837692689E-2</v>
      </c>
      <c r="Q1251" s="319">
        <v>3.8723477273656125E-2</v>
      </c>
    </row>
    <row r="1252" spans="2:17" ht="15.75" x14ac:dyDescent="0.25">
      <c r="B1252" s="176">
        <v>2042</v>
      </c>
      <c r="C1252" s="177">
        <v>2008</v>
      </c>
      <c r="D1252" s="178" t="s">
        <v>4098</v>
      </c>
      <c r="E1252" s="461">
        <v>5.7117176598076094E-2</v>
      </c>
      <c r="F1252" s="462">
        <v>6.7233612864266615E-2</v>
      </c>
      <c r="G1252" s="316">
        <v>0.16944927666966697</v>
      </c>
      <c r="H1252" s="317">
        <v>8.3191539021192085E-3</v>
      </c>
      <c r="I1252" s="317">
        <v>3.0179061083245005</v>
      </c>
      <c r="J1252" s="317">
        <v>4.7102450542852232E-2</v>
      </c>
      <c r="K1252" s="317">
        <v>3.7418008050648037E-2</v>
      </c>
      <c r="L1252" s="318">
        <v>2.2580032410260019E-4</v>
      </c>
      <c r="M1252" s="317">
        <v>2.9741806078744898E-3</v>
      </c>
      <c r="N1252" s="318">
        <v>2.0000005732018801E-3</v>
      </c>
      <c r="O1252" s="317">
        <v>3.2320806903745898E-2</v>
      </c>
      <c r="P1252" s="318">
        <v>1.749438046021275E-2</v>
      </c>
      <c r="Q1252" s="319">
        <v>3.910988433474679E-2</v>
      </c>
    </row>
    <row r="1253" spans="2:17" ht="15.75" x14ac:dyDescent="0.25">
      <c r="B1253" s="176">
        <v>2042</v>
      </c>
      <c r="C1253" s="177">
        <v>2009</v>
      </c>
      <c r="D1253" s="178" t="s">
        <v>4099</v>
      </c>
      <c r="E1253" s="461">
        <v>5.6431110218763361E-2</v>
      </c>
      <c r="F1253" s="462">
        <v>6.1784433005984532E-2</v>
      </c>
      <c r="G1253" s="316">
        <v>0.15997391605526876</v>
      </c>
      <c r="H1253" s="317">
        <v>8.1534176466263372E-3</v>
      </c>
      <c r="I1253" s="317">
        <v>2.7568822085314544</v>
      </c>
      <c r="J1253" s="317">
        <v>3.4133222205021609E-2</v>
      </c>
      <c r="K1253" s="317">
        <v>3.5227146270024746E-2</v>
      </c>
      <c r="L1253" s="318">
        <v>2.5526071810415914E-4</v>
      </c>
      <c r="M1253" s="317">
        <v>2.8932086993074435E-3</v>
      </c>
      <c r="N1253" s="318">
        <v>2.0000005732018801E-3</v>
      </c>
      <c r="O1253" s="317">
        <v>3.0943474739020458E-2</v>
      </c>
      <c r="P1253" s="318">
        <v>1.6842378561284638E-2</v>
      </c>
      <c r="Q1253" s="319">
        <v>3.681996150620883E-2</v>
      </c>
    </row>
    <row r="1254" spans="2:17" ht="15.75" x14ac:dyDescent="0.25">
      <c r="B1254" s="176">
        <v>2042</v>
      </c>
      <c r="C1254" s="177">
        <v>2010</v>
      </c>
      <c r="D1254" s="178" t="s">
        <v>4100</v>
      </c>
      <c r="E1254" s="461">
        <v>5.5385938161747396E-2</v>
      </c>
      <c r="F1254" s="462">
        <v>5.976839140019418E-2</v>
      </c>
      <c r="G1254" s="316">
        <v>9.6287014353557021E-2</v>
      </c>
      <c r="H1254" s="317">
        <v>7.3225344720409301E-3</v>
      </c>
      <c r="I1254" s="317">
        <v>0.24334508534343757</v>
      </c>
      <c r="J1254" s="317">
        <v>3.3200278140593655E-2</v>
      </c>
      <c r="K1254" s="317">
        <v>2.0571768783081094E-2</v>
      </c>
      <c r="L1254" s="318">
        <v>3.1148236906104575E-4</v>
      </c>
      <c r="M1254" s="317">
        <v>2.819772270274344E-3</v>
      </c>
      <c r="N1254" s="318">
        <v>2.0000005732018801E-3</v>
      </c>
      <c r="O1254" s="317">
        <v>2.9694321081167419E-2</v>
      </c>
      <c r="P1254" s="318">
        <v>1.6452154960309866E-2</v>
      </c>
      <c r="Q1254" s="319">
        <v>2.1501932881580022E-2</v>
      </c>
    </row>
    <row r="1255" spans="2:17" ht="15.75" x14ac:dyDescent="0.25">
      <c r="B1255" s="176">
        <v>2042</v>
      </c>
      <c r="C1255" s="177">
        <v>2011</v>
      </c>
      <c r="D1255" s="178" t="s">
        <v>4101</v>
      </c>
      <c r="E1255" s="461">
        <v>5.5210491485145563E-2</v>
      </c>
      <c r="F1255" s="462">
        <v>5.85316582527802E-2</v>
      </c>
      <c r="G1255" s="316">
        <v>9.6750656212414368E-2</v>
      </c>
      <c r="H1255" s="317">
        <v>7.4246212390400752E-3</v>
      </c>
      <c r="I1255" s="317">
        <v>0.24592587002682417</v>
      </c>
      <c r="J1255" s="317">
        <v>3.3570345040544243E-2</v>
      </c>
      <c r="K1255" s="317">
        <v>2.0776823138070045E-2</v>
      </c>
      <c r="L1255" s="318">
        <v>4.2139456208228015E-4</v>
      </c>
      <c r="M1255" s="317">
        <v>2.8362922332014922E-3</v>
      </c>
      <c r="N1255" s="318">
        <v>2.0000005732018801E-3</v>
      </c>
      <c r="O1255" s="317">
        <v>2.9975325650558205E-2</v>
      </c>
      <c r="P1255" s="318">
        <v>1.6607467379546673E-2</v>
      </c>
      <c r="Q1255" s="319">
        <v>2.1716258884586382E-2</v>
      </c>
    </row>
    <row r="1256" spans="2:17" ht="15.75" x14ac:dyDescent="0.25">
      <c r="B1256" s="176">
        <v>2042</v>
      </c>
      <c r="C1256" s="177">
        <v>2012</v>
      </c>
      <c r="D1256" s="178" t="s">
        <v>4102</v>
      </c>
      <c r="E1256" s="461">
        <v>5.3478602139367303E-2</v>
      </c>
      <c r="F1256" s="462">
        <v>5.8612035310442762E-2</v>
      </c>
      <c r="G1256" s="316">
        <v>8.706974238504267E-2</v>
      </c>
      <c r="H1256" s="317">
        <v>7.0022594594452495E-3</v>
      </c>
      <c r="I1256" s="317">
        <v>0.21931543189497341</v>
      </c>
      <c r="J1256" s="317">
        <v>3.4740646365221083E-2</v>
      </c>
      <c r="K1256" s="317">
        <v>1.8908243340315933E-2</v>
      </c>
      <c r="L1256" s="318">
        <v>6.1125577449709775E-4</v>
      </c>
      <c r="M1256" s="317">
        <v>2.7276902982666441E-3</v>
      </c>
      <c r="N1256" s="318">
        <v>2.0000005732018801E-3</v>
      </c>
      <c r="O1256" s="317">
        <v>2.8128006737316441E-2</v>
      </c>
      <c r="P1256" s="318">
        <v>1.7021971132722177E-2</v>
      </c>
      <c r="Q1256" s="319">
        <v>1.9763190200077801E-2</v>
      </c>
    </row>
    <row r="1257" spans="2:17" ht="15.75" x14ac:dyDescent="0.25">
      <c r="B1257" s="176">
        <v>2042</v>
      </c>
      <c r="C1257" s="177">
        <v>2013</v>
      </c>
      <c r="D1257" s="178" t="s">
        <v>4103</v>
      </c>
      <c r="E1257" s="461">
        <v>5.5217655447228911E-2</v>
      </c>
      <c r="F1257" s="462">
        <v>5.7377073320405203E-2</v>
      </c>
      <c r="G1257" s="316">
        <v>9.9715704304523242E-2</v>
      </c>
      <c r="H1257" s="317">
        <v>7.9355468192481189E-3</v>
      </c>
      <c r="I1257" s="317">
        <v>0.25331736321960263</v>
      </c>
      <c r="J1257" s="317">
        <v>3.3788787364969777E-2</v>
      </c>
      <c r="K1257" s="317">
        <v>2.1279828937606094E-2</v>
      </c>
      <c r="L1257" s="318">
        <v>9.130952491943951E-4</v>
      </c>
      <c r="M1257" s="317">
        <v>2.8627534643735435E-3</v>
      </c>
      <c r="N1257" s="318">
        <v>2.0000005732018801E-3</v>
      </c>
      <c r="O1257" s="317">
        <v>3.0425431192794811E-2</v>
      </c>
      <c r="P1257" s="318">
        <v>1.7124565992224734E-2</v>
      </c>
      <c r="Q1257" s="319">
        <v>2.2242008374322237E-2</v>
      </c>
    </row>
    <row r="1258" spans="2:17" ht="15.75" x14ac:dyDescent="0.25">
      <c r="B1258" s="176">
        <v>2042</v>
      </c>
      <c r="C1258" s="177">
        <v>2014</v>
      </c>
      <c r="D1258" s="178" t="s">
        <v>4104</v>
      </c>
      <c r="E1258" s="461">
        <v>5.2580450715368161E-2</v>
      </c>
      <c r="F1258" s="462">
        <v>5.4997533273330519E-2</v>
      </c>
      <c r="G1258" s="316">
        <v>9.0259790701455553E-2</v>
      </c>
      <c r="H1258" s="317">
        <v>8.0605345388968883E-3</v>
      </c>
      <c r="I1258" s="317">
        <v>0.22820378731697341</v>
      </c>
      <c r="J1258" s="317">
        <v>3.225887190927787E-2</v>
      </c>
      <c r="K1258" s="317">
        <v>1.9541623058732454E-2</v>
      </c>
      <c r="L1258" s="318">
        <v>1.2825555860719153E-3</v>
      </c>
      <c r="M1258" s="317">
        <v>2.7650171933225783E-3</v>
      </c>
      <c r="N1258" s="318">
        <v>2.0000005732018801E-3</v>
      </c>
      <c r="O1258" s="317">
        <v>2.8762937222217889E-2</v>
      </c>
      <c r="P1258" s="318">
        <v>1.6603969407742163E-2</v>
      </c>
      <c r="Q1258" s="319">
        <v>2.042520853878033E-2</v>
      </c>
    </row>
    <row r="1259" spans="2:17" ht="15.75" x14ac:dyDescent="0.25">
      <c r="B1259" s="176">
        <v>2042</v>
      </c>
      <c r="C1259" s="177">
        <v>2015</v>
      </c>
      <c r="D1259" s="178" t="s">
        <v>4105</v>
      </c>
      <c r="E1259" s="461">
        <v>5.1293421969649623E-2</v>
      </c>
      <c r="F1259" s="462">
        <v>5.7711034801372046E-2</v>
      </c>
      <c r="G1259" s="316">
        <v>8.5204478738000675E-2</v>
      </c>
      <c r="H1259" s="317">
        <v>8.0619903173255805E-3</v>
      </c>
      <c r="I1259" s="317">
        <v>0.21628992064178693</v>
      </c>
      <c r="J1259" s="317">
        <v>3.3994362207628435E-2</v>
      </c>
      <c r="K1259" s="317">
        <v>1.8749250783088187E-2</v>
      </c>
      <c r="L1259" s="318">
        <v>1.5925395677472303E-3</v>
      </c>
      <c r="M1259" s="317">
        <v>2.7258399144748369E-3</v>
      </c>
      <c r="N1259" s="318">
        <v>2.0000005732018805E-3</v>
      </c>
      <c r="O1259" s="317">
        <v>2.8096531709017797E-2</v>
      </c>
      <c r="P1259" s="318">
        <v>1.7694668470682372E-2</v>
      </c>
      <c r="Q1259" s="319">
        <v>1.9597008704931324E-2</v>
      </c>
    </row>
    <row r="1260" spans="2:17" ht="15.75" x14ac:dyDescent="0.25">
      <c r="B1260" s="176">
        <v>2042</v>
      </c>
      <c r="C1260" s="177">
        <v>2016</v>
      </c>
      <c r="D1260" s="178" t="s">
        <v>4106</v>
      </c>
      <c r="E1260" s="461">
        <v>5.1762601737231552E-2</v>
      </c>
      <c r="F1260" s="462">
        <v>5.9557064298420469E-2</v>
      </c>
      <c r="G1260" s="316">
        <v>9.8295320547072809E-2</v>
      </c>
      <c r="H1260" s="317">
        <v>7.8209848337505005E-3</v>
      </c>
      <c r="I1260" s="317">
        <v>0.22179198951727899</v>
      </c>
      <c r="J1260" s="317">
        <v>3.4611212090544213E-2</v>
      </c>
      <c r="K1260" s="317">
        <v>2.1287703199584822E-2</v>
      </c>
      <c r="L1260" s="318">
        <v>1.8204777108463018E-3</v>
      </c>
      <c r="M1260" s="317">
        <v>2.8739991544396446E-3</v>
      </c>
      <c r="N1260" s="318">
        <v>2.0000005732018801E-3</v>
      </c>
      <c r="O1260" s="317">
        <v>3.0616720380819182E-2</v>
      </c>
      <c r="P1260" s="318">
        <v>1.8766513166631311E-2</v>
      </c>
      <c r="Q1260" s="319">
        <v>2.225023867548611E-2</v>
      </c>
    </row>
    <row r="1261" spans="2:17" ht="15.75" x14ac:dyDescent="0.25">
      <c r="B1261" s="176">
        <v>2042</v>
      </c>
      <c r="C1261" s="177">
        <v>2017</v>
      </c>
      <c r="D1261" s="178" t="s">
        <v>4107</v>
      </c>
      <c r="E1261" s="461">
        <v>4.830127914430498E-2</v>
      </c>
      <c r="F1261" s="462">
        <v>5.2983022069116946E-2</v>
      </c>
      <c r="G1261" s="316">
        <v>7.8473706707646113E-2</v>
      </c>
      <c r="H1261" s="317">
        <v>7.8425777228244703E-3</v>
      </c>
      <c r="I1261" s="317">
        <v>0.16570343257585779</v>
      </c>
      <c r="J1261" s="317">
        <v>3.1658600721412661E-2</v>
      </c>
      <c r="K1261" s="317">
        <v>1.9452355017874085E-2</v>
      </c>
      <c r="L1261" s="318">
        <v>2.0094525648867568E-3</v>
      </c>
      <c r="M1261" s="317">
        <v>2.8271388672571895E-3</v>
      </c>
      <c r="N1261" s="318">
        <v>2.0000005732018805E-3</v>
      </c>
      <c r="O1261" s="317">
        <v>2.9819626895845622E-2</v>
      </c>
      <c r="P1261" s="318">
        <v>1.7529295505316237E-2</v>
      </c>
      <c r="Q1261" s="319">
        <v>2.0331904193235436E-2</v>
      </c>
    </row>
    <row r="1262" spans="2:17" ht="15.75" x14ac:dyDescent="0.25">
      <c r="B1262" s="176">
        <v>2042</v>
      </c>
      <c r="C1262" s="177">
        <v>2018</v>
      </c>
      <c r="D1262" s="178" t="s">
        <v>4108</v>
      </c>
      <c r="E1262" s="461">
        <v>4.5183813827855517E-2</v>
      </c>
      <c r="F1262" s="462">
        <v>5.0485544414708101E-2</v>
      </c>
      <c r="G1262" s="316">
        <v>7.8090567885542667E-2</v>
      </c>
      <c r="H1262" s="317">
        <v>7.4851687732358663E-3</v>
      </c>
      <c r="I1262" s="317">
        <v>0.1357801061065344</v>
      </c>
      <c r="J1262" s="317">
        <v>3.0184853890202729E-2</v>
      </c>
      <c r="K1262" s="317">
        <v>1.8121654041694222E-2</v>
      </c>
      <c r="L1262" s="318">
        <v>2.0925632726857867E-3</v>
      </c>
      <c r="M1262" s="317">
        <v>2.8212758603391387E-3</v>
      </c>
      <c r="N1262" s="318">
        <v>2.0000005732018801E-3</v>
      </c>
      <c r="O1262" s="317">
        <v>2.9719897148169572E-2</v>
      </c>
      <c r="P1262" s="318">
        <v>1.7480272878936391E-2</v>
      </c>
      <c r="Q1262" s="319">
        <v>1.8941034823810821E-2</v>
      </c>
    </row>
    <row r="1263" spans="2:17" ht="15.75" x14ac:dyDescent="0.25">
      <c r="B1263" s="176">
        <v>2042</v>
      </c>
      <c r="C1263" s="177">
        <v>2019</v>
      </c>
      <c r="D1263" s="178" t="s">
        <v>4109</v>
      </c>
      <c r="E1263" s="461">
        <v>4.478647493664558E-2</v>
      </c>
      <c r="F1263" s="462">
        <v>4.8523593493459229E-2</v>
      </c>
      <c r="G1263" s="316">
        <v>7.7546102889361673E-2</v>
      </c>
      <c r="H1263" s="317">
        <v>6.7268026054453731E-3</v>
      </c>
      <c r="I1263" s="317">
        <v>0.11706394143528531</v>
      </c>
      <c r="J1263" s="317">
        <v>2.7377834968144443E-2</v>
      </c>
      <c r="K1263" s="317">
        <v>1.5602277778851209E-2</v>
      </c>
      <c r="L1263" s="318">
        <v>1.9882672568157524E-3</v>
      </c>
      <c r="M1263" s="317">
        <v>2.8140737913565327E-3</v>
      </c>
      <c r="N1263" s="318">
        <v>2.0000005732018801E-3</v>
      </c>
      <c r="O1263" s="317">
        <v>2.9597389954775458E-2</v>
      </c>
      <c r="P1263" s="318">
        <v>1.7449330297879494E-2</v>
      </c>
      <c r="Q1263" s="319">
        <v>1.6307743545928666E-2</v>
      </c>
    </row>
    <row r="1264" spans="2:17" ht="15.75" x14ac:dyDescent="0.25">
      <c r="B1264" s="176">
        <v>2042</v>
      </c>
      <c r="C1264" s="177">
        <v>2020</v>
      </c>
      <c r="D1264" s="178" t="s">
        <v>4110</v>
      </c>
      <c r="E1264" s="461">
        <v>4.4353459816135261E-2</v>
      </c>
      <c r="F1264" s="462">
        <v>4.6601417540567174E-2</v>
      </c>
      <c r="G1264" s="316">
        <v>7.6861957032082581E-2</v>
      </c>
      <c r="H1264" s="317">
        <v>5.8140037129793759E-3</v>
      </c>
      <c r="I1264" s="317">
        <v>9.8166345991787834E-2</v>
      </c>
      <c r="J1264" s="317">
        <v>2.5189812312998328E-2</v>
      </c>
      <c r="K1264" s="317">
        <v>1.3060767438303556E-2</v>
      </c>
      <c r="L1264" s="318">
        <v>1.4702714608013897E-3</v>
      </c>
      <c r="M1264" s="317">
        <v>2.8059870576595185E-3</v>
      </c>
      <c r="N1264" s="318">
        <v>2.0000005732018797E-3</v>
      </c>
      <c r="O1264" s="317">
        <v>2.9459834614589238E-2</v>
      </c>
      <c r="P1264" s="318">
        <v>1.7432273490126306E-2</v>
      </c>
      <c r="Q1264" s="319">
        <v>1.3651317385566427E-2</v>
      </c>
    </row>
    <row r="1265" spans="2:17" ht="15.75" x14ac:dyDescent="0.25">
      <c r="B1265" s="176">
        <v>2042</v>
      </c>
      <c r="C1265" s="177">
        <v>2021</v>
      </c>
      <c r="D1265" s="178" t="s">
        <v>4111</v>
      </c>
      <c r="E1265" s="461">
        <v>4.2956263348072767E-2</v>
      </c>
      <c r="F1265" s="462">
        <v>4.4440444784496373E-2</v>
      </c>
      <c r="G1265" s="316">
        <v>7.3892055202634824E-2</v>
      </c>
      <c r="H1265" s="317">
        <v>5.1203330008842531E-3</v>
      </c>
      <c r="I1265" s="317">
        <v>7.5249274621213114E-2</v>
      </c>
      <c r="J1265" s="317">
        <v>2.4062959674746934E-2</v>
      </c>
      <c r="K1265" s="317">
        <v>9.5395561065656359E-3</v>
      </c>
      <c r="L1265" s="318">
        <v>9.7201954432330623E-4</v>
      </c>
      <c r="M1265" s="317">
        <v>2.7980755491106672E-3</v>
      </c>
      <c r="N1265" s="318">
        <v>2.0000005732018797E-3</v>
      </c>
      <c r="O1265" s="317">
        <v>2.932525985417328E-2</v>
      </c>
      <c r="P1265" s="318">
        <v>1.7419661072719292E-2</v>
      </c>
      <c r="Q1265" s="319">
        <v>9.9708925025511989E-3</v>
      </c>
    </row>
    <row r="1266" spans="2:17" ht="15.75" x14ac:dyDescent="0.25">
      <c r="B1266" s="176">
        <v>2042</v>
      </c>
      <c r="C1266" s="177">
        <v>2022</v>
      </c>
      <c r="D1266" s="178" t="s">
        <v>4112</v>
      </c>
      <c r="E1266" s="461">
        <v>4.1700078898605282E-2</v>
      </c>
      <c r="F1266" s="462">
        <v>4.279384040185466E-2</v>
      </c>
      <c r="G1266" s="316">
        <v>7.3090754386540419E-2</v>
      </c>
      <c r="H1266" s="317">
        <v>4.3200509148646577E-3</v>
      </c>
      <c r="I1266" s="317">
        <v>5.6833424670266267E-2</v>
      </c>
      <c r="J1266" s="317">
        <v>2.2809806451475907E-2</v>
      </c>
      <c r="K1266" s="317">
        <v>7.0905153388931032E-3</v>
      </c>
      <c r="L1266" s="318">
        <v>9.7074378803610841E-4</v>
      </c>
      <c r="M1266" s="317">
        <v>2.7912916245198404E-3</v>
      </c>
      <c r="N1266" s="318">
        <v>2.0000005732018801E-3</v>
      </c>
      <c r="O1266" s="317">
        <v>2.9209865296883311E-2</v>
      </c>
      <c r="P1266" s="318">
        <v>1.7409468889453671E-2</v>
      </c>
      <c r="Q1266" s="319">
        <v>7.4111169788220197E-3</v>
      </c>
    </row>
    <row r="1267" spans="2:17" ht="15.75" x14ac:dyDescent="0.25">
      <c r="B1267" s="176">
        <v>2042</v>
      </c>
      <c r="C1267" s="177">
        <v>2023</v>
      </c>
      <c r="D1267" s="178" t="s">
        <v>4113</v>
      </c>
      <c r="E1267" s="461">
        <v>4.0439608579305827E-2</v>
      </c>
      <c r="F1267" s="462">
        <v>4.1107445799018122E-2</v>
      </c>
      <c r="G1267" s="316">
        <v>7.2196154080421723E-2</v>
      </c>
      <c r="H1267" s="317">
        <v>3.758179282862447E-3</v>
      </c>
      <c r="I1267" s="317">
        <v>5.5977056246519018E-2</v>
      </c>
      <c r="J1267" s="317">
        <v>2.3282842842099086E-2</v>
      </c>
      <c r="K1267" s="317">
        <v>6.9464919270820534E-3</v>
      </c>
      <c r="L1267" s="318">
        <v>9.6903740507050433E-4</v>
      </c>
      <c r="M1267" s="317">
        <v>2.7842260529152272E-3</v>
      </c>
      <c r="N1267" s="318">
        <v>2.0000005732018801E-3</v>
      </c>
      <c r="O1267" s="317">
        <v>2.9089679923888848E-2</v>
      </c>
      <c r="P1267" s="318">
        <v>1.7386943665762617E-2</v>
      </c>
      <c r="Q1267" s="319">
        <v>7.2605814674232983E-3</v>
      </c>
    </row>
    <row r="1268" spans="2:17" ht="15.75" x14ac:dyDescent="0.25">
      <c r="B1268" s="176">
        <v>2042</v>
      </c>
      <c r="C1268" s="177">
        <v>2024</v>
      </c>
      <c r="D1268" s="178" t="s">
        <v>4114</v>
      </c>
      <c r="E1268" s="461">
        <v>3.9228291804627419E-2</v>
      </c>
      <c r="F1268" s="462">
        <v>3.945781459548256E-2</v>
      </c>
      <c r="G1268" s="316">
        <v>7.1297742184252763E-2</v>
      </c>
      <c r="H1268" s="317">
        <v>3.2629365773158402E-3</v>
      </c>
      <c r="I1268" s="317">
        <v>5.5073690449470893E-2</v>
      </c>
      <c r="J1268" s="317">
        <v>2.4651807780925638E-2</v>
      </c>
      <c r="K1268" s="317">
        <v>6.791212133978086E-3</v>
      </c>
      <c r="L1268" s="318">
        <v>9.6780612771736867E-4</v>
      </c>
      <c r="M1268" s="317">
        <v>2.7779590524539578E-3</v>
      </c>
      <c r="N1268" s="318">
        <v>2.0000005732018801E-3</v>
      </c>
      <c r="O1268" s="317">
        <v>2.8983078246042654E-2</v>
      </c>
      <c r="P1268" s="318">
        <v>1.737131288837717E-2</v>
      </c>
      <c r="Q1268" s="319">
        <v>7.0982806111190557E-3</v>
      </c>
    </row>
    <row r="1269" spans="2:17" ht="15.75" x14ac:dyDescent="0.25">
      <c r="B1269" s="176">
        <v>2042</v>
      </c>
      <c r="C1269" s="177">
        <v>2025</v>
      </c>
      <c r="D1269" s="178" t="s">
        <v>4115</v>
      </c>
      <c r="E1269" s="461">
        <v>3.795993932646554E-2</v>
      </c>
      <c r="F1269" s="462">
        <v>3.774970422540827E-2</v>
      </c>
      <c r="G1269" s="316">
        <v>7.003011539711651E-2</v>
      </c>
      <c r="H1269" s="317">
        <v>2.9739568594274526E-3</v>
      </c>
      <c r="I1269" s="317">
        <v>5.3878088572287659E-2</v>
      </c>
      <c r="J1269" s="317">
        <v>2.6807419499700471E-2</v>
      </c>
      <c r="K1269" s="317">
        <v>6.5918118072678163E-3</v>
      </c>
      <c r="L1269" s="318">
        <v>9.6591800720143559E-4</v>
      </c>
      <c r="M1269" s="317">
        <v>2.7679756447223261E-3</v>
      </c>
      <c r="N1269" s="318">
        <v>2.0000005732018801E-3</v>
      </c>
      <c r="O1269" s="317">
        <v>2.8813260480527594E-2</v>
      </c>
      <c r="P1269" s="318">
        <v>1.733766141363555E-2</v>
      </c>
      <c r="Q1269" s="319">
        <v>6.8898642864607855E-3</v>
      </c>
    </row>
    <row r="1270" spans="2:17" ht="15.75" x14ac:dyDescent="0.25">
      <c r="B1270" s="176">
        <v>2042</v>
      </c>
      <c r="C1270" s="177">
        <v>2026</v>
      </c>
      <c r="D1270" s="178" t="s">
        <v>4116</v>
      </c>
      <c r="E1270" s="461">
        <v>3.7043270187803366E-2</v>
      </c>
      <c r="F1270" s="462">
        <v>3.7400823312282457E-2</v>
      </c>
      <c r="G1270" s="316">
        <v>6.8863789724385741E-2</v>
      </c>
      <c r="H1270" s="317">
        <v>2.9473841764801095E-3</v>
      </c>
      <c r="I1270" s="317">
        <v>5.2708919771432328E-2</v>
      </c>
      <c r="J1270" s="317">
        <v>2.6176286853753498E-2</v>
      </c>
      <c r="K1270" s="317">
        <v>6.3916912337355272E-3</v>
      </c>
      <c r="L1270" s="318">
        <v>8.4430725557163686E-4</v>
      </c>
      <c r="M1270" s="317">
        <v>2.760052452198865E-3</v>
      </c>
      <c r="N1270" s="318">
        <v>2.0000005732018801E-3</v>
      </c>
      <c r="O1270" s="317">
        <v>2.8678486975703521E-2</v>
      </c>
      <c r="P1270" s="318">
        <v>1.7304826860229147E-2</v>
      </c>
      <c r="Q1270" s="319">
        <v>6.6806951486152628E-3</v>
      </c>
    </row>
    <row r="1271" spans="2:17" ht="15.75" x14ac:dyDescent="0.25">
      <c r="B1271" s="176">
        <v>2042</v>
      </c>
      <c r="C1271" s="177">
        <v>2027</v>
      </c>
      <c r="D1271" s="178" t="s">
        <v>4117</v>
      </c>
      <c r="E1271" s="461">
        <v>3.6187029992925626E-2</v>
      </c>
      <c r="F1271" s="462">
        <v>3.7109244506364672E-2</v>
      </c>
      <c r="G1271" s="316">
        <v>6.7681756892625192E-2</v>
      </c>
      <c r="H1271" s="317">
        <v>2.9191682397064081E-3</v>
      </c>
      <c r="I1271" s="317">
        <v>5.1487220867751801E-2</v>
      </c>
      <c r="J1271" s="317">
        <v>2.540028977175959E-2</v>
      </c>
      <c r="K1271" s="317">
        <v>6.1801254405448418E-3</v>
      </c>
      <c r="L1271" s="318">
        <v>7.0317740411408695E-4</v>
      </c>
      <c r="M1271" s="317">
        <v>2.7527071886971916E-3</v>
      </c>
      <c r="N1271" s="318">
        <v>2.0000005732018801E-3</v>
      </c>
      <c r="O1271" s="317">
        <v>2.8553544043540064E-2</v>
      </c>
      <c r="P1271" s="318">
        <v>1.7283946470336646E-2</v>
      </c>
      <c r="Q1271" s="319">
        <v>6.4595632890657997E-3</v>
      </c>
    </row>
    <row r="1272" spans="2:17" ht="15.75" x14ac:dyDescent="0.25">
      <c r="B1272" s="176">
        <v>2042</v>
      </c>
      <c r="C1272" s="177">
        <v>2028</v>
      </c>
      <c r="D1272" s="178" t="s">
        <v>4118</v>
      </c>
      <c r="E1272" s="461">
        <v>3.610890765535571E-2</v>
      </c>
      <c r="F1272" s="462">
        <v>3.7002935177815409E-2</v>
      </c>
      <c r="G1272" s="316">
        <v>6.6593422658032198E-2</v>
      </c>
      <c r="H1272" s="317">
        <v>2.8897536811334787E-3</v>
      </c>
      <c r="I1272" s="317">
        <v>5.0285615548415798E-2</v>
      </c>
      <c r="J1272" s="317">
        <v>2.4632536628140123E-2</v>
      </c>
      <c r="K1272" s="317">
        <v>5.9666411944066262E-3</v>
      </c>
      <c r="L1272" s="318">
        <v>5.8159650633693341E-4</v>
      </c>
      <c r="M1272" s="317">
        <v>2.7473411416656752E-3</v>
      </c>
      <c r="N1272" s="318">
        <v>2.0000005732018801E-3</v>
      </c>
      <c r="O1272" s="317">
        <v>2.8462267583533964E-2</v>
      </c>
      <c r="P1272" s="318">
        <v>1.7259833805188078E-2</v>
      </c>
      <c r="Q1272" s="319">
        <v>6.2364262326395177E-3</v>
      </c>
    </row>
    <row r="1273" spans="2:17" ht="15.75" x14ac:dyDescent="0.25">
      <c r="B1273" s="176">
        <v>2042</v>
      </c>
      <c r="C1273" s="177">
        <v>2029</v>
      </c>
      <c r="D1273" s="178" t="s">
        <v>4119</v>
      </c>
      <c r="E1273" s="461">
        <v>3.6019685877079863E-2</v>
      </c>
      <c r="F1273" s="462">
        <v>3.6919532660336846E-2</v>
      </c>
      <c r="G1273" s="316">
        <v>6.5372810489347427E-2</v>
      </c>
      <c r="H1273" s="317">
        <v>2.8590597648417431E-3</v>
      </c>
      <c r="I1273" s="317">
        <v>4.8955386733070837E-2</v>
      </c>
      <c r="J1273" s="317">
        <v>2.3827959574344318E-2</v>
      </c>
      <c r="K1273" s="317">
        <v>5.7318585876243236E-3</v>
      </c>
      <c r="L1273" s="318">
        <v>5.8028635052012958E-4</v>
      </c>
      <c r="M1273" s="317">
        <v>2.7411160357299416E-3</v>
      </c>
      <c r="N1273" s="318">
        <v>2.0000005732018801E-3</v>
      </c>
      <c r="O1273" s="317">
        <v>2.8356378531567129E-2</v>
      </c>
      <c r="P1273" s="318">
        <v>1.7243190904677172E-2</v>
      </c>
      <c r="Q1273" s="319">
        <v>5.9910277982109152E-3</v>
      </c>
    </row>
    <row r="1274" spans="2:17" ht="15.75" x14ac:dyDescent="0.25">
      <c r="B1274" s="176">
        <v>2042</v>
      </c>
      <c r="C1274" s="177">
        <v>2030</v>
      </c>
      <c r="D1274" s="178" t="s">
        <v>4120</v>
      </c>
      <c r="E1274" s="461">
        <v>3.595772180030736E-2</v>
      </c>
      <c r="F1274" s="462">
        <v>3.6843076662873918E-2</v>
      </c>
      <c r="G1274" s="316">
        <v>6.425134434350184E-2</v>
      </c>
      <c r="H1274" s="317">
        <v>2.8268659688049178E-3</v>
      </c>
      <c r="I1274" s="317">
        <v>4.7646680676581128E-2</v>
      </c>
      <c r="J1274" s="317">
        <v>2.2922607683864234E-2</v>
      </c>
      <c r="K1274" s="317">
        <v>5.4950411155288157E-3</v>
      </c>
      <c r="L1274" s="318">
        <v>5.7913816479263883E-4</v>
      </c>
      <c r="M1274" s="317">
        <v>2.7369491126514448E-3</v>
      </c>
      <c r="N1274" s="318">
        <v>2.0000005732018805E-3</v>
      </c>
      <c r="O1274" s="317">
        <v>2.8285499170001911E-2</v>
      </c>
      <c r="P1274" s="318">
        <v>1.7228502857549108E-2</v>
      </c>
      <c r="Q1274" s="319">
        <v>5.7435024908892166E-3</v>
      </c>
    </row>
    <row r="1275" spans="2:17" ht="15.75" x14ac:dyDescent="0.25">
      <c r="B1275" s="176">
        <v>2042</v>
      </c>
      <c r="C1275" s="177">
        <v>2031</v>
      </c>
      <c r="D1275" s="178" t="s">
        <v>4121</v>
      </c>
      <c r="E1275" s="461">
        <v>3.5885799613961607E-2</v>
      </c>
      <c r="F1275" s="462">
        <v>3.6769855687353241E-2</v>
      </c>
      <c r="G1275" s="316">
        <v>6.300558870734195E-2</v>
      </c>
      <c r="H1275" s="317">
        <v>2.7927210941662414E-3</v>
      </c>
      <c r="I1275" s="317">
        <v>4.6215801948963339E-2</v>
      </c>
      <c r="J1275" s="317">
        <v>2.2099699929917026E-2</v>
      </c>
      <c r="K1275" s="317">
        <v>5.2379578620669496E-3</v>
      </c>
      <c r="L1275" s="318">
        <v>5.7804852650947508E-4</v>
      </c>
      <c r="M1275" s="317">
        <v>2.7320160183716535E-3</v>
      </c>
      <c r="N1275" s="318">
        <v>2.0000005732018801E-3</v>
      </c>
      <c r="O1275" s="317">
        <v>2.8201587236302651E-2</v>
      </c>
      <c r="P1275" s="318">
        <v>1.7214995467872689E-2</v>
      </c>
      <c r="Q1275" s="319">
        <v>5.4747950734958528E-3</v>
      </c>
    </row>
    <row r="1276" spans="2:17" ht="15.75" x14ac:dyDescent="0.25">
      <c r="B1276" s="176">
        <v>2042</v>
      </c>
      <c r="C1276" s="177">
        <v>2032</v>
      </c>
      <c r="D1276" s="178" t="s">
        <v>4122</v>
      </c>
      <c r="E1276" s="461">
        <v>3.5838636229413343E-2</v>
      </c>
      <c r="F1276" s="462">
        <v>3.6679582213682796E-2</v>
      </c>
      <c r="G1276" s="316">
        <v>6.1841063449525266E-2</v>
      </c>
      <c r="H1276" s="317">
        <v>2.7558326666627308E-3</v>
      </c>
      <c r="I1276" s="317">
        <v>4.4792509427422057E-2</v>
      </c>
      <c r="J1276" s="317">
        <v>2.1197612727992695E-2</v>
      </c>
      <c r="K1276" s="317">
        <v>4.9765990783921295E-3</v>
      </c>
      <c r="L1276" s="318">
        <v>5.7661014891137853E-4</v>
      </c>
      <c r="M1276" s="317">
        <v>2.7289569309140189E-3</v>
      </c>
      <c r="N1276" s="318">
        <v>2.0000005732018801E-3</v>
      </c>
      <c r="O1276" s="317">
        <v>2.8149552158648283E-2</v>
      </c>
      <c r="P1276" s="318">
        <v>1.7195796668016787E-2</v>
      </c>
      <c r="Q1276" s="319">
        <v>5.2016188053856756E-3</v>
      </c>
    </row>
    <row r="1277" spans="2:17" ht="15.75" x14ac:dyDescent="0.25">
      <c r="B1277" s="176">
        <v>2042</v>
      </c>
      <c r="C1277" s="177">
        <v>2033</v>
      </c>
      <c r="D1277" s="178" t="s">
        <v>4123</v>
      </c>
      <c r="E1277" s="461">
        <v>3.5772332918156811E-2</v>
      </c>
      <c r="F1277" s="462">
        <v>3.661254886578074E-2</v>
      </c>
      <c r="G1277" s="316">
        <v>6.0498489806714482E-2</v>
      </c>
      <c r="H1277" s="317">
        <v>2.7159944073481537E-3</v>
      </c>
      <c r="I1277" s="317">
        <v>4.3214953350509906E-2</v>
      </c>
      <c r="J1277" s="317">
        <v>2.0270571474615039E-2</v>
      </c>
      <c r="K1277" s="317">
        <v>4.6913488747145409E-3</v>
      </c>
      <c r="L1277" s="318">
        <v>5.7571124500243882E-4</v>
      </c>
      <c r="M1277" s="317">
        <v>2.7243937817829295E-3</v>
      </c>
      <c r="N1277" s="318">
        <v>2.0000005732018801E-3</v>
      </c>
      <c r="O1277" s="317">
        <v>2.8071932991928457E-2</v>
      </c>
      <c r="P1277" s="318">
        <v>1.7183692809125822E-2</v>
      </c>
      <c r="Q1277" s="319">
        <v>4.9034708532768164E-3</v>
      </c>
    </row>
    <row r="1278" spans="2:17" ht="15.75" x14ac:dyDescent="0.25">
      <c r="B1278" s="176">
        <v>2042</v>
      </c>
      <c r="C1278" s="177">
        <v>2034</v>
      </c>
      <c r="D1278" s="178" t="s">
        <v>4124</v>
      </c>
      <c r="E1278" s="461">
        <v>3.5740061671214317E-2</v>
      </c>
      <c r="F1278" s="462">
        <v>3.6580900051667725E-2</v>
      </c>
      <c r="G1278" s="316">
        <v>5.9292541800051272E-2</v>
      </c>
      <c r="H1278" s="317">
        <v>2.6719040909759621E-3</v>
      </c>
      <c r="I1278" s="317">
        <v>4.1675814260969064E-2</v>
      </c>
      <c r="J1278" s="317">
        <v>1.9350191115748136E-2</v>
      </c>
      <c r="K1278" s="317">
        <v>4.4049255620642134E-3</v>
      </c>
      <c r="L1278" s="318">
        <v>5.7548965270120579E-4</v>
      </c>
      <c r="M1278" s="317">
        <v>2.7225110269142386E-3</v>
      </c>
      <c r="N1278" s="318">
        <v>2.0000005732018801E-3</v>
      </c>
      <c r="O1278" s="317">
        <v>2.8039907331612022E-2</v>
      </c>
      <c r="P1278" s="318">
        <v>1.7182987961752976E-2</v>
      </c>
      <c r="Q1278" s="319">
        <v>4.6040967494130648E-3</v>
      </c>
    </row>
    <row r="1279" spans="2:17" ht="15.75" x14ac:dyDescent="0.25">
      <c r="B1279" s="176">
        <v>2042</v>
      </c>
      <c r="C1279" s="177">
        <v>2035</v>
      </c>
      <c r="D1279" s="178" t="s">
        <v>4125</v>
      </c>
      <c r="E1279" s="461">
        <v>3.5689390183502409E-2</v>
      </c>
      <c r="F1279" s="462">
        <v>3.6540516153082445E-2</v>
      </c>
      <c r="G1279" s="316">
        <v>5.7915991380944443E-2</v>
      </c>
      <c r="H1279" s="317">
        <v>2.6226918322604866E-3</v>
      </c>
      <c r="I1279" s="317">
        <v>3.9988016485906379E-2</v>
      </c>
      <c r="J1279" s="317">
        <v>1.8406622739764691E-2</v>
      </c>
      <c r="K1279" s="317">
        <v>4.0955348292507866E-3</v>
      </c>
      <c r="L1279" s="318">
        <v>5.7496416452982094E-4</v>
      </c>
      <c r="M1279" s="317">
        <v>2.7191864648005602E-3</v>
      </c>
      <c r="N1279" s="318">
        <v>2.0000005732018801E-3</v>
      </c>
      <c r="O1279" s="317">
        <v>2.7983356530058356E-2</v>
      </c>
      <c r="P1279" s="318">
        <v>1.7177308457732837E-2</v>
      </c>
      <c r="Q1279" s="319">
        <v>4.2807167405628605E-3</v>
      </c>
    </row>
    <row r="1280" spans="2:17" ht="15.75" x14ac:dyDescent="0.25">
      <c r="B1280" s="176">
        <v>2042</v>
      </c>
      <c r="C1280" s="177">
        <v>2036</v>
      </c>
      <c r="D1280" s="178" t="s">
        <v>4126</v>
      </c>
      <c r="E1280" s="461">
        <v>3.5648263260431592E-2</v>
      </c>
      <c r="F1280" s="462">
        <v>3.6486767489517805E-2</v>
      </c>
      <c r="G1280" s="316">
        <v>5.652744362061056E-2</v>
      </c>
      <c r="H1280" s="317">
        <v>2.5682648594179177E-3</v>
      </c>
      <c r="I1280" s="317">
        <v>3.8247792629765319E-2</v>
      </c>
      <c r="J1280" s="317">
        <v>1.7497645238943444E-2</v>
      </c>
      <c r="K1280" s="317">
        <v>3.7741727509255935E-3</v>
      </c>
      <c r="L1280" s="318">
        <v>5.7419343058754519E-4</v>
      </c>
      <c r="M1280" s="317">
        <v>2.7165812509760763E-3</v>
      </c>
      <c r="N1280" s="318">
        <v>2.0000005732018801E-3</v>
      </c>
      <c r="O1280" s="317">
        <v>2.793904184290388E-2</v>
      </c>
      <c r="P1280" s="318">
        <v>1.7167022810251998E-2</v>
      </c>
      <c r="Q1280" s="319">
        <v>3.9448240950789035E-3</v>
      </c>
    </row>
    <row r="1281" spans="2:17" ht="15.75" x14ac:dyDescent="0.25">
      <c r="B1281" s="176">
        <v>2042</v>
      </c>
      <c r="C1281" s="177">
        <v>2037</v>
      </c>
      <c r="D1281" s="178" t="s">
        <v>4127</v>
      </c>
      <c r="E1281" s="461">
        <v>3.5589991520402632E-2</v>
      </c>
      <c r="F1281" s="462">
        <v>3.6403824900592067E-2</v>
      </c>
      <c r="G1281" s="316">
        <v>5.4981331336871893E-2</v>
      </c>
      <c r="H1281" s="317">
        <v>2.5117808460622024E-3</v>
      </c>
      <c r="I1281" s="317">
        <v>3.6371487758677712E-2</v>
      </c>
      <c r="J1281" s="317">
        <v>1.6577179410563629E-2</v>
      </c>
      <c r="K1281" s="317">
        <v>3.4322076262990799E-3</v>
      </c>
      <c r="L1281" s="318">
        <v>5.7290636301236049E-4</v>
      </c>
      <c r="M1281" s="317">
        <v>2.7126354076162373E-3</v>
      </c>
      <c r="N1281" s="318">
        <v>2.0000005732018805E-3</v>
      </c>
      <c r="O1281" s="317">
        <v>2.7871923047353024E-2</v>
      </c>
      <c r="P1281" s="318">
        <v>1.7146512945565497E-2</v>
      </c>
      <c r="Q1281" s="319">
        <v>3.587396824964549E-3</v>
      </c>
    </row>
    <row r="1282" spans="2:17" ht="15.75" x14ac:dyDescent="0.25">
      <c r="B1282" s="176">
        <v>2042</v>
      </c>
      <c r="C1282" s="177">
        <v>2038</v>
      </c>
      <c r="D1282" s="178" t="s">
        <v>4128</v>
      </c>
      <c r="E1282" s="461">
        <v>3.5571878465586376E-2</v>
      </c>
      <c r="F1282" s="462">
        <v>3.6395194186284174E-2</v>
      </c>
      <c r="G1282" s="316">
        <v>5.358820752444686E-2</v>
      </c>
      <c r="H1282" s="317">
        <v>2.4644260675456141E-3</v>
      </c>
      <c r="I1282" s="317">
        <v>3.4533021587795809E-2</v>
      </c>
      <c r="J1282" s="317">
        <v>1.5738311626153859E-2</v>
      </c>
      <c r="K1282" s="317">
        <v>3.086779394423699E-3</v>
      </c>
      <c r="L1282" s="318">
        <v>5.7310935021471208E-4</v>
      </c>
      <c r="M1282" s="317">
        <v>2.7117724103499601E-3</v>
      </c>
      <c r="N1282" s="318">
        <v>2.0000005732018706E-3</v>
      </c>
      <c r="O1282" s="317">
        <v>2.785724346385365E-2</v>
      </c>
      <c r="P1282" s="318">
        <v>1.715042853178839E-2</v>
      </c>
      <c r="Q1282" s="319">
        <v>3.2263498612588345E-3</v>
      </c>
    </row>
    <row r="1283" spans="2:17" ht="15.75" x14ac:dyDescent="0.25">
      <c r="B1283" s="176">
        <v>2042</v>
      </c>
      <c r="C1283" s="177">
        <v>2039</v>
      </c>
      <c r="D1283" s="178" t="s">
        <v>4129</v>
      </c>
      <c r="E1283" s="461">
        <v>3.5563581650611423E-2</v>
      </c>
      <c r="F1283" s="462">
        <v>3.6378619301001926E-2</v>
      </c>
      <c r="G1283" s="316">
        <v>5.2174902344872542E-2</v>
      </c>
      <c r="H1283" s="317">
        <v>2.4373012615940275E-3</v>
      </c>
      <c r="I1283" s="317">
        <v>3.2631136468435483E-2</v>
      </c>
      <c r="J1283" s="317">
        <v>1.5012445308435056E-2</v>
      </c>
      <c r="K1283" s="317">
        <v>2.7268619054263248E-3</v>
      </c>
      <c r="L1283" s="318">
        <v>5.7330466696443817E-4</v>
      </c>
      <c r="M1283" s="317">
        <v>2.7116073118356909E-3</v>
      </c>
      <c r="N1283" s="318">
        <v>2.0000005732018801E-3</v>
      </c>
      <c r="O1283" s="317">
        <v>2.7854435138125928E-2</v>
      </c>
      <c r="P1283" s="318">
        <v>1.7150439744407522E-2</v>
      </c>
      <c r="Q1283" s="319">
        <v>2.8501585005192057E-3</v>
      </c>
    </row>
    <row r="1284" spans="2:17" ht="15.75" x14ac:dyDescent="0.25">
      <c r="B1284" s="176">
        <v>2042</v>
      </c>
      <c r="C1284" s="177">
        <v>2040</v>
      </c>
      <c r="D1284" s="178" t="s">
        <v>4130</v>
      </c>
      <c r="E1284" s="461">
        <v>3.5527026224846936E-2</v>
      </c>
      <c r="F1284" s="462">
        <v>3.6331463150010825E-2</v>
      </c>
      <c r="G1284" s="316">
        <v>5.0543480799907677E-2</v>
      </c>
      <c r="H1284" s="317">
        <v>2.4322125552112893E-3</v>
      </c>
      <c r="I1284" s="317">
        <v>3.0562852009706043E-2</v>
      </c>
      <c r="J1284" s="317">
        <v>1.4447101492520554E-2</v>
      </c>
      <c r="K1284" s="317">
        <v>2.3440090707158626E-3</v>
      </c>
      <c r="L1284" s="318">
        <v>5.7310301853507424E-4</v>
      </c>
      <c r="M1284" s="317">
        <v>2.7091740298783519E-3</v>
      </c>
      <c r="N1284" s="318">
        <v>2.0000005732018801E-3</v>
      </c>
      <c r="O1284" s="317">
        <v>2.7813045012031593E-2</v>
      </c>
      <c r="P1284" s="318">
        <v>1.7138813920676964E-2</v>
      </c>
      <c r="Q1284" s="319">
        <v>2.4499947595074296E-3</v>
      </c>
    </row>
    <row r="1285" spans="2:17" ht="15.75" x14ac:dyDescent="0.25">
      <c r="B1285" s="176">
        <v>2042</v>
      </c>
      <c r="C1285" s="177">
        <v>2041</v>
      </c>
      <c r="D1285" s="178" t="s">
        <v>4131</v>
      </c>
      <c r="E1285" s="461">
        <v>3.5500536875068052E-2</v>
      </c>
      <c r="F1285" s="462">
        <v>3.625759732575063E-2</v>
      </c>
      <c r="G1285" s="316">
        <v>4.8912566870622717E-2</v>
      </c>
      <c r="H1285" s="317">
        <v>2.4009870162198395E-3</v>
      </c>
      <c r="I1285" s="317">
        <v>2.8442769552314753E-2</v>
      </c>
      <c r="J1285" s="317">
        <v>1.7536902795017368E-2</v>
      </c>
      <c r="K1285" s="317">
        <v>1.9481406598137352E-3</v>
      </c>
      <c r="L1285" s="318">
        <v>5.7200179390609585E-4</v>
      </c>
      <c r="M1285" s="317">
        <v>2.7077616467361659E-3</v>
      </c>
      <c r="N1285" s="318">
        <v>2.0000005732018801E-3</v>
      </c>
      <c r="O1285" s="317">
        <v>2.7789020374783008E-2</v>
      </c>
      <c r="P1285" s="318">
        <v>1.7122319853422528E-2</v>
      </c>
      <c r="Q1285" s="319">
        <v>2.0362269357043637E-3</v>
      </c>
    </row>
    <row r="1286" spans="2:17" ht="15.75" x14ac:dyDescent="0.25">
      <c r="B1286" s="176">
        <v>2042</v>
      </c>
      <c r="C1286" s="177">
        <v>2042</v>
      </c>
      <c r="D1286" s="178" t="s">
        <v>4132</v>
      </c>
      <c r="E1286" s="461">
        <v>3.5129833979381117E-2</v>
      </c>
      <c r="F1286" s="462">
        <v>3.5579695707990147E-2</v>
      </c>
      <c r="G1286" s="316">
        <v>4.5526386109153695E-2</v>
      </c>
      <c r="H1286" s="317">
        <v>2.2826202495923901E-3</v>
      </c>
      <c r="I1286" s="317">
        <v>2.5457943930437699E-2</v>
      </c>
      <c r="J1286" s="317">
        <v>1.7435932968429293E-2</v>
      </c>
      <c r="K1286" s="317">
        <v>1.4951658833447618E-3</v>
      </c>
      <c r="L1286" s="318">
        <v>5.5977659280504485E-4</v>
      </c>
      <c r="M1286" s="317">
        <v>2.6793277601653721E-3</v>
      </c>
      <c r="N1286" s="318">
        <v>2.0000005732018801E-3</v>
      </c>
      <c r="O1286" s="317">
        <v>2.7305359964213804E-2</v>
      </c>
      <c r="P1286" s="318">
        <v>1.6899480239277322E-2</v>
      </c>
      <c r="Q1286" s="319">
        <v>1.5627706498892743E-3</v>
      </c>
    </row>
    <row r="1287" spans="2:17" ht="15.75" x14ac:dyDescent="0.25">
      <c r="B1287" s="176">
        <v>2043</v>
      </c>
      <c r="C1287" s="177">
        <v>1999</v>
      </c>
      <c r="D1287" s="178" t="s">
        <v>4133</v>
      </c>
      <c r="E1287" s="461">
        <v>5.8039191335056806E-2</v>
      </c>
      <c r="F1287" s="462">
        <v>6.9674982064071425E-2</v>
      </c>
      <c r="G1287" s="316">
        <v>0.36955644481741035</v>
      </c>
      <c r="H1287" s="317">
        <v>0.11864043748375265</v>
      </c>
      <c r="I1287" s="317">
        <v>8.94412915016858</v>
      </c>
      <c r="J1287" s="317">
        <v>0.76798783097117074</v>
      </c>
      <c r="K1287" s="317">
        <v>5.3752734610720318E-2</v>
      </c>
      <c r="L1287" s="318">
        <v>2.9438042549514432E-3</v>
      </c>
      <c r="M1287" s="317">
        <v>2.9789690375574447E-3</v>
      </c>
      <c r="N1287" s="318">
        <v>2.0000005732018801E-3</v>
      </c>
      <c r="O1287" s="317">
        <v>3.2402258092652972E-2</v>
      </c>
      <c r="P1287" s="318">
        <v>1.8606847597185942E-2</v>
      </c>
      <c r="Q1287" s="319">
        <v>5.6183194745589971E-2</v>
      </c>
    </row>
    <row r="1288" spans="2:17" ht="15.75" x14ac:dyDescent="0.25">
      <c r="B1288" s="176">
        <v>2043</v>
      </c>
      <c r="C1288" s="177">
        <v>2000</v>
      </c>
      <c r="D1288" s="178" t="s">
        <v>4134</v>
      </c>
      <c r="E1288" s="461">
        <v>5.8017570724914286E-2</v>
      </c>
      <c r="F1288" s="462">
        <v>7.5857288941509435E-2</v>
      </c>
      <c r="G1288" s="316">
        <v>0.3715163612406463</v>
      </c>
      <c r="H1288" s="317">
        <v>0.10185572975989471</v>
      </c>
      <c r="I1288" s="317">
        <v>9.0820439608140173</v>
      </c>
      <c r="J1288" s="317">
        <v>0.61635366697419003</v>
      </c>
      <c r="K1288" s="317">
        <v>5.343371588336901E-2</v>
      </c>
      <c r="L1288" s="318">
        <v>2.9390780462262875E-3</v>
      </c>
      <c r="M1288" s="317">
        <v>2.9939243801971435E-3</v>
      </c>
      <c r="N1288" s="318">
        <v>2.0000005732018801E-3</v>
      </c>
      <c r="O1288" s="317">
        <v>3.2656648470954244E-2</v>
      </c>
      <c r="P1288" s="318">
        <v>1.8790520829147825E-2</v>
      </c>
      <c r="Q1288" s="319">
        <v>5.5849751407012357E-2</v>
      </c>
    </row>
    <row r="1289" spans="2:17" ht="15.75" x14ac:dyDescent="0.25">
      <c r="B1289" s="176">
        <v>2043</v>
      </c>
      <c r="C1289" s="177">
        <v>2001</v>
      </c>
      <c r="D1289" s="178" t="s">
        <v>4135</v>
      </c>
      <c r="E1289" s="461">
        <v>5.7955702984533501E-2</v>
      </c>
      <c r="F1289" s="462">
        <v>7.4640607768724554E-2</v>
      </c>
      <c r="G1289" s="316">
        <v>0.36909094682423937</v>
      </c>
      <c r="H1289" s="317">
        <v>8.7796905533728764E-2</v>
      </c>
      <c r="I1289" s="317">
        <v>8.941058504276489</v>
      </c>
      <c r="J1289" s="317">
        <v>0.47670588373513356</v>
      </c>
      <c r="K1289" s="317">
        <v>5.3699812499577809E-2</v>
      </c>
      <c r="L1289" s="318">
        <v>2.9597202834816699E-3</v>
      </c>
      <c r="M1289" s="317">
        <v>2.978338503164367E-3</v>
      </c>
      <c r="N1289" s="318">
        <v>2.0000005732018805E-3</v>
      </c>
      <c r="O1289" s="317">
        <v>3.2391532702626707E-2</v>
      </c>
      <c r="P1289" s="318">
        <v>1.8409391776563245E-2</v>
      </c>
      <c r="Q1289" s="319">
        <v>5.612787973141993E-2</v>
      </c>
    </row>
    <row r="1290" spans="2:17" ht="15.75" x14ac:dyDescent="0.25">
      <c r="B1290" s="176">
        <v>2043</v>
      </c>
      <c r="C1290" s="177">
        <v>2002</v>
      </c>
      <c r="D1290" s="178" t="s">
        <v>4136</v>
      </c>
      <c r="E1290" s="461">
        <v>5.7907087987063219E-2</v>
      </c>
      <c r="F1290" s="462">
        <v>7.2743605169656694E-2</v>
      </c>
      <c r="G1290" s="316">
        <v>0.28765009784710083</v>
      </c>
      <c r="H1290" s="317">
        <v>8.7883148828899804E-2</v>
      </c>
      <c r="I1290" s="317">
        <v>6.9969314035678396</v>
      </c>
      <c r="J1290" s="317">
        <v>0.45870430568396114</v>
      </c>
      <c r="K1290" s="317">
        <v>5.3856350753284134E-2</v>
      </c>
      <c r="L1290" s="318">
        <v>2.9847021527815445E-3</v>
      </c>
      <c r="M1290" s="317">
        <v>2.993186326403633E-3</v>
      </c>
      <c r="N1290" s="318">
        <v>2.0000005732018801E-3</v>
      </c>
      <c r="O1290" s="317">
        <v>3.2644094175926633E-2</v>
      </c>
      <c r="P1290" s="318">
        <v>1.782146484345733E-2</v>
      </c>
      <c r="Q1290" s="319">
        <v>5.6291495950330658E-2</v>
      </c>
    </row>
    <row r="1291" spans="2:17" ht="15.75" x14ac:dyDescent="0.25">
      <c r="B1291" s="176">
        <v>2043</v>
      </c>
      <c r="C1291" s="177">
        <v>2003</v>
      </c>
      <c r="D1291" s="178" t="s">
        <v>4137</v>
      </c>
      <c r="E1291" s="461">
        <v>5.7652269772277318E-2</v>
      </c>
      <c r="F1291" s="462">
        <v>7.3811425948644663E-2</v>
      </c>
      <c r="G1291" s="316">
        <v>0.28462098399908797</v>
      </c>
      <c r="H1291" s="317">
        <v>7.1179663871346277E-2</v>
      </c>
      <c r="I1291" s="317">
        <v>6.9760475765636567</v>
      </c>
      <c r="J1291" s="317">
        <v>0.39251011645434103</v>
      </c>
      <c r="K1291" s="317">
        <v>5.3545577871244185E-2</v>
      </c>
      <c r="L1291" s="318">
        <v>2.9671713984403604E-3</v>
      </c>
      <c r="M1291" s="317">
        <v>2.9860650148804749E-3</v>
      </c>
      <c r="N1291" s="318">
        <v>2.0000005732018801E-3</v>
      </c>
      <c r="O1291" s="317">
        <v>3.2522960666917698E-2</v>
      </c>
      <c r="P1291" s="318">
        <v>1.8200841631136121E-2</v>
      </c>
      <c r="Q1291" s="319">
        <v>5.5966671297599031E-2</v>
      </c>
    </row>
    <row r="1292" spans="2:17" ht="15.75" x14ac:dyDescent="0.25">
      <c r="B1292" s="176">
        <v>2043</v>
      </c>
      <c r="C1292" s="177">
        <v>2004</v>
      </c>
      <c r="D1292" s="178" t="s">
        <v>4138</v>
      </c>
      <c r="E1292" s="461">
        <v>5.7600216882947156E-2</v>
      </c>
      <c r="F1292" s="462">
        <v>7.353253833668516E-2</v>
      </c>
      <c r="G1292" s="316">
        <v>0.23531053389025344</v>
      </c>
      <c r="H1292" s="317">
        <v>1.8260119224663019E-2</v>
      </c>
      <c r="I1292" s="317">
        <v>5.8298159767785203</v>
      </c>
      <c r="J1292" s="317">
        <v>0.11577493720511596</v>
      </c>
      <c r="K1292" s="317">
        <v>5.3306220082582095E-2</v>
      </c>
      <c r="L1292" s="318">
        <v>1.9805014221116804E-4</v>
      </c>
      <c r="M1292" s="317">
        <v>2.9855877869066367E-3</v>
      </c>
      <c r="N1292" s="318">
        <v>2.0000005732018801E-3</v>
      </c>
      <c r="O1292" s="317">
        <v>3.2514843019082716E-2</v>
      </c>
      <c r="P1292" s="318">
        <v>1.7820634443545914E-2</v>
      </c>
      <c r="Q1292" s="319">
        <v>5.5716490811868087E-2</v>
      </c>
    </row>
    <row r="1293" spans="2:17" ht="15.75" x14ac:dyDescent="0.25">
      <c r="B1293" s="176">
        <v>2043</v>
      </c>
      <c r="C1293" s="177">
        <v>2005</v>
      </c>
      <c r="D1293" s="178" t="s">
        <v>4139</v>
      </c>
      <c r="E1293" s="461">
        <v>5.7337071022779761E-2</v>
      </c>
      <c r="F1293" s="462">
        <v>6.9776129606067022E-2</v>
      </c>
      <c r="G1293" s="316">
        <v>0.2324751662701931</v>
      </c>
      <c r="H1293" s="317">
        <v>1.5911729098395708E-2</v>
      </c>
      <c r="I1293" s="317">
        <v>5.8143489820008529</v>
      </c>
      <c r="J1293" s="317">
        <v>9.3936296089226087E-2</v>
      </c>
      <c r="K1293" s="317">
        <v>5.2942589261422777E-2</v>
      </c>
      <c r="L1293" s="318">
        <v>1.9874442204052484E-4</v>
      </c>
      <c r="M1293" s="317">
        <v>2.9770994272414726E-3</v>
      </c>
      <c r="N1293" s="318">
        <v>2.0000005732018797E-3</v>
      </c>
      <c r="O1293" s="317">
        <v>3.2370456021178273E-2</v>
      </c>
      <c r="P1293" s="318">
        <v>1.7091261403488718E-2</v>
      </c>
      <c r="Q1293" s="319">
        <v>5.5336418218563818E-2</v>
      </c>
    </row>
    <row r="1294" spans="2:17" ht="15.75" x14ac:dyDescent="0.25">
      <c r="B1294" s="176">
        <v>2043</v>
      </c>
      <c r="C1294" s="177">
        <v>2006</v>
      </c>
      <c r="D1294" s="178" t="s">
        <v>4140</v>
      </c>
      <c r="E1294" s="461">
        <v>5.7286294930319004E-2</v>
      </c>
      <c r="F1294" s="462">
        <v>7.3066373024437622E-2</v>
      </c>
      <c r="G1294" s="316">
        <v>0.23267503466392614</v>
      </c>
      <c r="H1294" s="317">
        <v>5.956301542753846E-3</v>
      </c>
      <c r="I1294" s="317">
        <v>5.8258167320563983</v>
      </c>
      <c r="J1294" s="317">
        <v>6.4275185373034255E-2</v>
      </c>
      <c r="K1294" s="317">
        <v>5.290708345757128E-2</v>
      </c>
      <c r="L1294" s="318">
        <v>1.9504613341047114E-4</v>
      </c>
      <c r="M1294" s="317">
        <v>2.9795293374767517E-3</v>
      </c>
      <c r="N1294" s="318">
        <v>2.0000005732018797E-3</v>
      </c>
      <c r="O1294" s="317">
        <v>3.2411788794280381E-2</v>
      </c>
      <c r="P1294" s="318">
        <v>1.8806924625290815E-2</v>
      </c>
      <c r="Q1294" s="319">
        <v>5.5299306999816875E-2</v>
      </c>
    </row>
    <row r="1295" spans="2:17" ht="15.75" x14ac:dyDescent="0.25">
      <c r="B1295" s="176">
        <v>2043</v>
      </c>
      <c r="C1295" s="177">
        <v>2007</v>
      </c>
      <c r="D1295" s="178" t="s">
        <v>4141</v>
      </c>
      <c r="E1295" s="461">
        <v>5.7087819685584448E-2</v>
      </c>
      <c r="F1295" s="462">
        <v>6.8695780217217062E-2</v>
      </c>
      <c r="G1295" s="316">
        <v>0.16690241715228385</v>
      </c>
      <c r="H1295" s="317">
        <v>8.5456416456511555E-3</v>
      </c>
      <c r="I1295" s="317">
        <v>2.9722896030916219</v>
      </c>
      <c r="J1295" s="317">
        <v>5.7264960613124923E-2</v>
      </c>
      <c r="K1295" s="317">
        <v>3.6892458560523221E-2</v>
      </c>
      <c r="L1295" s="318">
        <v>1.9812665761609124E-4</v>
      </c>
      <c r="M1295" s="317">
        <v>2.9581379249333565E-3</v>
      </c>
      <c r="N1295" s="318">
        <v>2.0000005732018801E-3</v>
      </c>
      <c r="O1295" s="317">
        <v>3.2047920866917219E-2</v>
      </c>
      <c r="P1295" s="318">
        <v>1.7418891368815609E-2</v>
      </c>
      <c r="Q1295" s="319">
        <v>3.8560571828769853E-2</v>
      </c>
    </row>
    <row r="1296" spans="2:17" ht="15.75" x14ac:dyDescent="0.25">
      <c r="B1296" s="176">
        <v>2043</v>
      </c>
      <c r="C1296" s="177">
        <v>2008</v>
      </c>
      <c r="D1296" s="178" t="s">
        <v>4142</v>
      </c>
      <c r="E1296" s="461">
        <v>5.7134635282342333E-2</v>
      </c>
      <c r="F1296" s="462">
        <v>6.7223598643937552E-2</v>
      </c>
      <c r="G1296" s="316">
        <v>0.16929243087872514</v>
      </c>
      <c r="H1296" s="317">
        <v>8.3186072252375409E-3</v>
      </c>
      <c r="I1296" s="317">
        <v>3.0148652771702462</v>
      </c>
      <c r="J1296" s="317">
        <v>4.6907451213910378E-2</v>
      </c>
      <c r="K1296" s="317">
        <v>3.738557353270465E-2</v>
      </c>
      <c r="L1296" s="318">
        <v>2.2603454477673047E-4</v>
      </c>
      <c r="M1296" s="317">
        <v>2.9731763651193871E-3</v>
      </c>
      <c r="N1296" s="318">
        <v>2.0000005732018801E-3</v>
      </c>
      <c r="O1296" s="317">
        <v>3.2303724734481613E-2</v>
      </c>
      <c r="P1296" s="318">
        <v>1.746824293155658E-2</v>
      </c>
      <c r="Q1296" s="319">
        <v>3.9075983271827978E-2</v>
      </c>
    </row>
    <row r="1297" spans="2:17" ht="15.75" x14ac:dyDescent="0.25">
      <c r="B1297" s="176">
        <v>2043</v>
      </c>
      <c r="C1297" s="177">
        <v>2009</v>
      </c>
      <c r="D1297" s="178" t="s">
        <v>4143</v>
      </c>
      <c r="E1297" s="461">
        <v>5.6347691837671812E-2</v>
      </c>
      <c r="F1297" s="462">
        <v>6.1810442077285553E-2</v>
      </c>
      <c r="G1297" s="316">
        <v>0.15846667477299525</v>
      </c>
      <c r="H1297" s="317">
        <v>8.1572278534498173E-3</v>
      </c>
      <c r="I1297" s="317">
        <v>2.7277515680613575</v>
      </c>
      <c r="J1297" s="317">
        <v>3.4115757466625554E-2</v>
      </c>
      <c r="K1297" s="317">
        <v>3.4916298471574986E-2</v>
      </c>
      <c r="L1297" s="318">
        <v>2.5542427702828017E-4</v>
      </c>
      <c r="M1297" s="317">
        <v>2.8836334830583074E-3</v>
      </c>
      <c r="N1297" s="318">
        <v>2.0000005732018801E-3</v>
      </c>
      <c r="O1297" s="317">
        <v>3.078060031062263E-2</v>
      </c>
      <c r="P1297" s="318">
        <v>1.6830305546164517E-2</v>
      </c>
      <c r="Q1297" s="319">
        <v>3.649505854967984E-2</v>
      </c>
    </row>
    <row r="1298" spans="2:17" ht="15.75" x14ac:dyDescent="0.25">
      <c r="B1298" s="176">
        <v>2043</v>
      </c>
      <c r="C1298" s="177">
        <v>2010</v>
      </c>
      <c r="D1298" s="178" t="s">
        <v>4144</v>
      </c>
      <c r="E1298" s="461">
        <v>5.5340203310237854E-2</v>
      </c>
      <c r="F1298" s="462">
        <v>5.9845197765447083E-2</v>
      </c>
      <c r="G1298" s="316">
        <v>9.5741561316401991E-2</v>
      </c>
      <c r="H1298" s="317">
        <v>7.3259370264349083E-3</v>
      </c>
      <c r="I1298" s="317">
        <v>0.2418757188950357</v>
      </c>
      <c r="J1298" s="317">
        <v>3.3215355580380322E-2</v>
      </c>
      <c r="K1298" s="317">
        <v>2.0470140652340752E-2</v>
      </c>
      <c r="L1298" s="318">
        <v>3.1161900733320507E-4</v>
      </c>
      <c r="M1298" s="317">
        <v>2.8139587584313347E-3</v>
      </c>
      <c r="N1298" s="318">
        <v>2.0000005732018801E-3</v>
      </c>
      <c r="O1298" s="317">
        <v>2.9595433244717834E-2</v>
      </c>
      <c r="P1298" s="318">
        <v>1.6455221568794951E-2</v>
      </c>
      <c r="Q1298" s="319">
        <v>2.1395709577735764E-2</v>
      </c>
    </row>
    <row r="1299" spans="2:17" ht="15.75" x14ac:dyDescent="0.25">
      <c r="B1299" s="176">
        <v>2043</v>
      </c>
      <c r="C1299" s="177">
        <v>2011</v>
      </c>
      <c r="D1299" s="178" t="s">
        <v>4145</v>
      </c>
      <c r="E1299" s="461">
        <v>5.5187466931835107E-2</v>
      </c>
      <c r="F1299" s="462">
        <v>5.8559629043709011E-2</v>
      </c>
      <c r="G1299" s="316">
        <v>9.6426179057859551E-2</v>
      </c>
      <c r="H1299" s="317">
        <v>7.4310661602706137E-3</v>
      </c>
      <c r="I1299" s="317">
        <v>0.24504491217065669</v>
      </c>
      <c r="J1299" s="317">
        <v>3.3554577207262737E-2</v>
      </c>
      <c r="K1299" s="317">
        <v>2.0715867653302404E-2</v>
      </c>
      <c r="L1299" s="318">
        <v>4.2186638839491851E-4</v>
      </c>
      <c r="M1299" s="317">
        <v>2.8327799784488203E-3</v>
      </c>
      <c r="N1299" s="318">
        <v>2.0000005732018801E-3</v>
      </c>
      <c r="O1299" s="317">
        <v>2.9915582197215265E-2</v>
      </c>
      <c r="P1299" s="318">
        <v>1.6597297512994099E-2</v>
      </c>
      <c r="Q1299" s="319">
        <v>2.165254726328349E-2</v>
      </c>
    </row>
    <row r="1300" spans="2:17" ht="15.75" x14ac:dyDescent="0.25">
      <c r="B1300" s="176">
        <v>2043</v>
      </c>
      <c r="C1300" s="177">
        <v>2012</v>
      </c>
      <c r="D1300" s="178" t="s">
        <v>4146</v>
      </c>
      <c r="E1300" s="461">
        <v>5.3382764707974019E-2</v>
      </c>
      <c r="F1300" s="462">
        <v>5.8678607297074088E-2</v>
      </c>
      <c r="G1300" s="316">
        <v>8.6318198653158748E-2</v>
      </c>
      <c r="H1300" s="317">
        <v>7.0057961558199194E-3</v>
      </c>
      <c r="I1300" s="317">
        <v>0.21729773952475517</v>
      </c>
      <c r="J1300" s="317">
        <v>3.4748089724380309E-2</v>
      </c>
      <c r="K1300" s="317">
        <v>1.8768031202202981E-2</v>
      </c>
      <c r="L1300" s="318">
        <v>6.1149829944707914E-4</v>
      </c>
      <c r="M1300" s="317">
        <v>2.7196989325914468E-3</v>
      </c>
      <c r="N1300" s="318">
        <v>2.0000005732018801E-3</v>
      </c>
      <c r="O1300" s="317">
        <v>2.7992073607181332E-2</v>
      </c>
      <c r="P1300" s="318">
        <v>1.7021929915887326E-2</v>
      </c>
      <c r="Q1300" s="319">
        <v>1.9616638291261528E-2</v>
      </c>
    </row>
    <row r="1301" spans="2:17" ht="15.75" x14ac:dyDescent="0.25">
      <c r="B1301" s="176">
        <v>2043</v>
      </c>
      <c r="C1301" s="177">
        <v>2013</v>
      </c>
      <c r="D1301" s="178" t="s">
        <v>4147</v>
      </c>
      <c r="E1301" s="461">
        <v>5.5296512887797938E-2</v>
      </c>
      <c r="F1301" s="462">
        <v>5.7444960422937882E-2</v>
      </c>
      <c r="G1301" s="316">
        <v>0.10007296492140194</v>
      </c>
      <c r="H1301" s="317">
        <v>7.935261831922143E-3</v>
      </c>
      <c r="I1301" s="317">
        <v>0.25427856389869696</v>
      </c>
      <c r="J1301" s="317">
        <v>3.3801097155802123E-2</v>
      </c>
      <c r="K1301" s="317">
        <v>2.1346521421874268E-2</v>
      </c>
      <c r="L1301" s="318">
        <v>9.1302896158142568E-4</v>
      </c>
      <c r="M1301" s="317">
        <v>2.8665879902352344E-3</v>
      </c>
      <c r="N1301" s="318">
        <v>2.0000005732018801E-3</v>
      </c>
      <c r="O1301" s="317">
        <v>3.0490656477702074E-2</v>
      </c>
      <c r="P1301" s="318">
        <v>1.7128700474911652E-2</v>
      </c>
      <c r="Q1301" s="319">
        <v>2.231171639678543E-2</v>
      </c>
    </row>
    <row r="1302" spans="2:17" ht="15.75" x14ac:dyDescent="0.25">
      <c r="B1302" s="176">
        <v>2043</v>
      </c>
      <c r="C1302" s="177">
        <v>2014</v>
      </c>
      <c r="D1302" s="178" t="s">
        <v>4148</v>
      </c>
      <c r="E1302" s="461">
        <v>5.2701394152857579E-2</v>
      </c>
      <c r="F1302" s="462">
        <v>5.5076243603336079E-2</v>
      </c>
      <c r="G1302" s="316">
        <v>9.092786525878499E-2</v>
      </c>
      <c r="H1302" s="317">
        <v>8.0627426678093889E-3</v>
      </c>
      <c r="I1302" s="317">
        <v>0.22999899845649172</v>
      </c>
      <c r="J1302" s="317">
        <v>3.2277941340870149E-2</v>
      </c>
      <c r="K1302" s="317">
        <v>1.9666504835860812E-2</v>
      </c>
      <c r="L1302" s="318">
        <v>1.2826933255114541E-3</v>
      </c>
      <c r="M1302" s="317">
        <v>2.7721693117718957E-3</v>
      </c>
      <c r="N1302" s="318">
        <v>2.0000005732018801E-3</v>
      </c>
      <c r="O1302" s="317">
        <v>2.8884594757040773E-2</v>
      </c>
      <c r="P1302" s="318">
        <v>1.6611225712005805E-2</v>
      </c>
      <c r="Q1302" s="319">
        <v>2.0555736915715755E-2</v>
      </c>
    </row>
    <row r="1303" spans="2:17" ht="15.75" x14ac:dyDescent="0.25">
      <c r="B1303" s="176">
        <v>2043</v>
      </c>
      <c r="C1303" s="177">
        <v>2015</v>
      </c>
      <c r="D1303" s="178" t="s">
        <v>4149</v>
      </c>
      <c r="E1303" s="461">
        <v>5.1520737937851252E-2</v>
      </c>
      <c r="F1303" s="462">
        <v>5.7804518465742014E-2</v>
      </c>
      <c r="G1303" s="316">
        <v>8.6502857501344482E-2</v>
      </c>
      <c r="H1303" s="317">
        <v>8.06189963727557E-3</v>
      </c>
      <c r="I1303" s="317">
        <v>0.21980682286280193</v>
      </c>
      <c r="J1303" s="317">
        <v>3.4024918040465424E-2</v>
      </c>
      <c r="K1303" s="317">
        <v>1.8994843023214952E-2</v>
      </c>
      <c r="L1303" s="318">
        <v>1.5920938921572209E-3</v>
      </c>
      <c r="M1303" s="317">
        <v>2.7399779796058463E-3</v>
      </c>
      <c r="N1303" s="318">
        <v>2.0000005732018801E-3</v>
      </c>
      <c r="O1303" s="317">
        <v>2.8337020196896275E-2</v>
      </c>
      <c r="P1303" s="318">
        <v>1.7703988686433386E-2</v>
      </c>
      <c r="Q1303" s="319">
        <v>1.9853705536357173E-2</v>
      </c>
    </row>
    <row r="1304" spans="2:17" ht="15.75" x14ac:dyDescent="0.25">
      <c r="B1304" s="176">
        <v>2043</v>
      </c>
      <c r="C1304" s="177">
        <v>2016</v>
      </c>
      <c r="D1304" s="178" t="s">
        <v>4150</v>
      </c>
      <c r="E1304" s="461">
        <v>5.1787562838423319E-2</v>
      </c>
      <c r="F1304" s="462">
        <v>5.9661323094464674E-2</v>
      </c>
      <c r="G1304" s="316">
        <v>9.8329325486441896E-2</v>
      </c>
      <c r="H1304" s="317">
        <v>7.8249066253482189E-3</v>
      </c>
      <c r="I1304" s="317">
        <v>0.2218704655238255</v>
      </c>
      <c r="J1304" s="317">
        <v>3.4641840275675483E-2</v>
      </c>
      <c r="K1304" s="317">
        <v>2.1294175625225665E-2</v>
      </c>
      <c r="L1304" s="318">
        <v>1.8211287478535393E-3</v>
      </c>
      <c r="M1304" s="317">
        <v>2.8743801410373521E-3</v>
      </c>
      <c r="N1304" s="318">
        <v>2.0000005732018805E-3</v>
      </c>
      <c r="O1304" s="317">
        <v>3.0623200962846191E-2</v>
      </c>
      <c r="P1304" s="318">
        <v>1.8778978234947633E-2</v>
      </c>
      <c r="Q1304" s="319">
        <v>2.2257003755493478E-2</v>
      </c>
    </row>
    <row r="1305" spans="2:17" ht="15.75" x14ac:dyDescent="0.25">
      <c r="B1305" s="176">
        <v>2043</v>
      </c>
      <c r="C1305" s="177">
        <v>2017</v>
      </c>
      <c r="D1305" s="178" t="s">
        <v>4151</v>
      </c>
      <c r="E1305" s="461">
        <v>4.8397550938546599E-2</v>
      </c>
      <c r="F1305" s="462">
        <v>5.3210609798187841E-2</v>
      </c>
      <c r="G1305" s="316">
        <v>7.8908166785462655E-2</v>
      </c>
      <c r="H1305" s="317">
        <v>7.8443608805101785E-3</v>
      </c>
      <c r="I1305" s="317">
        <v>0.16664441509277073</v>
      </c>
      <c r="J1305" s="317">
        <v>3.1744405343819358E-2</v>
      </c>
      <c r="K1305" s="317">
        <v>1.9548325078461146E-2</v>
      </c>
      <c r="L1305" s="318">
        <v>2.008932785973232E-3</v>
      </c>
      <c r="M1305" s="317">
        <v>2.8331361863453927E-3</v>
      </c>
      <c r="N1305" s="318">
        <v>2.0000005732018714E-3</v>
      </c>
      <c r="O1305" s="317">
        <v>2.9921641293535955E-2</v>
      </c>
      <c r="P1305" s="318">
        <v>1.7580300365887931E-2</v>
      </c>
      <c r="Q1305" s="319">
        <v>2.0432213594101328E-2</v>
      </c>
    </row>
    <row r="1306" spans="2:17" ht="15.75" x14ac:dyDescent="0.25">
      <c r="B1306" s="176">
        <v>2043</v>
      </c>
      <c r="C1306" s="177">
        <v>2018</v>
      </c>
      <c r="D1306" s="178" t="s">
        <v>4152</v>
      </c>
      <c r="E1306" s="461">
        <v>4.5266604694585065E-2</v>
      </c>
      <c r="F1306" s="462">
        <v>5.0699736652905683E-2</v>
      </c>
      <c r="G1306" s="316">
        <v>7.8515003109710546E-2</v>
      </c>
      <c r="H1306" s="317">
        <v>7.490628325716878E-3</v>
      </c>
      <c r="I1306" s="317">
        <v>0.13648894186417881</v>
      </c>
      <c r="J1306" s="317">
        <v>3.0265507898078987E-2</v>
      </c>
      <c r="K1306" s="317">
        <v>1.8206907959215448E-2</v>
      </c>
      <c r="L1306" s="318">
        <v>2.092551941697344E-3</v>
      </c>
      <c r="M1306" s="317">
        <v>2.8270717867854918E-3</v>
      </c>
      <c r="N1306" s="318">
        <v>2.0000005732018801E-3</v>
      </c>
      <c r="O1306" s="317">
        <v>2.9818485857022039E-2</v>
      </c>
      <c r="P1306" s="318">
        <v>1.7528842280652102E-2</v>
      </c>
      <c r="Q1306" s="319">
        <v>1.9030143545173725E-2</v>
      </c>
    </row>
    <row r="1307" spans="2:17" ht="15.75" x14ac:dyDescent="0.25">
      <c r="B1307" s="176">
        <v>2043</v>
      </c>
      <c r="C1307" s="177">
        <v>2019</v>
      </c>
      <c r="D1307" s="178" t="s">
        <v>4153</v>
      </c>
      <c r="E1307" s="461">
        <v>4.4895187495535685E-2</v>
      </c>
      <c r="F1307" s="462">
        <v>4.8707568465036107E-2</v>
      </c>
      <c r="G1307" s="316">
        <v>7.813215415848343E-2</v>
      </c>
      <c r="H1307" s="317">
        <v>6.736594499115677E-3</v>
      </c>
      <c r="I1307" s="317">
        <v>0.11793970581189422</v>
      </c>
      <c r="J1307" s="317">
        <v>2.7452600785198702E-2</v>
      </c>
      <c r="K1307" s="317">
        <v>1.5719390482075928E-2</v>
      </c>
      <c r="L1307" s="318">
        <v>1.9887791637785376E-3</v>
      </c>
      <c r="M1307" s="317">
        <v>2.8212008217982885E-3</v>
      </c>
      <c r="N1307" s="318">
        <v>2.0000005732018801E-3</v>
      </c>
      <c r="O1307" s="317">
        <v>2.9718620742589717E-2</v>
      </c>
      <c r="P1307" s="318">
        <v>1.7489644289485986E-2</v>
      </c>
      <c r="Q1307" s="319">
        <v>1.6430151565913199E-2</v>
      </c>
    </row>
    <row r="1308" spans="2:17" ht="15.75" x14ac:dyDescent="0.25">
      <c r="B1308" s="176">
        <v>2043</v>
      </c>
      <c r="C1308" s="177">
        <v>2020</v>
      </c>
      <c r="D1308" s="178" t="s">
        <v>4154</v>
      </c>
      <c r="E1308" s="461">
        <v>4.448588264170493E-2</v>
      </c>
      <c r="F1308" s="462">
        <v>4.6763382027185524E-2</v>
      </c>
      <c r="G1308" s="316">
        <v>7.7587673558970727E-2</v>
      </c>
      <c r="H1308" s="317">
        <v>5.8257406185859527E-3</v>
      </c>
      <c r="I1308" s="317">
        <v>9.90860334231497E-2</v>
      </c>
      <c r="J1308" s="317">
        <v>2.5276606592920366E-2</v>
      </c>
      <c r="K1308" s="317">
        <v>1.3192284490725624E-2</v>
      </c>
      <c r="L1308" s="318">
        <v>1.4715421743430092E-3</v>
      </c>
      <c r="M1308" s="317">
        <v>2.8139936188630397E-3</v>
      </c>
      <c r="N1308" s="318">
        <v>2.0000005732018801E-3</v>
      </c>
      <c r="O1308" s="317">
        <v>2.9596026220661136E-2</v>
      </c>
      <c r="P1308" s="318">
        <v>1.7464812508010571E-2</v>
      </c>
      <c r="Q1308" s="319">
        <v>1.3788781055500831E-2</v>
      </c>
    </row>
    <row r="1309" spans="2:17" ht="15.75" x14ac:dyDescent="0.25">
      <c r="B1309" s="176">
        <v>2043</v>
      </c>
      <c r="C1309" s="177">
        <v>2021</v>
      </c>
      <c r="D1309" s="178" t="s">
        <v>4155</v>
      </c>
      <c r="E1309" s="461">
        <v>4.3089060952584961E-2</v>
      </c>
      <c r="F1309" s="462">
        <v>4.4596901279552299E-2</v>
      </c>
      <c r="G1309" s="316">
        <v>7.4756106610545506E-2</v>
      </c>
      <c r="H1309" s="317">
        <v>5.1349129069488348E-3</v>
      </c>
      <c r="I1309" s="317">
        <v>7.623782551584643E-2</v>
      </c>
      <c r="J1309" s="317">
        <v>2.4187034693892731E-2</v>
      </c>
      <c r="K1309" s="317">
        <v>9.695330707403086E-3</v>
      </c>
      <c r="L1309" s="318">
        <v>9.7405967869781973E-4</v>
      </c>
      <c r="M1309" s="317">
        <v>2.8058981391686729E-3</v>
      </c>
      <c r="N1309" s="318">
        <v>2.0000005732018801E-3</v>
      </c>
      <c r="O1309" s="317">
        <v>2.9458322111059951E-2</v>
      </c>
      <c r="P1309" s="318">
        <v>1.7450818872542535E-2</v>
      </c>
      <c r="Q1309" s="319">
        <v>1.0133710539599066E-2</v>
      </c>
    </row>
    <row r="1310" spans="2:17" ht="15.75" x14ac:dyDescent="0.25">
      <c r="B1310" s="176">
        <v>2043</v>
      </c>
      <c r="C1310" s="177">
        <v>2022</v>
      </c>
      <c r="D1310" s="178" t="s">
        <v>4156</v>
      </c>
      <c r="E1310" s="461">
        <v>4.181561680673939E-2</v>
      </c>
      <c r="F1310" s="462">
        <v>4.2905375173710535E-2</v>
      </c>
      <c r="G1310" s="316">
        <v>7.3933231752768502E-2</v>
      </c>
      <c r="H1310" s="317">
        <v>4.3361200588375786E-3</v>
      </c>
      <c r="I1310" s="317">
        <v>5.7593165648463451E-2</v>
      </c>
      <c r="J1310" s="317">
        <v>2.2989543703511549E-2</v>
      </c>
      <c r="K1310" s="317">
        <v>7.2151150683485918E-3</v>
      </c>
      <c r="L1310" s="318">
        <v>9.7220715627166488E-4</v>
      </c>
      <c r="M1310" s="317">
        <v>2.7979804109964763E-3</v>
      </c>
      <c r="N1310" s="318">
        <v>2.0000005732018805E-3</v>
      </c>
      <c r="O1310" s="317">
        <v>2.9323641554850888E-2</v>
      </c>
      <c r="P1310" s="318">
        <v>1.7428709620462331E-2</v>
      </c>
      <c r="Q1310" s="319">
        <v>7.5413505551403769E-3</v>
      </c>
    </row>
    <row r="1311" spans="2:17" ht="15.75" x14ac:dyDescent="0.25">
      <c r="B1311" s="176">
        <v>2043</v>
      </c>
      <c r="C1311" s="177">
        <v>2023</v>
      </c>
      <c r="D1311" s="178" t="s">
        <v>4157</v>
      </c>
      <c r="E1311" s="461">
        <v>4.0559056697469738E-2</v>
      </c>
      <c r="F1311" s="462">
        <v>4.1254222770421636E-2</v>
      </c>
      <c r="G1311" s="316">
        <v>7.3132047892631613E-2</v>
      </c>
      <c r="H1311" s="317">
        <v>3.7764423880074067E-3</v>
      </c>
      <c r="I1311" s="317">
        <v>5.6845843311656701E-2</v>
      </c>
      <c r="J1311" s="317">
        <v>2.3570898375738034E-2</v>
      </c>
      <c r="K1311" s="317">
        <v>7.0909240381573238E-3</v>
      </c>
      <c r="L1311" s="318">
        <v>9.7088068041483681E-4</v>
      </c>
      <c r="M1311" s="317">
        <v>2.7911921767191472E-3</v>
      </c>
      <c r="N1311" s="318">
        <v>2.0000005732018801E-3</v>
      </c>
      <c r="O1311" s="317">
        <v>2.9208173689793525E-2</v>
      </c>
      <c r="P1311" s="318">
        <v>1.7417264248412709E-2</v>
      </c>
      <c r="Q1311" s="319">
        <v>7.4115441576533972E-3</v>
      </c>
    </row>
    <row r="1312" spans="2:17" ht="15.75" x14ac:dyDescent="0.25">
      <c r="B1312" s="176">
        <v>2043</v>
      </c>
      <c r="C1312" s="177">
        <v>2024</v>
      </c>
      <c r="D1312" s="178" t="s">
        <v>4158</v>
      </c>
      <c r="E1312" s="461">
        <v>3.9335103290192817E-2</v>
      </c>
      <c r="F1312" s="462">
        <v>3.9576114085950777E-2</v>
      </c>
      <c r="G1312" s="316">
        <v>7.2236427146931681E-2</v>
      </c>
      <c r="H1312" s="317">
        <v>3.2825938777414623E-3</v>
      </c>
      <c r="I1312" s="317">
        <v>5.5988997351325891E-2</v>
      </c>
      <c r="J1312" s="317">
        <v>2.5087281924109174E-2</v>
      </c>
      <c r="K1312" s="317">
        <v>6.9468616750645957E-3</v>
      </c>
      <c r="L1312" s="318">
        <v>9.6915673742787678E-4</v>
      </c>
      <c r="M1312" s="317">
        <v>2.7841239139971248E-3</v>
      </c>
      <c r="N1312" s="318">
        <v>2.0000005732018801E-3</v>
      </c>
      <c r="O1312" s="317">
        <v>2.908794254089192E-2</v>
      </c>
      <c r="P1312" s="318">
        <v>1.7394244707920725E-2</v>
      </c>
      <c r="Q1312" s="319">
        <v>7.2609679337688826E-3</v>
      </c>
    </row>
    <row r="1313" spans="2:17" ht="15.75" x14ac:dyDescent="0.25">
      <c r="B1313" s="176">
        <v>2043</v>
      </c>
      <c r="C1313" s="177">
        <v>2025</v>
      </c>
      <c r="D1313" s="178" t="s">
        <v>4159</v>
      </c>
      <c r="E1313" s="461">
        <v>3.8123137336572147E-2</v>
      </c>
      <c r="F1313" s="462">
        <v>3.7925284432743525E-2</v>
      </c>
      <c r="G1313" s="316">
        <v>7.1338199637928729E-2</v>
      </c>
      <c r="H1313" s="317">
        <v>2.9977659187770201E-3</v>
      </c>
      <c r="I1313" s="317">
        <v>5.5085597146606997E-2</v>
      </c>
      <c r="J1313" s="317">
        <v>2.7429704370151006E-2</v>
      </c>
      <c r="K1313" s="317">
        <v>6.7915720946500838E-3</v>
      </c>
      <c r="L1313" s="318">
        <v>9.6790872839524317E-4</v>
      </c>
      <c r="M1313" s="317">
        <v>2.7778538041405699E-3</v>
      </c>
      <c r="N1313" s="318">
        <v>2.0000005732018801E-3</v>
      </c>
      <c r="O1313" s="317">
        <v>2.8981287972231921E-2</v>
      </c>
      <c r="P1313" s="318">
        <v>1.7378208688953452E-2</v>
      </c>
      <c r="Q1313" s="319">
        <v>7.0986568476153339E-3</v>
      </c>
    </row>
    <row r="1314" spans="2:17" ht="15.75" x14ac:dyDescent="0.25">
      <c r="B1314" s="176">
        <v>2043</v>
      </c>
      <c r="C1314" s="177">
        <v>2026</v>
      </c>
      <c r="D1314" s="178" t="s">
        <v>4160</v>
      </c>
      <c r="E1314" s="461">
        <v>3.7166659014084072E-2</v>
      </c>
      <c r="F1314" s="462">
        <v>3.754412642905889E-2</v>
      </c>
      <c r="G1314" s="316">
        <v>7.0069248265190523E-2</v>
      </c>
      <c r="H1314" s="317">
        <v>2.9739542921220553E-3</v>
      </c>
      <c r="I1314" s="317">
        <v>5.3889362038623642E-2</v>
      </c>
      <c r="J1314" s="317">
        <v>2.6865094019521505E-2</v>
      </c>
      <c r="K1314" s="317">
        <v>6.592121700605841E-3</v>
      </c>
      <c r="L1314" s="318">
        <v>8.4623749598804849E-4</v>
      </c>
      <c r="M1314" s="317">
        <v>2.7678669694626364E-3</v>
      </c>
      <c r="N1314" s="318">
        <v>2.0000005732018801E-3</v>
      </c>
      <c r="O1314" s="317">
        <v>2.8811411914360274E-2</v>
      </c>
      <c r="P1314" s="318">
        <v>1.7337258277094317E-2</v>
      </c>
      <c r="Q1314" s="319">
        <v>6.8901881918004325E-3</v>
      </c>
    </row>
    <row r="1315" spans="2:17" ht="15.75" x14ac:dyDescent="0.25">
      <c r="B1315" s="176">
        <v>2043</v>
      </c>
      <c r="C1315" s="177">
        <v>2027</v>
      </c>
      <c r="D1315" s="178" t="s">
        <v>4161</v>
      </c>
      <c r="E1315" s="461">
        <v>3.6294152571986593E-2</v>
      </c>
      <c r="F1315" s="462">
        <v>3.7208927337352239E-2</v>
      </c>
      <c r="G1315" s="316">
        <v>6.890389309637622E-2</v>
      </c>
      <c r="H1315" s="317">
        <v>2.946733291502566E-3</v>
      </c>
      <c r="I1315" s="317">
        <v>5.2720500260598213E-2</v>
      </c>
      <c r="J1315" s="317">
        <v>2.614119168955583E-2</v>
      </c>
      <c r="K1315" s="317">
        <v>6.3920222725827088E-3</v>
      </c>
      <c r="L1315" s="318">
        <v>7.0453199037984313E-4</v>
      </c>
      <c r="M1315" s="317">
        <v>2.759941873195415E-3</v>
      </c>
      <c r="N1315" s="318">
        <v>2.0000005732018801E-3</v>
      </c>
      <c r="O1315" s="317">
        <v>2.8676606026854831E-2</v>
      </c>
      <c r="P1315" s="318">
        <v>1.7304428087552923E-2</v>
      </c>
      <c r="Q1315" s="319">
        <v>6.6810411555701535E-3</v>
      </c>
    </row>
    <row r="1316" spans="2:17" ht="15.75" x14ac:dyDescent="0.25">
      <c r="B1316" s="176">
        <v>2043</v>
      </c>
      <c r="C1316" s="177">
        <v>2028</v>
      </c>
      <c r="D1316" s="178" t="s">
        <v>4162</v>
      </c>
      <c r="E1316" s="461">
        <v>3.6189464091868781E-2</v>
      </c>
      <c r="F1316" s="462">
        <v>3.7112883215014034E-2</v>
      </c>
      <c r="G1316" s="316">
        <v>6.7720465456790391E-2</v>
      </c>
      <c r="H1316" s="317">
        <v>2.9193491082754987E-3</v>
      </c>
      <c r="I1316" s="317">
        <v>5.1498266239205018E-2</v>
      </c>
      <c r="J1316" s="317">
        <v>2.5421073011685519E-2</v>
      </c>
      <c r="K1316" s="317">
        <v>6.1804312826690419E-3</v>
      </c>
      <c r="L1316" s="318">
        <v>5.8327965634371367E-4</v>
      </c>
      <c r="M1316" s="317">
        <v>2.7525977135073785E-3</v>
      </c>
      <c r="N1316" s="318">
        <v>2.0000005732018801E-3</v>
      </c>
      <c r="O1316" s="317">
        <v>2.8551681870561334E-2</v>
      </c>
      <c r="P1316" s="318">
        <v>1.7283574407573547E-2</v>
      </c>
      <c r="Q1316" s="319">
        <v>6.4598829600136954E-3</v>
      </c>
    </row>
    <row r="1317" spans="2:17" ht="15.75" x14ac:dyDescent="0.25">
      <c r="B1317" s="176">
        <v>2043</v>
      </c>
      <c r="C1317" s="177">
        <v>2029</v>
      </c>
      <c r="D1317" s="178" t="s">
        <v>4163</v>
      </c>
      <c r="E1317" s="461">
        <v>3.6111264839753535E-2</v>
      </c>
      <c r="F1317" s="462">
        <v>3.700647489754233E-2</v>
      </c>
      <c r="G1317" s="316">
        <v>6.6631586340452631E-2</v>
      </c>
      <c r="H1317" s="317">
        <v>2.8896239422945814E-3</v>
      </c>
      <c r="I1317" s="317">
        <v>5.0296394080929507E-2</v>
      </c>
      <c r="J1317" s="317">
        <v>2.4652301817576106E-2</v>
      </c>
      <c r="K1317" s="317">
        <v>5.9669347114595962E-3</v>
      </c>
      <c r="L1317" s="318">
        <v>5.8149991838869243E-4</v>
      </c>
      <c r="M1317" s="317">
        <v>2.7472316694417405E-3</v>
      </c>
      <c r="N1317" s="318">
        <v>2.0000005732018805E-3</v>
      </c>
      <c r="O1317" s="317">
        <v>2.8460405461004836E-2</v>
      </c>
      <c r="P1317" s="318">
        <v>1.7259479970539095E-2</v>
      </c>
      <c r="Q1317" s="319">
        <v>6.2367330212311622E-3</v>
      </c>
    </row>
    <row r="1318" spans="2:17" ht="15.75" x14ac:dyDescent="0.25">
      <c r="B1318" s="176">
        <v>2043</v>
      </c>
      <c r="C1318" s="177">
        <v>2030</v>
      </c>
      <c r="D1318" s="178" t="s">
        <v>4164</v>
      </c>
      <c r="E1318" s="461">
        <v>3.6022019522033058E-2</v>
      </c>
      <c r="F1318" s="462">
        <v>3.6922970110431934E-2</v>
      </c>
      <c r="G1318" s="316">
        <v>6.5411213564411846E-2</v>
      </c>
      <c r="H1318" s="317">
        <v>2.8586137692991538E-3</v>
      </c>
      <c r="I1318" s="317">
        <v>4.8966210356714619E-2</v>
      </c>
      <c r="J1318" s="317">
        <v>2.3770954458606199E-2</v>
      </c>
      <c r="K1318" s="317">
        <v>5.732162257977045E-3</v>
      </c>
      <c r="L1318" s="318">
        <v>5.8019198181379278E-4</v>
      </c>
      <c r="M1318" s="317">
        <v>2.7410066421366761E-3</v>
      </c>
      <c r="N1318" s="318">
        <v>2.0000005732018797E-3</v>
      </c>
      <c r="O1318" s="317">
        <v>2.8354517746545679E-2</v>
      </c>
      <c r="P1318" s="318">
        <v>1.7242837115661894E-2</v>
      </c>
      <c r="Q1318" s="319">
        <v>5.9913451991894708E-3</v>
      </c>
    </row>
    <row r="1319" spans="2:17" ht="15.75" x14ac:dyDescent="0.25">
      <c r="B1319" s="176">
        <v>2043</v>
      </c>
      <c r="C1319" s="177">
        <v>2031</v>
      </c>
      <c r="D1319" s="178" t="s">
        <v>4165</v>
      </c>
      <c r="E1319" s="461">
        <v>3.5959952029868868E-2</v>
      </c>
      <c r="F1319" s="462">
        <v>3.6846397103341207E-2</v>
      </c>
      <c r="G1319" s="316">
        <v>6.4288411948060009E-2</v>
      </c>
      <c r="H1319" s="317">
        <v>2.8259523198678233E-3</v>
      </c>
      <c r="I1319" s="317">
        <v>4.7656952887884421E-2</v>
      </c>
      <c r="J1319" s="317">
        <v>2.2972694754368399E-2</v>
      </c>
      <c r="K1319" s="317">
        <v>5.4953177269129209E-3</v>
      </c>
      <c r="L1319" s="318">
        <v>5.7904444656753352E-4</v>
      </c>
      <c r="M1319" s="317">
        <v>2.7368407568325237E-3</v>
      </c>
      <c r="N1319" s="318">
        <v>2.0000005732018801E-3</v>
      </c>
      <c r="O1319" s="317">
        <v>2.8283656037522059E-2</v>
      </c>
      <c r="P1319" s="318">
        <v>1.7228162143680004E-2</v>
      </c>
      <c r="Q1319" s="319">
        <v>5.7437916094126686E-3</v>
      </c>
    </row>
    <row r="1320" spans="2:17" ht="15.75" x14ac:dyDescent="0.25">
      <c r="B1320" s="176">
        <v>2043</v>
      </c>
      <c r="C1320" s="177">
        <v>2032</v>
      </c>
      <c r="D1320" s="178" t="s">
        <v>4166</v>
      </c>
      <c r="E1320" s="461">
        <v>3.5888046136708721E-2</v>
      </c>
      <c r="F1320" s="462">
        <v>3.6773092176724406E-2</v>
      </c>
      <c r="G1320" s="316">
        <v>6.3042836416643266E-2</v>
      </c>
      <c r="H1320" s="317">
        <v>2.791940736892195E-3</v>
      </c>
      <c r="I1320" s="317">
        <v>4.6226159197717887E-2</v>
      </c>
      <c r="J1320" s="317">
        <v>2.209073454409205E-2</v>
      </c>
      <c r="K1320" s="317">
        <v>5.2382573336234306E-3</v>
      </c>
      <c r="L1320" s="318">
        <v>5.779575287711969E-4</v>
      </c>
      <c r="M1320" s="317">
        <v>2.7319111808635499E-3</v>
      </c>
      <c r="N1320" s="318">
        <v>2.0000005732018801E-3</v>
      </c>
      <c r="O1320" s="317">
        <v>2.8199803950289811E-2</v>
      </c>
      <c r="P1320" s="318">
        <v>1.7214665892139422E-2</v>
      </c>
      <c r="Q1320" s="319">
        <v>5.4751080858272214E-3</v>
      </c>
    </row>
    <row r="1321" spans="2:17" ht="15.75" x14ac:dyDescent="0.25">
      <c r="B1321" s="176">
        <v>2043</v>
      </c>
      <c r="C1321" s="177">
        <v>2033</v>
      </c>
      <c r="D1321" s="178" t="s">
        <v>4167</v>
      </c>
      <c r="E1321" s="461">
        <v>3.5840870673926779E-2</v>
      </c>
      <c r="F1321" s="462">
        <v>3.6682741129344616E-2</v>
      </c>
      <c r="G1321" s="316">
        <v>6.1877626184466378E-2</v>
      </c>
      <c r="H1321" s="317">
        <v>2.7547065914735195E-3</v>
      </c>
      <c r="I1321" s="317">
        <v>4.4802615729196311E-2</v>
      </c>
      <c r="J1321" s="317">
        <v>2.1176031313788892E-2</v>
      </c>
      <c r="K1321" s="317">
        <v>4.9768992317624937E-3</v>
      </c>
      <c r="L1321" s="318">
        <v>5.7652098838979239E-4</v>
      </c>
      <c r="M1321" s="317">
        <v>2.728856288517289E-3</v>
      </c>
      <c r="N1321" s="318">
        <v>2.0000005732018797E-3</v>
      </c>
      <c r="O1321" s="317">
        <v>2.8147840231479912E-2</v>
      </c>
      <c r="P1321" s="318">
        <v>1.7195478908769306E-2</v>
      </c>
      <c r="Q1321" s="319">
        <v>5.2019325303595317E-3</v>
      </c>
    </row>
    <row r="1322" spans="2:17" ht="15.75" x14ac:dyDescent="0.25">
      <c r="B1322" s="176">
        <v>2043</v>
      </c>
      <c r="C1322" s="177">
        <v>2034</v>
      </c>
      <c r="D1322" s="178" t="s">
        <v>4168</v>
      </c>
      <c r="E1322" s="461">
        <v>3.5774548199684439E-2</v>
      </c>
      <c r="F1322" s="462">
        <v>3.6615586715858191E-2</v>
      </c>
      <c r="G1322" s="316">
        <v>6.0534892173052447E-2</v>
      </c>
      <c r="H1322" s="317">
        <v>2.7148639497169258E-3</v>
      </c>
      <c r="I1322" s="317">
        <v>4.3224949258940187E-2</v>
      </c>
      <c r="J1322" s="317">
        <v>2.0266770211367451E-2</v>
      </c>
      <c r="K1322" s="317">
        <v>4.6916537826235559E-3</v>
      </c>
      <c r="L1322" s="318">
        <v>5.7562144330635734E-4</v>
      </c>
      <c r="M1322" s="317">
        <v>2.7242958698042207E-3</v>
      </c>
      <c r="N1322" s="318">
        <v>2.0000005732018801E-3</v>
      </c>
      <c r="O1322" s="317">
        <v>2.8070267509170622E-2</v>
      </c>
      <c r="P1322" s="318">
        <v>1.7183384004577463E-2</v>
      </c>
      <c r="Q1322" s="319">
        <v>4.9037895477684768E-3</v>
      </c>
    </row>
    <row r="1323" spans="2:17" ht="15.75" x14ac:dyDescent="0.25">
      <c r="B1323" s="176">
        <v>2043</v>
      </c>
      <c r="C1323" s="177">
        <v>2035</v>
      </c>
      <c r="D1323" s="178" t="s">
        <v>4169</v>
      </c>
      <c r="E1323" s="461">
        <v>3.5742331485976928E-2</v>
      </c>
      <c r="F1323" s="462">
        <v>3.6583932407537191E-2</v>
      </c>
      <c r="G1323" s="316">
        <v>5.9329396294694157E-2</v>
      </c>
      <c r="H1323" s="317">
        <v>2.6711393314998826E-3</v>
      </c>
      <c r="I1323" s="317">
        <v>4.1685916628006164E-2</v>
      </c>
      <c r="J1323" s="317">
        <v>1.9333638316650838E-2</v>
      </c>
      <c r="K1323" s="317">
        <v>4.4052458693246361E-3</v>
      </c>
      <c r="L1323" s="318">
        <v>5.7540427361206211E-4</v>
      </c>
      <c r="M1323" s="317">
        <v>2.7224155626110382E-3</v>
      </c>
      <c r="N1323" s="318">
        <v>2.0000005732018801E-3</v>
      </c>
      <c r="O1323" s="317">
        <v>2.8038283483814583E-2</v>
      </c>
      <c r="P1323" s="318">
        <v>1.7182696879984641E-2</v>
      </c>
      <c r="Q1323" s="319">
        <v>4.6044315395464691E-3</v>
      </c>
    </row>
    <row r="1324" spans="2:17" ht="15.75" x14ac:dyDescent="0.25">
      <c r="B1324" s="176">
        <v>2043</v>
      </c>
      <c r="C1324" s="177">
        <v>2036</v>
      </c>
      <c r="D1324" s="178" t="s">
        <v>4170</v>
      </c>
      <c r="E1324" s="461">
        <v>3.5691558640987643E-2</v>
      </c>
      <c r="F1324" s="462">
        <v>3.6543397120819762E-2</v>
      </c>
      <c r="G1324" s="316">
        <v>5.7951031553177601E-2</v>
      </c>
      <c r="H1324" s="317">
        <v>2.6222118228720242E-3</v>
      </c>
      <c r="I1324" s="317">
        <v>3.9997401895327411E-2</v>
      </c>
      <c r="J1324" s="317">
        <v>1.8434551283642811E-2</v>
      </c>
      <c r="K1324" s="317">
        <v>4.0958209942118882E-3</v>
      </c>
      <c r="L1324" s="318">
        <v>5.7487815474771521E-4</v>
      </c>
      <c r="M1324" s="317">
        <v>2.7190938893219053E-3</v>
      </c>
      <c r="N1324" s="318">
        <v>2.0000005732018801E-3</v>
      </c>
      <c r="O1324" s="317">
        <v>2.7981781821166441E-2</v>
      </c>
      <c r="P1324" s="318">
        <v>1.7177006810604838E-2</v>
      </c>
      <c r="Q1324" s="319">
        <v>4.2810158446336703E-3</v>
      </c>
    </row>
    <row r="1325" spans="2:17" ht="15.75" x14ac:dyDescent="0.25">
      <c r="B1325" s="176">
        <v>2043</v>
      </c>
      <c r="C1325" s="177">
        <v>2037</v>
      </c>
      <c r="D1325" s="178" t="s">
        <v>4171</v>
      </c>
      <c r="E1325" s="461">
        <v>3.5650489851935412E-2</v>
      </c>
      <c r="F1325" s="462">
        <v>3.6489632838648395E-2</v>
      </c>
      <c r="G1325" s="316">
        <v>5.6562640048166447E-2</v>
      </c>
      <c r="H1325" s="317">
        <v>2.5675997725541732E-3</v>
      </c>
      <c r="I1325" s="317">
        <v>3.8257207151754076E-2</v>
      </c>
      <c r="J1325" s="317">
        <v>1.7498673701171363E-2</v>
      </c>
      <c r="K1325" s="317">
        <v>3.7744730662264137E-3</v>
      </c>
      <c r="L1325" s="318">
        <v>5.7411129227392802E-4</v>
      </c>
      <c r="M1325" s="317">
        <v>2.7164941517086728E-3</v>
      </c>
      <c r="N1325" s="318">
        <v>2.0000005732018801E-3</v>
      </c>
      <c r="O1325" s="317">
        <v>2.7937560284365358E-2</v>
      </c>
      <c r="P1325" s="318">
        <v>1.7166745595054437E-2</v>
      </c>
      <c r="Q1325" s="319">
        <v>3.9451379893049995E-3</v>
      </c>
    </row>
    <row r="1326" spans="2:17" ht="15.75" x14ac:dyDescent="0.25">
      <c r="B1326" s="176">
        <v>2043</v>
      </c>
      <c r="C1326" s="177">
        <v>2038</v>
      </c>
      <c r="D1326" s="178" t="s">
        <v>4172</v>
      </c>
      <c r="E1326" s="461">
        <v>3.5592206570742968E-2</v>
      </c>
      <c r="F1326" s="462">
        <v>3.6406576005245425E-2</v>
      </c>
      <c r="G1326" s="316">
        <v>5.5016039091476718E-2</v>
      </c>
      <c r="H1326" s="317">
        <v>2.5103469269151355E-3</v>
      </c>
      <c r="I1326" s="317">
        <v>3.6380625434275532E-2</v>
      </c>
      <c r="J1326" s="317">
        <v>1.6575144120017721E-2</v>
      </c>
      <c r="K1326" s="317">
        <v>3.4324972500563902E-3</v>
      </c>
      <c r="L1326" s="318">
        <v>5.7282363028123289E-4</v>
      </c>
      <c r="M1326" s="317">
        <v>2.7125522623140156E-3</v>
      </c>
      <c r="N1326" s="318">
        <v>2.0000005732018801E-3</v>
      </c>
      <c r="O1326" s="317">
        <v>2.7870508745762232E-2</v>
      </c>
      <c r="P1326" s="318">
        <v>1.7146243552620698E-2</v>
      </c>
      <c r="Q1326" s="319">
        <v>3.5876995442229785E-3</v>
      </c>
    </row>
    <row r="1327" spans="2:17" ht="15.75" x14ac:dyDescent="0.25">
      <c r="B1327" s="176">
        <v>2043</v>
      </c>
      <c r="C1327" s="177">
        <v>2039</v>
      </c>
      <c r="D1327" s="178" t="s">
        <v>4173</v>
      </c>
      <c r="E1327" s="461">
        <v>3.5574113324039307E-2</v>
      </c>
      <c r="F1327" s="462">
        <v>3.6397841897784326E-2</v>
      </c>
      <c r="G1327" s="316">
        <v>5.3622409596674137E-2</v>
      </c>
      <c r="H1327" s="317">
        <v>2.4623345266989705E-3</v>
      </c>
      <c r="I1327" s="317">
        <v>3.4541900144414647E-2</v>
      </c>
      <c r="J1327" s="317">
        <v>1.5708706986212347E-2</v>
      </c>
      <c r="K1327" s="317">
        <v>3.0870594679270297E-3</v>
      </c>
      <c r="L1327" s="318">
        <v>5.7302821098331876E-4</v>
      </c>
      <c r="M1327" s="317">
        <v>2.7116950890786065E-3</v>
      </c>
      <c r="N1327" s="318">
        <v>2.0000005732018801E-3</v>
      </c>
      <c r="O1327" s="317">
        <v>2.785592822902792E-2</v>
      </c>
      <c r="P1327" s="318">
        <v>1.7150154397176157E-2</v>
      </c>
      <c r="Q1327" s="319">
        <v>3.2266425984431913E-3</v>
      </c>
    </row>
    <row r="1328" spans="2:17" ht="15.75" x14ac:dyDescent="0.25">
      <c r="B1328" s="176">
        <v>2043</v>
      </c>
      <c r="C1328" s="177">
        <v>2040</v>
      </c>
      <c r="D1328" s="178" t="s">
        <v>4174</v>
      </c>
      <c r="E1328" s="461">
        <v>3.556596493444654E-2</v>
      </c>
      <c r="F1328" s="462">
        <v>3.638131195053175E-2</v>
      </c>
      <c r="G1328" s="316">
        <v>5.2209693377412776E-2</v>
      </c>
      <c r="H1328" s="317">
        <v>2.4372420187909571E-3</v>
      </c>
      <c r="I1328" s="317">
        <v>3.2640153324161592E-2</v>
      </c>
      <c r="J1328" s="317">
        <v>1.5009464822224865E-2</v>
      </c>
      <c r="K1328" s="317">
        <v>2.7271535345510536E-3</v>
      </c>
      <c r="L1328" s="318">
        <v>5.7322787706445019E-4</v>
      </c>
      <c r="M1328" s="317">
        <v>2.7115408742865573E-3</v>
      </c>
      <c r="N1328" s="318">
        <v>2.0000005732018797E-3</v>
      </c>
      <c r="O1328" s="317">
        <v>2.7853305035415166E-2</v>
      </c>
      <c r="P1328" s="318">
        <v>1.7150188453188546E-2</v>
      </c>
      <c r="Q1328" s="319">
        <v>2.8504633158188777E-3</v>
      </c>
    </row>
    <row r="1329" spans="2:17" ht="15.75" x14ac:dyDescent="0.25">
      <c r="B1329" s="176">
        <v>2043</v>
      </c>
      <c r="C1329" s="177">
        <v>2041</v>
      </c>
      <c r="D1329" s="178" t="s">
        <v>4175</v>
      </c>
      <c r="E1329" s="461">
        <v>3.5529536582630493E-2</v>
      </c>
      <c r="F1329" s="462">
        <v>3.6334299916557386E-2</v>
      </c>
      <c r="G1329" s="316">
        <v>5.0578260144777502E-2</v>
      </c>
      <c r="H1329" s="317">
        <v>2.4375389969110168E-3</v>
      </c>
      <c r="I1329" s="317">
        <v>3.0571801676656556E-2</v>
      </c>
      <c r="J1329" s="317">
        <v>2.0164169934658596E-2</v>
      </c>
      <c r="K1329" s="317">
        <v>2.3442972392985141E-3</v>
      </c>
      <c r="L1329" s="318">
        <v>5.7302895626027263E-4</v>
      </c>
      <c r="M1329" s="317">
        <v>2.7091231356931138E-3</v>
      </c>
      <c r="N1329" s="318">
        <v>2.0000005732018801E-3</v>
      </c>
      <c r="O1329" s="317">
        <v>2.7812179301940691E-2</v>
      </c>
      <c r="P1329" s="318">
        <v>1.7138614277990141E-2</v>
      </c>
      <c r="Q1329" s="319">
        <v>2.4502959577946603E-3</v>
      </c>
    </row>
    <row r="1330" spans="2:17" ht="15.75" x14ac:dyDescent="0.25">
      <c r="B1330" s="176">
        <v>2043</v>
      </c>
      <c r="C1330" s="177">
        <v>2042</v>
      </c>
      <c r="D1330" s="178" t="s">
        <v>4176</v>
      </c>
      <c r="E1330" s="461">
        <v>3.550310039505631E-2</v>
      </c>
      <c r="F1330" s="462">
        <v>3.6260256759948525E-2</v>
      </c>
      <c r="G1330" s="316">
        <v>4.8946343322384574E-2</v>
      </c>
      <c r="H1330" s="317">
        <v>2.3971145633815199E-3</v>
      </c>
      <c r="I1330" s="317">
        <v>2.845131172064316E-2</v>
      </c>
      <c r="J1330" s="317">
        <v>2.5620853298688892E-2</v>
      </c>
      <c r="K1330" s="317">
        <v>1.9483989948096991E-3</v>
      </c>
      <c r="L1330" s="318">
        <v>5.7193062427294118E-4</v>
      </c>
      <c r="M1330" s="317">
        <v>2.7077246934847856E-3</v>
      </c>
      <c r="N1330" s="318">
        <v>2.0000005732018801E-3</v>
      </c>
      <c r="O1330" s="317">
        <v>2.7788391799977032E-2</v>
      </c>
      <c r="P1330" s="318">
        <v>1.7122149962996155E-2</v>
      </c>
      <c r="Q1330" s="319">
        <v>2.0364969514625087E-3</v>
      </c>
    </row>
    <row r="1331" spans="2:17" ht="15.75" x14ac:dyDescent="0.25">
      <c r="B1331" s="176">
        <v>2043</v>
      </c>
      <c r="C1331" s="177">
        <v>2043</v>
      </c>
      <c r="D1331" s="178" t="s">
        <v>4177</v>
      </c>
      <c r="E1331" s="461">
        <v>3.5132626796894516E-2</v>
      </c>
      <c r="F1331" s="462">
        <v>3.5582630834754006E-2</v>
      </c>
      <c r="G1331" s="316">
        <v>4.5560476345622082E-2</v>
      </c>
      <c r="H1331" s="317">
        <v>2.2827471033454246E-3</v>
      </c>
      <c r="I1331" s="317">
        <v>2.54666282105049E-2</v>
      </c>
      <c r="J1331" s="317">
        <v>2.3987427793161962E-2</v>
      </c>
      <c r="K1331" s="317">
        <v>1.4954139228356607E-3</v>
      </c>
      <c r="L1331" s="318">
        <v>5.5970693177677085E-4</v>
      </c>
      <c r="M1331" s="317">
        <v>2.6793277601653716E-3</v>
      </c>
      <c r="N1331" s="318">
        <v>2.0000005732018801E-3</v>
      </c>
      <c r="O1331" s="317">
        <v>2.73053599642138E-2</v>
      </c>
      <c r="P1331" s="318">
        <v>1.6899480239277322E-2</v>
      </c>
      <c r="Q1331" s="319">
        <v>1.563029904625286E-3</v>
      </c>
    </row>
    <row r="1332" spans="2:17" ht="15.75" x14ac:dyDescent="0.25">
      <c r="B1332" s="176">
        <v>2044</v>
      </c>
      <c r="C1332" s="177">
        <v>2000</v>
      </c>
      <c r="D1332" s="178" t="s">
        <v>4178</v>
      </c>
      <c r="E1332" s="461">
        <v>5.8047682407019033E-2</v>
      </c>
      <c r="F1332" s="462">
        <v>7.5916854652549076E-2</v>
      </c>
      <c r="G1332" s="316">
        <v>0.37146176838179379</v>
      </c>
      <c r="H1332" s="317">
        <v>0.10193072099465485</v>
      </c>
      <c r="I1332" s="317">
        <v>9.0808614145172086</v>
      </c>
      <c r="J1332" s="317">
        <v>0.61630206617950989</v>
      </c>
      <c r="K1332" s="317">
        <v>5.3432899605119585E-2</v>
      </c>
      <c r="L1332" s="318">
        <v>2.9408707694046216E-3</v>
      </c>
      <c r="M1332" s="317">
        <v>2.9937447000517575E-3</v>
      </c>
      <c r="N1332" s="318">
        <v>2.0000005732018801E-3</v>
      </c>
      <c r="O1332" s="317">
        <v>3.2653592111681229E-2</v>
      </c>
      <c r="P1332" s="318">
        <v>1.8790520829147825E-2</v>
      </c>
      <c r="Q1332" s="319">
        <v>5.5848898220282744E-2</v>
      </c>
    </row>
    <row r="1333" spans="2:17" ht="15.75" x14ac:dyDescent="0.25">
      <c r="B1333" s="176">
        <v>2044</v>
      </c>
      <c r="C1333" s="177">
        <v>2001</v>
      </c>
      <c r="D1333" s="178" t="s">
        <v>4179</v>
      </c>
      <c r="E1333" s="461">
        <v>5.7975521393016663E-2</v>
      </c>
      <c r="F1333" s="462">
        <v>7.4700673128258677E-2</v>
      </c>
      <c r="G1333" s="316">
        <v>0.36881414378515598</v>
      </c>
      <c r="H1333" s="317">
        <v>8.7860687931249765E-2</v>
      </c>
      <c r="I1333" s="317">
        <v>8.9341591285872202</v>
      </c>
      <c r="J1333" s="317">
        <v>0.47669019768319792</v>
      </c>
      <c r="K1333" s="317">
        <v>5.3697748843193178E-2</v>
      </c>
      <c r="L1333" s="318">
        <v>2.9615583518374788E-3</v>
      </c>
      <c r="M1333" s="317">
        <v>2.9773849793359149E-3</v>
      </c>
      <c r="N1333" s="318">
        <v>2.0000005732018805E-3</v>
      </c>
      <c r="O1333" s="317">
        <v>3.2375313262304736E-2</v>
      </c>
      <c r="P1333" s="318">
        <v>1.8409391776563252E-2</v>
      </c>
      <c r="Q1333" s="319">
        <v>5.6125722765650941E-2</v>
      </c>
    </row>
    <row r="1334" spans="2:17" ht="15.75" x14ac:dyDescent="0.25">
      <c r="B1334" s="176">
        <v>2044</v>
      </c>
      <c r="C1334" s="177">
        <v>2002</v>
      </c>
      <c r="D1334" s="178" t="s">
        <v>4180</v>
      </c>
      <c r="E1334" s="461">
        <v>5.7919398858223621E-2</v>
      </c>
      <c r="F1334" s="462">
        <v>7.2802901352149091E-2</v>
      </c>
      <c r="G1334" s="316">
        <v>0.28733402367595862</v>
      </c>
      <c r="H1334" s="317">
        <v>8.7950085849038809E-2</v>
      </c>
      <c r="I1334" s="317">
        <v>6.988752645093574</v>
      </c>
      <c r="J1334" s="317">
        <v>0.4586930212826586</v>
      </c>
      <c r="K1334" s="317">
        <v>5.3852147886339352E-2</v>
      </c>
      <c r="L1334" s="318">
        <v>2.9866997638222405E-3</v>
      </c>
      <c r="M1334" s="317">
        <v>2.9916280666958755E-3</v>
      </c>
      <c r="N1334" s="318">
        <v>2.0000005732018801E-3</v>
      </c>
      <c r="O1334" s="317">
        <v>3.2617588178297671E-2</v>
      </c>
      <c r="P1334" s="318">
        <v>1.782146484345733E-2</v>
      </c>
      <c r="Q1334" s="319">
        <v>5.62871030483926E-2</v>
      </c>
    </row>
    <row r="1335" spans="2:17" ht="15.75" x14ac:dyDescent="0.25">
      <c r="B1335" s="176">
        <v>2044</v>
      </c>
      <c r="C1335" s="177">
        <v>2003</v>
      </c>
      <c r="D1335" s="178" t="s">
        <v>4181</v>
      </c>
      <c r="E1335" s="461">
        <v>5.7663717385809554E-2</v>
      </c>
      <c r="F1335" s="462">
        <v>7.3874582714367532E-2</v>
      </c>
      <c r="G1335" s="316">
        <v>0.28429820079475171</v>
      </c>
      <c r="H1335" s="317">
        <v>7.1233301673712571E-2</v>
      </c>
      <c r="I1335" s="317">
        <v>6.9675131880017114</v>
      </c>
      <c r="J1335" s="317">
        <v>0.39250263613180281</v>
      </c>
      <c r="K1335" s="317">
        <v>5.3542624984745733E-2</v>
      </c>
      <c r="L1335" s="318">
        <v>2.9691821320780381E-3</v>
      </c>
      <c r="M1335" s="317">
        <v>2.9844485692008104E-3</v>
      </c>
      <c r="N1335" s="318">
        <v>2.0000005732018801E-3</v>
      </c>
      <c r="O1335" s="317">
        <v>3.249546492590661E-2</v>
      </c>
      <c r="P1335" s="318">
        <v>1.8201218408701637E-2</v>
      </c>
      <c r="Q1335" s="319">
        <v>5.5963584894676358E-2</v>
      </c>
    </row>
    <row r="1336" spans="2:17" ht="15.75" x14ac:dyDescent="0.25">
      <c r="B1336" s="176">
        <v>2044</v>
      </c>
      <c r="C1336" s="177">
        <v>2004</v>
      </c>
      <c r="D1336" s="178" t="s">
        <v>4182</v>
      </c>
      <c r="E1336" s="461">
        <v>5.7611966952462561E-2</v>
      </c>
      <c r="F1336" s="462">
        <v>7.3633680609319116E-2</v>
      </c>
      <c r="G1336" s="316">
        <v>0.23470693828245026</v>
      </c>
      <c r="H1336" s="317">
        <v>1.8277278421404978E-2</v>
      </c>
      <c r="I1336" s="317">
        <v>5.8129730960198343</v>
      </c>
      <c r="J1336" s="317">
        <v>0.11591398973651698</v>
      </c>
      <c r="K1336" s="317">
        <v>5.3300423728084259E-2</v>
      </c>
      <c r="L1336" s="318">
        <v>1.9823856357658264E-4</v>
      </c>
      <c r="M1336" s="317">
        <v>2.981537604790062E-3</v>
      </c>
      <c r="N1336" s="318">
        <v>2.0000005732018801E-3</v>
      </c>
      <c r="O1336" s="317">
        <v>3.2445949421279784E-2</v>
      </c>
      <c r="P1336" s="318">
        <v>1.7832976181680536E-2</v>
      </c>
      <c r="Q1336" s="319">
        <v>5.571043237194083E-2</v>
      </c>
    </row>
    <row r="1337" spans="2:17" ht="15.75" x14ac:dyDescent="0.25">
      <c r="B1337" s="176">
        <v>2044</v>
      </c>
      <c r="C1337" s="177">
        <v>2005</v>
      </c>
      <c r="D1337" s="178" t="s">
        <v>4183</v>
      </c>
      <c r="E1337" s="461">
        <v>5.7352983580850982E-2</v>
      </c>
      <c r="F1337" s="462">
        <v>6.9906535477054416E-2</v>
      </c>
      <c r="G1337" s="316">
        <v>0.23213505545772364</v>
      </c>
      <c r="H1337" s="317">
        <v>1.5921637179427531E-2</v>
      </c>
      <c r="I1337" s="317">
        <v>5.8047371675863246</v>
      </c>
      <c r="J1337" s="317">
        <v>9.4199846002493343E-2</v>
      </c>
      <c r="K1337" s="317">
        <v>5.2940114602920772E-2</v>
      </c>
      <c r="L1337" s="318">
        <v>1.9880461519755269E-4</v>
      </c>
      <c r="M1337" s="317">
        <v>2.9747928573160328E-3</v>
      </c>
      <c r="N1337" s="318">
        <v>2.0000005732018801E-3</v>
      </c>
      <c r="O1337" s="317">
        <v>3.2331221266746556E-2</v>
      </c>
      <c r="P1337" s="318">
        <v>1.7110371454544384E-2</v>
      </c>
      <c r="Q1337" s="319">
        <v>5.5333831666985536E-2</v>
      </c>
    </row>
    <row r="1338" spans="2:17" ht="15.75" x14ac:dyDescent="0.25">
      <c r="B1338" s="176">
        <v>2044</v>
      </c>
      <c r="C1338" s="177">
        <v>2006</v>
      </c>
      <c r="D1338" s="178" t="s">
        <v>4184</v>
      </c>
      <c r="E1338" s="461">
        <v>5.7290129124883349E-2</v>
      </c>
      <c r="F1338" s="462">
        <v>7.3210010142352913E-2</v>
      </c>
      <c r="G1338" s="316">
        <v>0.23212462799593978</v>
      </c>
      <c r="H1338" s="317">
        <v>5.9778344817811987E-3</v>
      </c>
      <c r="I1338" s="317">
        <v>5.810216178026228</v>
      </c>
      <c r="J1338" s="317">
        <v>6.459699094359321E-2</v>
      </c>
      <c r="K1338" s="317">
        <v>5.2902721216217835E-2</v>
      </c>
      <c r="L1338" s="318">
        <v>1.9512227039102876E-4</v>
      </c>
      <c r="M1338" s="317">
        <v>2.9757959045542269E-3</v>
      </c>
      <c r="N1338" s="318">
        <v>2.0000005732018801E-3</v>
      </c>
      <c r="O1338" s="317">
        <v>3.2348283100268223E-2</v>
      </c>
      <c r="P1338" s="318">
        <v>1.8823649778711711E-2</v>
      </c>
      <c r="Q1338" s="319">
        <v>5.5294747517266631E-2</v>
      </c>
    </row>
    <row r="1339" spans="2:17" ht="15.75" x14ac:dyDescent="0.25">
      <c r="B1339" s="176">
        <v>2044</v>
      </c>
      <c r="C1339" s="177">
        <v>2007</v>
      </c>
      <c r="D1339" s="178" t="s">
        <v>4185</v>
      </c>
      <c r="E1339" s="461">
        <v>5.7093593892800602E-2</v>
      </c>
      <c r="F1339" s="462">
        <v>6.8640108674577552E-2</v>
      </c>
      <c r="G1339" s="316">
        <v>0.16644765728597552</v>
      </c>
      <c r="H1339" s="317">
        <v>8.5306561654138365E-3</v>
      </c>
      <c r="I1339" s="317">
        <v>2.9633600401729132</v>
      </c>
      <c r="J1339" s="317">
        <v>5.6715203796808902E-2</v>
      </c>
      <c r="K1339" s="317">
        <v>3.6798384304771274E-2</v>
      </c>
      <c r="L1339" s="318">
        <v>1.9827245836344165E-4</v>
      </c>
      <c r="M1339" s="317">
        <v>2.9552134219282215E-3</v>
      </c>
      <c r="N1339" s="318">
        <v>2.0000005732018801E-3</v>
      </c>
      <c r="O1339" s="317">
        <v>3.1998175070799884E-2</v>
      </c>
      <c r="P1339" s="318">
        <v>1.7378270292290818E-2</v>
      </c>
      <c r="Q1339" s="319">
        <v>3.8462243952621079E-2</v>
      </c>
    </row>
    <row r="1340" spans="2:17" ht="15.75" x14ac:dyDescent="0.25">
      <c r="B1340" s="176">
        <v>2044</v>
      </c>
      <c r="C1340" s="177">
        <v>2008</v>
      </c>
      <c r="D1340" s="178" t="s">
        <v>4186</v>
      </c>
      <c r="E1340" s="461">
        <v>5.7130906791150141E-2</v>
      </c>
      <c r="F1340" s="462">
        <v>6.7182052052831717E-2</v>
      </c>
      <c r="G1340" s="316">
        <v>0.16874047107700957</v>
      </c>
      <c r="H1340" s="317">
        <v>8.3142305242855912E-3</v>
      </c>
      <c r="I1340" s="317">
        <v>3.0040080338956643</v>
      </c>
      <c r="J1340" s="317">
        <v>4.6639790559444151E-2</v>
      </c>
      <c r="K1340" s="317">
        <v>3.7271246358048835E-2</v>
      </c>
      <c r="L1340" s="318">
        <v>2.2625580187520989E-4</v>
      </c>
      <c r="M1340" s="317">
        <v>2.9696186399704567E-3</v>
      </c>
      <c r="N1340" s="318">
        <v>2.0000005732018801E-3</v>
      </c>
      <c r="O1340" s="317">
        <v>3.2243207829698299E-2</v>
      </c>
      <c r="P1340" s="318">
        <v>1.7434206125949484E-2</v>
      </c>
      <c r="Q1340" s="319">
        <v>3.8956486729653593E-2</v>
      </c>
    </row>
    <row r="1341" spans="2:17" ht="15.75" x14ac:dyDescent="0.25">
      <c r="B1341" s="176">
        <v>2044</v>
      </c>
      <c r="C1341" s="177">
        <v>2009</v>
      </c>
      <c r="D1341" s="178" t="s">
        <v>4187</v>
      </c>
      <c r="E1341" s="461">
        <v>5.6331340848039362E-2</v>
      </c>
      <c r="F1341" s="462">
        <v>6.1824684739584496E-2</v>
      </c>
      <c r="G1341" s="316">
        <v>0.1579039295906827</v>
      </c>
      <c r="H1341" s="317">
        <v>8.1624465189114072E-3</v>
      </c>
      <c r="I1341" s="317">
        <v>2.7168726545221191</v>
      </c>
      <c r="J1341" s="317">
        <v>3.4093211275990444E-2</v>
      </c>
      <c r="K1341" s="317">
        <v>3.4800034036456762E-2</v>
      </c>
      <c r="L1341" s="318">
        <v>2.5565133632044753E-4</v>
      </c>
      <c r="M1341" s="317">
        <v>2.8800512939139646E-3</v>
      </c>
      <c r="N1341" s="318">
        <v>2.0000005732018801E-3</v>
      </c>
      <c r="O1341" s="317">
        <v>3.0719667273277365E-2</v>
      </c>
      <c r="P1341" s="318">
        <v>1.6814541948732553E-2</v>
      </c>
      <c r="Q1341" s="319">
        <v>3.6373537152721409E-2</v>
      </c>
    </row>
    <row r="1342" spans="2:17" ht="15.75" x14ac:dyDescent="0.25">
      <c r="B1342" s="176">
        <v>2044</v>
      </c>
      <c r="C1342" s="177">
        <v>2010</v>
      </c>
      <c r="D1342" s="178" t="s">
        <v>4188</v>
      </c>
      <c r="E1342" s="461">
        <v>5.5192527761043927E-2</v>
      </c>
      <c r="F1342" s="462">
        <v>5.9881156818652304E-2</v>
      </c>
      <c r="G1342" s="316">
        <v>9.4355734101600156E-2</v>
      </c>
      <c r="H1342" s="317">
        <v>7.3287792884742702E-3</v>
      </c>
      <c r="I1342" s="317">
        <v>0.23814656124206346</v>
      </c>
      <c r="J1342" s="317">
        <v>3.3204427450011717E-2</v>
      </c>
      <c r="K1342" s="317">
        <v>2.0212003780106243E-2</v>
      </c>
      <c r="L1342" s="318">
        <v>3.1179533343933877E-4</v>
      </c>
      <c r="M1342" s="317">
        <v>2.7991843969537135E-3</v>
      </c>
      <c r="N1342" s="318">
        <v>2.0000005732018801E-3</v>
      </c>
      <c r="O1342" s="317">
        <v>2.9344121355983497E-2</v>
      </c>
      <c r="P1342" s="318">
        <v>1.6446598600235222E-2</v>
      </c>
      <c r="Q1342" s="319">
        <v>2.1125900901604235E-2</v>
      </c>
    </row>
    <row r="1343" spans="2:17" ht="15.75" x14ac:dyDescent="0.25">
      <c r="B1343" s="176">
        <v>2044</v>
      </c>
      <c r="C1343" s="177">
        <v>2011</v>
      </c>
      <c r="D1343" s="178" t="s">
        <v>4189</v>
      </c>
      <c r="E1343" s="461">
        <v>5.5135881879196713E-2</v>
      </c>
      <c r="F1343" s="462">
        <v>5.8636984983662856E-2</v>
      </c>
      <c r="G1343" s="316">
        <v>9.590555654947909E-2</v>
      </c>
      <c r="H1343" s="317">
        <v>7.4344871223165857E-3</v>
      </c>
      <c r="I1343" s="317">
        <v>0.24364019394936953</v>
      </c>
      <c r="J1343" s="317">
        <v>3.3570722377996583E-2</v>
      </c>
      <c r="K1343" s="317">
        <v>2.0618366940222756E-2</v>
      </c>
      <c r="L1343" s="318">
        <v>4.2204587815326881E-4</v>
      </c>
      <c r="M1343" s="317">
        <v>2.8271899499859535E-3</v>
      </c>
      <c r="N1343" s="318">
        <v>2.0000005732018801E-3</v>
      </c>
      <c r="O1343" s="317">
        <v>2.9820495813061901E-2</v>
      </c>
      <c r="P1343" s="318">
        <v>1.6600790764125958E-2</v>
      </c>
      <c r="Q1343" s="319">
        <v>2.1550638000611438E-2</v>
      </c>
    </row>
    <row r="1344" spans="2:17" ht="15.75" x14ac:dyDescent="0.25">
      <c r="B1344" s="176">
        <v>2044</v>
      </c>
      <c r="C1344" s="177">
        <v>2012</v>
      </c>
      <c r="D1344" s="178" t="s">
        <v>4190</v>
      </c>
      <c r="E1344" s="461">
        <v>5.3325351608526923E-2</v>
      </c>
      <c r="F1344" s="462">
        <v>5.868835577004422E-2</v>
      </c>
      <c r="G1344" s="316">
        <v>8.5811237062324047E-2</v>
      </c>
      <c r="H1344" s="317">
        <v>7.0113172819775632E-3</v>
      </c>
      <c r="I1344" s="317">
        <v>0.21591986600427035</v>
      </c>
      <c r="J1344" s="317">
        <v>3.4722968808137883E-2</v>
      </c>
      <c r="K1344" s="317">
        <v>1.8672523730210538E-2</v>
      </c>
      <c r="L1344" s="318">
        <v>6.1223106990416912E-4</v>
      </c>
      <c r="M1344" s="317">
        <v>2.7142135646536182E-3</v>
      </c>
      <c r="N1344" s="318">
        <v>2.0000005732018801E-3</v>
      </c>
      <c r="O1344" s="317">
        <v>2.789876749855888E-2</v>
      </c>
      <c r="P1344" s="318">
        <v>1.7006560710589952E-2</v>
      </c>
      <c r="Q1344" s="319">
        <v>1.9516812395193799E-2</v>
      </c>
    </row>
    <row r="1345" spans="2:17" ht="15.75" x14ac:dyDescent="0.25">
      <c r="B1345" s="176">
        <v>2044</v>
      </c>
      <c r="C1345" s="177">
        <v>2013</v>
      </c>
      <c r="D1345" s="178" t="s">
        <v>4191</v>
      </c>
      <c r="E1345" s="461">
        <v>5.5254776180023474E-2</v>
      </c>
      <c r="F1345" s="462">
        <v>5.7512698360830575E-2</v>
      </c>
      <c r="G1345" s="316">
        <v>9.9688964046396752E-2</v>
      </c>
      <c r="H1345" s="317">
        <v>7.9390331198749865E-3</v>
      </c>
      <c r="I1345" s="317">
        <v>0.25324354100960461</v>
      </c>
      <c r="J1345" s="317">
        <v>3.3809507444088907E-2</v>
      </c>
      <c r="K1345" s="317">
        <v>2.1274837642174756E-2</v>
      </c>
      <c r="L1345" s="318">
        <v>9.1337934354822163E-4</v>
      </c>
      <c r="M1345" s="317">
        <v>2.8624789129348908E-3</v>
      </c>
      <c r="N1345" s="318">
        <v>2.0000005732018801E-3</v>
      </c>
      <c r="O1345" s="317">
        <v>3.0420761072823318E-2</v>
      </c>
      <c r="P1345" s="318">
        <v>1.7129048340266993E-2</v>
      </c>
      <c r="Q1345" s="319">
        <v>2.2236791394660067E-2</v>
      </c>
    </row>
    <row r="1346" spans="2:17" ht="15.75" x14ac:dyDescent="0.25">
      <c r="B1346" s="176">
        <v>2044</v>
      </c>
      <c r="C1346" s="177">
        <v>2014</v>
      </c>
      <c r="D1346" s="178" t="s">
        <v>4192</v>
      </c>
      <c r="E1346" s="461">
        <v>5.279611023015969E-2</v>
      </c>
      <c r="F1346" s="462">
        <v>5.5138340003844509E-2</v>
      </c>
      <c r="G1346" s="316">
        <v>9.1432089071292799E-2</v>
      </c>
      <c r="H1346" s="317">
        <v>8.0625197871687353E-3</v>
      </c>
      <c r="I1346" s="317">
        <v>0.2313546373934329</v>
      </c>
      <c r="J1346" s="317">
        <v>3.2287671722882716E-2</v>
      </c>
      <c r="K1346" s="317">
        <v>1.9760800059135126E-2</v>
      </c>
      <c r="L1346" s="318">
        <v>1.2826307309156515E-3</v>
      </c>
      <c r="M1346" s="317">
        <v>2.7775732786632671E-3</v>
      </c>
      <c r="N1346" s="318">
        <v>2.0000005732018797E-3</v>
      </c>
      <c r="O1346" s="317">
        <v>2.8976516233862999E-2</v>
      </c>
      <c r="P1346" s="318">
        <v>1.6614395766460927E-2</v>
      </c>
      <c r="Q1346" s="319">
        <v>2.0654295750557574E-2</v>
      </c>
    </row>
    <row r="1347" spans="2:17" ht="15.75" x14ac:dyDescent="0.25">
      <c r="B1347" s="176">
        <v>2044</v>
      </c>
      <c r="C1347" s="177">
        <v>2015</v>
      </c>
      <c r="D1347" s="178" t="s">
        <v>4193</v>
      </c>
      <c r="E1347" s="461">
        <v>5.1651150888533025E-2</v>
      </c>
      <c r="F1347" s="462">
        <v>5.791200227276367E-2</v>
      </c>
      <c r="G1347" s="316">
        <v>8.7194692693013914E-2</v>
      </c>
      <c r="H1347" s="317">
        <v>8.0650384260949701E-3</v>
      </c>
      <c r="I1347" s="317">
        <v>0.22167652298472476</v>
      </c>
      <c r="J1347" s="317">
        <v>3.4061776992207193E-2</v>
      </c>
      <c r="K1347" s="317">
        <v>1.9125531249425773E-2</v>
      </c>
      <c r="L1347" s="318">
        <v>1.592256130303119E-3</v>
      </c>
      <c r="M1347" s="317">
        <v>2.7474889189632603E-3</v>
      </c>
      <c r="N1347" s="318">
        <v>2.0000005732018801E-3</v>
      </c>
      <c r="O1347" s="317">
        <v>2.8464781275365877E-2</v>
      </c>
      <c r="P1347" s="318">
        <v>1.771757691987811E-2</v>
      </c>
      <c r="Q1347" s="319">
        <v>1.999030290423686E-2</v>
      </c>
    </row>
    <row r="1348" spans="2:17" ht="15.75" x14ac:dyDescent="0.25">
      <c r="B1348" s="176">
        <v>2044</v>
      </c>
      <c r="C1348" s="177">
        <v>2016</v>
      </c>
      <c r="D1348" s="178" t="s">
        <v>4194</v>
      </c>
      <c r="E1348" s="461">
        <v>5.1921595361829956E-2</v>
      </c>
      <c r="F1348" s="462">
        <v>5.9780612454297617E-2</v>
      </c>
      <c r="G1348" s="316">
        <v>9.9037007968022547E-2</v>
      </c>
      <c r="H1348" s="317">
        <v>7.8259878276528937E-3</v>
      </c>
      <c r="I1348" s="317">
        <v>0.22352449791680767</v>
      </c>
      <c r="J1348" s="317">
        <v>3.4682772666014591E-2</v>
      </c>
      <c r="K1348" s="317">
        <v>2.1428810272070043E-2</v>
      </c>
      <c r="L1348" s="318">
        <v>1.820753265573643E-3</v>
      </c>
      <c r="M1348" s="317">
        <v>2.8821668761741088E-3</v>
      </c>
      <c r="N1348" s="318">
        <v>2.0000005732018801E-3</v>
      </c>
      <c r="O1348" s="317">
        <v>3.075565332752242E-2</v>
      </c>
      <c r="P1348" s="318">
        <v>1.8793489553717263E-2</v>
      </c>
      <c r="Q1348" s="319">
        <v>2.2397725983635756E-2</v>
      </c>
    </row>
    <row r="1349" spans="2:17" ht="15.75" x14ac:dyDescent="0.25">
      <c r="B1349" s="176">
        <v>2044</v>
      </c>
      <c r="C1349" s="177">
        <v>2017</v>
      </c>
      <c r="D1349" s="178" t="s">
        <v>4195</v>
      </c>
      <c r="E1349" s="461">
        <v>4.8428570215850578E-2</v>
      </c>
      <c r="F1349" s="462">
        <v>5.3290909056021636E-2</v>
      </c>
      <c r="G1349" s="316">
        <v>7.8978850121613819E-2</v>
      </c>
      <c r="H1349" s="317">
        <v>7.8476352516756061E-3</v>
      </c>
      <c r="I1349" s="317">
        <v>0.16679174628671253</v>
      </c>
      <c r="J1349" s="317">
        <v>3.1762651463367333E-2</v>
      </c>
      <c r="K1349" s="317">
        <v>1.9563248330547952E-2</v>
      </c>
      <c r="L1349" s="318">
        <v>2.0096636892285224E-3</v>
      </c>
      <c r="M1349" s="317">
        <v>2.8340483798119679E-3</v>
      </c>
      <c r="N1349" s="318">
        <v>2.0000005732018801E-3</v>
      </c>
      <c r="O1349" s="317">
        <v>2.9937157704402407E-2</v>
      </c>
      <c r="P1349" s="318">
        <v>1.7588931613552541E-2</v>
      </c>
      <c r="Q1349" s="319">
        <v>2.0447811609426512E-2</v>
      </c>
    </row>
    <row r="1350" spans="2:17" ht="15.75" x14ac:dyDescent="0.25">
      <c r="B1350" s="176">
        <v>2044</v>
      </c>
      <c r="C1350" s="177">
        <v>2018</v>
      </c>
      <c r="D1350" s="178" t="s">
        <v>4196</v>
      </c>
      <c r="E1350" s="461">
        <v>4.5351604197540397E-2</v>
      </c>
      <c r="F1350" s="462">
        <v>5.0917763736154274E-2</v>
      </c>
      <c r="G1350" s="316">
        <v>7.8950043535727099E-2</v>
      </c>
      <c r="H1350" s="317">
        <v>7.4914140169496553E-3</v>
      </c>
      <c r="I1350" s="317">
        <v>0.13721810658114009</v>
      </c>
      <c r="J1350" s="317">
        <v>3.0339344188263354E-2</v>
      </c>
      <c r="K1350" s="317">
        <v>1.8293893336204507E-2</v>
      </c>
      <c r="L1350" s="318">
        <v>2.0920147658223722E-3</v>
      </c>
      <c r="M1350" s="317">
        <v>2.8330722946802935E-3</v>
      </c>
      <c r="N1350" s="318">
        <v>2.0000005732018797E-3</v>
      </c>
      <c r="O1350" s="317">
        <v>2.9920554496312615E-2</v>
      </c>
      <c r="P1350" s="318">
        <v>1.7579831243648036E-2</v>
      </c>
      <c r="Q1350" s="319">
        <v>1.9121062014918259E-2</v>
      </c>
    </row>
    <row r="1351" spans="2:17" ht="15.75" x14ac:dyDescent="0.25">
      <c r="B1351" s="176">
        <v>2044</v>
      </c>
      <c r="C1351" s="177">
        <v>2019</v>
      </c>
      <c r="D1351" s="178" t="s">
        <v>4197</v>
      </c>
      <c r="E1351" s="461">
        <v>4.4987520509867242E-2</v>
      </c>
      <c r="F1351" s="462">
        <v>4.8926725691729067E-2</v>
      </c>
      <c r="G1351" s="316">
        <v>7.8557172534922323E-2</v>
      </c>
      <c r="H1351" s="317">
        <v>6.7416795140841828E-3</v>
      </c>
      <c r="I1351" s="317">
        <v>0.11852276104182725</v>
      </c>
      <c r="J1351" s="317">
        <v>2.7523737195740021E-2</v>
      </c>
      <c r="K1351" s="317">
        <v>1.5787722792130202E-2</v>
      </c>
      <c r="L1351" s="318">
        <v>1.9891472910411557E-3</v>
      </c>
      <c r="M1351" s="317">
        <v>2.8270000934185447E-3</v>
      </c>
      <c r="N1351" s="318">
        <v>2.0000005732018801E-3</v>
      </c>
      <c r="O1351" s="317">
        <v>2.9817266352850268E-2</v>
      </c>
      <c r="P1351" s="318">
        <v>1.7538435659911981E-2</v>
      </c>
      <c r="Q1351" s="319">
        <v>1.6501573559808014E-2</v>
      </c>
    </row>
    <row r="1352" spans="2:17" ht="15.75" x14ac:dyDescent="0.25">
      <c r="B1352" s="176">
        <v>2044</v>
      </c>
      <c r="C1352" s="177">
        <v>2020</v>
      </c>
      <c r="D1352" s="178" t="s">
        <v>4198</v>
      </c>
      <c r="E1352" s="461">
        <v>4.4606334426115071E-2</v>
      </c>
      <c r="F1352" s="462">
        <v>4.6951739862206958E-2</v>
      </c>
      <c r="G1352" s="316">
        <v>7.8174389740816572E-2</v>
      </c>
      <c r="H1352" s="317">
        <v>5.8344435177256834E-3</v>
      </c>
      <c r="I1352" s="317">
        <v>9.9779017973158191E-2</v>
      </c>
      <c r="J1352" s="317">
        <v>2.5350371837691673E-2</v>
      </c>
      <c r="K1352" s="317">
        <v>1.3283061054368786E-2</v>
      </c>
      <c r="L1352" s="318">
        <v>1.4730149698209977E-3</v>
      </c>
      <c r="M1352" s="317">
        <v>2.8211233365804632E-3</v>
      </c>
      <c r="N1352" s="318">
        <v>2.0000005732018801E-3</v>
      </c>
      <c r="O1352" s="317">
        <v>2.9717302719034503E-2</v>
      </c>
      <c r="P1352" s="318">
        <v>1.7505427698188646E-2</v>
      </c>
      <c r="Q1352" s="319">
        <v>1.3883662132536825E-2</v>
      </c>
    </row>
    <row r="1353" spans="2:17" ht="15.75" x14ac:dyDescent="0.25">
      <c r="B1353" s="176">
        <v>2044</v>
      </c>
      <c r="C1353" s="177">
        <v>2021</v>
      </c>
      <c r="D1353" s="178" t="s">
        <v>4199</v>
      </c>
      <c r="E1353" s="461">
        <v>4.3224853279284665E-2</v>
      </c>
      <c r="F1353" s="462">
        <v>4.4757160621642533E-2</v>
      </c>
      <c r="G1353" s="316">
        <v>7.5562364033685797E-2</v>
      </c>
      <c r="H1353" s="317">
        <v>5.145146995081379E-3</v>
      </c>
      <c r="I1353" s="317">
        <v>7.711459442483512E-2</v>
      </c>
      <c r="J1353" s="317">
        <v>2.4282290954442166E-2</v>
      </c>
      <c r="K1353" s="317">
        <v>9.8286270009555164E-3</v>
      </c>
      <c r="L1353" s="318">
        <v>9.7610245239633314E-4</v>
      </c>
      <c r="M1353" s="317">
        <v>2.8139075268914493E-3</v>
      </c>
      <c r="N1353" s="318">
        <v>2.0000005732018801E-3</v>
      </c>
      <c r="O1353" s="317">
        <v>2.9594561796224387E-2</v>
      </c>
      <c r="P1353" s="318">
        <v>1.7483664321139569E-2</v>
      </c>
      <c r="Q1353" s="319">
        <v>1.0273033900052311E-2</v>
      </c>
    </row>
    <row r="1354" spans="2:17" ht="15.75" x14ac:dyDescent="0.25">
      <c r="B1354" s="176">
        <v>2044</v>
      </c>
      <c r="C1354" s="177">
        <v>2022</v>
      </c>
      <c r="D1354" s="178" t="s">
        <v>4200</v>
      </c>
      <c r="E1354" s="461">
        <v>4.1948605770244493E-2</v>
      </c>
      <c r="F1354" s="462">
        <v>4.3059035280515433E-2</v>
      </c>
      <c r="G1354" s="316">
        <v>7.4798052186915681E-2</v>
      </c>
      <c r="H1354" s="317">
        <v>4.3485247691699763E-3</v>
      </c>
      <c r="I1354" s="317">
        <v>5.8321994920513265E-2</v>
      </c>
      <c r="J1354" s="317">
        <v>2.3134371941939159E-2</v>
      </c>
      <c r="K1354" s="317">
        <v>7.3304512956980034E-3</v>
      </c>
      <c r="L1354" s="318">
        <v>9.742546192782549E-4</v>
      </c>
      <c r="M1354" s="317">
        <v>2.8058055924096198E-3</v>
      </c>
      <c r="N1354" s="318">
        <v>2.0000005732018801E-3</v>
      </c>
      <c r="O1354" s="317">
        <v>2.9456747890688459E-2</v>
      </c>
      <c r="P1354" s="318">
        <v>1.746001370428733E-2</v>
      </c>
      <c r="Q1354" s="319">
        <v>7.6619017748936003E-3</v>
      </c>
    </row>
    <row r="1355" spans="2:17" ht="15.75" x14ac:dyDescent="0.25">
      <c r="B1355" s="176">
        <v>2044</v>
      </c>
      <c r="C1355" s="177">
        <v>2023</v>
      </c>
      <c r="D1355" s="178" t="s">
        <v>4201</v>
      </c>
      <c r="E1355" s="461">
        <v>4.0674696035589077E-2</v>
      </c>
      <c r="F1355" s="462">
        <v>4.1363310103895524E-2</v>
      </c>
      <c r="G1355" s="316">
        <v>7.3975175666790724E-2</v>
      </c>
      <c r="H1355" s="317">
        <v>3.7908303888967848E-3</v>
      </c>
      <c r="I1355" s="317">
        <v>5.760589031774023E-2</v>
      </c>
      <c r="J1355" s="317">
        <v>2.3802934348042495E-2</v>
      </c>
      <c r="K1355" s="317">
        <v>7.2155471831358113E-3</v>
      </c>
      <c r="L1355" s="318">
        <v>9.7234723563907382E-4</v>
      </c>
      <c r="M1355" s="317">
        <v>2.7978825088186671E-3</v>
      </c>
      <c r="N1355" s="318">
        <v>2.0000005732018801E-3</v>
      </c>
      <c r="O1355" s="317">
        <v>2.9321976238806353E-2</v>
      </c>
      <c r="P1355" s="318">
        <v>1.7436580528298534E-2</v>
      </c>
      <c r="Q1355" s="319">
        <v>7.5418022082407903E-3</v>
      </c>
    </row>
    <row r="1356" spans="2:17" ht="15.75" x14ac:dyDescent="0.25">
      <c r="B1356" s="176">
        <v>2044</v>
      </c>
      <c r="C1356" s="177">
        <v>2024</v>
      </c>
      <c r="D1356" s="178" t="s">
        <v>4202</v>
      </c>
      <c r="E1356" s="461">
        <v>3.945502348535599E-2</v>
      </c>
      <c r="F1356" s="462">
        <v>3.9720132265135204E-2</v>
      </c>
      <c r="G1356" s="316">
        <v>7.3173041088887544E-2</v>
      </c>
      <c r="H1356" s="317">
        <v>3.2995812712341577E-3</v>
      </c>
      <c r="I1356" s="317">
        <v>5.6858127382801528E-2</v>
      </c>
      <c r="J1356" s="317">
        <v>2.5460355366714749E-2</v>
      </c>
      <c r="K1356" s="317">
        <v>7.0913198659413659E-3</v>
      </c>
      <c r="L1356" s="318">
        <v>9.7100548007564692E-4</v>
      </c>
      <c r="M1356" s="317">
        <v>2.791091830472844E-3</v>
      </c>
      <c r="N1356" s="318">
        <v>2.0000005732018801E-3</v>
      </c>
      <c r="O1356" s="317">
        <v>2.9206466800143903E-2</v>
      </c>
      <c r="P1356" s="318">
        <v>1.7424683383888244E-2</v>
      </c>
      <c r="Q1356" s="319">
        <v>7.4119578830133797E-3</v>
      </c>
    </row>
    <row r="1357" spans="2:17" ht="15.75" x14ac:dyDescent="0.25">
      <c r="B1357" s="176">
        <v>2044</v>
      </c>
      <c r="C1357" s="177">
        <v>2025</v>
      </c>
      <c r="D1357" s="178" t="s">
        <v>4203</v>
      </c>
      <c r="E1357" s="461">
        <v>3.8230330715674748E-2</v>
      </c>
      <c r="F1357" s="462">
        <v>3.8041019943526301E-2</v>
      </c>
      <c r="G1357" s="316">
        <v>7.2277448452675377E-2</v>
      </c>
      <c r="H1357" s="317">
        <v>3.0169491372957834E-3</v>
      </c>
      <c r="I1357" s="317">
        <v>5.6001148119793551E-2</v>
      </c>
      <c r="J1357" s="317">
        <v>2.7975433196988253E-2</v>
      </c>
      <c r="K1357" s="317">
        <v>6.9472336257343737E-3</v>
      </c>
      <c r="L1357" s="318">
        <v>9.6926316122127444E-4</v>
      </c>
      <c r="M1357" s="317">
        <v>2.7840186777521787E-3</v>
      </c>
      <c r="N1357" s="318">
        <v>2.0000005732018801E-3</v>
      </c>
      <c r="O1357" s="317">
        <v>2.9086152472365387E-2</v>
      </c>
      <c r="P1357" s="318">
        <v>1.7401209155608988E-2</v>
      </c>
      <c r="Q1357" s="319">
        <v>7.2613567023974484E-3</v>
      </c>
    </row>
    <row r="1358" spans="2:17" ht="15.75" x14ac:dyDescent="0.25">
      <c r="B1358" s="176">
        <v>2044</v>
      </c>
      <c r="C1358" s="177">
        <v>2026</v>
      </c>
      <c r="D1358" s="178" t="s">
        <v>4204</v>
      </c>
      <c r="E1358" s="461">
        <v>3.7319402723969761E-2</v>
      </c>
      <c r="F1358" s="462">
        <v>3.7714091523985055E-2</v>
      </c>
      <c r="G1358" s="316">
        <v>7.1378233796506735E-2</v>
      </c>
      <c r="H1358" s="317">
        <v>2.9977132731019776E-3</v>
      </c>
      <c r="I1358" s="317">
        <v>5.5097265804092008E-2</v>
      </c>
      <c r="J1358" s="317">
        <v>2.7489664005551789E-2</v>
      </c>
      <c r="K1358" s="317">
        <v>6.7919051204678024E-3</v>
      </c>
      <c r="L1358" s="318">
        <v>8.4852538050812049E-4</v>
      </c>
      <c r="M1358" s="317">
        <v>2.7777457880894759E-3</v>
      </c>
      <c r="N1358" s="318">
        <v>2.0000005732018801E-3</v>
      </c>
      <c r="O1358" s="317">
        <v>2.8979450619202814E-2</v>
      </c>
      <c r="P1358" s="318">
        <v>1.7377782208742837E-2</v>
      </c>
      <c r="Q1358" s="319">
        <v>7.0990049313827555E-3</v>
      </c>
    </row>
    <row r="1359" spans="2:17" ht="15.75" x14ac:dyDescent="0.25">
      <c r="B1359" s="176">
        <v>2044</v>
      </c>
      <c r="C1359" s="177">
        <v>2027</v>
      </c>
      <c r="D1359" s="178" t="s">
        <v>4205</v>
      </c>
      <c r="E1359" s="461">
        <v>3.6409600989451001E-2</v>
      </c>
      <c r="F1359" s="462">
        <v>3.7347991126131727E-2</v>
      </c>
      <c r="G1359" s="316">
        <v>7.0110188793310754E-2</v>
      </c>
      <c r="H1359" s="317">
        <v>2.973180766000384E-3</v>
      </c>
      <c r="I1359" s="317">
        <v>5.3901322810043312E-2</v>
      </c>
      <c r="J1359" s="317">
        <v>2.682908571306921E-2</v>
      </c>
      <c r="K1359" s="317">
        <v>6.5924754676598947E-3</v>
      </c>
      <c r="L1359" s="318">
        <v>7.0671144660593664E-4</v>
      </c>
      <c r="M1359" s="317">
        <v>2.7677572565554653E-3</v>
      </c>
      <c r="N1359" s="318">
        <v>2.0000005732018801E-3</v>
      </c>
      <c r="O1359" s="317">
        <v>2.8809545697809288E-2</v>
      </c>
      <c r="P1359" s="318">
        <v>1.7336851253667553E-2</v>
      </c>
      <c r="Q1359" s="319">
        <v>6.8905579546308399E-3</v>
      </c>
    </row>
    <row r="1360" spans="2:17" ht="15.75" x14ac:dyDescent="0.25">
      <c r="B1360" s="176">
        <v>2044</v>
      </c>
      <c r="C1360" s="177">
        <v>2028</v>
      </c>
      <c r="D1360" s="178" t="s">
        <v>4206</v>
      </c>
      <c r="E1360" s="461">
        <v>3.6296648601227451E-2</v>
      </c>
      <c r="F1360" s="462">
        <v>3.7212541300262011E-2</v>
      </c>
      <c r="G1360" s="316">
        <v>6.8943340486840962E-2</v>
      </c>
      <c r="H1360" s="317">
        <v>2.9470474328762786E-3</v>
      </c>
      <c r="I1360" s="317">
        <v>5.2731869170851403E-2</v>
      </c>
      <c r="J1360" s="317">
        <v>2.6164125481987714E-2</v>
      </c>
      <c r="K1360" s="317">
        <v>6.3923431769514301E-3</v>
      </c>
      <c r="L1360" s="318">
        <v>5.8477038164770527E-4</v>
      </c>
      <c r="M1360" s="317">
        <v>2.7598323420478564E-3</v>
      </c>
      <c r="N1360" s="318">
        <v>2.0000005732018801E-3</v>
      </c>
      <c r="O1360" s="317">
        <v>2.8674742902034867E-2</v>
      </c>
      <c r="P1360" s="318">
        <v>1.7304036642345241E-2</v>
      </c>
      <c r="Q1360" s="319">
        <v>6.6813765698104299E-3</v>
      </c>
    </row>
    <row r="1361" spans="2:17" ht="15.75" x14ac:dyDescent="0.25">
      <c r="B1361" s="176">
        <v>2044</v>
      </c>
      <c r="C1361" s="177">
        <v>2029</v>
      </c>
      <c r="D1361" s="178" t="s">
        <v>4207</v>
      </c>
      <c r="E1361" s="461">
        <v>3.6191846871765597E-2</v>
      </c>
      <c r="F1361" s="462">
        <v>3.7116391874860065E-2</v>
      </c>
      <c r="G1361" s="316">
        <v>6.7759134054055523E-2</v>
      </c>
      <c r="H1361" s="317">
        <v>2.9195171687244753E-3</v>
      </c>
      <c r="I1361" s="317">
        <v>5.1509245553674643E-2</v>
      </c>
      <c r="J1361" s="317">
        <v>2.5444225827880657E-2</v>
      </c>
      <c r="K1361" s="317">
        <v>6.180725873517378E-3</v>
      </c>
      <c r="L1361" s="318">
        <v>5.8318205793360096E-4</v>
      </c>
      <c r="M1361" s="317">
        <v>2.7524865731839623E-3</v>
      </c>
      <c r="N1361" s="318">
        <v>2.0000005732018801E-3</v>
      </c>
      <c r="O1361" s="317">
        <v>2.8549791373660028E-2</v>
      </c>
      <c r="P1361" s="318">
        <v>1.7283195599682784E-2</v>
      </c>
      <c r="Q1361" s="319">
        <v>6.460190870952974E-3</v>
      </c>
    </row>
    <row r="1362" spans="2:17" ht="15.75" x14ac:dyDescent="0.25">
      <c r="B1362" s="176">
        <v>2044</v>
      </c>
      <c r="C1362" s="177">
        <v>2030</v>
      </c>
      <c r="D1362" s="178" t="s">
        <v>4208</v>
      </c>
      <c r="E1362" s="461">
        <v>3.6113635412315277E-2</v>
      </c>
      <c r="F1362" s="462">
        <v>3.7009942535045776E-2</v>
      </c>
      <c r="G1362" s="316">
        <v>6.6670625919408852E-2</v>
      </c>
      <c r="H1362" s="317">
        <v>2.8895865736350891E-3</v>
      </c>
      <c r="I1362" s="317">
        <v>5.0307483854765335E-2</v>
      </c>
      <c r="J1362" s="317">
        <v>2.4595690373281083E-2</v>
      </c>
      <c r="K1362" s="317">
        <v>5.9672446094384563E-3</v>
      </c>
      <c r="L1362" s="318">
        <v>5.8140542348740238E-4</v>
      </c>
      <c r="M1362" s="317">
        <v>2.7471208769089205E-3</v>
      </c>
      <c r="N1362" s="318">
        <v>2.0000005732018801E-3</v>
      </c>
      <c r="O1362" s="317">
        <v>2.8458520880021564E-2</v>
      </c>
      <c r="P1362" s="318">
        <v>1.7259122770880746E-2</v>
      </c>
      <c r="Q1362" s="319">
        <v>6.2370569314214811E-3</v>
      </c>
    </row>
    <row r="1363" spans="2:17" ht="15.75" x14ac:dyDescent="0.25">
      <c r="B1363" s="176">
        <v>2044</v>
      </c>
      <c r="C1363" s="177">
        <v>2031</v>
      </c>
      <c r="D1363" s="178" t="s">
        <v>4209</v>
      </c>
      <c r="E1363" s="461">
        <v>3.6024264033689274E-2</v>
      </c>
      <c r="F1363" s="462">
        <v>3.6926292588172926E-2</v>
      </c>
      <c r="G1363" s="316">
        <v>6.5448755789331001E-2</v>
      </c>
      <c r="H1363" s="317">
        <v>2.858179939002909E-3</v>
      </c>
      <c r="I1363" s="317">
        <v>4.8976678972767716E-2</v>
      </c>
      <c r="J1363" s="317">
        <v>2.3827534931087989E-2</v>
      </c>
      <c r="K1363" s="317">
        <v>5.7324388591532697E-3</v>
      </c>
      <c r="L1363" s="318">
        <v>5.8009760454650412E-4</v>
      </c>
      <c r="M1363" s="317">
        <v>2.7408963979906951E-3</v>
      </c>
      <c r="N1363" s="318">
        <v>2.0000005732018801E-3</v>
      </c>
      <c r="O1363" s="317">
        <v>2.8352642493622553E-2</v>
      </c>
      <c r="P1363" s="318">
        <v>1.724248206695209E-2</v>
      </c>
      <c r="Q1363" s="319">
        <v>5.9916343070434835E-3</v>
      </c>
    </row>
    <row r="1364" spans="2:17" ht="15.75" x14ac:dyDescent="0.25">
      <c r="B1364" s="176">
        <v>2044</v>
      </c>
      <c r="C1364" s="177">
        <v>2032</v>
      </c>
      <c r="D1364" s="178" t="s">
        <v>4210</v>
      </c>
      <c r="E1364" s="461">
        <v>3.5962217728615908E-2</v>
      </c>
      <c r="F1364" s="462">
        <v>3.6849660553620336E-2</v>
      </c>
      <c r="G1364" s="316">
        <v>6.4326219584528957E-2</v>
      </c>
      <c r="H1364" s="317">
        <v>2.8257282314977225E-3</v>
      </c>
      <c r="I1364" s="317">
        <v>4.7667547332461306E-2</v>
      </c>
      <c r="J1364" s="317">
        <v>2.2967052584107694E-2</v>
      </c>
      <c r="K1364" s="317">
        <v>5.4956199940715822E-3</v>
      </c>
      <c r="L1364" s="318">
        <v>5.7895339842548683E-4</v>
      </c>
      <c r="M1364" s="317">
        <v>2.7367338362758319E-3</v>
      </c>
      <c r="N1364" s="318">
        <v>2.0000005732018801E-3</v>
      </c>
      <c r="O1364" s="317">
        <v>2.8281837318852723E-2</v>
      </c>
      <c r="P1364" s="318">
        <v>1.7227826048242991E-2</v>
      </c>
      <c r="Q1364" s="319">
        <v>5.7441075437509427E-3</v>
      </c>
    </row>
    <row r="1365" spans="2:17" ht="15.75" x14ac:dyDescent="0.25">
      <c r="B1365" s="176">
        <v>2044</v>
      </c>
      <c r="C1365" s="177">
        <v>2033</v>
      </c>
      <c r="D1365" s="178" t="s">
        <v>4211</v>
      </c>
      <c r="E1365" s="461">
        <v>3.5890281527205817E-2</v>
      </c>
      <c r="F1365" s="462">
        <v>3.6776279876345901E-2</v>
      </c>
      <c r="G1365" s="316">
        <v>6.3079839240709645E-2</v>
      </c>
      <c r="H1365" s="317">
        <v>2.7911313532026352E-3</v>
      </c>
      <c r="I1365" s="317">
        <v>4.6236460057188934E-2</v>
      </c>
      <c r="J1365" s="317">
        <v>2.20700813196157E-2</v>
      </c>
      <c r="K1365" s="317">
        <v>5.2385575248593708E-3</v>
      </c>
      <c r="L1365" s="318">
        <v>5.7786866125983372E-4</v>
      </c>
      <c r="M1365" s="317">
        <v>2.7318081011873658E-3</v>
      </c>
      <c r="N1365" s="318">
        <v>2.0000005732018805E-3</v>
      </c>
      <c r="O1365" s="317">
        <v>2.8198050564997922E-2</v>
      </c>
      <c r="P1365" s="318">
        <v>1.7214341842673186E-2</v>
      </c>
      <c r="Q1365" s="319">
        <v>5.4754218503787798E-3</v>
      </c>
    </row>
    <row r="1366" spans="2:17" ht="15.75" x14ac:dyDescent="0.25">
      <c r="B1366" s="176">
        <v>2044</v>
      </c>
      <c r="C1366" s="177">
        <v>2034</v>
      </c>
      <c r="D1366" s="178" t="s">
        <v>4212</v>
      </c>
      <c r="E1366" s="461">
        <v>3.584308153839063E-2</v>
      </c>
      <c r="F1366" s="462">
        <v>3.6685776935665979E-2</v>
      </c>
      <c r="G1366" s="316">
        <v>6.1914507931102272E-2</v>
      </c>
      <c r="H1366" s="317">
        <v>2.753597029232272E-3</v>
      </c>
      <c r="I1366" s="317">
        <v>4.4812807178192721E-2</v>
      </c>
      <c r="J1366" s="317">
        <v>2.1173793377672875E-2</v>
      </c>
      <c r="K1366" s="317">
        <v>4.9772013712117069E-3</v>
      </c>
      <c r="L1366" s="318">
        <v>5.7643081462971759E-4</v>
      </c>
      <c r="M1366" s="317">
        <v>2.7287545573112569E-3</v>
      </c>
      <c r="N1366" s="318">
        <v>2.0000005732018801E-3</v>
      </c>
      <c r="O1366" s="317">
        <v>2.8146109783665305E-2</v>
      </c>
      <c r="P1366" s="318">
        <v>1.7195157482334428E-2</v>
      </c>
      <c r="Q1366" s="319">
        <v>5.2022483312139179E-3</v>
      </c>
    </row>
    <row r="1367" spans="2:17" ht="15.75" x14ac:dyDescent="0.25">
      <c r="B1367" s="176">
        <v>2044</v>
      </c>
      <c r="C1367" s="177">
        <v>2035</v>
      </c>
      <c r="D1367" s="178" t="s">
        <v>4213</v>
      </c>
      <c r="E1367" s="461">
        <v>3.5776827351366808E-2</v>
      </c>
      <c r="F1367" s="462">
        <v>3.6618600777748221E-2</v>
      </c>
      <c r="G1367" s="316">
        <v>6.0572290721733743E-2</v>
      </c>
      <c r="H1367" s="317">
        <v>2.7139391627346693E-3</v>
      </c>
      <c r="I1367" s="317">
        <v>4.3235333362409645E-2</v>
      </c>
      <c r="J1367" s="317">
        <v>2.0248883297360989E-2</v>
      </c>
      <c r="K1367" s="317">
        <v>4.691984855731285E-3</v>
      </c>
      <c r="L1367" s="318">
        <v>5.7553533310914905E-4</v>
      </c>
      <c r="M1367" s="317">
        <v>2.724198966369044E-3</v>
      </c>
      <c r="N1367" s="318">
        <v>2.0000005732018801E-3</v>
      </c>
      <c r="O1367" s="317">
        <v>2.8068619181738263E-2</v>
      </c>
      <c r="P1367" s="318">
        <v>1.7183077847387093E-2</v>
      </c>
      <c r="Q1367" s="319">
        <v>4.9041355905330127E-3</v>
      </c>
    </row>
    <row r="1368" spans="2:17" ht="15.75" x14ac:dyDescent="0.25">
      <c r="B1368" s="176">
        <v>2044</v>
      </c>
      <c r="C1368" s="177">
        <v>2036</v>
      </c>
      <c r="D1368" s="178" t="s">
        <v>4214</v>
      </c>
      <c r="E1368" s="461">
        <v>3.574451215452127E-2</v>
      </c>
      <c r="F1368" s="462">
        <v>3.6586861476091713E-2</v>
      </c>
      <c r="G1368" s="316">
        <v>5.9365034278544906E-2</v>
      </c>
      <c r="H1368" s="317">
        <v>2.6706386757869363E-3</v>
      </c>
      <c r="I1368" s="317">
        <v>4.1695594955325335E-2</v>
      </c>
      <c r="J1368" s="317">
        <v>1.9364976665131289E-2</v>
      </c>
      <c r="K1368" s="317">
        <v>4.4055418365458029E-3</v>
      </c>
      <c r="L1368" s="318">
        <v>5.7531895037647566E-4</v>
      </c>
      <c r="M1368" s="317">
        <v>2.7223208283865836E-3</v>
      </c>
      <c r="N1368" s="318">
        <v>2.0000005732018801E-3</v>
      </c>
      <c r="O1368" s="317">
        <v>2.8036672054656611E-2</v>
      </c>
      <c r="P1368" s="318">
        <v>1.7182403746519675E-2</v>
      </c>
      <c r="Q1368" s="319">
        <v>4.6047408890920426E-3</v>
      </c>
    </row>
    <row r="1369" spans="2:17" ht="15.75" x14ac:dyDescent="0.25">
      <c r="B1369" s="176">
        <v>2044</v>
      </c>
      <c r="C1369" s="177">
        <v>2037</v>
      </c>
      <c r="D1369" s="178" t="s">
        <v>4215</v>
      </c>
      <c r="E1369" s="461">
        <v>3.5693779135816645E-2</v>
      </c>
      <c r="F1369" s="462">
        <v>3.6546266926595551E-2</v>
      </c>
      <c r="G1369" s="316">
        <v>5.7986748684299247E-2</v>
      </c>
      <c r="H1369" s="317">
        <v>2.6219671848458767E-3</v>
      </c>
      <c r="I1369" s="317">
        <v>4.0007082686149303E-2</v>
      </c>
      <c r="J1369" s="317">
        <v>1.8438453576485186E-2</v>
      </c>
      <c r="K1369" s="317">
        <v>4.0961295993343092E-3</v>
      </c>
      <c r="L1369" s="318">
        <v>5.7479590495483938E-4</v>
      </c>
      <c r="M1369" s="317">
        <v>2.7190034081681887E-3</v>
      </c>
      <c r="N1369" s="318">
        <v>2.0000005732018801E-3</v>
      </c>
      <c r="O1369" s="317">
        <v>2.7980242736741719E-2</v>
      </c>
      <c r="P1369" s="318">
        <v>1.7176716488673183E-2</v>
      </c>
      <c r="Q1369" s="319">
        <v>4.2813384035103102E-3</v>
      </c>
    </row>
    <row r="1370" spans="2:17" ht="15.75" x14ac:dyDescent="0.25">
      <c r="B1370" s="176">
        <v>2044</v>
      </c>
      <c r="C1370" s="177">
        <v>2038</v>
      </c>
      <c r="D1370" s="178" t="s">
        <v>4216</v>
      </c>
      <c r="E1370" s="461">
        <v>3.5652692343176834E-2</v>
      </c>
      <c r="F1370" s="462">
        <v>3.6492399417365456E-2</v>
      </c>
      <c r="G1370" s="316">
        <v>5.6597893468160458E-2</v>
      </c>
      <c r="H1370" s="317">
        <v>2.5670474265071415E-3</v>
      </c>
      <c r="I1370" s="317">
        <v>3.8266613898301494E-2</v>
      </c>
      <c r="J1370" s="317">
        <v>1.7501923656168806E-2</v>
      </c>
      <c r="K1370" s="317">
        <v>3.7747704710560117E-3</v>
      </c>
      <c r="L1370" s="318">
        <v>5.7402852591010298E-4</v>
      </c>
      <c r="M1370" s="317">
        <v>2.7164061555841009E-3</v>
      </c>
      <c r="N1370" s="318">
        <v>2.0000005732018801E-3</v>
      </c>
      <c r="O1370" s="317">
        <v>2.7936063470286376E-2</v>
      </c>
      <c r="P1370" s="318">
        <v>1.7166463176125923E-2</v>
      </c>
      <c r="Q1370" s="319">
        <v>3.9454488414612738E-3</v>
      </c>
    </row>
    <row r="1371" spans="2:17" ht="15.75" x14ac:dyDescent="0.25">
      <c r="B1371" s="176">
        <v>2044</v>
      </c>
      <c r="C1371" s="177">
        <v>2039</v>
      </c>
      <c r="D1371" s="178" t="s">
        <v>4217</v>
      </c>
      <c r="E1371" s="461">
        <v>3.5594396912569791E-2</v>
      </c>
      <c r="F1371" s="462">
        <v>3.6409255450607685E-2</v>
      </c>
      <c r="G1371" s="316">
        <v>5.5050577138129199E-2</v>
      </c>
      <c r="H1371" s="317">
        <v>2.5083257279769427E-3</v>
      </c>
      <c r="I1371" s="317">
        <v>3.638970920816071E-2</v>
      </c>
      <c r="J1371" s="317">
        <v>1.6542756578095622E-2</v>
      </c>
      <c r="K1371" s="317">
        <v>3.432783714616478E-3</v>
      </c>
      <c r="L1371" s="318">
        <v>5.7274261699995091E-4</v>
      </c>
      <c r="M1371" s="317">
        <v>2.7124690835837696E-3</v>
      </c>
      <c r="N1371" s="318">
        <v>2.0000005732018805E-3</v>
      </c>
      <c r="O1371" s="317">
        <v>2.786909387556074E-2</v>
      </c>
      <c r="P1371" s="318">
        <v>1.7145975161146368E-2</v>
      </c>
      <c r="Q1371" s="319">
        <v>3.5879989614393012E-3</v>
      </c>
    </row>
    <row r="1372" spans="2:17" ht="15.75" x14ac:dyDescent="0.25">
      <c r="B1372" s="176">
        <v>2044</v>
      </c>
      <c r="C1372" s="177">
        <v>2040</v>
      </c>
      <c r="D1372" s="178" t="s">
        <v>4218</v>
      </c>
      <c r="E1372" s="461">
        <v>3.5576402021951746E-2</v>
      </c>
      <c r="F1372" s="462">
        <v>3.6400420810267071E-2</v>
      </c>
      <c r="G1372" s="316">
        <v>5.3657310841321131E-2</v>
      </c>
      <c r="H1372" s="317">
        <v>2.458541202075067E-3</v>
      </c>
      <c r="I1372" s="317">
        <v>3.4551033716242269E-2</v>
      </c>
      <c r="J1372" s="317">
        <v>1.5685374434354551E-2</v>
      </c>
      <c r="K1372" s="317">
        <v>3.0873540669579124E-3</v>
      </c>
      <c r="L1372" s="318">
        <v>5.7295039935498096E-4</v>
      </c>
      <c r="M1372" s="317">
        <v>2.7116188877704416E-3</v>
      </c>
      <c r="N1372" s="318">
        <v>2.0000005732018801E-3</v>
      </c>
      <c r="O1372" s="317">
        <v>2.7854632044776034E-2</v>
      </c>
      <c r="P1372" s="318">
        <v>1.7149884282446574E-2</v>
      </c>
      <c r="Q1372" s="319">
        <v>3.2269505179349798E-3</v>
      </c>
    </row>
    <row r="1373" spans="2:17" ht="15.75" x14ac:dyDescent="0.25">
      <c r="B1373" s="176">
        <v>2044</v>
      </c>
      <c r="C1373" s="177">
        <v>2041</v>
      </c>
      <c r="D1373" s="178" t="s">
        <v>4219</v>
      </c>
      <c r="E1373" s="461">
        <v>3.5568327176547655E-2</v>
      </c>
      <c r="F1373" s="462">
        <v>3.638388939352994E-2</v>
      </c>
      <c r="G1373" s="316">
        <v>5.2244391138308206E-2</v>
      </c>
      <c r="H1373" s="317">
        <v>2.4354752900420718E-3</v>
      </c>
      <c r="I1373" s="317">
        <v>3.2649126907398844E-2</v>
      </c>
      <c r="J1373" s="317">
        <v>2.2579659187448375E-2</v>
      </c>
      <c r="K1373" s="317">
        <v>2.7274421642426534E-3</v>
      </c>
      <c r="L1373" s="318">
        <v>5.7315145079472559E-4</v>
      </c>
      <c r="M1373" s="317">
        <v>2.7114742247310655E-3</v>
      </c>
      <c r="N1373" s="318">
        <v>2.0000005732018801E-3</v>
      </c>
      <c r="O1373" s="317">
        <v>2.7852171326476251E-2</v>
      </c>
      <c r="P1373" s="318">
        <v>1.7149934642148531E-2</v>
      </c>
      <c r="Q1373" s="319">
        <v>2.8507649960643503E-3</v>
      </c>
    </row>
    <row r="1374" spans="2:17" ht="15.75" x14ac:dyDescent="0.25">
      <c r="B1374" s="176">
        <v>2044</v>
      </c>
      <c r="C1374" s="177">
        <v>2042</v>
      </c>
      <c r="D1374" s="178" t="s">
        <v>4220</v>
      </c>
      <c r="E1374" s="461">
        <v>3.5531997606686683E-2</v>
      </c>
      <c r="F1374" s="462">
        <v>3.6337148892072714E-2</v>
      </c>
      <c r="G1374" s="316">
        <v>5.0612170858942276E-2</v>
      </c>
      <c r="H1374" s="317">
        <v>2.4451620580928832E-3</v>
      </c>
      <c r="I1374" s="317">
        <v>3.0580528585742808E-2</v>
      </c>
      <c r="J1374" s="317">
        <v>3.254822247700704E-2</v>
      </c>
      <c r="K1374" s="317">
        <v>2.3445781866653827E-3</v>
      </c>
      <c r="L1374" s="318">
        <v>5.7295766160892186E-4</v>
      </c>
      <c r="M1374" s="317">
        <v>2.7090736826311935E-3</v>
      </c>
      <c r="N1374" s="318">
        <v>2.0000005732018801E-3</v>
      </c>
      <c r="O1374" s="317">
        <v>2.7811338105357429E-2</v>
      </c>
      <c r="P1374" s="318">
        <v>1.7138420295086366E-2</v>
      </c>
      <c r="Q1374" s="319">
        <v>2.4505896083547732E-3</v>
      </c>
    </row>
    <row r="1375" spans="2:17" ht="15.75" x14ac:dyDescent="0.25">
      <c r="B1375" s="176">
        <v>2044</v>
      </c>
      <c r="C1375" s="177">
        <v>2043</v>
      </c>
      <c r="D1375" s="178" t="s">
        <v>4221</v>
      </c>
      <c r="E1375" s="461">
        <v>3.5505683954679283E-2</v>
      </c>
      <c r="F1375" s="462">
        <v>3.6262843458184445E-2</v>
      </c>
      <c r="G1375" s="316">
        <v>4.8980559524190399E-2</v>
      </c>
      <c r="H1375" s="317">
        <v>2.3934988943879396E-3</v>
      </c>
      <c r="I1375" s="317">
        <v>2.84599760188547E-2</v>
      </c>
      <c r="J1375" s="317">
        <v>4.206882240428983E-2</v>
      </c>
      <c r="K1375" s="317">
        <v>1.9486615999980464E-3</v>
      </c>
      <c r="L1375" s="318">
        <v>5.7186010006141097E-4</v>
      </c>
      <c r="M1375" s="317">
        <v>2.7076878097567945E-3</v>
      </c>
      <c r="N1375" s="318">
        <v>2.0000005732018801E-3</v>
      </c>
      <c r="O1375" s="317">
        <v>2.7787764407763892E-2</v>
      </c>
      <c r="P1375" s="318">
        <v>1.7121980223179657E-2</v>
      </c>
      <c r="Q1375" s="319">
        <v>2.0367714304921729E-3</v>
      </c>
    </row>
    <row r="1376" spans="2:17" ht="15.75" x14ac:dyDescent="0.25">
      <c r="B1376" s="176">
        <v>2044</v>
      </c>
      <c r="C1376" s="177">
        <v>2044</v>
      </c>
      <c r="D1376" s="178" t="s">
        <v>4222</v>
      </c>
      <c r="E1376" s="461">
        <v>3.5135425038086844E-2</v>
      </c>
      <c r="F1376" s="462">
        <v>3.5585501980787616E-2</v>
      </c>
      <c r="G1376" s="316">
        <v>4.5594704538834657E-2</v>
      </c>
      <c r="H1376" s="317">
        <v>2.2826807252280088E-3</v>
      </c>
      <c r="I1376" s="317">
        <v>2.5475342878745443E-2</v>
      </c>
      <c r="J1376" s="317">
        <v>1.0723636879200315E-2</v>
      </c>
      <c r="K1376" s="317">
        <v>1.4956625071144492E-3</v>
      </c>
      <c r="L1376" s="318">
        <v>5.5963790192516062E-4</v>
      </c>
      <c r="M1376" s="317">
        <v>2.6793277601653721E-3</v>
      </c>
      <c r="N1376" s="318">
        <v>2.0000005732018801E-3</v>
      </c>
      <c r="O1376" s="317">
        <v>2.7305359964213807E-2</v>
      </c>
      <c r="P1376" s="318">
        <v>1.6899480239277325E-2</v>
      </c>
      <c r="Q1376" s="319">
        <v>1.563289728782089E-3</v>
      </c>
    </row>
    <row r="1377" spans="2:17" ht="15.75" x14ac:dyDescent="0.25">
      <c r="B1377" s="176">
        <v>2045</v>
      </c>
      <c r="C1377" s="177">
        <v>2001</v>
      </c>
      <c r="D1377" s="178" t="s">
        <v>4223</v>
      </c>
      <c r="E1377" s="461">
        <v>5.7999612041217188E-2</v>
      </c>
      <c r="F1377" s="462">
        <v>7.4757853981942415E-2</v>
      </c>
      <c r="G1377" s="316">
        <v>0.36862309387727382</v>
      </c>
      <c r="H1377" s="317">
        <v>8.7923653148044401E-2</v>
      </c>
      <c r="I1377" s="317">
        <v>8.9294326144590297</v>
      </c>
      <c r="J1377" s="317">
        <v>0.47667436159987953</v>
      </c>
      <c r="K1377" s="317">
        <v>5.3696351497282011E-2</v>
      </c>
      <c r="L1377" s="318">
        <v>2.9633743838778973E-3</v>
      </c>
      <c r="M1377" s="317">
        <v>2.9767276845100829E-3</v>
      </c>
      <c r="N1377" s="318">
        <v>2.0000005732018805E-3</v>
      </c>
      <c r="O1377" s="317">
        <v>3.2364132677317331E-2</v>
      </c>
      <c r="P1377" s="318">
        <v>1.8409391776563245E-2</v>
      </c>
      <c r="Q1377" s="319">
        <v>5.61242622379583E-2</v>
      </c>
    </row>
    <row r="1378" spans="2:17" ht="15.75" x14ac:dyDescent="0.25">
      <c r="B1378" s="176">
        <v>2045</v>
      </c>
      <c r="C1378" s="177">
        <v>2002</v>
      </c>
      <c r="D1378" s="178" t="s">
        <v>4224</v>
      </c>
      <c r="E1378" s="461">
        <v>5.7946456884810649E-2</v>
      </c>
      <c r="F1378" s="462">
        <v>7.285927696340061E-2</v>
      </c>
      <c r="G1378" s="316">
        <v>0.28725696710212889</v>
      </c>
      <c r="H1378" s="317">
        <v>8.8016233361271082E-2</v>
      </c>
      <c r="I1378" s="317">
        <v>6.9868655451812947</v>
      </c>
      <c r="J1378" s="317">
        <v>0.45868152633251857</v>
      </c>
      <c r="K1378" s="317">
        <v>5.3850962419897647E-2</v>
      </c>
      <c r="L1378" s="318">
        <v>2.988674990714639E-3</v>
      </c>
      <c r="M1378" s="317">
        <v>2.9912542870652371E-3</v>
      </c>
      <c r="N1378" s="318">
        <v>2.0000005732018801E-3</v>
      </c>
      <c r="O1378" s="317">
        <v>3.2611230186780513E-2</v>
      </c>
      <c r="P1378" s="318">
        <v>1.782146484345733E-2</v>
      </c>
      <c r="Q1378" s="319">
        <v>5.62858639804188E-2</v>
      </c>
    </row>
    <row r="1379" spans="2:17" ht="15.75" x14ac:dyDescent="0.25">
      <c r="B1379" s="176">
        <v>2045</v>
      </c>
      <c r="C1379" s="177">
        <v>2003</v>
      </c>
      <c r="D1379" s="178" t="s">
        <v>4225</v>
      </c>
      <c r="E1379" s="461">
        <v>5.7654114022466951E-2</v>
      </c>
      <c r="F1379" s="462">
        <v>7.3933837484703002E-2</v>
      </c>
      <c r="G1379" s="316">
        <v>0.28359796139670285</v>
      </c>
      <c r="H1379" s="317">
        <v>7.1286701946027486E-2</v>
      </c>
      <c r="I1379" s="317">
        <v>6.9488132311338369</v>
      </c>
      <c r="J1379" s="317">
        <v>0.39249513118422497</v>
      </c>
      <c r="K1379" s="317">
        <v>5.3536571380173578E-2</v>
      </c>
      <c r="L1379" s="318">
        <v>2.9711413681584942E-3</v>
      </c>
      <c r="M1379" s="317">
        <v>2.9809306361938291E-3</v>
      </c>
      <c r="N1379" s="318">
        <v>2.0000005732018801E-3</v>
      </c>
      <c r="O1379" s="317">
        <v>3.2435624885457856E-2</v>
      </c>
      <c r="P1379" s="318">
        <v>1.8201218408701637E-2</v>
      </c>
      <c r="Q1379" s="319">
        <v>5.5957257572967899E-2</v>
      </c>
    </row>
    <row r="1380" spans="2:17" ht="15.75" x14ac:dyDescent="0.25">
      <c r="B1380" s="176">
        <v>2045</v>
      </c>
      <c r="C1380" s="177">
        <v>2004</v>
      </c>
      <c r="D1380" s="178" t="s">
        <v>4226</v>
      </c>
      <c r="E1380" s="461">
        <v>5.7632623076629294E-2</v>
      </c>
      <c r="F1380" s="462">
        <v>7.3694330949972617E-2</v>
      </c>
      <c r="G1380" s="316">
        <v>0.23438932855701747</v>
      </c>
      <c r="H1380" s="317">
        <v>1.8290279469931919E-2</v>
      </c>
      <c r="I1380" s="317">
        <v>5.8041311840721495</v>
      </c>
      <c r="J1380" s="317">
        <v>0.11591601761993653</v>
      </c>
      <c r="K1380" s="317">
        <v>5.3297499339626318E-2</v>
      </c>
      <c r="L1380" s="318">
        <v>1.983739866878921E-4</v>
      </c>
      <c r="M1380" s="317">
        <v>2.9794052235710723E-3</v>
      </c>
      <c r="N1380" s="318">
        <v>2.0000005732018801E-3</v>
      </c>
      <c r="O1380" s="317">
        <v>3.2409677616744771E-2</v>
      </c>
      <c r="P1380" s="318">
        <v>1.7833320202861273E-2</v>
      </c>
      <c r="Q1380" s="319">
        <v>5.5707375755613651E-2</v>
      </c>
    </row>
    <row r="1381" spans="2:17" ht="15.75" x14ac:dyDescent="0.25">
      <c r="B1381" s="176">
        <v>2045</v>
      </c>
      <c r="C1381" s="177">
        <v>2005</v>
      </c>
      <c r="D1381" s="178" t="s">
        <v>4227</v>
      </c>
      <c r="E1381" s="461">
        <v>5.7345229882193934E-2</v>
      </c>
      <c r="F1381" s="462">
        <v>6.9996491316781248E-2</v>
      </c>
      <c r="G1381" s="316">
        <v>0.23111843700388551</v>
      </c>
      <c r="H1381" s="317">
        <v>1.593810589633721E-2</v>
      </c>
      <c r="I1381" s="317">
        <v>5.7757339286098075</v>
      </c>
      <c r="J1381" s="317">
        <v>9.4306001547404136E-2</v>
      </c>
      <c r="K1381" s="317">
        <v>5.2933882506680449E-2</v>
      </c>
      <c r="L1381" s="318">
        <v>1.9900476813456474E-4</v>
      </c>
      <c r="M1381" s="317">
        <v>2.9678765175888389E-3</v>
      </c>
      <c r="N1381" s="318">
        <v>2.0000005732018801E-3</v>
      </c>
      <c r="O1381" s="317">
        <v>3.2213574327986973E-2</v>
      </c>
      <c r="P1381" s="318">
        <v>1.7119144259488302E-2</v>
      </c>
      <c r="Q1381" s="319">
        <v>5.5327317783007673E-2</v>
      </c>
    </row>
    <row r="1382" spans="2:17" ht="15.75" x14ac:dyDescent="0.25">
      <c r="B1382" s="176">
        <v>2045</v>
      </c>
      <c r="C1382" s="177">
        <v>2006</v>
      </c>
      <c r="D1382" s="178" t="s">
        <v>4228</v>
      </c>
      <c r="E1382" s="461">
        <v>5.7302769596802687E-2</v>
      </c>
      <c r="F1382" s="462">
        <v>7.3446247038386231E-2</v>
      </c>
      <c r="G1382" s="316">
        <v>0.23176835088178571</v>
      </c>
      <c r="H1382" s="317">
        <v>6.02337254101334E-3</v>
      </c>
      <c r="I1382" s="317">
        <v>5.8001311318653528</v>
      </c>
      <c r="J1382" s="317">
        <v>6.5376100607055676E-2</v>
      </c>
      <c r="K1382" s="317">
        <v>5.2899862204884837E-2</v>
      </c>
      <c r="L1382" s="318">
        <v>1.951707225999642E-4</v>
      </c>
      <c r="M1382" s="317">
        <v>2.9733788076819184E-3</v>
      </c>
      <c r="N1382" s="318">
        <v>2.0000005732018801E-3</v>
      </c>
      <c r="O1382" s="317">
        <v>3.2307168282470267E-2</v>
      </c>
      <c r="P1382" s="318">
        <v>1.8868709088962786E-2</v>
      </c>
      <c r="Q1382" s="319">
        <v>5.5291759234127887E-2</v>
      </c>
    </row>
    <row r="1383" spans="2:17" ht="15.75" x14ac:dyDescent="0.25">
      <c r="B1383" s="176">
        <v>2045</v>
      </c>
      <c r="C1383" s="177">
        <v>2007</v>
      </c>
      <c r="D1383" s="178" t="s">
        <v>4229</v>
      </c>
      <c r="E1383" s="461">
        <v>5.7065159405210203E-2</v>
      </c>
      <c r="F1383" s="462">
        <v>6.8753163408585671E-2</v>
      </c>
      <c r="G1383" s="316">
        <v>0.16522520639108537</v>
      </c>
      <c r="H1383" s="317">
        <v>8.5423885968642747E-3</v>
      </c>
      <c r="I1383" s="317">
        <v>2.9392238347212678</v>
      </c>
      <c r="J1383" s="317">
        <v>5.6915533291894409E-2</v>
      </c>
      <c r="K1383" s="317">
        <v>3.6545232494656944E-2</v>
      </c>
      <c r="L1383" s="318">
        <v>1.9833771547281124E-4</v>
      </c>
      <c r="M1383" s="317">
        <v>2.9473276364566019E-3</v>
      </c>
      <c r="N1383" s="318">
        <v>2.0000005732018801E-3</v>
      </c>
      <c r="O1383" s="317">
        <v>3.1864037859927627E-2</v>
      </c>
      <c r="P1383" s="318">
        <v>1.7389566288576006E-2</v>
      </c>
      <c r="Q1383" s="319">
        <v>3.8197645740997883E-2</v>
      </c>
    </row>
    <row r="1384" spans="2:17" ht="15.75" x14ac:dyDescent="0.25">
      <c r="B1384" s="176">
        <v>2045</v>
      </c>
      <c r="C1384" s="177">
        <v>2008</v>
      </c>
      <c r="D1384" s="178" t="s">
        <v>4230</v>
      </c>
      <c r="E1384" s="461">
        <v>5.7139246038626669E-2</v>
      </c>
      <c r="F1384" s="462">
        <v>6.7132858288727365E-2</v>
      </c>
      <c r="G1384" s="316">
        <v>0.16840395458490096</v>
      </c>
      <c r="H1384" s="317">
        <v>8.308469555931234E-3</v>
      </c>
      <c r="I1384" s="317">
        <v>2.9974131478046928</v>
      </c>
      <c r="J1384" s="317">
        <v>4.6358201109157053E-2</v>
      </c>
      <c r="K1384" s="317">
        <v>3.7201605350686687E-2</v>
      </c>
      <c r="L1384" s="318">
        <v>2.2640957443799934E-4</v>
      </c>
      <c r="M1384" s="317">
        <v>2.9674542282948804E-3</v>
      </c>
      <c r="N1384" s="318">
        <v>2.0000005732018797E-3</v>
      </c>
      <c r="O1384" s="317">
        <v>3.2206391187096742E-2</v>
      </c>
      <c r="P1384" s="318">
        <v>1.7397274978298433E-2</v>
      </c>
      <c r="Q1384" s="319">
        <v>3.8883696864965824E-2</v>
      </c>
    </row>
    <row r="1385" spans="2:17" ht="15.75" x14ac:dyDescent="0.25">
      <c r="B1385" s="176">
        <v>2045</v>
      </c>
      <c r="C1385" s="177">
        <v>2009</v>
      </c>
      <c r="D1385" s="178" t="s">
        <v>4231</v>
      </c>
      <c r="E1385" s="461">
        <v>5.6202136027727556E-2</v>
      </c>
      <c r="F1385" s="462">
        <v>6.1817681206747951E-2</v>
      </c>
      <c r="G1385" s="316">
        <v>0.15575327856524299</v>
      </c>
      <c r="H1385" s="317">
        <v>8.1665423647204281E-3</v>
      </c>
      <c r="I1385" s="317">
        <v>2.6752683254118335</v>
      </c>
      <c r="J1385" s="317">
        <v>3.4057886393742548E-2</v>
      </c>
      <c r="K1385" s="317">
        <v>3.4356518354278248E-2</v>
      </c>
      <c r="L1385" s="318">
        <v>2.5585874595690641E-4</v>
      </c>
      <c r="M1385" s="317">
        <v>2.8663816399243005E-3</v>
      </c>
      <c r="N1385" s="318">
        <v>2.0000005732018801E-3</v>
      </c>
      <c r="O1385" s="317">
        <v>3.0487146458913178E-2</v>
      </c>
      <c r="P1385" s="318">
        <v>1.6793733007997046E-2</v>
      </c>
      <c r="Q1385" s="319">
        <v>3.5909967659466434E-2</v>
      </c>
    </row>
    <row r="1386" spans="2:17" ht="15.75" x14ac:dyDescent="0.25">
      <c r="B1386" s="176">
        <v>2045</v>
      </c>
      <c r="C1386" s="177">
        <v>2010</v>
      </c>
      <c r="D1386" s="178" t="s">
        <v>4232</v>
      </c>
      <c r="E1386" s="461">
        <v>5.5153116323243781E-2</v>
      </c>
      <c r="F1386" s="462">
        <v>5.9907787751791092E-2</v>
      </c>
      <c r="G1386" s="316">
        <v>9.3858835829665643E-2</v>
      </c>
      <c r="H1386" s="317">
        <v>7.3324974659689894E-3</v>
      </c>
      <c r="I1386" s="317">
        <v>0.23680305914008937</v>
      </c>
      <c r="J1386" s="317">
        <v>3.3190384616103949E-2</v>
      </c>
      <c r="K1386" s="317">
        <v>2.0119101498073739E-2</v>
      </c>
      <c r="L1386" s="318">
        <v>3.1203401259719194E-4</v>
      </c>
      <c r="M1386" s="317">
        <v>2.7938604266591811E-3</v>
      </c>
      <c r="N1386" s="318">
        <v>2.0000005732018801E-3</v>
      </c>
      <c r="O1386" s="317">
        <v>2.9253560621273506E-2</v>
      </c>
      <c r="P1386" s="318">
        <v>1.6435253667386955E-2</v>
      </c>
      <c r="Q1386" s="319">
        <v>2.1028797990626007E-2</v>
      </c>
    </row>
    <row r="1387" spans="2:17" ht="15.75" x14ac:dyDescent="0.25">
      <c r="B1387" s="176">
        <v>2045</v>
      </c>
      <c r="C1387" s="177">
        <v>2011</v>
      </c>
      <c r="D1387" s="178" t="s">
        <v>4233</v>
      </c>
      <c r="E1387" s="461">
        <v>5.4974157569469016E-2</v>
      </c>
      <c r="F1387" s="462">
        <v>5.8664163578384186E-2</v>
      </c>
      <c r="G1387" s="316">
        <v>9.4590508997258904E-2</v>
      </c>
      <c r="H1387" s="317">
        <v>7.4372565410047945E-3</v>
      </c>
      <c r="I1387" s="317">
        <v>0.24009472993786632</v>
      </c>
      <c r="J1387" s="317">
        <v>3.3555657539125677E-2</v>
      </c>
      <c r="K1387" s="317">
        <v>2.0372124699295505E-2</v>
      </c>
      <c r="L1387" s="318">
        <v>4.2228874795066727E-4</v>
      </c>
      <c r="M1387" s="317">
        <v>2.8130672630999839E-3</v>
      </c>
      <c r="N1387" s="318">
        <v>2.0000005732018801E-3</v>
      </c>
      <c r="O1387" s="317">
        <v>2.9580268909131555E-2</v>
      </c>
      <c r="P1387" s="318">
        <v>1.6590388879044179E-2</v>
      </c>
      <c r="Q1387" s="319">
        <v>2.1293261778233225E-2</v>
      </c>
    </row>
    <row r="1388" spans="2:17" ht="15.75" x14ac:dyDescent="0.25">
      <c r="B1388" s="176">
        <v>2045</v>
      </c>
      <c r="C1388" s="177">
        <v>2012</v>
      </c>
      <c r="D1388" s="178" t="s">
        <v>4234</v>
      </c>
      <c r="E1388" s="461">
        <v>5.3214376071405271E-2</v>
      </c>
      <c r="F1388" s="462">
        <v>5.8771866077281493E-2</v>
      </c>
      <c r="G1388" s="316">
        <v>8.4965520287153762E-2</v>
      </c>
      <c r="H1388" s="317">
        <v>7.0150964121661686E-3</v>
      </c>
      <c r="I1388" s="317">
        <v>0.21364011423359314</v>
      </c>
      <c r="J1388" s="317">
        <v>3.4743042982929337E-2</v>
      </c>
      <c r="K1388" s="317">
        <v>1.8514072125953455E-2</v>
      </c>
      <c r="L1388" s="318">
        <v>6.1250148553271451E-4</v>
      </c>
      <c r="M1388" s="317">
        <v>2.7051699275013855E-3</v>
      </c>
      <c r="N1388" s="318">
        <v>2.0000005732018801E-3</v>
      </c>
      <c r="O1388" s="317">
        <v>2.7744935230599396E-2</v>
      </c>
      <c r="P1388" s="318">
        <v>1.7011126574171018E-2</v>
      </c>
      <c r="Q1388" s="319">
        <v>1.9351196312510741E-2</v>
      </c>
    </row>
    <row r="1389" spans="2:17" ht="15.75" x14ac:dyDescent="0.25">
      <c r="B1389" s="176">
        <v>2045</v>
      </c>
      <c r="C1389" s="177">
        <v>2013</v>
      </c>
      <c r="D1389" s="178" t="s">
        <v>4235</v>
      </c>
      <c r="E1389" s="461">
        <v>5.523006888145901E-2</v>
      </c>
      <c r="F1389" s="462">
        <v>5.7515336487978873E-2</v>
      </c>
      <c r="G1389" s="316">
        <v>9.9403699169334211E-2</v>
      </c>
      <c r="H1389" s="317">
        <v>7.9461585921130097E-3</v>
      </c>
      <c r="I1389" s="317">
        <v>0.25246778425859873</v>
      </c>
      <c r="J1389" s="317">
        <v>3.3779045854466297E-2</v>
      </c>
      <c r="K1389" s="317">
        <v>2.1221228387421659E-2</v>
      </c>
      <c r="L1389" s="318">
        <v>9.1448380494274029E-4</v>
      </c>
      <c r="M1389" s="317">
        <v>2.8593871889695224E-3</v>
      </c>
      <c r="N1389" s="318">
        <v>2.0000005732018801E-3</v>
      </c>
      <c r="O1389" s="317">
        <v>3.03681708481724E-2</v>
      </c>
      <c r="P1389" s="318">
        <v>1.7112470465224135E-2</v>
      </c>
      <c r="Q1389" s="319">
        <v>2.2180758167294593E-2</v>
      </c>
    </row>
    <row r="1390" spans="2:17" ht="15.75" x14ac:dyDescent="0.25">
      <c r="B1390" s="176">
        <v>2045</v>
      </c>
      <c r="C1390" s="177">
        <v>2014</v>
      </c>
      <c r="D1390" s="178" t="s">
        <v>4236</v>
      </c>
      <c r="E1390" s="461">
        <v>5.2719452757915168E-2</v>
      </c>
      <c r="F1390" s="462">
        <v>5.5204780880112422E-2</v>
      </c>
      <c r="G1390" s="316">
        <v>9.0816983594238745E-2</v>
      </c>
      <c r="H1390" s="317">
        <v>8.0659873530599478E-3</v>
      </c>
      <c r="I1390" s="317">
        <v>0.22969729723038432</v>
      </c>
      <c r="J1390" s="317">
        <v>3.2296511470603792E-2</v>
      </c>
      <c r="K1390" s="317">
        <v>1.9645722745233709E-2</v>
      </c>
      <c r="L1390" s="318">
        <v>1.2830608562654168E-3</v>
      </c>
      <c r="M1390" s="317">
        <v>2.7709805031082171E-3</v>
      </c>
      <c r="N1390" s="318">
        <v>2.0000005732018801E-3</v>
      </c>
      <c r="O1390" s="317">
        <v>2.8864373121671606E-2</v>
      </c>
      <c r="P1390" s="318">
        <v>1.6615838879437298E-2</v>
      </c>
      <c r="Q1390" s="319">
        <v>2.0534015151169639E-2</v>
      </c>
    </row>
    <row r="1391" spans="2:17" ht="15.75" x14ac:dyDescent="0.25">
      <c r="B1391" s="176">
        <v>2045</v>
      </c>
      <c r="C1391" s="177">
        <v>2015</v>
      </c>
      <c r="D1391" s="178" t="s">
        <v>4237</v>
      </c>
      <c r="E1391" s="461">
        <v>5.1751952262387775E-2</v>
      </c>
      <c r="F1391" s="462">
        <v>5.7987553089197334E-2</v>
      </c>
      <c r="G1391" s="316">
        <v>8.7712495102296034E-2</v>
      </c>
      <c r="H1391" s="317">
        <v>8.0647800429931166E-3</v>
      </c>
      <c r="I1391" s="317">
        <v>0.22307430461941691</v>
      </c>
      <c r="J1391" s="317">
        <v>3.4079764075982746E-2</v>
      </c>
      <c r="K1391" s="317">
        <v>1.9223241995969226E-2</v>
      </c>
      <c r="L1391" s="318">
        <v>1.5920801894647172E-3</v>
      </c>
      <c r="M1391" s="317">
        <v>2.7530998192198887E-3</v>
      </c>
      <c r="N1391" s="318">
        <v>2.0000005732018801E-3</v>
      </c>
      <c r="O1391" s="317">
        <v>2.8560222688731134E-2</v>
      </c>
      <c r="P1391" s="318">
        <v>1.7724549772073949E-2</v>
      </c>
      <c r="Q1391" s="319">
        <v>2.009243169715394E-2</v>
      </c>
    </row>
    <row r="1392" spans="2:17" ht="15.75" x14ac:dyDescent="0.25">
      <c r="B1392" s="176">
        <v>2045</v>
      </c>
      <c r="C1392" s="177">
        <v>2016</v>
      </c>
      <c r="D1392" s="178" t="s">
        <v>4238</v>
      </c>
      <c r="E1392" s="461">
        <v>5.200060958101977E-2</v>
      </c>
      <c r="F1392" s="462">
        <v>5.9921818933382366E-2</v>
      </c>
      <c r="G1392" s="316">
        <v>9.9399581120426753E-2</v>
      </c>
      <c r="H1392" s="317">
        <v>7.8299535201729973E-3</v>
      </c>
      <c r="I1392" s="317">
        <v>0.22437088060380847</v>
      </c>
      <c r="J1392" s="317">
        <v>3.4733437170943939E-2</v>
      </c>
      <c r="K1392" s="317">
        <v>2.1497746867453042E-2</v>
      </c>
      <c r="L1392" s="318">
        <v>1.8209731558739373E-3</v>
      </c>
      <c r="M1392" s="317">
        <v>2.8861525882872292E-3</v>
      </c>
      <c r="N1392" s="318">
        <v>2.0000005732018801E-3</v>
      </c>
      <c r="O1392" s="317">
        <v>3.0823450290566594E-2</v>
      </c>
      <c r="P1392" s="318">
        <v>1.8814756625141715E-2</v>
      </c>
      <c r="Q1392" s="319">
        <v>2.2469779585960432E-2</v>
      </c>
    </row>
    <row r="1393" spans="2:17" ht="15.75" x14ac:dyDescent="0.25">
      <c r="B1393" s="176">
        <v>2045</v>
      </c>
      <c r="C1393" s="177">
        <v>2017</v>
      </c>
      <c r="D1393" s="178" t="s">
        <v>4239</v>
      </c>
      <c r="E1393" s="461">
        <v>4.858431450099699E-2</v>
      </c>
      <c r="F1393" s="462">
        <v>5.3378205434557527E-2</v>
      </c>
      <c r="G1393" s="316">
        <v>7.9738601704704024E-2</v>
      </c>
      <c r="H1393" s="317">
        <v>7.8462257142659399E-3</v>
      </c>
      <c r="I1393" s="317">
        <v>0.16845447339632069</v>
      </c>
      <c r="J1393" s="317">
        <v>3.178633809093033E-2</v>
      </c>
      <c r="K1393" s="317">
        <v>1.973292121077494E-2</v>
      </c>
      <c r="L1393" s="318">
        <v>2.0089115088846392E-3</v>
      </c>
      <c r="M1393" s="317">
        <v>2.8447277904363089E-3</v>
      </c>
      <c r="N1393" s="318">
        <v>2.0000005732018801E-3</v>
      </c>
      <c r="O1393" s="317">
        <v>3.011881447912244E-2</v>
      </c>
      <c r="P1393" s="318">
        <v>1.7599219503646877E-2</v>
      </c>
      <c r="Q1393" s="319">
        <v>2.0625156344385207E-2</v>
      </c>
    </row>
    <row r="1394" spans="2:17" ht="15.75" x14ac:dyDescent="0.25">
      <c r="B1394" s="176">
        <v>2045</v>
      </c>
      <c r="C1394" s="177">
        <v>2018</v>
      </c>
      <c r="D1394" s="178" t="s">
        <v>4240</v>
      </c>
      <c r="E1394" s="461">
        <v>4.5379796739045949E-2</v>
      </c>
      <c r="F1394" s="462">
        <v>5.099463632770642E-2</v>
      </c>
      <c r="G1394" s="316">
        <v>7.9020223090538244E-2</v>
      </c>
      <c r="H1394" s="317">
        <v>7.4943834769594878E-3</v>
      </c>
      <c r="I1394" s="317">
        <v>0.13733237826530129</v>
      </c>
      <c r="J1394" s="317">
        <v>3.0355297986731221E-2</v>
      </c>
      <c r="K1394" s="317">
        <v>1.8307414819884869E-2</v>
      </c>
      <c r="L1394" s="318">
        <v>2.0927817362513777E-3</v>
      </c>
      <c r="M1394" s="317">
        <v>2.8339849921877841E-3</v>
      </c>
      <c r="N1394" s="318">
        <v>2.0000005732018801E-3</v>
      </c>
      <c r="O1394" s="317">
        <v>2.9936079480915041E-2</v>
      </c>
      <c r="P1394" s="318">
        <v>1.7588468250847106E-2</v>
      </c>
      <c r="Q1394" s="319">
        <v>1.9135194880089947E-2</v>
      </c>
    </row>
    <row r="1395" spans="2:17" ht="15.75" x14ac:dyDescent="0.25">
      <c r="B1395" s="176">
        <v>2045</v>
      </c>
      <c r="C1395" s="177">
        <v>2019</v>
      </c>
      <c r="D1395" s="178" t="s">
        <v>4241</v>
      </c>
      <c r="E1395" s="461">
        <v>4.5082375050807269E-2</v>
      </c>
      <c r="F1395" s="462">
        <v>4.9150143596242778E-2</v>
      </c>
      <c r="G1395" s="316">
        <v>7.8992280586803354E-2</v>
      </c>
      <c r="H1395" s="317">
        <v>6.7426073267916713E-3</v>
      </c>
      <c r="I1395" s="317">
        <v>0.11912135890789714</v>
      </c>
      <c r="J1395" s="317">
        <v>2.7587847912200654E-2</v>
      </c>
      <c r="K1395" s="317">
        <v>1.5857171003229972E-2</v>
      </c>
      <c r="L1395" s="318">
        <v>1.9890356002304059E-3</v>
      </c>
      <c r="M1395" s="317">
        <v>2.8330039486849307E-3</v>
      </c>
      <c r="N1395" s="318">
        <v>2.0000005732018801E-3</v>
      </c>
      <c r="O1395" s="317">
        <v>2.9919391930931506E-2</v>
      </c>
      <c r="P1395" s="318">
        <v>1.7589662283856479E-2</v>
      </c>
      <c r="Q1395" s="319">
        <v>1.6574161910841864E-2</v>
      </c>
    </row>
    <row r="1396" spans="2:17" ht="15.75" x14ac:dyDescent="0.25">
      <c r="B1396" s="176">
        <v>2045</v>
      </c>
      <c r="C1396" s="177">
        <v>2020</v>
      </c>
      <c r="D1396" s="178" t="s">
        <v>4242</v>
      </c>
      <c r="E1396" s="461">
        <v>4.4708169209368133E-2</v>
      </c>
      <c r="F1396" s="462">
        <v>4.717645941900863E-2</v>
      </c>
      <c r="G1396" s="316">
        <v>7.859947577446498E-2</v>
      </c>
      <c r="H1396" s="317">
        <v>5.8394463917450286E-3</v>
      </c>
      <c r="I1396" s="317">
        <v>0.10023359537046064</v>
      </c>
      <c r="J1396" s="317">
        <v>2.5414464346328658E-2</v>
      </c>
      <c r="K1396" s="317">
        <v>1.3334196537414422E-2</v>
      </c>
      <c r="L1396" s="318">
        <v>1.4746427360751101E-3</v>
      </c>
      <c r="M1396" s="317">
        <v>2.8269260025184126E-3</v>
      </c>
      <c r="N1396" s="318">
        <v>2.0000005732018801E-3</v>
      </c>
      <c r="O1396" s="317">
        <v>2.9816006066639023E-2</v>
      </c>
      <c r="P1396" s="318">
        <v>1.7554598319110985E-2</v>
      </c>
      <c r="Q1396" s="319">
        <v>1.3937109735215458E-2</v>
      </c>
    </row>
    <row r="1397" spans="2:17" ht="15.75" x14ac:dyDescent="0.25">
      <c r="B1397" s="176">
        <v>2045</v>
      </c>
      <c r="C1397" s="177">
        <v>2021</v>
      </c>
      <c r="D1397" s="178" t="s">
        <v>4243</v>
      </c>
      <c r="E1397" s="461">
        <v>4.3348188525802168E-2</v>
      </c>
      <c r="F1397" s="462">
        <v>4.4943830866211974E-2</v>
      </c>
      <c r="G1397" s="316">
        <v>7.6221460105369732E-2</v>
      </c>
      <c r="H1397" s="317">
        <v>5.1528258332586962E-3</v>
      </c>
      <c r="I1397" s="317">
        <v>7.7792779132639628E-2</v>
      </c>
      <c r="J1397" s="317">
        <v>2.4355772815696345E-2</v>
      </c>
      <c r="K1397" s="317">
        <v>9.9272853639501557E-3</v>
      </c>
      <c r="L1397" s="318">
        <v>9.7852449081123273E-4</v>
      </c>
      <c r="M1397" s="317">
        <v>2.8210399789762855E-3</v>
      </c>
      <c r="N1397" s="318">
        <v>2.0000005732018801E-3</v>
      </c>
      <c r="O1397" s="317">
        <v>2.9715884806187445E-2</v>
      </c>
      <c r="P1397" s="318">
        <v>1.7524649300760177E-2</v>
      </c>
      <c r="Q1397" s="319">
        <v>1.0376153156431582E-2</v>
      </c>
    </row>
    <row r="1398" spans="2:17" ht="15.75" x14ac:dyDescent="0.25">
      <c r="B1398" s="176">
        <v>2045</v>
      </c>
      <c r="C1398" s="177">
        <v>2022</v>
      </c>
      <c r="D1398" s="178" t="s">
        <v>4244</v>
      </c>
      <c r="E1398" s="461">
        <v>4.2084560998957334E-2</v>
      </c>
      <c r="F1398" s="462">
        <v>4.3216450856143736E-2</v>
      </c>
      <c r="G1398" s="316">
        <v>7.5604571876421778E-2</v>
      </c>
      <c r="H1398" s="317">
        <v>4.3573356698461728E-3</v>
      </c>
      <c r="I1398" s="317">
        <v>5.8964055272271276E-2</v>
      </c>
      <c r="J1398" s="317">
        <v>2.3242398873825523E-2</v>
      </c>
      <c r="K1398" s="317">
        <v>7.4287351115560523E-3</v>
      </c>
      <c r="L1398" s="318">
        <v>9.7630666952543479E-4</v>
      </c>
      <c r="M1398" s="317">
        <v>2.8138178649111949E-3</v>
      </c>
      <c r="N1398" s="318">
        <v>2.0000005732018801E-3</v>
      </c>
      <c r="O1398" s="317">
        <v>2.9593036645940252E-2</v>
      </c>
      <c r="P1398" s="318">
        <v>1.7493004266639415E-2</v>
      </c>
      <c r="Q1398" s="319">
        <v>7.7646295487767839E-3</v>
      </c>
    </row>
    <row r="1399" spans="2:17" ht="15.75" x14ac:dyDescent="0.25">
      <c r="B1399" s="176">
        <v>2045</v>
      </c>
      <c r="C1399" s="177">
        <v>2023</v>
      </c>
      <c r="D1399" s="178" t="s">
        <v>4245</v>
      </c>
      <c r="E1399" s="461">
        <v>4.0807830190725619E-2</v>
      </c>
      <c r="F1399" s="462">
        <v>4.1514047393322824E-2</v>
      </c>
      <c r="G1399" s="316">
        <v>7.4840283425246026E-2</v>
      </c>
      <c r="H1399" s="317">
        <v>3.8024323204018566E-3</v>
      </c>
      <c r="I1399" s="317">
        <v>5.8334937157019685E-2</v>
      </c>
      <c r="J1399" s="317">
        <v>2.3988012336599081E-2</v>
      </c>
      <c r="K1399" s="317">
        <v>7.3309073273744247E-3</v>
      </c>
      <c r="L1399" s="318">
        <v>9.7440305941515822E-4</v>
      </c>
      <c r="M1399" s="317">
        <v>2.8057103255564788E-3</v>
      </c>
      <c r="N1399" s="318">
        <v>2.0000005732018797E-3</v>
      </c>
      <c r="O1399" s="317">
        <v>2.9455127401516533E-2</v>
      </c>
      <c r="P1399" s="318">
        <v>1.7468011666704395E-2</v>
      </c>
      <c r="Q1399" s="319">
        <v>7.662378426298827E-3</v>
      </c>
    </row>
    <row r="1400" spans="2:17" ht="15.75" x14ac:dyDescent="0.25">
      <c r="B1400" s="176">
        <v>2045</v>
      </c>
      <c r="C1400" s="177">
        <v>2024</v>
      </c>
      <c r="D1400" s="178" t="s">
        <v>4246</v>
      </c>
      <c r="E1400" s="461">
        <v>3.9571049452195299E-2</v>
      </c>
      <c r="F1400" s="462">
        <v>3.9826816918586611E-2</v>
      </c>
      <c r="G1400" s="316">
        <v>7.4016325586389611E-2</v>
      </c>
      <c r="H1400" s="317">
        <v>3.3127041940960089E-3</v>
      </c>
      <c r="I1400" s="317">
        <v>5.7618316262823273E-2</v>
      </c>
      <c r="J1400" s="317">
        <v>2.5764268516861526E-2</v>
      </c>
      <c r="K1400" s="317">
        <v>7.2159568243278958E-3</v>
      </c>
      <c r="L1400" s="318">
        <v>9.7247696817766955E-4</v>
      </c>
      <c r="M1400" s="317">
        <v>2.7977836626853071E-3</v>
      </c>
      <c r="N1400" s="318">
        <v>2.0000005732018801E-3</v>
      </c>
      <c r="O1400" s="317">
        <v>2.9320294866077904E-2</v>
      </c>
      <c r="P1400" s="318">
        <v>1.7444071033974398E-2</v>
      </c>
      <c r="Q1400" s="319">
        <v>7.5422303715898271E-3</v>
      </c>
    </row>
    <row r="1401" spans="2:17" ht="15.75" x14ac:dyDescent="0.25">
      <c r="B1401" s="176">
        <v>2045</v>
      </c>
      <c r="C1401" s="177">
        <v>2025</v>
      </c>
      <c r="D1401" s="178" t="s">
        <v>4247</v>
      </c>
      <c r="E1401" s="461">
        <v>3.8350681499307829E-2</v>
      </c>
      <c r="F1401" s="462">
        <v>3.8182197725486325E-2</v>
      </c>
      <c r="G1401" s="316">
        <v>7.3214321353647846E-2</v>
      </c>
      <c r="H1401" s="317">
        <v>3.0336299053545217E-3</v>
      </c>
      <c r="I1401" s="317">
        <v>5.6870472468402815E-2</v>
      </c>
      <c r="J1401" s="317">
        <v>2.8441581898399761E-2</v>
      </c>
      <c r="K1401" s="317">
        <v>7.0917095704980532E-3</v>
      </c>
      <c r="L1401" s="318">
        <v>9.7111900750126165E-4</v>
      </c>
      <c r="M1401" s="317">
        <v>2.7909883991640086E-3</v>
      </c>
      <c r="N1401" s="318">
        <v>2.0000005732018801E-3</v>
      </c>
      <c r="O1401" s="317">
        <v>2.9204707433580623E-2</v>
      </c>
      <c r="P1401" s="318">
        <v>1.7431760190838311E-2</v>
      </c>
      <c r="Q1401" s="319">
        <v>7.4123652082808307E-3</v>
      </c>
    </row>
    <row r="1402" spans="2:17" ht="15.75" x14ac:dyDescent="0.25">
      <c r="B1402" s="176">
        <v>2045</v>
      </c>
      <c r="C1402" s="177">
        <v>2026</v>
      </c>
      <c r="D1402" s="178" t="s">
        <v>4248</v>
      </c>
      <c r="E1402" s="461">
        <v>3.741990469901494E-2</v>
      </c>
      <c r="F1402" s="462">
        <v>3.7826490658394267E-2</v>
      </c>
      <c r="G1402" s="316">
        <v>7.231757758889211E-2</v>
      </c>
      <c r="H1402" s="317">
        <v>3.0168162068498166E-3</v>
      </c>
      <c r="I1402" s="317">
        <v>5.6012906939463009E-2</v>
      </c>
      <c r="J1402" s="317">
        <v>2.8036828946134108E-2</v>
      </c>
      <c r="K1402" s="317">
        <v>6.947569667070194E-3</v>
      </c>
      <c r="L1402" s="318">
        <v>8.5002249283607986E-4</v>
      </c>
      <c r="M1402" s="317">
        <v>2.7839106509412034E-3</v>
      </c>
      <c r="N1402" s="318">
        <v>2.0000005732018801E-3</v>
      </c>
      <c r="O1402" s="317">
        <v>2.9084314936310696E-2</v>
      </c>
      <c r="P1402" s="318">
        <v>1.7400758588344476E-2</v>
      </c>
      <c r="Q1402" s="319">
        <v>7.2617079380313063E-3</v>
      </c>
    </row>
    <row r="1403" spans="2:17" ht="15.75" x14ac:dyDescent="0.25">
      <c r="B1403" s="176">
        <v>2045</v>
      </c>
      <c r="C1403" s="177">
        <v>2027</v>
      </c>
      <c r="D1403" s="178" t="s">
        <v>4249</v>
      </c>
      <c r="E1403" s="461">
        <v>3.655233238699928E-2</v>
      </c>
      <c r="F1403" s="462">
        <v>3.7512569149361324E-2</v>
      </c>
      <c r="G1403" s="316">
        <v>7.1419659773662714E-2</v>
      </c>
      <c r="H1403" s="317">
        <v>2.9967232763877293E-3</v>
      </c>
      <c r="I1403" s="317">
        <v>5.5109494936342852E-2</v>
      </c>
      <c r="J1403" s="317">
        <v>2.7452047614319401E-2</v>
      </c>
      <c r="K1403" s="317">
        <v>6.792275548355751E-3</v>
      </c>
      <c r="L1403" s="318">
        <v>7.0934655114747404E-4</v>
      </c>
      <c r="M1403" s="317">
        <v>2.7776367287194784E-3</v>
      </c>
      <c r="N1403" s="318">
        <v>2.0000005732018801E-3</v>
      </c>
      <c r="O1403" s="317">
        <v>2.8977595519319159E-2</v>
      </c>
      <c r="P1403" s="318">
        <v>1.7377351608634874E-2</v>
      </c>
      <c r="Q1403" s="319">
        <v>7.0993921083760438E-3</v>
      </c>
    </row>
    <row r="1404" spans="2:17" ht="15.75" x14ac:dyDescent="0.25">
      <c r="B1404" s="176">
        <v>2045</v>
      </c>
      <c r="C1404" s="177">
        <v>2028</v>
      </c>
      <c r="D1404" s="178" t="s">
        <v>4250</v>
      </c>
      <c r="E1404" s="461">
        <v>3.6412142283743627E-2</v>
      </c>
      <c r="F1404" s="462">
        <v>3.73515922466457E-2</v>
      </c>
      <c r="G1404" s="316">
        <v>7.0150018339036113E-2</v>
      </c>
      <c r="H1404" s="317">
        <v>2.9734872283317822E-3</v>
      </c>
      <c r="I1404" s="317">
        <v>5.3912924631960596E-2</v>
      </c>
      <c r="J1404" s="317">
        <v>2.6853386839480624E-2</v>
      </c>
      <c r="K1404" s="317">
        <v>6.5928108418731148E-3</v>
      </c>
      <c r="L1404" s="318">
        <v>5.8716414884773551E-4</v>
      </c>
      <c r="M1404" s="317">
        <v>2.7676485521318192E-3</v>
      </c>
      <c r="N1404" s="318">
        <v>2.0000005732018801E-3</v>
      </c>
      <c r="O1404" s="317">
        <v>2.8807696635563072E-2</v>
      </c>
      <c r="P1404" s="318">
        <v>1.7336451701352847E-2</v>
      </c>
      <c r="Q1404" s="319">
        <v>6.8909084929777873E-3</v>
      </c>
    </row>
    <row r="1405" spans="2:17" ht="15.75" x14ac:dyDescent="0.25">
      <c r="B1405" s="176">
        <v>2045</v>
      </c>
      <c r="C1405" s="177">
        <v>2029</v>
      </c>
      <c r="D1405" s="178" t="s">
        <v>4251</v>
      </c>
      <c r="E1405" s="461">
        <v>3.6299061727900449E-2</v>
      </c>
      <c r="F1405" s="462">
        <v>3.7215998949065819E-2</v>
      </c>
      <c r="G1405" s="316">
        <v>6.8982322118379444E-2</v>
      </c>
      <c r="H1405" s="317">
        <v>2.9473474672294599E-3</v>
      </c>
      <c r="I1405" s="317">
        <v>5.2743037557375687E-2</v>
      </c>
      <c r="J1405" s="317">
        <v>2.6189567674573651E-2</v>
      </c>
      <c r="K1405" s="317">
        <v>6.3926453714208764E-3</v>
      </c>
      <c r="L1405" s="318">
        <v>5.8467284232650331E-4</v>
      </c>
      <c r="M1405" s="317">
        <v>2.7597211422709413E-3</v>
      </c>
      <c r="N1405" s="318">
        <v>2.0000005732018801E-3</v>
      </c>
      <c r="O1405" s="317">
        <v>2.8672851393829538E-2</v>
      </c>
      <c r="P1405" s="318">
        <v>1.7303638087556625E-2</v>
      </c>
      <c r="Q1405" s="319">
        <v>6.6816924281728127E-3</v>
      </c>
    </row>
    <row r="1406" spans="2:17" ht="15.75" x14ac:dyDescent="0.25">
      <c r="B1406" s="176">
        <v>2045</v>
      </c>
      <c r="C1406" s="177">
        <v>2030</v>
      </c>
      <c r="D1406" s="178" t="s">
        <v>4252</v>
      </c>
      <c r="E1406" s="461">
        <v>3.6194212276356719E-2</v>
      </c>
      <c r="F1406" s="462">
        <v>3.7119803080876534E-2</v>
      </c>
      <c r="G1406" s="316">
        <v>6.77982776488779E-2</v>
      </c>
      <c r="H1406" s="317">
        <v>2.9197647818220746E-3</v>
      </c>
      <c r="I1406" s="317">
        <v>5.1520414356456434E-2</v>
      </c>
      <c r="J1406" s="317">
        <v>2.538710706583882E-2</v>
      </c>
      <c r="K1406" s="317">
        <v>6.1810304731513832E-3</v>
      </c>
      <c r="L1406" s="318">
        <v>5.8308740967990126E-4</v>
      </c>
      <c r="M1406" s="317">
        <v>2.7523740659705889E-3</v>
      </c>
      <c r="N1406" s="318">
        <v>2.0000005732018801E-3</v>
      </c>
      <c r="O1406" s="317">
        <v>2.8547877625960543E-2</v>
      </c>
      <c r="P1406" s="318">
        <v>1.7282813174853778E-2</v>
      </c>
      <c r="Q1406" s="319">
        <v>6.4605092432307859E-3</v>
      </c>
    </row>
    <row r="1407" spans="2:17" ht="15.75" x14ac:dyDescent="0.25">
      <c r="B1407" s="176">
        <v>2045</v>
      </c>
      <c r="C1407" s="177">
        <v>2031</v>
      </c>
      <c r="D1407" s="178" t="s">
        <v>4253</v>
      </c>
      <c r="E1407" s="461">
        <v>3.6115886496753166E-2</v>
      </c>
      <c r="F1407" s="462">
        <v>3.7013272370774189E-2</v>
      </c>
      <c r="G1407" s="316">
        <v>6.6708382976220809E-2</v>
      </c>
      <c r="H1407" s="317">
        <v>2.8896206965521951E-3</v>
      </c>
      <c r="I1407" s="317">
        <v>5.0318083772579861E-2</v>
      </c>
      <c r="J1407" s="317">
        <v>2.4658225517660507E-2</v>
      </c>
      <c r="K1407" s="317">
        <v>5.9675197314782141E-3</v>
      </c>
      <c r="L1407" s="318">
        <v>5.8131177160310437E-4</v>
      </c>
      <c r="M1407" s="317">
        <v>2.7470092007633945E-3</v>
      </c>
      <c r="N1407" s="318">
        <v>2.0000005732018801E-3</v>
      </c>
      <c r="O1407" s="317">
        <v>2.8456621268786172E-2</v>
      </c>
      <c r="P1407" s="318">
        <v>1.7258764348364892E-2</v>
      </c>
      <c r="Q1407" s="319">
        <v>6.2373444932590392E-3</v>
      </c>
    </row>
    <row r="1408" spans="2:17" ht="15.75" x14ac:dyDescent="0.25">
      <c r="B1408" s="176">
        <v>2045</v>
      </c>
      <c r="C1408" s="177">
        <v>2032</v>
      </c>
      <c r="D1408" s="178" t="s">
        <v>4254</v>
      </c>
      <c r="E1408" s="461">
        <v>3.6026516018542815E-2</v>
      </c>
      <c r="F1408" s="462">
        <v>3.6929536216794435E-2</v>
      </c>
      <c r="G1408" s="316">
        <v>6.5486662384902486E-2</v>
      </c>
      <c r="H1408" s="317">
        <v>2.8586619599850534E-3</v>
      </c>
      <c r="I1408" s="317">
        <v>4.8987362486003064E-2</v>
      </c>
      <c r="J1408" s="317">
        <v>2.3825418996007666E-2</v>
      </c>
      <c r="K1408" s="317">
        <v>5.7327364602016029E-3</v>
      </c>
      <c r="L1408" s="318">
        <v>5.8000675804961883E-4</v>
      </c>
      <c r="M1408" s="317">
        <v>2.7407876219427722E-3</v>
      </c>
      <c r="N1408" s="318">
        <v>2.0000005732018801E-3</v>
      </c>
      <c r="O1408" s="317">
        <v>2.8350792213047375E-2</v>
      </c>
      <c r="P1408" s="318">
        <v>1.7242131822272161E-2</v>
      </c>
      <c r="Q1408" s="319">
        <v>5.991945364290643E-3</v>
      </c>
    </row>
    <row r="1409" spans="2:17" ht="15.75" x14ac:dyDescent="0.25">
      <c r="B1409" s="176">
        <v>2045</v>
      </c>
      <c r="C1409" s="177">
        <v>2033</v>
      </c>
      <c r="D1409" s="178" t="s">
        <v>4255</v>
      </c>
      <c r="E1409" s="461">
        <v>3.5964444801610249E-2</v>
      </c>
      <c r="F1409" s="462">
        <v>3.6852854176578999E-2</v>
      </c>
      <c r="G1409" s="316">
        <v>6.4363399648687966E-2</v>
      </c>
      <c r="H1409" s="317">
        <v>2.8255316114050937E-3</v>
      </c>
      <c r="I1409" s="317">
        <v>4.7677972035860341E-2</v>
      </c>
      <c r="J1409" s="317">
        <v>2.2948330668855901E-2</v>
      </c>
      <c r="K1409" s="317">
        <v>5.495917604561933E-3</v>
      </c>
      <c r="L1409" s="318">
        <v>5.788653439503539E-4</v>
      </c>
      <c r="M1409" s="317">
        <v>2.7366287092688967E-3</v>
      </c>
      <c r="N1409" s="318">
        <v>2.0000005732018801E-3</v>
      </c>
      <c r="O1409" s="317">
        <v>2.828004910846476E-2</v>
      </c>
      <c r="P1409" s="318">
        <v>1.7227495628964438E-2</v>
      </c>
      <c r="Q1409" s="319">
        <v>5.7444186108670473E-3</v>
      </c>
    </row>
    <row r="1410" spans="2:17" ht="15.75" x14ac:dyDescent="0.25">
      <c r="B1410" s="176">
        <v>2045</v>
      </c>
      <c r="C1410" s="177">
        <v>2034</v>
      </c>
      <c r="D1410" s="178" t="s">
        <v>4256</v>
      </c>
      <c r="E1410" s="461">
        <v>3.5892466350869436E-2</v>
      </c>
      <c r="F1410" s="462">
        <v>3.6779323905852472E-2</v>
      </c>
      <c r="G1410" s="316">
        <v>6.3116795400436645E-2</v>
      </c>
      <c r="H1410" s="317">
        <v>2.7904160522979967E-3</v>
      </c>
      <c r="I1410" s="317">
        <v>4.6246739595747544E-2</v>
      </c>
      <c r="J1410" s="317">
        <v>2.2070742696613715E-2</v>
      </c>
      <c r="K1410" s="317">
        <v>5.2388544232450625E-3</v>
      </c>
      <c r="L1410" s="318">
        <v>5.7777963271129682E-4</v>
      </c>
      <c r="M1410" s="317">
        <v>2.7317039023634156E-3</v>
      </c>
      <c r="N1410" s="318">
        <v>2.0000005732018801E-3</v>
      </c>
      <c r="O1410" s="317">
        <v>2.8196278143002532E-2</v>
      </c>
      <c r="P1410" s="318">
        <v>1.7214014048120379E-2</v>
      </c>
      <c r="Q1410" s="319">
        <v>5.4757321731920047E-3</v>
      </c>
    </row>
    <row r="1411" spans="2:17" ht="15.75" x14ac:dyDescent="0.25">
      <c r="B1411" s="176">
        <v>2045</v>
      </c>
      <c r="C1411" s="177">
        <v>2035</v>
      </c>
      <c r="D1411" s="178" t="s">
        <v>4257</v>
      </c>
      <c r="E1411" s="461">
        <v>3.5845331426955528E-2</v>
      </c>
      <c r="F1411" s="462">
        <v>3.6688768883337233E-2</v>
      </c>
      <c r="G1411" s="316">
        <v>6.1952054951185449E-2</v>
      </c>
      <c r="H1411" s="317">
        <v>2.7528174234696858E-3</v>
      </c>
      <c r="I1411" s="317">
        <v>4.4823301607371087E-2</v>
      </c>
      <c r="J1411" s="317">
        <v>2.1155355408600768E-2</v>
      </c>
      <c r="K1411" s="317">
        <v>4.9775268449624216E-3</v>
      </c>
      <c r="L1411" s="318">
        <v>5.7634523726014136E-4</v>
      </c>
      <c r="M1411" s="317">
        <v>2.728653902520342E-3</v>
      </c>
      <c r="N1411" s="318">
        <v>2.0000005732018801E-3</v>
      </c>
      <c r="O1411" s="317">
        <v>2.8144397645671854E-2</v>
      </c>
      <c r="P1411" s="318">
        <v>1.7194838820043752E-2</v>
      </c>
      <c r="Q1411" s="319">
        <v>5.2025885214433765E-3</v>
      </c>
    </row>
    <row r="1412" spans="2:17" ht="15.75" x14ac:dyDescent="0.25">
      <c r="B1412" s="176">
        <v>2045</v>
      </c>
      <c r="C1412" s="177">
        <v>2036</v>
      </c>
      <c r="D1412" s="178" t="s">
        <v>4258</v>
      </c>
      <c r="E1412" s="461">
        <v>3.5778992692742297E-2</v>
      </c>
      <c r="F1412" s="462">
        <v>3.6621492715679105E-2</v>
      </c>
      <c r="G1412" s="316">
        <v>6.0608105161927772E-2</v>
      </c>
      <c r="H1412" s="317">
        <v>2.7134936329027211E-3</v>
      </c>
      <c r="I1412" s="317">
        <v>4.3245181973062333E-2</v>
      </c>
      <c r="J1412" s="317">
        <v>2.0283173835529272E-2</v>
      </c>
      <c r="K1412" s="317">
        <v>4.6922857612583533E-3</v>
      </c>
      <c r="L1412" s="318">
        <v>5.7545015723340406E-4</v>
      </c>
      <c r="M1412" s="317">
        <v>2.7241028369596305E-3</v>
      </c>
      <c r="N1412" s="318">
        <v>2.0000005732018801E-3</v>
      </c>
      <c r="O1412" s="317">
        <v>2.8066984020484142E-2</v>
      </c>
      <c r="P1412" s="318">
        <v>1.7182769640324742E-2</v>
      </c>
      <c r="Q1412" s="319">
        <v>4.9044501016727712E-3</v>
      </c>
    </row>
    <row r="1413" spans="2:17" ht="15.75" x14ac:dyDescent="0.25">
      <c r="B1413" s="176">
        <v>2045</v>
      </c>
      <c r="C1413" s="177">
        <v>2037</v>
      </c>
      <c r="D1413" s="178" t="s">
        <v>4259</v>
      </c>
      <c r="E1413" s="461">
        <v>3.5746721446564426E-2</v>
      </c>
      <c r="F1413" s="462">
        <v>3.6589765799685398E-2</v>
      </c>
      <c r="G1413" s="316">
        <v>5.9401032578401965E-2</v>
      </c>
      <c r="H1413" s="317">
        <v>2.670694412929402E-3</v>
      </c>
      <c r="I1413" s="317">
        <v>4.1705490921188568E-2</v>
      </c>
      <c r="J1413" s="317">
        <v>1.9370398175772317E-2</v>
      </c>
      <c r="K1413" s="317">
        <v>4.4058582293197051E-3</v>
      </c>
      <c r="L1413" s="318">
        <v>5.7523826526218575E-4</v>
      </c>
      <c r="M1413" s="317">
        <v>2.7222282574711383E-3</v>
      </c>
      <c r="N1413" s="318">
        <v>2.0000005732018801E-3</v>
      </c>
      <c r="O1413" s="317">
        <v>2.8035097423384902E-2</v>
      </c>
      <c r="P1413" s="318">
        <v>1.7182121525982634E-2</v>
      </c>
      <c r="Q1413" s="319">
        <v>4.605071587743201E-3</v>
      </c>
    </row>
    <row r="1414" spans="2:17" ht="15.75" x14ac:dyDescent="0.25">
      <c r="B1414" s="176">
        <v>2045</v>
      </c>
      <c r="C1414" s="177">
        <v>2038</v>
      </c>
      <c r="D1414" s="178" t="s">
        <v>4260</v>
      </c>
      <c r="E1414" s="461">
        <v>3.5695951147678727E-2</v>
      </c>
      <c r="F1414" s="462">
        <v>3.6549036263018295E-2</v>
      </c>
      <c r="G1414" s="316">
        <v>5.8022195247624975E-2</v>
      </c>
      <c r="H1414" s="317">
        <v>2.6226107397373929E-3</v>
      </c>
      <c r="I1414" s="317">
        <v>4.001666561958532E-2</v>
      </c>
      <c r="J1414" s="317">
        <v>1.844855485210917E-2</v>
      </c>
      <c r="K1414" s="317">
        <v>4.0964311365222876E-3</v>
      </c>
      <c r="L1414" s="318">
        <v>5.7471389367415402E-4</v>
      </c>
      <c r="M1414" s="317">
        <v>2.7189119839526998E-3</v>
      </c>
      <c r="N1414" s="318">
        <v>2.0000005732018801E-3</v>
      </c>
      <c r="O1414" s="317">
        <v>2.7978687610836248E-2</v>
      </c>
      <c r="P1414" s="318">
        <v>1.7176420649624363E-2</v>
      </c>
      <c r="Q1414" s="319">
        <v>4.2816535748718722E-3</v>
      </c>
    </row>
    <row r="1415" spans="2:17" ht="15.75" x14ac:dyDescent="0.25">
      <c r="B1415" s="176">
        <v>2045</v>
      </c>
      <c r="C1415" s="177">
        <v>2039</v>
      </c>
      <c r="D1415" s="178" t="s">
        <v>4261</v>
      </c>
      <c r="E1415" s="461">
        <v>3.5654846753077028E-2</v>
      </c>
      <c r="F1415" s="462">
        <v>3.6495111248513241E-2</v>
      </c>
      <c r="G1415" s="316">
        <v>5.6632655800040607E-2</v>
      </c>
      <c r="H1415" s="317">
        <v>2.567407268540562E-3</v>
      </c>
      <c r="I1415" s="317">
        <v>3.8275879921959924E-2</v>
      </c>
      <c r="J1415" s="317">
        <v>1.7478256292015625E-2</v>
      </c>
      <c r="K1415" s="317">
        <v>3.7750609567529817E-3</v>
      </c>
      <c r="L1415" s="318">
        <v>5.7394841841982712E-4</v>
      </c>
      <c r="M1415" s="317">
        <v>2.7163181048795904E-3</v>
      </c>
      <c r="N1415" s="318">
        <v>2.0000005732018801E-3</v>
      </c>
      <c r="O1415" s="317">
        <v>2.7934565727802656E-2</v>
      </c>
      <c r="P1415" s="318">
        <v>1.7166181718949503E-2</v>
      </c>
      <c r="Q1415" s="319">
        <v>3.9457524616324548E-3</v>
      </c>
    </row>
    <row r="1416" spans="2:17" ht="15.75" x14ac:dyDescent="0.25">
      <c r="B1416" s="176">
        <v>2045</v>
      </c>
      <c r="C1416" s="177">
        <v>2040</v>
      </c>
      <c r="D1416" s="178" t="s">
        <v>4262</v>
      </c>
      <c r="E1416" s="461">
        <v>3.5596619922815993E-2</v>
      </c>
      <c r="F1416" s="462">
        <v>3.6411887798679536E-2</v>
      </c>
      <c r="G1416" s="316">
        <v>5.5085534750098232E-2</v>
      </c>
      <c r="H1416" s="317">
        <v>2.5064351880841143E-3</v>
      </c>
      <c r="I1416" s="317">
        <v>3.6398987197203546E-2</v>
      </c>
      <c r="J1416" s="317">
        <v>1.6527825899287689E-2</v>
      </c>
      <c r="K1416" s="317">
        <v>3.4330837876534182E-3</v>
      </c>
      <c r="L1416" s="318">
        <v>5.7266584892291914E-4</v>
      </c>
      <c r="M1416" s="317">
        <v>2.71238710645703E-3</v>
      </c>
      <c r="N1416" s="318">
        <v>2.0000005732018805E-3</v>
      </c>
      <c r="O1416" s="317">
        <v>2.7867699444634911E-2</v>
      </c>
      <c r="P1416" s="318">
        <v>1.7145710785256608E-2</v>
      </c>
      <c r="Q1416" s="319">
        <v>3.5883126024474224E-3</v>
      </c>
    </row>
    <row r="1417" spans="2:17" ht="15.75" x14ac:dyDescent="0.25">
      <c r="B1417" s="176">
        <v>2045</v>
      </c>
      <c r="C1417" s="177">
        <v>2041</v>
      </c>
      <c r="D1417" s="178" t="s">
        <v>4263</v>
      </c>
      <c r="E1417" s="461">
        <v>3.5578648503487909E-2</v>
      </c>
      <c r="F1417" s="462">
        <v>3.6402860092245769E-2</v>
      </c>
      <c r="G1417" s="316">
        <v>5.3691824669489789E-2</v>
      </c>
      <c r="H1417" s="317">
        <v>2.4527379915956263E-3</v>
      </c>
      <c r="I1417" s="317">
        <v>3.4560049609984052E-2</v>
      </c>
      <c r="J1417" s="317">
        <v>2.4993818579399842E-2</v>
      </c>
      <c r="K1417" s="317">
        <v>3.08764277641152E-3</v>
      </c>
      <c r="L1417" s="318">
        <v>5.7287390806167707E-4</v>
      </c>
      <c r="M1417" s="317">
        <v>2.711542496233085E-3</v>
      </c>
      <c r="N1417" s="318">
        <v>2.0000005732018801E-3</v>
      </c>
      <c r="O1417" s="317">
        <v>2.7853332624725613E-2</v>
      </c>
      <c r="P1417" s="318">
        <v>1.7149611626918221E-2</v>
      </c>
      <c r="Q1417" s="319">
        <v>3.2272522815489529E-3</v>
      </c>
    </row>
    <row r="1418" spans="2:17" ht="15.75" x14ac:dyDescent="0.25">
      <c r="B1418" s="176">
        <v>2045</v>
      </c>
      <c r="C1418" s="177">
        <v>2042</v>
      </c>
      <c r="D1418" s="178" t="s">
        <v>4264</v>
      </c>
      <c r="E1418" s="461">
        <v>3.5570624686145573E-2</v>
      </c>
      <c r="F1418" s="462">
        <v>3.6386349226305348E-2</v>
      </c>
      <c r="G1418" s="316">
        <v>5.2277939407049806E-2</v>
      </c>
      <c r="H1418" s="317">
        <v>2.4299818658480052E-3</v>
      </c>
      <c r="I1418" s="317">
        <v>3.2657810117234773E-2</v>
      </c>
      <c r="J1418" s="317">
        <v>3.8993399537397985E-2</v>
      </c>
      <c r="K1418" s="317">
        <v>2.7277214986546274E-3</v>
      </c>
      <c r="L1418" s="318">
        <v>5.7307882625529842E-4</v>
      </c>
      <c r="M1418" s="317">
        <v>2.7114094738512015E-3</v>
      </c>
      <c r="N1418" s="318">
        <v>2.0000005732018805E-3</v>
      </c>
      <c r="O1418" s="317">
        <v>2.7851069914009756E-2</v>
      </c>
      <c r="P1418" s="318">
        <v>1.7149687874872751E-2</v>
      </c>
      <c r="Q1418" s="319">
        <v>2.8510569607389045E-3</v>
      </c>
    </row>
    <row r="1419" spans="2:17" ht="15.75" x14ac:dyDescent="0.25">
      <c r="B1419" s="176">
        <v>2045</v>
      </c>
      <c r="C1419" s="177">
        <v>2043</v>
      </c>
      <c r="D1419" s="178" t="s">
        <v>4265</v>
      </c>
      <c r="E1419" s="461">
        <v>3.5534458582678501E-2</v>
      </c>
      <c r="F1419" s="462">
        <v>3.6339932007297328E-2</v>
      </c>
      <c r="G1419" s="316">
        <v>5.0646262783589406E-2</v>
      </c>
      <c r="H1419" s="317">
        <v>2.4540563073062066E-3</v>
      </c>
      <c r="I1419" s="317">
        <v>3.0589324010508418E-2</v>
      </c>
      <c r="J1419" s="317">
        <v>5.7681064907215758E-2</v>
      </c>
      <c r="K1419" s="317">
        <v>2.3448625382537485E-3</v>
      </c>
      <c r="L1419" s="318">
        <v>5.7288808550513045E-4</v>
      </c>
      <c r="M1419" s="317">
        <v>2.709024299549711E-3</v>
      </c>
      <c r="N1419" s="318">
        <v>2.0000005732018801E-3</v>
      </c>
      <c r="O1419" s="317">
        <v>2.7810498099141413E-2</v>
      </c>
      <c r="P1419" s="318">
        <v>1.7138226814665362E-2</v>
      </c>
      <c r="Q1419" s="319">
        <v>2.4508868170601745E-3</v>
      </c>
    </row>
    <row r="1420" spans="2:17" ht="15.75" x14ac:dyDescent="0.25">
      <c r="B1420" s="176">
        <v>2045</v>
      </c>
      <c r="C1420" s="177">
        <v>2044</v>
      </c>
      <c r="D1420" s="178" t="s">
        <v>4266</v>
      </c>
      <c r="E1420" s="461">
        <v>3.5508249708500465E-2</v>
      </c>
      <c r="F1420" s="462">
        <v>3.6265376576265232E-2</v>
      </c>
      <c r="G1420" s="316">
        <v>4.9014645512887089E-2</v>
      </c>
      <c r="H1420" s="317">
        <v>2.3912291393961655E-3</v>
      </c>
      <c r="I1420" s="317">
        <v>2.8468609167948293E-2</v>
      </c>
      <c r="J1420" s="317">
        <v>1.1304168438891931E-2</v>
      </c>
      <c r="K1420" s="317">
        <v>1.9489230771300387E-3</v>
      </c>
      <c r="L1420" s="318">
        <v>5.7179128829275944E-4</v>
      </c>
      <c r="M1420" s="317">
        <v>2.7076506995938657E-3</v>
      </c>
      <c r="N1420" s="318">
        <v>2.0000005732018801E-3</v>
      </c>
      <c r="O1420" s="317">
        <v>2.7787133163892488E-2</v>
      </c>
      <c r="P1420" s="318">
        <v>1.7121809712886245E-2</v>
      </c>
      <c r="Q1420" s="319">
        <v>2.0370447304597895E-3</v>
      </c>
    </row>
    <row r="1421" spans="2:17" ht="15.75" x14ac:dyDescent="0.25">
      <c r="B1421" s="176">
        <v>2045</v>
      </c>
      <c r="C1421" s="177">
        <v>2045</v>
      </c>
      <c r="D1421" s="178" t="s">
        <v>4267</v>
      </c>
      <c r="E1421" s="461">
        <v>3.513821984433909E-2</v>
      </c>
      <c r="F1421" s="462">
        <v>3.558832238924528E-2</v>
      </c>
      <c r="G1421" s="316">
        <v>4.5628799555492594E-2</v>
      </c>
      <c r="H1421" s="317">
        <v>2.2824219286786294E-3</v>
      </c>
      <c r="I1421" s="317">
        <v>2.5484049807400332E-2</v>
      </c>
      <c r="J1421" s="317">
        <v>1.2734680754842968E-2</v>
      </c>
      <c r="K1421" s="317">
        <v>1.49591176048577E-3</v>
      </c>
      <c r="L1421" s="318">
        <v>5.5957245626892622E-4</v>
      </c>
      <c r="M1421" s="317">
        <v>2.6793277601653712E-3</v>
      </c>
      <c r="N1421" s="318">
        <v>2.0000005732018801E-3</v>
      </c>
      <c r="O1421" s="317">
        <v>2.73053599642138E-2</v>
      </c>
      <c r="P1421" s="318">
        <v>1.6899480239277318E-2</v>
      </c>
      <c r="Q1421" s="319">
        <v>1.5635502522848099E-3</v>
      </c>
    </row>
    <row r="1422" spans="2:17" ht="15.75" x14ac:dyDescent="0.25">
      <c r="B1422" s="176">
        <v>2046</v>
      </c>
      <c r="C1422" s="177">
        <v>2002</v>
      </c>
      <c r="D1422" s="178" t="s">
        <v>4268</v>
      </c>
      <c r="E1422" s="461">
        <v>5.7975565281686153E-2</v>
      </c>
      <c r="F1422" s="462">
        <v>7.2912561724759087E-2</v>
      </c>
      <c r="G1422" s="316">
        <v>0.28720166014903431</v>
      </c>
      <c r="H1422" s="317">
        <v>8.8080597213025066E-2</v>
      </c>
      <c r="I1422" s="317">
        <v>6.9856279049663446</v>
      </c>
      <c r="J1422" s="317">
        <v>0.45866860648315899</v>
      </c>
      <c r="K1422" s="317">
        <v>5.3849766606392825E-2</v>
      </c>
      <c r="L1422" s="318">
        <v>2.9905902091955493E-3</v>
      </c>
      <c r="M1422" s="317">
        <v>2.9909963681494082E-3</v>
      </c>
      <c r="N1422" s="318">
        <v>2.0000005732018801E-3</v>
      </c>
      <c r="O1422" s="317">
        <v>3.2606842986022275E-2</v>
      </c>
      <c r="P1422" s="318">
        <v>1.782146484345732E-2</v>
      </c>
      <c r="Q1422" s="319">
        <v>5.6284614097533631E-2</v>
      </c>
    </row>
    <row r="1423" spans="2:17" ht="15.75" x14ac:dyDescent="0.25">
      <c r="B1423" s="176">
        <v>2046</v>
      </c>
      <c r="C1423" s="177">
        <v>2003</v>
      </c>
      <c r="D1423" s="178" t="s">
        <v>4269</v>
      </c>
      <c r="E1423" s="461">
        <v>5.7675621069266499E-2</v>
      </c>
      <c r="F1423" s="462">
        <v>7.3990363300903125E-2</v>
      </c>
      <c r="G1423" s="316">
        <v>0.28342839408942483</v>
      </c>
      <c r="H1423" s="317">
        <v>7.1338784517086584E-2</v>
      </c>
      <c r="I1423" s="317">
        <v>6.9444329557773639</v>
      </c>
      <c r="J1423" s="317">
        <v>0.3924864179629613</v>
      </c>
      <c r="K1423" s="317">
        <v>5.3534787665310994E-2</v>
      </c>
      <c r="L1423" s="318">
        <v>2.9730463815715279E-3</v>
      </c>
      <c r="M1423" s="317">
        <v>2.9800888894586874E-3</v>
      </c>
      <c r="N1423" s="318">
        <v>2.0000005732018801E-3</v>
      </c>
      <c r="O1423" s="317">
        <v>3.24213067734931E-2</v>
      </c>
      <c r="P1423" s="318">
        <v>1.8201218408701637E-2</v>
      </c>
      <c r="Q1423" s="319">
        <v>5.5955393206434431E-2</v>
      </c>
    </row>
    <row r="1424" spans="2:17" ht="15.75" x14ac:dyDescent="0.25">
      <c r="B1424" s="176">
        <v>2046</v>
      </c>
      <c r="C1424" s="177">
        <v>2004</v>
      </c>
      <c r="D1424" s="178" t="s">
        <v>4270</v>
      </c>
      <c r="E1424" s="461">
        <v>5.7642855683801626E-2</v>
      </c>
      <c r="F1424" s="462">
        <v>7.3751167056413547E-2</v>
      </c>
      <c r="G1424" s="316">
        <v>0.23369905672513314</v>
      </c>
      <c r="H1424" s="317">
        <v>1.8302808623219424E-2</v>
      </c>
      <c r="I1424" s="317">
        <v>5.7848783693342103</v>
      </c>
      <c r="J1424" s="317">
        <v>0.11591353954075029</v>
      </c>
      <c r="K1424" s="317">
        <v>5.3290845693182431E-2</v>
      </c>
      <c r="L1424" s="318">
        <v>1.9850357473266285E-4</v>
      </c>
      <c r="M1424" s="317">
        <v>2.9747757158173978E-3</v>
      </c>
      <c r="N1424" s="318">
        <v>2.0000005732018801E-3</v>
      </c>
      <c r="O1424" s="317">
        <v>3.2330929689854758E-2</v>
      </c>
      <c r="P1424" s="318">
        <v>1.7833320202861273E-2</v>
      </c>
      <c r="Q1424" s="319">
        <v>5.5700421260802671E-2</v>
      </c>
    </row>
    <row r="1425" spans="2:17" ht="15.75" x14ac:dyDescent="0.25">
      <c r="B1425" s="176">
        <v>2046</v>
      </c>
      <c r="C1425" s="177">
        <v>2005</v>
      </c>
      <c r="D1425" s="178" t="s">
        <v>4271</v>
      </c>
      <c r="E1425" s="461">
        <v>5.735524038215857E-2</v>
      </c>
      <c r="F1425" s="462">
        <v>7.005559535821014E-2</v>
      </c>
      <c r="G1425" s="316">
        <v>0.23058078645414243</v>
      </c>
      <c r="H1425" s="317">
        <v>1.5949310283608839E-2</v>
      </c>
      <c r="I1425" s="317">
        <v>5.7604743106238461</v>
      </c>
      <c r="J1425" s="317">
        <v>9.4306345123773741E-2</v>
      </c>
      <c r="K1425" s="317">
        <v>5.2930481235647385E-2</v>
      </c>
      <c r="L1425" s="318">
        <v>1.9913854522508404E-4</v>
      </c>
      <c r="M1425" s="317">
        <v>2.9642251779734129E-3</v>
      </c>
      <c r="N1425" s="318">
        <v>2.0000005732018801E-3</v>
      </c>
      <c r="O1425" s="317">
        <v>3.2151465041128577E-2</v>
      </c>
      <c r="P1425" s="318">
        <v>1.7119379924559187E-2</v>
      </c>
      <c r="Q1425" s="319">
        <v>5.5323762721591459E-2</v>
      </c>
    </row>
    <row r="1426" spans="2:17" ht="15.75" x14ac:dyDescent="0.25">
      <c r="B1426" s="176">
        <v>2046</v>
      </c>
      <c r="C1426" s="177">
        <v>2006</v>
      </c>
      <c r="D1426" s="178" t="s">
        <v>4272</v>
      </c>
      <c r="E1426" s="461">
        <v>5.7285045600539819E-2</v>
      </c>
      <c r="F1426" s="462">
        <v>7.3563365601187342E-2</v>
      </c>
      <c r="G1426" s="316">
        <v>0.23069893522164153</v>
      </c>
      <c r="H1426" s="317">
        <v>6.0388486054131236E-3</v>
      </c>
      <c r="I1426" s="317">
        <v>5.7697106042708466</v>
      </c>
      <c r="J1426" s="317">
        <v>6.5631537192142708E-2</v>
      </c>
      <c r="K1426" s="317">
        <v>5.2891997823961479E-2</v>
      </c>
      <c r="L1426" s="318">
        <v>1.9532435416155582E-4</v>
      </c>
      <c r="M1426" s="317">
        <v>2.9661179619872792E-3</v>
      </c>
      <c r="N1426" s="318">
        <v>2.0000005732018801E-3</v>
      </c>
      <c r="O1426" s="317">
        <v>3.2183661297204451E-2</v>
      </c>
      <c r="P1426" s="318">
        <v>1.8885070203466723E-2</v>
      </c>
      <c r="Q1426" s="319">
        <v>5.5283539260796745E-2</v>
      </c>
    </row>
    <row r="1427" spans="2:17" ht="15.75" x14ac:dyDescent="0.25">
      <c r="B1427" s="176">
        <v>2046</v>
      </c>
      <c r="C1427" s="177">
        <v>2007</v>
      </c>
      <c r="D1427" s="178" t="s">
        <v>4273</v>
      </c>
      <c r="E1427" s="461">
        <v>5.7056896266183842E-2</v>
      </c>
      <c r="F1427" s="462">
        <v>6.8919013902526111E-2</v>
      </c>
      <c r="G1427" s="316">
        <v>0.1644516371587092</v>
      </c>
      <c r="H1427" s="317">
        <v>8.5657846385925034E-3</v>
      </c>
      <c r="I1427" s="317">
        <v>2.9239968351831149</v>
      </c>
      <c r="J1427" s="317">
        <v>5.7374273632045024E-2</v>
      </c>
      <c r="K1427" s="317">
        <v>3.6385107138351976E-2</v>
      </c>
      <c r="L1427" s="318">
        <v>1.9839868363059554E-4</v>
      </c>
      <c r="M1427" s="317">
        <v>2.9423455410874386E-3</v>
      </c>
      <c r="N1427" s="318">
        <v>2.0000005732018801E-3</v>
      </c>
      <c r="O1427" s="317">
        <v>3.1779292417698154E-2</v>
      </c>
      <c r="P1427" s="318">
        <v>1.7418123283341781E-2</v>
      </c>
      <c r="Q1427" s="319">
        <v>3.8030280226626537E-2</v>
      </c>
    </row>
    <row r="1428" spans="2:17" ht="15.75" x14ac:dyDescent="0.25">
      <c r="B1428" s="176">
        <v>2046</v>
      </c>
      <c r="C1428" s="177">
        <v>2008</v>
      </c>
      <c r="D1428" s="178" t="s">
        <v>4274</v>
      </c>
      <c r="E1428" s="461">
        <v>5.7116564793558249E-2</v>
      </c>
      <c r="F1428" s="462">
        <v>6.7244883287957372E-2</v>
      </c>
      <c r="G1428" s="316">
        <v>0.16749483046977226</v>
      </c>
      <c r="H1428" s="317">
        <v>8.3160155067872697E-3</v>
      </c>
      <c r="I1428" s="317">
        <v>2.9795321009708569</v>
      </c>
      <c r="J1428" s="317">
        <v>4.6474743989235213E-2</v>
      </c>
      <c r="K1428" s="317">
        <v>3.7013388436606023E-2</v>
      </c>
      <c r="L1428" s="318">
        <v>2.2647647925490855E-4</v>
      </c>
      <c r="M1428" s="317">
        <v>2.9615990869773299E-3</v>
      </c>
      <c r="N1428" s="318">
        <v>2.0000005732018801E-3</v>
      </c>
      <c r="O1428" s="317">
        <v>3.2106795233285114E-2</v>
      </c>
      <c r="P1428" s="318">
        <v>1.7408401729319796E-2</v>
      </c>
      <c r="Q1428" s="319">
        <v>3.8686969617230713E-2</v>
      </c>
    </row>
    <row r="1429" spans="2:17" ht="15.75" x14ac:dyDescent="0.25">
      <c r="B1429" s="176">
        <v>2046</v>
      </c>
      <c r="C1429" s="177">
        <v>2009</v>
      </c>
      <c r="D1429" s="178" t="s">
        <v>4275</v>
      </c>
      <c r="E1429" s="461">
        <v>5.613769835034977E-2</v>
      </c>
      <c r="F1429" s="462">
        <v>6.1802887320848973E-2</v>
      </c>
      <c r="G1429" s="316">
        <v>0.15452215640500477</v>
      </c>
      <c r="H1429" s="317">
        <v>8.1683596258543389E-3</v>
      </c>
      <c r="I1429" s="317">
        <v>2.6515217623748031</v>
      </c>
      <c r="J1429" s="317">
        <v>3.4019004030489818E-2</v>
      </c>
      <c r="K1429" s="317">
        <v>3.4102831118289018E-2</v>
      </c>
      <c r="L1429" s="318">
        <v>2.5597136443373256E-4</v>
      </c>
      <c r="M1429" s="317">
        <v>2.8585737728934846E-3</v>
      </c>
      <c r="N1429" s="318">
        <v>2.0000005732018801E-3</v>
      </c>
      <c r="O1429" s="317">
        <v>3.0354334640718995E-2</v>
      </c>
      <c r="P1429" s="318">
        <v>1.67710389366947E-2</v>
      </c>
      <c r="Q1429" s="319">
        <v>3.5644809812386186E-2</v>
      </c>
    </row>
    <row r="1430" spans="2:17" ht="15.75" x14ac:dyDescent="0.25">
      <c r="B1430" s="176">
        <v>2046</v>
      </c>
      <c r="C1430" s="177">
        <v>2010</v>
      </c>
      <c r="D1430" s="178" t="s">
        <v>4276</v>
      </c>
      <c r="E1430" s="461">
        <v>5.4936310146228608E-2</v>
      </c>
      <c r="F1430" s="462">
        <v>5.991916405202264E-2</v>
      </c>
      <c r="G1430" s="316">
        <v>9.1915414675444423E-2</v>
      </c>
      <c r="H1430" s="317">
        <v>7.3351699877362278E-3</v>
      </c>
      <c r="I1430" s="317">
        <v>0.23157589080145485</v>
      </c>
      <c r="J1430" s="317">
        <v>3.3166856533449543E-2</v>
      </c>
      <c r="K1430" s="317">
        <v>1.9757328991154541E-2</v>
      </c>
      <c r="L1430" s="318">
        <v>3.1224663764884753E-4</v>
      </c>
      <c r="M1430" s="317">
        <v>2.7731497662949007E-3</v>
      </c>
      <c r="N1430" s="318">
        <v>2.0000005732018801E-3</v>
      </c>
      <c r="O1430" s="317">
        <v>2.8901272288477092E-2</v>
      </c>
      <c r="P1430" s="318">
        <v>1.6420386822864588E-2</v>
      </c>
      <c r="Q1430" s="319">
        <v>2.0650667736285631E-2</v>
      </c>
    </row>
    <row r="1431" spans="2:17" ht="15.75" x14ac:dyDescent="0.25">
      <c r="B1431" s="176">
        <v>2046</v>
      </c>
      <c r="C1431" s="177">
        <v>2011</v>
      </c>
      <c r="D1431" s="178" t="s">
        <v>4277</v>
      </c>
      <c r="E1431" s="461">
        <v>5.4928801255246386E-2</v>
      </c>
      <c r="F1431" s="462">
        <v>5.8680745737092199E-2</v>
      </c>
      <c r="G1431" s="316">
        <v>9.4111274904106507E-2</v>
      </c>
      <c r="H1431" s="317">
        <v>7.4409901633937341E-3</v>
      </c>
      <c r="I1431" s="317">
        <v>0.23879994358428289</v>
      </c>
      <c r="J1431" s="317">
        <v>3.3536564160567751E-2</v>
      </c>
      <c r="K1431" s="317">
        <v>2.0282315863033706E-2</v>
      </c>
      <c r="L1431" s="318">
        <v>4.2262223959126593E-4</v>
      </c>
      <c r="M1431" s="317">
        <v>2.8079191771691815E-3</v>
      </c>
      <c r="N1431" s="318">
        <v>2.0000005732018801E-3</v>
      </c>
      <c r="O1431" s="317">
        <v>2.9492699967448605E-2</v>
      </c>
      <c r="P1431" s="318">
        <v>1.6576796255503998E-2</v>
      </c>
      <c r="Q1431" s="319">
        <v>2.1199392184916434E-2</v>
      </c>
    </row>
    <row r="1432" spans="2:17" ht="15.75" x14ac:dyDescent="0.25">
      <c r="B1432" s="176">
        <v>2046</v>
      </c>
      <c r="C1432" s="177">
        <v>2012</v>
      </c>
      <c r="D1432" s="178" t="s">
        <v>4278</v>
      </c>
      <c r="E1432" s="461">
        <v>5.2927821447526863E-2</v>
      </c>
      <c r="F1432" s="462">
        <v>5.8785286928133416E-2</v>
      </c>
      <c r="G1432" s="316">
        <v>8.2958574781375929E-2</v>
      </c>
      <c r="H1432" s="317">
        <v>7.0175773384655573E-3</v>
      </c>
      <c r="I1432" s="317">
        <v>0.20824881345523882</v>
      </c>
      <c r="J1432" s="317">
        <v>3.4721211167126162E-2</v>
      </c>
      <c r="K1432" s="317">
        <v>1.8139115966646115E-2</v>
      </c>
      <c r="L1432" s="318">
        <v>6.1291902684813967E-4</v>
      </c>
      <c r="M1432" s="317">
        <v>2.6838108294822386E-3</v>
      </c>
      <c r="N1432" s="318">
        <v>2.0000005732018805E-3</v>
      </c>
      <c r="O1432" s="317">
        <v>2.73816169732937E-2</v>
      </c>
      <c r="P1432" s="318">
        <v>1.6996452553641218E-2</v>
      </c>
      <c r="Q1432" s="319">
        <v>1.8959286299522881E-2</v>
      </c>
    </row>
    <row r="1433" spans="2:17" ht="15.75" x14ac:dyDescent="0.25">
      <c r="B1433" s="176">
        <v>2046</v>
      </c>
      <c r="C1433" s="177">
        <v>2013</v>
      </c>
      <c r="D1433" s="178" t="s">
        <v>4279</v>
      </c>
      <c r="E1433" s="461">
        <v>5.5179272514736498E-2</v>
      </c>
      <c r="F1433" s="462">
        <v>5.7596697726556637E-2</v>
      </c>
      <c r="G1433" s="316">
        <v>9.8963817080957431E-2</v>
      </c>
      <c r="H1433" s="317">
        <v>7.9499430298194257E-3</v>
      </c>
      <c r="I1433" s="317">
        <v>0.25128226056363023</v>
      </c>
      <c r="J1433" s="317">
        <v>3.3798247302022195E-2</v>
      </c>
      <c r="K1433" s="317">
        <v>2.1139110939848559E-2</v>
      </c>
      <c r="L1433" s="318">
        <v>9.1489149341032468E-4</v>
      </c>
      <c r="M1433" s="317">
        <v>2.8546869655493336E-3</v>
      </c>
      <c r="N1433" s="318">
        <v>2.0000005732018801E-3</v>
      </c>
      <c r="O1433" s="317">
        <v>3.0288220047794991E-2</v>
      </c>
      <c r="P1433" s="318">
        <v>1.7116391733917189E-2</v>
      </c>
      <c r="Q1433" s="319">
        <v>2.2094927733132985E-2</v>
      </c>
    </row>
    <row r="1434" spans="2:17" ht="15.75" x14ac:dyDescent="0.25">
      <c r="B1434" s="176">
        <v>2046</v>
      </c>
      <c r="C1434" s="177">
        <v>2014</v>
      </c>
      <c r="D1434" s="178" t="s">
        <v>4280</v>
      </c>
      <c r="E1434" s="461">
        <v>5.2673832370089393E-2</v>
      </c>
      <c r="F1434" s="462">
        <v>5.5229709950505045E-2</v>
      </c>
      <c r="G1434" s="316">
        <v>9.0393382202914097E-2</v>
      </c>
      <c r="H1434" s="317">
        <v>8.0734170395876711E-3</v>
      </c>
      <c r="I1434" s="317">
        <v>0.22854596882351677</v>
      </c>
      <c r="J1434" s="317">
        <v>3.2280975419988277E-2</v>
      </c>
      <c r="K1434" s="317">
        <v>1.9566042581790174E-2</v>
      </c>
      <c r="L1434" s="318">
        <v>1.2844902045677702E-3</v>
      </c>
      <c r="M1434" s="317">
        <v>2.7663905829794855E-3</v>
      </c>
      <c r="N1434" s="318">
        <v>2.0000005732018805E-3</v>
      </c>
      <c r="O1434" s="317">
        <v>2.878629858028188E-2</v>
      </c>
      <c r="P1434" s="318">
        <v>1.6606049196174352E-2</v>
      </c>
      <c r="Q1434" s="319">
        <v>2.0450732204310575E-2</v>
      </c>
    </row>
    <row r="1435" spans="2:17" ht="15.75" x14ac:dyDescent="0.25">
      <c r="B1435" s="176">
        <v>2046</v>
      </c>
      <c r="C1435" s="177">
        <v>2015</v>
      </c>
      <c r="D1435" s="178" t="s">
        <v>4281</v>
      </c>
      <c r="E1435" s="461">
        <v>5.1658610766337959E-2</v>
      </c>
      <c r="F1435" s="462">
        <v>5.806592649448835E-2</v>
      </c>
      <c r="G1435" s="316">
        <v>8.7033557218215624E-2</v>
      </c>
      <c r="H1435" s="317">
        <v>8.0697596608656514E-3</v>
      </c>
      <c r="I1435" s="317">
        <v>0.22123413930413902</v>
      </c>
      <c r="J1435" s="317">
        <v>3.4095443550218249E-2</v>
      </c>
      <c r="K1435" s="317">
        <v>1.9094839881034463E-2</v>
      </c>
      <c r="L1435" s="318">
        <v>1.5928373568246245E-3</v>
      </c>
      <c r="M1435" s="317">
        <v>2.7457180861690596E-3</v>
      </c>
      <c r="N1435" s="318">
        <v>2.0000005732018801E-3</v>
      </c>
      <c r="O1435" s="317">
        <v>2.8434659409536531E-2</v>
      </c>
      <c r="P1435" s="318">
        <v>1.7726980309010446E-2</v>
      </c>
      <c r="Q1435" s="319">
        <v>1.9958223808357756E-2</v>
      </c>
    </row>
    <row r="1436" spans="2:17" ht="15.75" x14ac:dyDescent="0.25">
      <c r="B1436" s="176">
        <v>2046</v>
      </c>
      <c r="C1436" s="177">
        <v>2016</v>
      </c>
      <c r="D1436" s="178" t="s">
        <v>4282</v>
      </c>
      <c r="E1436" s="461">
        <v>5.2063316608766133E-2</v>
      </c>
      <c r="F1436" s="462">
        <v>6.0011258673882462E-2</v>
      </c>
      <c r="G1436" s="316">
        <v>9.9662380454398222E-2</v>
      </c>
      <c r="H1436" s="317">
        <v>7.829565450313717E-3</v>
      </c>
      <c r="I1436" s="317">
        <v>0.22498580929058276</v>
      </c>
      <c r="J1436" s="317">
        <v>3.4756962017190161E-2</v>
      </c>
      <c r="K1436" s="317">
        <v>2.1547885475075641E-2</v>
      </c>
      <c r="L1436" s="318">
        <v>1.8206497767103808E-3</v>
      </c>
      <c r="M1436" s="317">
        <v>2.8890631594784355E-3</v>
      </c>
      <c r="N1436" s="318">
        <v>2.0000005732018801E-3</v>
      </c>
      <c r="O1436" s="317">
        <v>3.0872959106529017E-2</v>
      </c>
      <c r="P1436" s="318">
        <v>1.8825673440434978E-2</v>
      </c>
      <c r="Q1436" s="319">
        <v>2.2522185238932933E-2</v>
      </c>
    </row>
    <row r="1437" spans="2:17" ht="15.75" x14ac:dyDescent="0.25">
      <c r="B1437" s="176">
        <v>2046</v>
      </c>
      <c r="C1437" s="177">
        <v>2017</v>
      </c>
      <c r="D1437" s="178" t="s">
        <v>4283</v>
      </c>
      <c r="E1437" s="461">
        <v>4.8675496171771408E-2</v>
      </c>
      <c r="F1437" s="462">
        <v>5.3478225498010311E-2</v>
      </c>
      <c r="G1437" s="316">
        <v>8.01356079787615E-2</v>
      </c>
      <c r="H1437" s="317">
        <v>7.8487092189996159E-3</v>
      </c>
      <c r="I1437" s="317">
        <v>0.1693190750648931</v>
      </c>
      <c r="J1437" s="317">
        <v>3.1813846988920189E-2</v>
      </c>
      <c r="K1437" s="317">
        <v>1.9821128480315545E-2</v>
      </c>
      <c r="L1437" s="318">
        <v>2.0091270913019563E-3</v>
      </c>
      <c r="M1437" s="317">
        <v>2.8502641235798754E-3</v>
      </c>
      <c r="N1437" s="318">
        <v>2.0000005732018801E-3</v>
      </c>
      <c r="O1437" s="317">
        <v>3.0212987505894507E-2</v>
      </c>
      <c r="P1437" s="318">
        <v>1.7612889623268992E-2</v>
      </c>
      <c r="Q1437" s="319">
        <v>2.0717351955240462E-2</v>
      </c>
    </row>
    <row r="1438" spans="2:17" ht="15.75" x14ac:dyDescent="0.25">
      <c r="B1438" s="176">
        <v>2046</v>
      </c>
      <c r="C1438" s="177">
        <v>2018</v>
      </c>
      <c r="D1438" s="178" t="s">
        <v>4284</v>
      </c>
      <c r="E1438" s="461">
        <v>4.5516373570665652E-2</v>
      </c>
      <c r="F1438" s="462">
        <v>5.1078191492054933E-2</v>
      </c>
      <c r="G1438" s="316">
        <v>7.9780279559690401E-2</v>
      </c>
      <c r="H1438" s="317">
        <v>7.4927173350690388E-3</v>
      </c>
      <c r="I1438" s="317">
        <v>0.13861734152729208</v>
      </c>
      <c r="J1438" s="317">
        <v>3.0375901357336973E-2</v>
      </c>
      <c r="K1438" s="317">
        <v>1.8460984831150582E-2</v>
      </c>
      <c r="L1438" s="318">
        <v>2.0919855939603373E-3</v>
      </c>
      <c r="M1438" s="317">
        <v>2.844664948002412E-3</v>
      </c>
      <c r="N1438" s="318">
        <v>2.0000005732018801E-3</v>
      </c>
      <c r="O1438" s="317">
        <v>3.0117745529321855E-2</v>
      </c>
      <c r="P1438" s="318">
        <v>1.7598731726147537E-2</v>
      </c>
      <c r="Q1438" s="319">
        <v>1.929570864580827E-2</v>
      </c>
    </row>
    <row r="1439" spans="2:17" ht="15.75" x14ac:dyDescent="0.25">
      <c r="B1439" s="176">
        <v>2046</v>
      </c>
      <c r="C1439" s="177">
        <v>2019</v>
      </c>
      <c r="D1439" s="178" t="s">
        <v>4285</v>
      </c>
      <c r="E1439" s="461">
        <v>4.5112040421288191E-2</v>
      </c>
      <c r="F1439" s="462">
        <v>4.9226667646712984E-2</v>
      </c>
      <c r="G1439" s="316">
        <v>7.9062099365136584E-2</v>
      </c>
      <c r="H1439" s="317">
        <v>6.7452833656049642E-3</v>
      </c>
      <c r="I1439" s="317">
        <v>0.11921521697258897</v>
      </c>
      <c r="J1439" s="317">
        <v>2.7601759272626959E-2</v>
      </c>
      <c r="K1439" s="317">
        <v>1.5867978351893991E-2</v>
      </c>
      <c r="L1439" s="318">
        <v>1.9898261659224499E-3</v>
      </c>
      <c r="M1439" s="317">
        <v>2.8339171991723041E-3</v>
      </c>
      <c r="N1439" s="318">
        <v>2.0000005732018801E-3</v>
      </c>
      <c r="O1439" s="317">
        <v>2.9934926321721726E-2</v>
      </c>
      <c r="P1439" s="318">
        <v>1.7598348984092276E-2</v>
      </c>
      <c r="Q1439" s="319">
        <v>1.6585457919855547E-2</v>
      </c>
    </row>
    <row r="1440" spans="2:17" ht="15.75" x14ac:dyDescent="0.25">
      <c r="B1440" s="176">
        <v>2046</v>
      </c>
      <c r="C1440" s="177">
        <v>2020</v>
      </c>
      <c r="D1440" s="178" t="s">
        <v>4286</v>
      </c>
      <c r="E1440" s="461">
        <v>4.4812937589727313E-2</v>
      </c>
      <c r="F1440" s="462">
        <v>4.7406002258510861E-2</v>
      </c>
      <c r="G1440" s="316">
        <v>7.9034790691905554E-2</v>
      </c>
      <c r="H1440" s="317">
        <v>5.8408561576509177E-3</v>
      </c>
      <c r="I1440" s="317">
        <v>0.10069920418909274</v>
      </c>
      <c r="J1440" s="317">
        <v>2.5468810025770408E-2</v>
      </c>
      <c r="K1440" s="317">
        <v>1.3385828488775947E-2</v>
      </c>
      <c r="L1440" s="318">
        <v>1.4759555171359651E-3</v>
      </c>
      <c r="M1440" s="317">
        <v>2.8329332733256288E-3</v>
      </c>
      <c r="N1440" s="318">
        <v>2.0000005732018801E-3</v>
      </c>
      <c r="O1440" s="317">
        <v>2.991818974306977E-2</v>
      </c>
      <c r="P1440" s="318">
        <v>1.7606227933837919E-2</v>
      </c>
      <c r="Q1440" s="319">
        <v>1.3991076254304223E-2</v>
      </c>
    </row>
    <row r="1441" spans="2:17" ht="15.75" x14ac:dyDescent="0.25">
      <c r="B1441" s="176">
        <v>2046</v>
      </c>
      <c r="C1441" s="177">
        <v>2021</v>
      </c>
      <c r="D1441" s="178" t="s">
        <v>4287</v>
      </c>
      <c r="E1441" s="461">
        <v>4.3452321527877556E-2</v>
      </c>
      <c r="F1441" s="462">
        <v>4.516684382889876E-2</v>
      </c>
      <c r="G1441" s="316">
        <v>7.6707176698263282E-2</v>
      </c>
      <c r="H1441" s="317">
        <v>5.1573316858206869E-3</v>
      </c>
      <c r="I1441" s="317">
        <v>7.8256359572588585E-2</v>
      </c>
      <c r="J1441" s="317">
        <v>2.4410081645022608E-2</v>
      </c>
      <c r="K1441" s="317">
        <v>9.9903575615479662E-3</v>
      </c>
      <c r="L1441" s="318">
        <v>9.8138075327565085E-4</v>
      </c>
      <c r="M1441" s="317">
        <v>2.8268461495689315E-3</v>
      </c>
      <c r="N1441" s="318">
        <v>2.0000005732018797E-3</v>
      </c>
      <c r="O1441" s="317">
        <v>2.9814647767968352E-2</v>
      </c>
      <c r="P1441" s="318">
        <v>1.7574282875668902E-2</v>
      </c>
      <c r="Q1441" s="319">
        <v>1.0442077198926043E-2</v>
      </c>
    </row>
    <row r="1442" spans="2:17" ht="15.75" x14ac:dyDescent="0.25">
      <c r="B1442" s="176">
        <v>2046</v>
      </c>
      <c r="C1442" s="177">
        <v>2022</v>
      </c>
      <c r="D1442" s="178" t="s">
        <v>4288</v>
      </c>
      <c r="E1442" s="461">
        <v>4.2208015416398841E-2</v>
      </c>
      <c r="F1442" s="462">
        <v>4.3400026817395611E-2</v>
      </c>
      <c r="G1442" s="316">
        <v>7.6263955756731339E-2</v>
      </c>
      <c r="H1442" s="317">
        <v>4.3640963624951351E-3</v>
      </c>
      <c r="I1442" s="317">
        <v>5.9457333087165047E-2</v>
      </c>
      <c r="J1442" s="317">
        <v>2.3317908067267887E-2</v>
      </c>
      <c r="K1442" s="317">
        <v>7.501129441915967E-3</v>
      </c>
      <c r="L1442" s="318">
        <v>9.7873014844598763E-4</v>
      </c>
      <c r="M1442" s="317">
        <v>2.8209530777951468E-3</v>
      </c>
      <c r="N1442" s="318">
        <v>2.0000005732018801E-3</v>
      </c>
      <c r="O1442" s="317">
        <v>2.9714406617096283E-2</v>
      </c>
      <c r="P1442" s="318">
        <v>1.7534159165533709E-2</v>
      </c>
      <c r="Q1442" s="319">
        <v>7.8402972295104813E-3</v>
      </c>
    </row>
    <row r="1443" spans="2:17" ht="15.75" x14ac:dyDescent="0.25">
      <c r="B1443" s="176">
        <v>2046</v>
      </c>
      <c r="C1443" s="177">
        <v>2023</v>
      </c>
      <c r="D1443" s="178" t="s">
        <v>4289</v>
      </c>
      <c r="E1443" s="461">
        <v>4.0943985969357784E-2</v>
      </c>
      <c r="F1443" s="462">
        <v>4.16685681410928E-2</v>
      </c>
      <c r="G1443" s="316">
        <v>7.5647215136663504E-2</v>
      </c>
      <c r="H1443" s="317">
        <v>3.810986280716177E-3</v>
      </c>
      <c r="I1443" s="317">
        <v>5.8977178552314748E-2</v>
      </c>
      <c r="J1443" s="317">
        <v>2.4124268481231923E-2</v>
      </c>
      <c r="K1443" s="317">
        <v>7.4292086525611662E-3</v>
      </c>
      <c r="L1443" s="318">
        <v>9.7645500582504887E-4</v>
      </c>
      <c r="M1443" s="317">
        <v>2.8137255271078391E-3</v>
      </c>
      <c r="N1443" s="318">
        <v>2.0000005732018801E-3</v>
      </c>
      <c r="O1443" s="317">
        <v>2.9591465979905307E-2</v>
      </c>
      <c r="P1443" s="318">
        <v>1.7501126200213622E-2</v>
      </c>
      <c r="Q1443" s="319">
        <v>7.7651245012048406E-3</v>
      </c>
    </row>
    <row r="1444" spans="2:17" ht="15.75" x14ac:dyDescent="0.25">
      <c r="B1444" s="176">
        <v>2046</v>
      </c>
      <c r="C1444" s="177">
        <v>2024</v>
      </c>
      <c r="D1444" s="178" t="s">
        <v>4290</v>
      </c>
      <c r="E1444" s="461">
        <v>3.9704746444660363E-2</v>
      </c>
      <c r="F1444" s="462">
        <v>3.9974814530699898E-2</v>
      </c>
      <c r="G1444" s="316">
        <v>7.4881840530908739E-2</v>
      </c>
      <c r="H1444" s="317">
        <v>3.3237436684914073E-3</v>
      </c>
      <c r="I1444" s="317">
        <v>5.8347538787151453E-2</v>
      </c>
      <c r="J1444" s="317">
        <v>2.6004965507531633E-2</v>
      </c>
      <c r="K1444" s="317">
        <v>7.3313324062216981E-3</v>
      </c>
      <c r="L1444" s="318">
        <v>9.7453262369990288E-4</v>
      </c>
      <c r="M1444" s="317">
        <v>2.805614103145376E-3</v>
      </c>
      <c r="N1444" s="318">
        <v>2.0000005732018801E-3</v>
      </c>
      <c r="O1444" s="317">
        <v>2.9453490658303674E-2</v>
      </c>
      <c r="P1444" s="318">
        <v>1.7475623182794765E-2</v>
      </c>
      <c r="Q1444" s="319">
        <v>7.6628227253253056E-3</v>
      </c>
    </row>
    <row r="1445" spans="2:17" ht="15.75" x14ac:dyDescent="0.25">
      <c r="B1445" s="176">
        <v>2046</v>
      </c>
      <c r="C1445" s="177">
        <v>2025</v>
      </c>
      <c r="D1445" s="178" t="s">
        <v>4291</v>
      </c>
      <c r="E1445" s="461">
        <v>3.8467125263165515E-2</v>
      </c>
      <c r="F1445" s="462">
        <v>3.8286477911774391E-2</v>
      </c>
      <c r="G1445" s="316">
        <v>7.4057887681147752E-2</v>
      </c>
      <c r="H1445" s="317">
        <v>3.0463286149127054E-3</v>
      </c>
      <c r="I1445" s="317">
        <v>5.7630764060463621E-2</v>
      </c>
      <c r="J1445" s="317">
        <v>2.8824719478376996E-2</v>
      </c>
      <c r="K1445" s="317">
        <v>7.2163520389567888E-3</v>
      </c>
      <c r="L1445" s="318">
        <v>9.7258704124873416E-4</v>
      </c>
      <c r="M1445" s="317">
        <v>2.7976817010265122E-3</v>
      </c>
      <c r="N1445" s="318">
        <v>2.0000005732018801E-3</v>
      </c>
      <c r="O1445" s="317">
        <v>2.93185604982618E-2</v>
      </c>
      <c r="P1445" s="318">
        <v>1.7451215679547587E-2</v>
      </c>
      <c r="Q1445" s="319">
        <v>7.5426434560705007E-3</v>
      </c>
    </row>
    <row r="1446" spans="2:17" ht="15.75" x14ac:dyDescent="0.25">
      <c r="B1446" s="176">
        <v>2046</v>
      </c>
      <c r="C1446" s="177">
        <v>2026</v>
      </c>
      <c r="D1446" s="178" t="s">
        <v>4292</v>
      </c>
      <c r="E1446" s="461">
        <v>3.75327823586315E-2</v>
      </c>
      <c r="F1446" s="462">
        <v>3.7963425939315593E-2</v>
      </c>
      <c r="G1446" s="316">
        <v>7.3254815914055499E-2</v>
      </c>
      <c r="H1446" s="317">
        <v>3.0333708139171113E-3</v>
      </c>
      <c r="I1446" s="317">
        <v>5.6882379621479892E-2</v>
      </c>
      <c r="J1446" s="317">
        <v>2.8504365880027902E-2</v>
      </c>
      <c r="K1446" s="317">
        <v>7.0920547919909533E-3</v>
      </c>
      <c r="L1446" s="318">
        <v>8.5203725153532625E-4</v>
      </c>
      <c r="M1446" s="317">
        <v>2.7908822121780878E-3</v>
      </c>
      <c r="N1446" s="318">
        <v>2.0000005732018801E-3</v>
      </c>
      <c r="O1446" s="317">
        <v>2.9202901192950104E-2</v>
      </c>
      <c r="P1446" s="318">
        <v>1.7431299595876932E-2</v>
      </c>
      <c r="Q1446" s="319">
        <v>7.4127260391577392E-3</v>
      </c>
    </row>
    <row r="1447" spans="2:17" ht="15.75" x14ac:dyDescent="0.25">
      <c r="B1447" s="176">
        <v>2046</v>
      </c>
      <c r="C1447" s="177">
        <v>2027</v>
      </c>
      <c r="D1447" s="178" t="s">
        <v>4293</v>
      </c>
      <c r="E1447" s="461">
        <v>3.6646475168979793E-2</v>
      </c>
      <c r="F1447" s="462">
        <v>3.7621813163483793E-2</v>
      </c>
      <c r="G1447" s="316">
        <v>7.2359222813752982E-2</v>
      </c>
      <c r="H1447" s="317">
        <v>3.0154865715667977E-3</v>
      </c>
      <c r="I1447" s="317">
        <v>5.6025191621943159E-2</v>
      </c>
      <c r="J1447" s="317">
        <v>2.7997257643299321E-2</v>
      </c>
      <c r="K1447" s="317">
        <v>6.9479357850530422E-3</v>
      </c>
      <c r="L1447" s="318">
        <v>7.1100311104459473E-4</v>
      </c>
      <c r="M1447" s="317">
        <v>2.7838015853166066E-3</v>
      </c>
      <c r="N1447" s="318">
        <v>2.0000005732018801E-3</v>
      </c>
      <c r="O1447" s="317">
        <v>2.90824597300363E-2</v>
      </c>
      <c r="P1447" s="318">
        <v>1.7400303850110741E-2</v>
      </c>
      <c r="Q1447" s="319">
        <v>7.2620906102447208E-3</v>
      </c>
    </row>
    <row r="1448" spans="2:17" ht="15.75" x14ac:dyDescent="0.25">
      <c r="B1448" s="176">
        <v>2046</v>
      </c>
      <c r="C1448" s="177">
        <v>2028</v>
      </c>
      <c r="D1448" s="178" t="s">
        <v>4294</v>
      </c>
      <c r="E1448" s="461">
        <v>3.6554955481533681E-2</v>
      </c>
      <c r="F1448" s="462">
        <v>3.7516130975399728E-2</v>
      </c>
      <c r="G1448" s="316">
        <v>7.146004561008408E-2</v>
      </c>
      <c r="H1448" s="317">
        <v>2.9967983252766044E-3</v>
      </c>
      <c r="I1448" s="317">
        <v>5.5121305426892468E-2</v>
      </c>
      <c r="J1448" s="317">
        <v>2.7476390757349953E-2</v>
      </c>
      <c r="K1448" s="317">
        <v>6.7926183659229545E-3</v>
      </c>
      <c r="L1448" s="318">
        <v>5.9009129875534257E-4</v>
      </c>
      <c r="M1448" s="317">
        <v>2.7775286621780728E-3</v>
      </c>
      <c r="N1448" s="318">
        <v>2.0000005732018801E-3</v>
      </c>
      <c r="O1448" s="317">
        <v>2.8975757307449841E-2</v>
      </c>
      <c r="P1448" s="318">
        <v>1.7376929210243763E-2</v>
      </c>
      <c r="Q1448" s="319">
        <v>7.0997504266324032E-3</v>
      </c>
    </row>
    <row r="1449" spans="2:17" ht="15.75" x14ac:dyDescent="0.25">
      <c r="B1449" s="176">
        <v>2046</v>
      </c>
      <c r="C1449" s="177">
        <v>2029</v>
      </c>
      <c r="D1449" s="178" t="s">
        <v>4295</v>
      </c>
      <c r="E1449" s="461">
        <v>3.6414622852114033E-2</v>
      </c>
      <c r="F1449" s="462">
        <v>3.7355060949624513E-2</v>
      </c>
      <c r="G1449" s="316">
        <v>7.0189463716659933E-2</v>
      </c>
      <c r="H1449" s="317">
        <v>2.973624797210883E-3</v>
      </c>
      <c r="I1449" s="317">
        <v>5.3924272317499959E-2</v>
      </c>
      <c r="J1449" s="317">
        <v>2.6879470704902476E-2</v>
      </c>
      <c r="K1449" s="317">
        <v>6.5931187927702403E-3</v>
      </c>
      <c r="L1449" s="318">
        <v>5.8706342688179182E-4</v>
      </c>
      <c r="M1449" s="317">
        <v>2.7675381994769193E-3</v>
      </c>
      <c r="N1449" s="318">
        <v>2.0000005732018801E-3</v>
      </c>
      <c r="O1449" s="317">
        <v>2.8805819536903237E-2</v>
      </c>
      <c r="P1449" s="318">
        <v>1.7336044894920841E-2</v>
      </c>
      <c r="Q1449" s="319">
        <v>6.8912303680479705E-3</v>
      </c>
    </row>
    <row r="1450" spans="2:17" ht="15.75" x14ac:dyDescent="0.25">
      <c r="B1450" s="176">
        <v>2046</v>
      </c>
      <c r="C1450" s="177">
        <v>2030</v>
      </c>
      <c r="D1450" s="178" t="s">
        <v>4296</v>
      </c>
      <c r="E1450" s="461">
        <v>3.6301477334135392E-2</v>
      </c>
      <c r="F1450" s="462">
        <v>3.7219380827078652E-2</v>
      </c>
      <c r="G1450" s="316">
        <v>6.902186654880875E-2</v>
      </c>
      <c r="H1450" s="317">
        <v>2.947547936612319E-3</v>
      </c>
      <c r="I1450" s="317">
        <v>5.2754347180858023E-2</v>
      </c>
      <c r="J1450" s="317">
        <v>2.6130250650046895E-2</v>
      </c>
      <c r="K1450" s="317">
        <v>6.3929495303502362E-3</v>
      </c>
      <c r="L1450" s="318">
        <v>5.8457380867598795E-4</v>
      </c>
      <c r="M1450" s="317">
        <v>2.7596085476395502E-3</v>
      </c>
      <c r="N1450" s="318">
        <v>2.0000005732018801E-3</v>
      </c>
      <c r="O1450" s="317">
        <v>2.8670936159149576E-2</v>
      </c>
      <c r="P1450" s="318">
        <v>1.7303235973642632E-2</v>
      </c>
      <c r="Q1450" s="319">
        <v>6.682010339819279E-3</v>
      </c>
    </row>
    <row r="1451" spans="2:17" ht="15.75" x14ac:dyDescent="0.25">
      <c r="B1451" s="176">
        <v>2046</v>
      </c>
      <c r="C1451" s="177">
        <v>2031</v>
      </c>
      <c r="D1451" s="178" t="s">
        <v>4297</v>
      </c>
      <c r="E1451" s="461">
        <v>3.619647562031128E-2</v>
      </c>
      <c r="F1451" s="462">
        <v>3.712309631934782E-2</v>
      </c>
      <c r="G1451" s="316">
        <v>6.783618626987134E-2</v>
      </c>
      <c r="H1451" s="317">
        <v>2.9199769823939478E-3</v>
      </c>
      <c r="I1451" s="317">
        <v>5.1531025101905936E-2</v>
      </c>
      <c r="J1451" s="317">
        <v>2.5453861260921126E-2</v>
      </c>
      <c r="K1451" s="317">
        <v>6.1812906071580546E-3</v>
      </c>
      <c r="L1451" s="318">
        <v>5.8298912890844827E-4</v>
      </c>
      <c r="M1451" s="317">
        <v>2.7522606514989944E-3</v>
      </c>
      <c r="N1451" s="318">
        <v>2.0000005732018801E-3</v>
      </c>
      <c r="O1451" s="317">
        <v>2.8545948445798726E-2</v>
      </c>
      <c r="P1451" s="318">
        <v>1.7282429443462293E-2</v>
      </c>
      <c r="Q1451" s="319">
        <v>6.4607811393429145E-3</v>
      </c>
    </row>
    <row r="1452" spans="2:17" ht="15.75" x14ac:dyDescent="0.25">
      <c r="B1452" s="176">
        <v>2046</v>
      </c>
      <c r="C1452" s="177">
        <v>2032</v>
      </c>
      <c r="D1452" s="178" t="s">
        <v>4298</v>
      </c>
      <c r="E1452" s="461">
        <v>3.611816169092695E-2</v>
      </c>
      <c r="F1452" s="462">
        <v>3.7016541940680076E-2</v>
      </c>
      <c r="G1452" s="316">
        <v>6.6746576100248575E-2</v>
      </c>
      <c r="H1452" s="317">
        <v>2.8906389358774299E-3</v>
      </c>
      <c r="I1452" s="317">
        <v>5.0328849043559054E-2</v>
      </c>
      <c r="J1452" s="317">
        <v>2.465823140515859E-2</v>
      </c>
      <c r="K1452" s="317">
        <v>5.9678086585519879E-3</v>
      </c>
      <c r="L1452" s="318">
        <v>5.8121722928797931E-4</v>
      </c>
      <c r="M1452" s="317">
        <v>2.7468990171184665E-3</v>
      </c>
      <c r="N1452" s="318">
        <v>2.0000005732018805E-3</v>
      </c>
      <c r="O1452" s="317">
        <v>2.8454747044985941E-2</v>
      </c>
      <c r="P1452" s="318">
        <v>1.7258410721501711E-2</v>
      </c>
      <c r="Q1452" s="319">
        <v>6.237646484332989E-3</v>
      </c>
    </row>
    <row r="1453" spans="2:17" ht="15.75" x14ac:dyDescent="0.25">
      <c r="B1453" s="176">
        <v>2046</v>
      </c>
      <c r="C1453" s="177">
        <v>2033</v>
      </c>
      <c r="D1453" s="178" t="s">
        <v>4299</v>
      </c>
      <c r="E1453" s="461">
        <v>3.6028744287704056E-2</v>
      </c>
      <c r="F1453" s="462">
        <v>3.6932728277744228E-2</v>
      </c>
      <c r="G1453" s="316">
        <v>6.5523989438113772E-2</v>
      </c>
      <c r="H1453" s="317">
        <v>2.8590624791361482E-3</v>
      </c>
      <c r="I1453" s="317">
        <v>4.8997815336723927E-2</v>
      </c>
      <c r="J1453" s="317">
        <v>2.380799066383156E-2</v>
      </c>
      <c r="K1453" s="317">
        <v>5.7330213353897954E-3</v>
      </c>
      <c r="L1453" s="318">
        <v>5.7991453028884349E-4</v>
      </c>
      <c r="M1453" s="317">
        <v>2.7406806718647597E-3</v>
      </c>
      <c r="N1453" s="318">
        <v>2.0000005732018801E-3</v>
      </c>
      <c r="O1453" s="317">
        <v>2.8348972992220393E-2</v>
      </c>
      <c r="P1453" s="318">
        <v>1.7241787345859703E-2</v>
      </c>
      <c r="Q1453" s="319">
        <v>5.9922431202707243E-3</v>
      </c>
    </row>
    <row r="1454" spans="2:17" ht="15.75" x14ac:dyDescent="0.25">
      <c r="B1454" s="176">
        <v>2046</v>
      </c>
      <c r="C1454" s="177">
        <v>2034</v>
      </c>
      <c r="D1454" s="178" t="s">
        <v>4300</v>
      </c>
      <c r="E1454" s="461">
        <v>3.5966634626677034E-2</v>
      </c>
      <c r="F1454" s="462">
        <v>3.6855921510692544E-2</v>
      </c>
      <c r="G1454" s="316">
        <v>6.4400582019647351E-2</v>
      </c>
      <c r="H1454" s="317">
        <v>2.8253616192114193E-3</v>
      </c>
      <c r="I1454" s="317">
        <v>4.7688316276543206E-2</v>
      </c>
      <c r="J1454" s="317">
        <v>2.2952088548005851E-2</v>
      </c>
      <c r="K1454" s="317">
        <v>5.4962038451388884E-3</v>
      </c>
      <c r="L1454" s="318">
        <v>5.7877276956787033E-4</v>
      </c>
      <c r="M1454" s="317">
        <v>2.7365224536364621E-3</v>
      </c>
      <c r="N1454" s="318">
        <v>2.0000005732018801E-3</v>
      </c>
      <c r="O1454" s="317">
        <v>2.8278241700157046E-2</v>
      </c>
      <c r="P1454" s="318">
        <v>1.7227161384991724E-2</v>
      </c>
      <c r="Q1454" s="319">
        <v>5.7447177939727199E-3</v>
      </c>
    </row>
    <row r="1455" spans="2:17" ht="15.75" x14ac:dyDescent="0.25">
      <c r="B1455" s="176">
        <v>2046</v>
      </c>
      <c r="C1455" s="177">
        <v>2035</v>
      </c>
      <c r="D1455" s="178" t="s">
        <v>4301</v>
      </c>
      <c r="E1455" s="461">
        <v>3.5894702625592134E-2</v>
      </c>
      <c r="F1455" s="462">
        <v>3.6782338623358043E-2</v>
      </c>
      <c r="G1455" s="316">
        <v>6.3154477004881138E-2</v>
      </c>
      <c r="H1455" s="317">
        <v>2.7899905781615096E-3</v>
      </c>
      <c r="I1455" s="317">
        <v>4.6257274755222871E-2</v>
      </c>
      <c r="J1455" s="317">
        <v>2.2052147524953838E-2</v>
      </c>
      <c r="K1455" s="317">
        <v>5.2391684189279286E-3</v>
      </c>
      <c r="L1455" s="318">
        <v>5.7769089949343422E-4</v>
      </c>
      <c r="M1455" s="317">
        <v>2.7316008116225884E-3</v>
      </c>
      <c r="N1455" s="318">
        <v>2.0000005732018801E-3</v>
      </c>
      <c r="O1455" s="317">
        <v>2.8194524569501063E-2</v>
      </c>
      <c r="P1455" s="318">
        <v>1.7213689012794079E-2</v>
      </c>
      <c r="Q1455" s="319">
        <v>5.4760603663663128E-3</v>
      </c>
    </row>
    <row r="1456" spans="2:17" ht="15.75" x14ac:dyDescent="0.25">
      <c r="B1456" s="176">
        <v>2046</v>
      </c>
      <c r="C1456" s="177">
        <v>2036</v>
      </c>
      <c r="D1456" s="178" t="s">
        <v>4302</v>
      </c>
      <c r="E1456" s="461">
        <v>3.584747706588811E-2</v>
      </c>
      <c r="F1456" s="462">
        <v>3.6691649146900929E-2</v>
      </c>
      <c r="G1456" s="316">
        <v>6.1988020856284652E-2</v>
      </c>
      <c r="H1456" s="317">
        <v>2.7524367747525655E-3</v>
      </c>
      <c r="I1456" s="317">
        <v>4.4833180516033778E-2</v>
      </c>
      <c r="J1456" s="317">
        <v>2.1192417180825054E-2</v>
      </c>
      <c r="K1456" s="317">
        <v>4.9778127445869839E-3</v>
      </c>
      <c r="L1456" s="318">
        <v>5.7625624591759459E-4</v>
      </c>
      <c r="M1456" s="317">
        <v>2.7285540167746856E-3</v>
      </c>
      <c r="N1456" s="318">
        <v>2.0000005732018801E-3</v>
      </c>
      <c r="O1456" s="317">
        <v>2.8142698589138225E-2</v>
      </c>
      <c r="P1456" s="318">
        <v>1.7194517878530068E-2</v>
      </c>
      <c r="Q1456" s="319">
        <v>5.2028873481803021E-3</v>
      </c>
    </row>
    <row r="1457" spans="2:17" ht="15.75" x14ac:dyDescent="0.25">
      <c r="B1457" s="176">
        <v>2046</v>
      </c>
      <c r="C1457" s="177">
        <v>2037</v>
      </c>
      <c r="D1457" s="178" t="s">
        <v>4303</v>
      </c>
      <c r="E1457" s="461">
        <v>3.5781195825806557E-2</v>
      </c>
      <c r="F1457" s="462">
        <v>3.662437073680732E-2</v>
      </c>
      <c r="G1457" s="316">
        <v>6.0644320575589418E-2</v>
      </c>
      <c r="H1457" s="317">
        <v>2.7133727717093179E-3</v>
      </c>
      <c r="I1457" s="317">
        <v>4.3255197004801196E-2</v>
      </c>
      <c r="J1457" s="317">
        <v>2.0287380138800326E-2</v>
      </c>
      <c r="K1457" s="317">
        <v>4.69260127442565E-3</v>
      </c>
      <c r="L1457" s="318">
        <v>5.75365377819964E-4</v>
      </c>
      <c r="M1457" s="317">
        <v>2.7240088727049244E-3</v>
      </c>
      <c r="N1457" s="318">
        <v>2.0000005732018801E-3</v>
      </c>
      <c r="O1457" s="317">
        <v>2.806538568851159E-2</v>
      </c>
      <c r="P1457" s="318">
        <v>1.7182472789569244E-2</v>
      </c>
      <c r="Q1457" s="319">
        <v>4.9047798809454222E-3</v>
      </c>
    </row>
    <row r="1458" spans="2:17" ht="15.75" x14ac:dyDescent="0.25">
      <c r="B1458" s="176">
        <v>2046</v>
      </c>
      <c r="C1458" s="177">
        <v>2038</v>
      </c>
      <c r="D1458" s="178" t="s">
        <v>4304</v>
      </c>
      <c r="E1458" s="461">
        <v>3.5748889244016091E-2</v>
      </c>
      <c r="F1458" s="462">
        <v>3.6592582152313216E-2</v>
      </c>
      <c r="G1458" s="316">
        <v>5.9436780163995617E-2</v>
      </c>
      <c r="H1458" s="317">
        <v>2.6715314258662602E-3</v>
      </c>
      <c r="I1458" s="317">
        <v>4.1715224310336869E-2</v>
      </c>
      <c r="J1458" s="317">
        <v>1.9382158170589154E-2</v>
      </c>
      <c r="K1458" s="317">
        <v>4.4061599154745909E-3</v>
      </c>
      <c r="L1458" s="318">
        <v>5.751535497883403E-4</v>
      </c>
      <c r="M1458" s="317">
        <v>2.7221346985723174E-3</v>
      </c>
      <c r="N1458" s="318">
        <v>2.0000005732018805E-3</v>
      </c>
      <c r="O1458" s="317">
        <v>2.8033505986515949E-2</v>
      </c>
      <c r="P1458" s="318">
        <v>1.7181833963624167E-2</v>
      </c>
      <c r="Q1458" s="319">
        <v>4.6053869148073084E-3</v>
      </c>
    </row>
    <row r="1459" spans="2:17" ht="15.75" x14ac:dyDescent="0.25">
      <c r="B1459" s="176">
        <v>2046</v>
      </c>
      <c r="C1459" s="177">
        <v>2039</v>
      </c>
      <c r="D1459" s="178" t="s">
        <v>4305</v>
      </c>
      <c r="E1459" s="461">
        <v>3.5698081062965133E-2</v>
      </c>
      <c r="F1459" s="462">
        <v>3.6551778632820837E-2</v>
      </c>
      <c r="G1459" s="316">
        <v>5.8057162021259094E-2</v>
      </c>
      <c r="H1459" s="317">
        <v>2.6248000178035438E-3</v>
      </c>
      <c r="I1459" s="317">
        <v>4.0026042218728491E-2</v>
      </c>
      <c r="J1459" s="317">
        <v>1.8431092844344722E-2</v>
      </c>
      <c r="K1459" s="317">
        <v>4.096718500798611E-3</v>
      </c>
      <c r="L1459" s="318">
        <v>5.7463031101375557E-4</v>
      </c>
      <c r="M1459" s="317">
        <v>2.7188204869076499E-3</v>
      </c>
      <c r="N1459" s="318">
        <v>2.0000005732018801E-3</v>
      </c>
      <c r="O1459" s="317">
        <v>2.7977131246099948E-2</v>
      </c>
      <c r="P1459" s="318">
        <v>1.7176125877199716E-2</v>
      </c>
      <c r="Q1459" s="319">
        <v>4.2819539324856172E-3</v>
      </c>
    </row>
    <row r="1460" spans="2:17" ht="15.75" x14ac:dyDescent="0.25">
      <c r="B1460" s="176">
        <v>2046</v>
      </c>
      <c r="C1460" s="177">
        <v>2040</v>
      </c>
      <c r="D1460" s="178" t="s">
        <v>4306</v>
      </c>
      <c r="E1460" s="461">
        <v>3.5657039548898033E-2</v>
      </c>
      <c r="F1460" s="462">
        <v>3.6497839795462499E-2</v>
      </c>
      <c r="G1460" s="316">
        <v>5.666787519103713E-2</v>
      </c>
      <c r="H1460" s="317">
        <v>2.5701788026019426E-3</v>
      </c>
      <c r="I1460" s="317">
        <v>3.8285295944906789E-2</v>
      </c>
      <c r="J1460" s="317">
        <v>1.7485628540684618E-2</v>
      </c>
      <c r="K1460" s="317">
        <v>3.7753606172943248E-3</v>
      </c>
      <c r="L1460" s="318">
        <v>5.7386832736115636E-4</v>
      </c>
      <c r="M1460" s="317">
        <v>2.7162313350513369E-3</v>
      </c>
      <c r="N1460" s="318">
        <v>2.0000005732018801E-3</v>
      </c>
      <c r="O1460" s="317">
        <v>2.7933089773024059E-2</v>
      </c>
      <c r="P1460" s="318">
        <v>1.7165904509603251E-2</v>
      </c>
      <c r="Q1460" s="319">
        <v>3.9460656714937516E-3</v>
      </c>
    </row>
    <row r="1461" spans="2:17" ht="15.75" x14ac:dyDescent="0.25">
      <c r="B1461" s="176">
        <v>2046</v>
      </c>
      <c r="C1461" s="177">
        <v>2041</v>
      </c>
      <c r="D1461" s="178" t="s">
        <v>4307</v>
      </c>
      <c r="E1461" s="461">
        <v>3.5598804236398524E-2</v>
      </c>
      <c r="F1461" s="462">
        <v>3.6414483833487846E-2</v>
      </c>
      <c r="G1461" s="316">
        <v>5.5120112321663223E-2</v>
      </c>
      <c r="H1461" s="317">
        <v>2.5069190945615056E-3</v>
      </c>
      <c r="I1461" s="317">
        <v>3.6408085524751853E-2</v>
      </c>
      <c r="J1461" s="317">
        <v>2.7513986667092157E-2</v>
      </c>
      <c r="K1461" s="317">
        <v>3.4333715884375051E-3</v>
      </c>
      <c r="L1461" s="318">
        <v>5.7258616529097528E-4</v>
      </c>
      <c r="M1461" s="317">
        <v>2.7123049475253087E-3</v>
      </c>
      <c r="N1461" s="318">
        <v>2.0000005732018801E-3</v>
      </c>
      <c r="O1461" s="317">
        <v>2.7866301921206319E-2</v>
      </c>
      <c r="P1461" s="318">
        <v>1.7145443574693359E-2</v>
      </c>
      <c r="Q1461" s="319">
        <v>3.5886134163058661E-3</v>
      </c>
    </row>
    <row r="1462" spans="2:17" ht="15.75" x14ac:dyDescent="0.25">
      <c r="B1462" s="176">
        <v>2046</v>
      </c>
      <c r="C1462" s="177">
        <v>2042</v>
      </c>
      <c r="D1462" s="178" t="s">
        <v>4308</v>
      </c>
      <c r="E1462" s="461">
        <v>3.5580836225812144E-2</v>
      </c>
      <c r="F1462" s="462">
        <v>3.6405259300398722E-2</v>
      </c>
      <c r="G1462" s="316">
        <v>5.3725191983181944E-2</v>
      </c>
      <c r="H1462" s="317">
        <v>2.4466703762423478E-3</v>
      </c>
      <c r="I1462" s="317">
        <v>3.4568714472815107E-2</v>
      </c>
      <c r="J1462" s="317">
        <v>4.5217693516026697E-2</v>
      </c>
      <c r="K1462" s="317">
        <v>3.087916671796467E-3</v>
      </c>
      <c r="L1462" s="318">
        <v>5.7279707829513134E-4</v>
      </c>
      <c r="M1462" s="317">
        <v>2.7114682995281201E-3</v>
      </c>
      <c r="N1462" s="318">
        <v>2.0000005732018801E-3</v>
      </c>
      <c r="O1462" s="317">
        <v>2.785207053877415E-2</v>
      </c>
      <c r="P1462" s="318">
        <v>1.7149346650116859E-2</v>
      </c>
      <c r="Q1462" s="319">
        <v>3.2275385612678068E-3</v>
      </c>
    </row>
    <row r="1463" spans="2:17" ht="15.75" x14ac:dyDescent="0.25">
      <c r="B1463" s="176">
        <v>2046</v>
      </c>
      <c r="C1463" s="177">
        <v>2043</v>
      </c>
      <c r="D1463" s="178" t="s">
        <v>4309</v>
      </c>
      <c r="E1463" s="461">
        <v>3.557292203698461E-2</v>
      </c>
      <c r="F1463" s="462">
        <v>3.6388611424524861E-2</v>
      </c>
      <c r="G1463" s="316">
        <v>5.231168016246851E-2</v>
      </c>
      <c r="H1463" s="317">
        <v>2.4188510100958301E-3</v>
      </c>
      <c r="I1463" s="317">
        <v>3.2666511701827529E-2</v>
      </c>
      <c r="J1463" s="317">
        <v>7.2349473219509616E-2</v>
      </c>
      <c r="K1463" s="317">
        <v>2.7279998832094097E-3</v>
      </c>
      <c r="L1463" s="318">
        <v>5.7300374555774411E-4</v>
      </c>
      <c r="M1463" s="317">
        <v>2.7113447481108546E-3</v>
      </c>
      <c r="N1463" s="318">
        <v>2.0000005732018801E-3</v>
      </c>
      <c r="O1463" s="317">
        <v>2.7849968929166458E-2</v>
      </c>
      <c r="P1463" s="318">
        <v>1.7149441353554128E-2</v>
      </c>
      <c r="Q1463" s="319">
        <v>2.8513479326079424E-3</v>
      </c>
    </row>
    <row r="1464" spans="2:17" ht="15.75" x14ac:dyDescent="0.25">
      <c r="B1464" s="176">
        <v>2046</v>
      </c>
      <c r="C1464" s="177">
        <v>2044</v>
      </c>
      <c r="D1464" s="178" t="s">
        <v>4310</v>
      </c>
      <c r="E1464" s="461">
        <v>3.5536899240517755E-2</v>
      </c>
      <c r="F1464" s="462">
        <v>3.6342604090589113E-2</v>
      </c>
      <c r="G1464" s="316">
        <v>5.0680221048677143E-2</v>
      </c>
      <c r="H1464" s="317">
        <v>2.4607043167400059E-3</v>
      </c>
      <c r="I1464" s="317">
        <v>3.0598031874310656E-2</v>
      </c>
      <c r="J1464" s="317">
        <v>1.2055029987901093E-2</v>
      </c>
      <c r="K1464" s="317">
        <v>2.3451410251470366E-3</v>
      </c>
      <c r="L1464" s="318">
        <v>5.7281605745469972E-4</v>
      </c>
      <c r="M1464" s="317">
        <v>2.7089746035999064E-3</v>
      </c>
      <c r="N1464" s="318">
        <v>2.0000005732018805E-3</v>
      </c>
      <c r="O1464" s="317">
        <v>2.7809652771035236E-2</v>
      </c>
      <c r="P1464" s="318">
        <v>1.7138032446664776E-2</v>
      </c>
      <c r="Q1464" s="319">
        <v>2.4511778958950159E-3</v>
      </c>
    </row>
    <row r="1465" spans="2:17" ht="15.75" x14ac:dyDescent="0.25">
      <c r="B1465" s="176">
        <v>2046</v>
      </c>
      <c r="C1465" s="177">
        <v>2045</v>
      </c>
      <c r="D1465" s="178" t="s">
        <v>4311</v>
      </c>
      <c r="E1465" s="461">
        <v>3.5510812191698549E-2</v>
      </c>
      <c r="F1465" s="462">
        <v>3.6267910846308968E-2</v>
      </c>
      <c r="G1465" s="316">
        <v>4.9048622073029333E-2</v>
      </c>
      <c r="H1465" s="317">
        <v>2.3909553766171547E-3</v>
      </c>
      <c r="I1465" s="317">
        <v>2.8477198502230534E-2</v>
      </c>
      <c r="J1465" s="317">
        <v>1.376408616459306E-2</v>
      </c>
      <c r="K1465" s="317">
        <v>1.9491826078562003E-3</v>
      </c>
      <c r="L1465" s="318">
        <v>5.7172206038141025E-4</v>
      </c>
      <c r="M1465" s="317">
        <v>2.7076141284577112E-3</v>
      </c>
      <c r="N1465" s="318">
        <v>2.0000005732018706E-3</v>
      </c>
      <c r="O1465" s="317">
        <v>2.7786511088866483E-2</v>
      </c>
      <c r="P1465" s="318">
        <v>1.7121642276192211E-2</v>
      </c>
      <c r="Q1465" s="319">
        <v>2.0373159960137351E-3</v>
      </c>
    </row>
    <row r="1466" spans="2:17" ht="15.75" x14ac:dyDescent="0.25">
      <c r="B1466" s="176">
        <v>2046</v>
      </c>
      <c r="C1466" s="177">
        <v>2046</v>
      </c>
      <c r="D1466" s="178" t="s">
        <v>4312</v>
      </c>
      <c r="E1466" s="461">
        <v>3.5140974969233178E-2</v>
      </c>
      <c r="F1466" s="462">
        <v>3.5591054276586792E-2</v>
      </c>
      <c r="G1466" s="316">
        <v>4.5662526870739462E-2</v>
      </c>
      <c r="H1466" s="317">
        <v>2.2821489941975085E-3</v>
      </c>
      <c r="I1466" s="317">
        <v>2.5492599134820243E-2</v>
      </c>
      <c r="J1466" s="317">
        <v>1.2733894251418781E-2</v>
      </c>
      <c r="K1466" s="317">
        <v>1.4961542010882044E-3</v>
      </c>
      <c r="L1466" s="318">
        <v>5.5950249478645641E-4</v>
      </c>
      <c r="M1466" s="317">
        <v>2.6793277601653721E-3</v>
      </c>
      <c r="N1466" s="318">
        <v>2.0000005732018801E-3</v>
      </c>
      <c r="O1466" s="317">
        <v>2.7305359964213807E-2</v>
      </c>
      <c r="P1466" s="318">
        <v>1.6899480239277322E-2</v>
      </c>
      <c r="Q1466" s="319">
        <v>1.5638036549754778E-3</v>
      </c>
    </row>
    <row r="1467" spans="2:17" ht="15.75" x14ac:dyDescent="0.25">
      <c r="B1467" s="176">
        <v>2047</v>
      </c>
      <c r="C1467" s="177">
        <v>2003</v>
      </c>
      <c r="D1467" s="178" t="s">
        <v>4313</v>
      </c>
      <c r="E1467" s="461">
        <v>5.7700966128108377E-2</v>
      </c>
      <c r="F1467" s="462">
        <v>7.4043978041949718E-2</v>
      </c>
      <c r="G1467" s="316">
        <v>0.28331145925197804</v>
      </c>
      <c r="H1467" s="317">
        <v>7.139029724009481E-2</v>
      </c>
      <c r="I1467" s="317">
        <v>6.9414339275405599</v>
      </c>
      <c r="J1467" s="317">
        <v>0.39247761700744915</v>
      </c>
      <c r="K1467" s="317">
        <v>5.3533571748301714E-2</v>
      </c>
      <c r="L1467" s="318">
        <v>2.9749363922386847E-3</v>
      </c>
      <c r="M1467" s="317">
        <v>2.9795085318579783E-3</v>
      </c>
      <c r="N1467" s="318">
        <v>2.0000005732018801E-3</v>
      </c>
      <c r="O1467" s="317">
        <v>3.241143489070504E-2</v>
      </c>
      <c r="P1467" s="318">
        <v>1.8201218408701637E-2</v>
      </c>
      <c r="Q1467" s="319">
        <v>5.5954122311053532E-2</v>
      </c>
    </row>
    <row r="1468" spans="2:17" ht="15.75" x14ac:dyDescent="0.25">
      <c r="B1468" s="176">
        <v>2047</v>
      </c>
      <c r="C1468" s="177">
        <v>2004</v>
      </c>
      <c r="D1468" s="178" t="s">
        <v>4314</v>
      </c>
      <c r="E1468" s="461">
        <v>5.7669282228594604E-2</v>
      </c>
      <c r="F1468" s="462">
        <v>7.3805387406543729E-2</v>
      </c>
      <c r="G1468" s="316">
        <v>0.23353378216173021</v>
      </c>
      <c r="H1468" s="317">
        <v>1.8315241851503298E-2</v>
      </c>
      <c r="I1468" s="317">
        <v>5.7803338307420935</v>
      </c>
      <c r="J1468" s="317">
        <v>0.11591113326378361</v>
      </c>
      <c r="K1468" s="317">
        <v>5.3289366629876218E-2</v>
      </c>
      <c r="L1468" s="318">
        <v>1.9863258098043696E-4</v>
      </c>
      <c r="M1468" s="317">
        <v>2.973669587663172E-3</v>
      </c>
      <c r="N1468" s="318">
        <v>2.0000005732018801E-3</v>
      </c>
      <c r="O1468" s="317">
        <v>3.2312114449951385E-2</v>
      </c>
      <c r="P1468" s="318">
        <v>1.7833320202861273E-2</v>
      </c>
      <c r="Q1468" s="319">
        <v>5.5698875320817028E-2</v>
      </c>
    </row>
    <row r="1469" spans="2:17" ht="15.75" x14ac:dyDescent="0.25">
      <c r="B1469" s="176">
        <v>2047</v>
      </c>
      <c r="C1469" s="177">
        <v>2005</v>
      </c>
      <c r="D1469" s="178" t="s">
        <v>4315</v>
      </c>
      <c r="E1469" s="461">
        <v>5.7342973156394118E-2</v>
      </c>
      <c r="F1469" s="462">
        <v>7.0111050511840939E-2</v>
      </c>
      <c r="G1469" s="316">
        <v>0.22942058481853755</v>
      </c>
      <c r="H1469" s="317">
        <v>1.5960258329188837E-2</v>
      </c>
      <c r="I1469" s="317">
        <v>5.727389109949323</v>
      </c>
      <c r="J1469" s="317">
        <v>9.4303625331881677E-2</v>
      </c>
      <c r="K1469" s="317">
        <v>5.2923261216216801E-2</v>
      </c>
      <c r="L1469" s="318">
        <v>1.9926918704464631E-4</v>
      </c>
      <c r="M1469" s="317">
        <v>2.9563356114095767E-3</v>
      </c>
      <c r="N1469" s="318">
        <v>2.0000005732018801E-3</v>
      </c>
      <c r="O1469" s="317">
        <v>3.2017263513877722E-2</v>
      </c>
      <c r="P1469" s="318">
        <v>1.7119379924559187E-2</v>
      </c>
      <c r="Q1469" s="319">
        <v>5.5316216244920495E-2</v>
      </c>
    </row>
    <row r="1470" spans="2:17" ht="15.75" x14ac:dyDescent="0.25">
      <c r="B1470" s="176">
        <v>2047</v>
      </c>
      <c r="C1470" s="177">
        <v>2006</v>
      </c>
      <c r="D1470" s="178" t="s">
        <v>4316</v>
      </c>
      <c r="E1470" s="461">
        <v>5.7289876161106E-2</v>
      </c>
      <c r="F1470" s="462">
        <v>7.3625507743484336E-2</v>
      </c>
      <c r="G1470" s="316">
        <v>0.23013322743006887</v>
      </c>
      <c r="H1470" s="317">
        <v>6.0415221137071224E-3</v>
      </c>
      <c r="I1470" s="317">
        <v>5.7536391544204637</v>
      </c>
      <c r="J1470" s="317">
        <v>6.5637461875931655E-2</v>
      </c>
      <c r="K1470" s="317">
        <v>5.2888039665070066E-2</v>
      </c>
      <c r="L1470" s="318">
        <v>1.9544618809179406E-4</v>
      </c>
      <c r="M1470" s="317">
        <v>2.9622752787289179E-3</v>
      </c>
      <c r="N1470" s="318">
        <v>2.0000005732018801E-3</v>
      </c>
      <c r="O1470" s="317">
        <v>3.2118297254979715E-2</v>
      </c>
      <c r="P1470" s="318">
        <v>1.8885505723576765E-2</v>
      </c>
      <c r="Q1470" s="319">
        <v>5.5279402131524387E-2</v>
      </c>
    </row>
    <row r="1471" spans="2:17" ht="15.75" x14ac:dyDescent="0.25">
      <c r="B1471" s="176">
        <v>2047</v>
      </c>
      <c r="C1471" s="177">
        <v>2007</v>
      </c>
      <c r="D1471" s="178" t="s">
        <v>4317</v>
      </c>
      <c r="E1471" s="461">
        <v>5.6978694028336989E-2</v>
      </c>
      <c r="F1471" s="462">
        <v>6.9016180010316119E-2</v>
      </c>
      <c r="G1471" s="316">
        <v>0.162120815904054</v>
      </c>
      <c r="H1471" s="317">
        <v>8.5793882571211094E-3</v>
      </c>
      <c r="I1471" s="317">
        <v>2.8779201541949551</v>
      </c>
      <c r="J1471" s="317">
        <v>5.7537617249655539E-2</v>
      </c>
      <c r="K1471" s="317">
        <v>3.5902283035213832E-2</v>
      </c>
      <c r="L1471" s="318">
        <v>1.9859563616907503E-4</v>
      </c>
      <c r="M1471" s="317">
        <v>2.9272975820133803E-3</v>
      </c>
      <c r="N1471" s="318">
        <v>2.0000005732018801E-3</v>
      </c>
      <c r="O1471" s="317">
        <v>3.1523326633848429E-2</v>
      </c>
      <c r="P1471" s="318">
        <v>1.7429240484985151E-2</v>
      </c>
      <c r="Q1471" s="319">
        <v>3.752562496004478E-2</v>
      </c>
    </row>
    <row r="1472" spans="2:17" ht="15.75" x14ac:dyDescent="0.25">
      <c r="B1472" s="176">
        <v>2047</v>
      </c>
      <c r="C1472" s="177">
        <v>2008</v>
      </c>
      <c r="D1472" s="178" t="s">
        <v>4318</v>
      </c>
      <c r="E1472" s="461">
        <v>5.7112118311959316E-2</v>
      </c>
      <c r="F1472" s="462">
        <v>6.741286308667549E-2</v>
      </c>
      <c r="G1472" s="316">
        <v>0.16691128622038875</v>
      </c>
      <c r="H1472" s="317">
        <v>8.3309279860115451E-3</v>
      </c>
      <c r="I1472" s="317">
        <v>2.9680598404640408</v>
      </c>
      <c r="J1472" s="317">
        <v>4.6741221980028988E-2</v>
      </c>
      <c r="K1472" s="317">
        <v>3.6892531230538754E-2</v>
      </c>
      <c r="L1472" s="318">
        <v>2.2654106087333748E-4</v>
      </c>
      <c r="M1472" s="317">
        <v>2.9578392896043144E-3</v>
      </c>
      <c r="N1472" s="318">
        <v>2.0000005732018801E-3</v>
      </c>
      <c r="O1472" s="317">
        <v>3.2042841079970207E-2</v>
      </c>
      <c r="P1472" s="318">
        <v>1.7436902347480514E-2</v>
      </c>
      <c r="Q1472" s="319">
        <v>3.8560647784601006E-2</v>
      </c>
    </row>
    <row r="1473" spans="2:17" ht="15.75" x14ac:dyDescent="0.25">
      <c r="B1473" s="176">
        <v>2047</v>
      </c>
      <c r="C1473" s="177">
        <v>2009</v>
      </c>
      <c r="D1473" s="178" t="s">
        <v>4319</v>
      </c>
      <c r="E1473" s="461">
        <v>5.5911833965927756E-2</v>
      </c>
      <c r="F1473" s="462">
        <v>6.1894335150011318E-2</v>
      </c>
      <c r="G1473" s="316">
        <v>0.15103190429917893</v>
      </c>
      <c r="H1473" s="317">
        <v>8.1711381699403739E-3</v>
      </c>
      <c r="I1473" s="317">
        <v>2.5840483361569113</v>
      </c>
      <c r="J1473" s="317">
        <v>3.4042301612200378E-2</v>
      </c>
      <c r="K1473" s="317">
        <v>3.3383511351265278E-2</v>
      </c>
      <c r="L1473" s="318">
        <v>2.560450227274279E-4</v>
      </c>
      <c r="M1473" s="317">
        <v>2.8364103559170564E-3</v>
      </c>
      <c r="N1473" s="318">
        <v>2.0000005732018801E-3</v>
      </c>
      <c r="O1473" s="317">
        <v>2.9977334917949957E-2</v>
      </c>
      <c r="P1473" s="318">
        <v>1.6778131329979684E-2</v>
      </c>
      <c r="Q1473" s="319">
        <v>3.4892965597431894E-2</v>
      </c>
    </row>
    <row r="1474" spans="2:17" ht="15.75" x14ac:dyDescent="0.25">
      <c r="B1474" s="176">
        <v>2047</v>
      </c>
      <c r="C1474" s="177">
        <v>2010</v>
      </c>
      <c r="D1474" s="178" t="s">
        <v>4320</v>
      </c>
      <c r="E1474" s="461">
        <v>5.4824000001267199E-2</v>
      </c>
      <c r="F1474" s="462">
        <v>5.9921634446565286E-2</v>
      </c>
      <c r="G1474" s="316">
        <v>9.0832661979335164E-2</v>
      </c>
      <c r="H1474" s="317">
        <v>7.3353774112914216E-3</v>
      </c>
      <c r="I1474" s="317">
        <v>0.22866559184004395</v>
      </c>
      <c r="J1474" s="317">
        <v>3.3139217032851907E-2</v>
      </c>
      <c r="K1474" s="317">
        <v>1.9555861807483761E-2</v>
      </c>
      <c r="L1474" s="318">
        <v>3.1232746673331719E-4</v>
      </c>
      <c r="M1474" s="317">
        <v>2.7616314900227364E-3</v>
      </c>
      <c r="N1474" s="318">
        <v>2.0000005732018801E-3</v>
      </c>
      <c r="O1474" s="317">
        <v>2.8705346409087576E-2</v>
      </c>
      <c r="P1474" s="318">
        <v>1.6403951021825378E-2</v>
      </c>
      <c r="Q1474" s="319">
        <v>2.0440091100566611E-2</v>
      </c>
    </row>
    <row r="1475" spans="2:17" ht="15.75" x14ac:dyDescent="0.25">
      <c r="B1475" s="176">
        <v>2047</v>
      </c>
      <c r="C1475" s="177">
        <v>2011</v>
      </c>
      <c r="D1475" s="178" t="s">
        <v>4321</v>
      </c>
      <c r="E1475" s="461">
        <v>5.4691966184671537E-2</v>
      </c>
      <c r="F1475" s="462">
        <v>5.8674908167248067E-2</v>
      </c>
      <c r="G1475" s="316">
        <v>9.2264435738030864E-2</v>
      </c>
      <c r="H1475" s="317">
        <v>7.4435045615135987E-3</v>
      </c>
      <c r="I1475" s="317">
        <v>0.23382257840119988</v>
      </c>
      <c r="J1475" s="317">
        <v>3.3504046634241606E-2</v>
      </c>
      <c r="K1475" s="317">
        <v>1.9936700813759312E-2</v>
      </c>
      <c r="L1475" s="318">
        <v>4.2292902274430221E-4</v>
      </c>
      <c r="M1475" s="317">
        <v>2.7880911074185926E-3</v>
      </c>
      <c r="N1475" s="318">
        <v>2.0000005732018801E-3</v>
      </c>
      <c r="O1475" s="317">
        <v>2.9155424500991005E-2</v>
      </c>
      <c r="P1475" s="318">
        <v>1.6558071985895314E-2</v>
      </c>
      <c r="Q1475" s="319">
        <v>2.0838149956757944E-2</v>
      </c>
    </row>
    <row r="1476" spans="2:17" ht="15.75" x14ac:dyDescent="0.25">
      <c r="B1476" s="176">
        <v>2047</v>
      </c>
      <c r="C1476" s="177">
        <v>2012</v>
      </c>
      <c r="D1476" s="178" t="s">
        <v>4322</v>
      </c>
      <c r="E1476" s="461">
        <v>5.282713168496566E-2</v>
      </c>
      <c r="F1476" s="462">
        <v>5.8776133339211931E-2</v>
      </c>
      <c r="G1476" s="316">
        <v>8.2181672987397522E-2</v>
      </c>
      <c r="H1476" s="317">
        <v>7.0207125296681706E-3</v>
      </c>
      <c r="I1476" s="317">
        <v>0.2061486136372018</v>
      </c>
      <c r="J1476" s="317">
        <v>3.4688773129045503E-2</v>
      </c>
      <c r="K1476" s="317">
        <v>1.7993136398185471E-2</v>
      </c>
      <c r="L1476" s="318">
        <v>6.1350396634279013E-4</v>
      </c>
      <c r="M1476" s="317">
        <v>2.6754766831826086E-3</v>
      </c>
      <c r="N1476" s="318">
        <v>2.0000005732018801E-3</v>
      </c>
      <c r="O1476" s="317">
        <v>2.7239853144737005E-2</v>
      </c>
      <c r="P1476" s="318">
        <v>1.6975146235702829E-2</v>
      </c>
      <c r="Q1476" s="319">
        <v>1.8806706182751123E-2</v>
      </c>
    </row>
    <row r="1477" spans="2:17" ht="15.75" x14ac:dyDescent="0.25">
      <c r="B1477" s="176">
        <v>2047</v>
      </c>
      <c r="C1477" s="177">
        <v>2013</v>
      </c>
      <c r="D1477" s="178" t="s">
        <v>4323</v>
      </c>
      <c r="E1477" s="461">
        <v>5.5013774858006473E-2</v>
      </c>
      <c r="F1477" s="462">
        <v>5.759669706402544E-2</v>
      </c>
      <c r="G1477" s="316">
        <v>9.7828191739327761E-2</v>
      </c>
      <c r="H1477" s="317">
        <v>7.9532600790885796E-3</v>
      </c>
      <c r="I1477" s="317">
        <v>0.24822267605602275</v>
      </c>
      <c r="J1477" s="317">
        <v>3.3767248429809368E-2</v>
      </c>
      <c r="K1477" s="317">
        <v>2.0927005994265276E-2</v>
      </c>
      <c r="L1477" s="318">
        <v>9.1552119208510832E-4</v>
      </c>
      <c r="M1477" s="317">
        <v>2.8425285631662393E-3</v>
      </c>
      <c r="N1477" s="318">
        <v>2.0000005732018801E-3</v>
      </c>
      <c r="O1477" s="317">
        <v>3.0081405623258558E-2</v>
      </c>
      <c r="P1477" s="318">
        <v>1.709903433548806E-2</v>
      </c>
      <c r="Q1477" s="319">
        <v>2.1873232343112205E-2</v>
      </c>
    </row>
    <row r="1478" spans="2:17" ht="15.75" x14ac:dyDescent="0.25">
      <c r="B1478" s="176">
        <v>2047</v>
      </c>
      <c r="C1478" s="177">
        <v>2014</v>
      </c>
      <c r="D1478" s="178" t="s">
        <v>4324</v>
      </c>
      <c r="E1478" s="461">
        <v>5.2585723852002234E-2</v>
      </c>
      <c r="F1478" s="462">
        <v>5.5309093288737926E-2</v>
      </c>
      <c r="G1478" s="316">
        <v>8.9707118613289269E-2</v>
      </c>
      <c r="H1478" s="317">
        <v>8.0770566832025527E-3</v>
      </c>
      <c r="I1478" s="317">
        <v>0.22669343634190184</v>
      </c>
      <c r="J1478" s="317">
        <v>3.2299604462853383E-2</v>
      </c>
      <c r="K1478" s="317">
        <v>1.943740302053075E-2</v>
      </c>
      <c r="L1478" s="318">
        <v>1.2850295831338806E-3</v>
      </c>
      <c r="M1478" s="317">
        <v>2.7590200689182908E-3</v>
      </c>
      <c r="N1478" s="318">
        <v>2.0000005732018801E-3</v>
      </c>
      <c r="O1478" s="317">
        <v>2.8660926136100964E-2</v>
      </c>
      <c r="P1478" s="318">
        <v>1.661067219860338E-2</v>
      </c>
      <c r="Q1478" s="319">
        <v>2.0316276132920735E-2</v>
      </c>
    </row>
    <row r="1479" spans="2:17" ht="15.75" x14ac:dyDescent="0.25">
      <c r="B1479" s="176">
        <v>2047</v>
      </c>
      <c r="C1479" s="177">
        <v>2015</v>
      </c>
      <c r="D1479" s="178" t="s">
        <v>4325</v>
      </c>
      <c r="E1479" s="461">
        <v>5.1605439270291799E-2</v>
      </c>
      <c r="F1479" s="462">
        <v>5.8049152788445517E-2</v>
      </c>
      <c r="G1479" s="316">
        <v>8.6592975255099083E-2</v>
      </c>
      <c r="H1479" s="317">
        <v>8.0778282380152139E-3</v>
      </c>
      <c r="I1479" s="317">
        <v>0.22002596594216664</v>
      </c>
      <c r="J1479" s="317">
        <v>3.4053673396276442E-2</v>
      </c>
      <c r="K1479" s="317">
        <v>1.9010773745209382E-2</v>
      </c>
      <c r="L1479" s="318">
        <v>1.5950230587651508E-3</v>
      </c>
      <c r="M1479" s="317">
        <v>2.7408471174931023E-3</v>
      </c>
      <c r="N1479" s="318">
        <v>2.0000005732018805E-3</v>
      </c>
      <c r="O1479" s="317">
        <v>2.8351804232358505E-2</v>
      </c>
      <c r="P1479" s="318">
        <v>1.770480685774542E-2</v>
      </c>
      <c r="Q1479" s="319">
        <v>1.9870356574908609E-2</v>
      </c>
    </row>
    <row r="1480" spans="2:17" ht="15.75" x14ac:dyDescent="0.25">
      <c r="B1480" s="176">
        <v>2047</v>
      </c>
      <c r="C1480" s="177">
        <v>2016</v>
      </c>
      <c r="D1480" s="178" t="s">
        <v>4326</v>
      </c>
      <c r="E1480" s="461">
        <v>5.2025312387893333E-2</v>
      </c>
      <c r="F1480" s="462">
        <v>6.0099769974273957E-2</v>
      </c>
      <c r="G1480" s="316">
        <v>9.9302421271771746E-2</v>
      </c>
      <c r="H1480" s="317">
        <v>7.8357427987934165E-3</v>
      </c>
      <c r="I1480" s="317">
        <v>0.22414680920412217</v>
      </c>
      <c r="J1480" s="317">
        <v>3.4776895714289727E-2</v>
      </c>
      <c r="K1480" s="317">
        <v>2.1479678756281213E-2</v>
      </c>
      <c r="L1480" s="318">
        <v>1.8217921371389951E-3</v>
      </c>
      <c r="M1480" s="317">
        <v>2.8851415863123389E-3</v>
      </c>
      <c r="N1480" s="318">
        <v>2.0000005732018801E-3</v>
      </c>
      <c r="O1480" s="317">
        <v>3.0806253146973706E-2</v>
      </c>
      <c r="P1480" s="318">
        <v>1.8829101228061435E-2</v>
      </c>
      <c r="Q1480" s="319">
        <v>2.2450894514977431E-2</v>
      </c>
    </row>
    <row r="1481" spans="2:17" ht="15.75" x14ac:dyDescent="0.25">
      <c r="B1481" s="176">
        <v>2047</v>
      </c>
      <c r="C1481" s="177">
        <v>2017</v>
      </c>
      <c r="D1481" s="178" t="s">
        <v>4327</v>
      </c>
      <c r="E1481" s="461">
        <v>4.8752699226785795E-2</v>
      </c>
      <c r="F1481" s="462">
        <v>5.355117715766864E-2</v>
      </c>
      <c r="G1481" s="316">
        <v>8.0457135542065183E-2</v>
      </c>
      <c r="H1481" s="317">
        <v>7.8479344852404077E-3</v>
      </c>
      <c r="I1481" s="317">
        <v>0.17001967699598347</v>
      </c>
      <c r="J1481" s="317">
        <v>3.1829340960824154E-2</v>
      </c>
      <c r="K1481" s="317">
        <v>1.9892588238745117E-2</v>
      </c>
      <c r="L1481" s="318">
        <v>2.0087571469310831E-3</v>
      </c>
      <c r="M1481" s="317">
        <v>2.8547499720214926E-3</v>
      </c>
      <c r="N1481" s="318">
        <v>2.0000005732018801E-3</v>
      </c>
      <c r="O1481" s="317">
        <v>3.0289291787886412E-2</v>
      </c>
      <c r="P1481" s="318">
        <v>1.7621212600540323E-2</v>
      </c>
      <c r="Q1481" s="319">
        <v>2.0792042806848217E-2</v>
      </c>
    </row>
    <row r="1482" spans="2:17" ht="15.75" x14ac:dyDescent="0.25">
      <c r="B1482" s="176">
        <v>2047</v>
      </c>
      <c r="C1482" s="177">
        <v>2018</v>
      </c>
      <c r="D1482" s="178" t="s">
        <v>4328</v>
      </c>
      <c r="E1482" s="461">
        <v>4.559696416146914E-2</v>
      </c>
      <c r="F1482" s="462">
        <v>5.1173905414332879E-2</v>
      </c>
      <c r="G1482" s="316">
        <v>8.0177857380756307E-2</v>
      </c>
      <c r="H1482" s="317">
        <v>7.4948183313590109E-3</v>
      </c>
      <c r="I1482" s="317">
        <v>0.13928663641539096</v>
      </c>
      <c r="J1482" s="317">
        <v>3.0399745611682252E-2</v>
      </c>
      <c r="K1482" s="317">
        <v>1.8540908524048789E-2</v>
      </c>
      <c r="L1482" s="318">
        <v>2.0922249401928855E-3</v>
      </c>
      <c r="M1482" s="317">
        <v>2.8502022334945917E-3</v>
      </c>
      <c r="N1482" s="318">
        <v>2.0000005732018801E-3</v>
      </c>
      <c r="O1482" s="317">
        <v>3.0211934755543835E-2</v>
      </c>
      <c r="P1482" s="318">
        <v>1.7612370862634247E-2</v>
      </c>
      <c r="Q1482" s="319">
        <v>1.9379246133443228E-2</v>
      </c>
    </row>
    <row r="1483" spans="2:17" ht="15.75" x14ac:dyDescent="0.25">
      <c r="B1483" s="176">
        <v>2047</v>
      </c>
      <c r="C1483" s="177">
        <v>2019</v>
      </c>
      <c r="D1483" s="178" t="s">
        <v>4329</v>
      </c>
      <c r="E1483" s="461">
        <v>4.526631191357558E-2</v>
      </c>
      <c r="F1483" s="462">
        <v>4.9310330390187548E-2</v>
      </c>
      <c r="G1483" s="316">
        <v>7.9823076872859222E-2</v>
      </c>
      <c r="H1483" s="317">
        <v>6.7438942805612898E-3</v>
      </c>
      <c r="I1483" s="317">
        <v>0.12026852936766558</v>
      </c>
      <c r="J1483" s="317">
        <v>2.7619778598039466E-2</v>
      </c>
      <c r="K1483" s="317">
        <v>1.599036344473331E-2</v>
      </c>
      <c r="L1483" s="318">
        <v>1.9892076515553615E-3</v>
      </c>
      <c r="M1483" s="317">
        <v>2.8445977156556271E-3</v>
      </c>
      <c r="N1483" s="318">
        <v>2.0000005732018801E-3</v>
      </c>
      <c r="O1483" s="317">
        <v>3.0116601907103049E-2</v>
      </c>
      <c r="P1483" s="318">
        <v>1.7608635727402056E-2</v>
      </c>
      <c r="Q1483" s="319">
        <v>1.6713376723517321E-2</v>
      </c>
    </row>
    <row r="1484" spans="2:17" ht="15.75" x14ac:dyDescent="0.25">
      <c r="B1484" s="176">
        <v>2047</v>
      </c>
      <c r="C1484" s="177">
        <v>2020</v>
      </c>
      <c r="D1484" s="178" t="s">
        <v>4330</v>
      </c>
      <c r="E1484" s="461">
        <v>4.4844090260958258E-2</v>
      </c>
      <c r="F1484" s="462">
        <v>4.748230932455192E-2</v>
      </c>
      <c r="G1484" s="316">
        <v>7.9104856033217597E-2</v>
      </c>
      <c r="H1484" s="317">
        <v>5.8433257645236396E-3</v>
      </c>
      <c r="I1484" s="317">
        <v>0.10077298785363037</v>
      </c>
      <c r="J1484" s="317">
        <v>2.5480818092535107E-2</v>
      </c>
      <c r="K1484" s="317">
        <v>1.3393953819391232E-2</v>
      </c>
      <c r="L1484" s="318">
        <v>1.4768166039081962E-3</v>
      </c>
      <c r="M1484" s="317">
        <v>2.8338471233136566E-3</v>
      </c>
      <c r="N1484" s="318">
        <v>2.0000005732018801E-3</v>
      </c>
      <c r="O1484" s="317">
        <v>2.9933734331366129E-2</v>
      </c>
      <c r="P1484" s="318">
        <v>1.7614993031115939E-2</v>
      </c>
      <c r="Q1484" s="319">
        <v>1.3999568976314349E-2</v>
      </c>
    </row>
    <row r="1485" spans="2:17" ht="15.75" x14ac:dyDescent="0.25">
      <c r="B1485" s="176">
        <v>2047</v>
      </c>
      <c r="C1485" s="177">
        <v>2021</v>
      </c>
      <c r="D1485" s="178" t="s">
        <v>4331</v>
      </c>
      <c r="E1485" s="461">
        <v>4.3559512092123179E-2</v>
      </c>
      <c r="F1485" s="462">
        <v>4.539487721048429E-2</v>
      </c>
      <c r="G1485" s="316">
        <v>7.7207882422506438E-2</v>
      </c>
      <c r="H1485" s="317">
        <v>5.1587313526998829E-3</v>
      </c>
      <c r="I1485" s="317">
        <v>7.8733701424924404E-2</v>
      </c>
      <c r="J1485" s="317">
        <v>2.4450799063573538E-2</v>
      </c>
      <c r="K1485" s="317">
        <v>1.0055454466415793E-2</v>
      </c>
      <c r="L1485" s="318">
        <v>9.8411132628641626E-4</v>
      </c>
      <c r="M1485" s="317">
        <v>2.8328569200425781E-3</v>
      </c>
      <c r="N1485" s="318">
        <v>2.0000005732018797E-3</v>
      </c>
      <c r="O1485" s="317">
        <v>2.9916890973724995E-2</v>
      </c>
      <c r="P1485" s="318">
        <v>1.7626402711233193E-2</v>
      </c>
      <c r="Q1485" s="319">
        <v>1.0510117496968719E-2</v>
      </c>
    </row>
    <row r="1486" spans="2:17" ht="15.75" x14ac:dyDescent="0.25">
      <c r="B1486" s="176">
        <v>2047</v>
      </c>
      <c r="C1486" s="177">
        <v>2022</v>
      </c>
      <c r="D1486" s="178" t="s">
        <v>4332</v>
      </c>
      <c r="E1486" s="461">
        <v>4.2312184069758972E-2</v>
      </c>
      <c r="F1486" s="462">
        <v>4.3619533754581566E-2</v>
      </c>
      <c r="G1486" s="316">
        <v>7.6750468877430575E-2</v>
      </c>
      <c r="H1486" s="317">
        <v>4.3683955568515117E-3</v>
      </c>
      <c r="I1486" s="317">
        <v>5.9791501264468645E-2</v>
      </c>
      <c r="J1486" s="317">
        <v>2.3362890672102735E-2</v>
      </c>
      <c r="K1486" s="317">
        <v>7.547088515670374E-3</v>
      </c>
      <c r="L1486" s="318">
        <v>9.8160421689178498E-4</v>
      </c>
      <c r="M1486" s="317">
        <v>2.8267628118118864E-3</v>
      </c>
      <c r="N1486" s="318">
        <v>2.0000005732018801E-3</v>
      </c>
      <c r="O1486" s="317">
        <v>2.9813230192721009E-2</v>
      </c>
      <c r="P1486" s="318">
        <v>1.7584015437338819E-2</v>
      </c>
      <c r="Q1486" s="319">
        <v>7.8883343686396955E-3</v>
      </c>
    </row>
    <row r="1487" spans="2:17" ht="15.75" x14ac:dyDescent="0.25">
      <c r="B1487" s="176">
        <v>2047</v>
      </c>
      <c r="C1487" s="177">
        <v>2023</v>
      </c>
      <c r="D1487" s="178" t="s">
        <v>4333</v>
      </c>
      <c r="E1487" s="461">
        <v>4.106757201180538E-2</v>
      </c>
      <c r="F1487" s="462">
        <v>4.1848960074316578E-2</v>
      </c>
      <c r="G1487" s="316">
        <v>7.6307464807905137E-2</v>
      </c>
      <c r="H1487" s="317">
        <v>3.8181423731791335E-3</v>
      </c>
      <c r="I1487" s="317">
        <v>5.9470930087557092E-2</v>
      </c>
      <c r="J1487" s="317">
        <v>2.4214843904859732E-2</v>
      </c>
      <c r="K1487" s="317">
        <v>7.5016484751377031E-3</v>
      </c>
      <c r="L1487" s="318">
        <v>9.7889120220220134E-4</v>
      </c>
      <c r="M1487" s="317">
        <v>2.8208635406830771E-3</v>
      </c>
      <c r="N1487" s="318">
        <v>2.0000005732018801E-3</v>
      </c>
      <c r="O1487" s="317">
        <v>2.9712883590819972E-2</v>
      </c>
      <c r="P1487" s="318">
        <v>1.7542425158177968E-2</v>
      </c>
      <c r="Q1487" s="319">
        <v>7.8408397311113369E-3</v>
      </c>
    </row>
    <row r="1488" spans="2:17" ht="15.75" x14ac:dyDescent="0.25">
      <c r="B1488" s="176">
        <v>2047</v>
      </c>
      <c r="C1488" s="177">
        <v>2024</v>
      </c>
      <c r="D1488" s="178" t="s">
        <v>4334</v>
      </c>
      <c r="E1488" s="461">
        <v>3.9841508599345897E-2</v>
      </c>
      <c r="F1488" s="462">
        <v>4.0126612379903996E-2</v>
      </c>
      <c r="G1488" s="316">
        <v>7.5689746849561729E-2</v>
      </c>
      <c r="H1488" s="317">
        <v>3.3322317082214751E-3</v>
      </c>
      <c r="I1488" s="317">
        <v>5.8990305293659499E-2</v>
      </c>
      <c r="J1488" s="317">
        <v>2.6180645243078202E-2</v>
      </c>
      <c r="K1488" s="317">
        <v>7.4296824997400228E-3</v>
      </c>
      <c r="L1488" s="318">
        <v>9.7659649439273133E-4</v>
      </c>
      <c r="M1488" s="317">
        <v>2.8136322159913688E-3</v>
      </c>
      <c r="N1488" s="318">
        <v>2.0000005732018801E-3</v>
      </c>
      <c r="O1488" s="317">
        <v>2.9589878757814009E-2</v>
      </c>
      <c r="P1488" s="318">
        <v>1.7508854988041361E-2</v>
      </c>
      <c r="Q1488" s="319">
        <v>7.7656197736504558E-3</v>
      </c>
    </row>
    <row r="1489" spans="2:17" ht="15.75" x14ac:dyDescent="0.25">
      <c r="B1489" s="176">
        <v>2047</v>
      </c>
      <c r="C1489" s="177">
        <v>2025</v>
      </c>
      <c r="D1489" s="178" t="s">
        <v>4335</v>
      </c>
      <c r="E1489" s="461">
        <v>3.8601399868814619E-2</v>
      </c>
      <c r="F1489" s="462">
        <v>3.8431706204332922E-2</v>
      </c>
      <c r="G1489" s="316">
        <v>7.4924393537267639E-2</v>
      </c>
      <c r="H1489" s="317">
        <v>3.0572963619055482E-3</v>
      </c>
      <c r="I1489" s="317">
        <v>5.836051509314024E-2</v>
      </c>
      <c r="J1489" s="317">
        <v>2.9123974763534208E-2</v>
      </c>
      <c r="K1489" s="317">
        <v>7.3317748716308986E-3</v>
      </c>
      <c r="L1489" s="318">
        <v>9.7465446843400473E-4</v>
      </c>
      <c r="M1489" s="317">
        <v>2.8055147866601921E-3</v>
      </c>
      <c r="N1489" s="318">
        <v>2.0000005732018801E-3</v>
      </c>
      <c r="O1489" s="317">
        <v>2.9451801284890698E-2</v>
      </c>
      <c r="P1489" s="318">
        <v>1.7482883521941738E-2</v>
      </c>
      <c r="Q1489" s="319">
        <v>7.6632851970568983E-3</v>
      </c>
    </row>
    <row r="1490" spans="2:17" ht="15.75" x14ac:dyDescent="0.25">
      <c r="B1490" s="176">
        <v>2047</v>
      </c>
      <c r="C1490" s="177">
        <v>2026</v>
      </c>
      <c r="D1490" s="178" t="s">
        <v>4336</v>
      </c>
      <c r="E1490" s="461">
        <v>3.7642041426122708E-2</v>
      </c>
      <c r="F1490" s="462">
        <v>3.8064892555466322E-2</v>
      </c>
      <c r="G1490" s="316">
        <v>7.4099227043430194E-2</v>
      </c>
      <c r="H1490" s="317">
        <v>3.0459540856522748E-3</v>
      </c>
      <c r="I1490" s="317">
        <v>5.7643113897999199E-2</v>
      </c>
      <c r="J1490" s="317">
        <v>2.888830322942311E-2</v>
      </c>
      <c r="K1490" s="317">
        <v>7.2167330562014258E-3</v>
      </c>
      <c r="L1490" s="318">
        <v>8.5358658866076123E-4</v>
      </c>
      <c r="M1490" s="317">
        <v>2.7975769242433598E-3</v>
      </c>
      <c r="N1490" s="318">
        <v>2.0000005732018801E-3</v>
      </c>
      <c r="O1490" s="317">
        <v>2.9316778245180378E-2</v>
      </c>
      <c r="P1490" s="318">
        <v>1.7450744391254488E-2</v>
      </c>
      <c r="Q1490" s="319">
        <v>7.5430417012242006E-3</v>
      </c>
    </row>
    <row r="1491" spans="2:17" ht="15.75" x14ac:dyDescent="0.25">
      <c r="B1491" s="176">
        <v>2047</v>
      </c>
      <c r="C1491" s="177">
        <v>2027</v>
      </c>
      <c r="D1491" s="178" t="s">
        <v>4337</v>
      </c>
      <c r="E1491" s="461">
        <v>3.6752238688536401E-2</v>
      </c>
      <c r="F1491" s="462">
        <v>3.7754714843911893E-2</v>
      </c>
      <c r="G1491" s="316">
        <v>7.3297426739321742E-2</v>
      </c>
      <c r="H1491" s="317">
        <v>3.0316471864772561E-3</v>
      </c>
      <c r="I1491" s="317">
        <v>5.6895171378165854E-2</v>
      </c>
      <c r="J1491" s="317">
        <v>2.8462113481008227E-2</v>
      </c>
      <c r="K1491" s="317">
        <v>7.0924621618762007E-3</v>
      </c>
      <c r="L1491" s="318">
        <v>7.1321443070518364E-4</v>
      </c>
      <c r="M1491" s="317">
        <v>2.790775018818394E-3</v>
      </c>
      <c r="N1491" s="318">
        <v>2.0000005732018801E-3</v>
      </c>
      <c r="O1491" s="317">
        <v>2.920107783390171E-2</v>
      </c>
      <c r="P1491" s="318">
        <v>1.7430834854580364E-2</v>
      </c>
      <c r="Q1491" s="319">
        <v>7.413151828501518E-3</v>
      </c>
    </row>
    <row r="1492" spans="2:17" ht="15.75" x14ac:dyDescent="0.25">
      <c r="B1492" s="176">
        <v>2047</v>
      </c>
      <c r="C1492" s="177">
        <v>2028</v>
      </c>
      <c r="D1492" s="178" t="s">
        <v>4338</v>
      </c>
      <c r="E1492" s="461">
        <v>3.6649163894248833E-2</v>
      </c>
      <c r="F1492" s="462">
        <v>3.7625327075772048E-2</v>
      </c>
      <c r="G1492" s="316">
        <v>7.2400388066474086E-2</v>
      </c>
      <c r="H1492" s="317">
        <v>3.0151390049238643E-3</v>
      </c>
      <c r="I1492" s="317">
        <v>5.6037393731890393E-2</v>
      </c>
      <c r="J1492" s="317">
        <v>2.8019950207730689E-2</v>
      </c>
      <c r="K1492" s="317">
        <v>6.9483041515906816E-3</v>
      </c>
      <c r="L1492" s="318">
        <v>5.9189190015840245E-4</v>
      </c>
      <c r="M1492" s="317">
        <v>2.7836935011462251E-3</v>
      </c>
      <c r="N1492" s="318">
        <v>2.0000005732018801E-3</v>
      </c>
      <c r="O1492" s="317">
        <v>2.908062121829812E-2</v>
      </c>
      <c r="P1492" s="318">
        <v>1.7399858056537827E-2</v>
      </c>
      <c r="Q1492" s="319">
        <v>7.2624756326825904E-3</v>
      </c>
    </row>
    <row r="1493" spans="2:17" ht="15.75" x14ac:dyDescent="0.25">
      <c r="B1493" s="176">
        <v>2047</v>
      </c>
      <c r="C1493" s="177">
        <v>2029</v>
      </c>
      <c r="D1493" s="178" t="s">
        <v>4339</v>
      </c>
      <c r="E1493" s="461">
        <v>3.6557541648861935E-2</v>
      </c>
      <c r="F1493" s="462">
        <v>3.7519573428975252E-2</v>
      </c>
      <c r="G1493" s="316">
        <v>7.1500618942652375E-2</v>
      </c>
      <c r="H1493" s="317">
        <v>2.9964617129707135E-3</v>
      </c>
      <c r="I1493" s="317">
        <v>5.5133200225242901E-2</v>
      </c>
      <c r="J1493" s="317">
        <v>2.7501126980000925E-2</v>
      </c>
      <c r="K1493" s="317">
        <v>6.7929633228455185E-3</v>
      </c>
      <c r="L1493" s="318">
        <v>5.8999342789566554E-4</v>
      </c>
      <c r="M1493" s="317">
        <v>2.7774189513648209E-3</v>
      </c>
      <c r="N1493" s="318">
        <v>2.0000005732018801E-3</v>
      </c>
      <c r="O1493" s="317">
        <v>2.8973891126516348E-2</v>
      </c>
      <c r="P1493" s="318">
        <v>1.7376499059481083E-2</v>
      </c>
      <c r="Q1493" s="319">
        <v>7.10011098097628E-3</v>
      </c>
    </row>
    <row r="1494" spans="2:17" ht="15.75" x14ac:dyDescent="0.25">
      <c r="B1494" s="176">
        <v>2047</v>
      </c>
      <c r="C1494" s="177">
        <v>2030</v>
      </c>
      <c r="D1494" s="178" t="s">
        <v>4340</v>
      </c>
      <c r="E1494" s="461">
        <v>3.6417131398933565E-2</v>
      </c>
      <c r="F1494" s="462">
        <v>3.7358467689530002E-2</v>
      </c>
      <c r="G1494" s="316">
        <v>7.0230056444885725E-2</v>
      </c>
      <c r="H1494" s="317">
        <v>2.9733760187927545E-3</v>
      </c>
      <c r="I1494" s="317">
        <v>5.3936103729332892E-2</v>
      </c>
      <c r="J1494" s="317">
        <v>2.6815025020180662E-2</v>
      </c>
      <c r="K1494" s="317">
        <v>6.5934583121935036E-3</v>
      </c>
      <c r="L1494" s="318">
        <v>5.86968139343413E-4</v>
      </c>
      <c r="M1494" s="317">
        <v>2.7674264228710458E-3</v>
      </c>
      <c r="N1494" s="318">
        <v>2.0000005732018801E-3</v>
      </c>
      <c r="O1494" s="317">
        <v>2.880391821683732E-2</v>
      </c>
      <c r="P1494" s="318">
        <v>1.7335634474395165E-2</v>
      </c>
      <c r="Q1494" s="319">
        <v>6.8915852390329475E-3</v>
      </c>
    </row>
    <row r="1495" spans="2:17" ht="15.75" x14ac:dyDescent="0.25">
      <c r="B1495" s="176">
        <v>2047</v>
      </c>
      <c r="C1495" s="177">
        <v>2031</v>
      </c>
      <c r="D1495" s="178" t="s">
        <v>4341</v>
      </c>
      <c r="E1495" s="461">
        <v>3.6303817080856504E-2</v>
      </c>
      <c r="F1495" s="462">
        <v>3.722265965443379E-2</v>
      </c>
      <c r="G1495" s="316">
        <v>6.906072264878596E-2</v>
      </c>
      <c r="H1495" s="317">
        <v>2.9474661364340569E-3</v>
      </c>
      <c r="I1495" s="317">
        <v>5.2765418230053138E-2</v>
      </c>
      <c r="J1495" s="317">
        <v>2.6198048235676681E-2</v>
      </c>
      <c r="K1495" s="317">
        <v>6.3932364314582147E-3</v>
      </c>
      <c r="L1495" s="318">
        <v>5.8447797889565932E-4</v>
      </c>
      <c r="M1495" s="317">
        <v>2.7594950220646442E-3</v>
      </c>
      <c r="N1495" s="318">
        <v>2.0000005732018797E-3</v>
      </c>
      <c r="O1495" s="317">
        <v>2.8669005089120552E-2</v>
      </c>
      <c r="P1495" s="318">
        <v>1.7302832513897914E-2</v>
      </c>
      <c r="Q1495" s="319">
        <v>6.6823102133222526E-3</v>
      </c>
    </row>
    <row r="1496" spans="2:17" ht="15.75" x14ac:dyDescent="0.25">
      <c r="B1496" s="176">
        <v>2047</v>
      </c>
      <c r="C1496" s="177">
        <v>2032</v>
      </c>
      <c r="D1496" s="178" t="s">
        <v>4342</v>
      </c>
      <c r="E1496" s="461">
        <v>3.6198791961746725E-2</v>
      </c>
      <c r="F1496" s="462">
        <v>3.7126346232792942E-2</v>
      </c>
      <c r="G1496" s="316">
        <v>6.78751073838256E-2</v>
      </c>
      <c r="H1496" s="317">
        <v>2.9211004380156448E-3</v>
      </c>
      <c r="I1496" s="317">
        <v>5.1542136312637425E-2</v>
      </c>
      <c r="J1496" s="317">
        <v>2.5453252775731246E-2</v>
      </c>
      <c r="K1496" s="317">
        <v>6.1815933747627156E-3</v>
      </c>
      <c r="L1496" s="318">
        <v>5.8289677955496296E-4</v>
      </c>
      <c r="M1496" s="317">
        <v>2.7521487588056223E-3</v>
      </c>
      <c r="N1496" s="318">
        <v>2.0000005732018801E-3</v>
      </c>
      <c r="O1496" s="317">
        <v>2.8544045151084455E-2</v>
      </c>
      <c r="P1496" s="318">
        <v>1.7282050757048271E-2</v>
      </c>
      <c r="Q1496" s="319">
        <v>6.4610975967551399E-3</v>
      </c>
    </row>
    <row r="1497" spans="2:17" ht="15.75" x14ac:dyDescent="0.25">
      <c r="B1497" s="176">
        <v>2047</v>
      </c>
      <c r="C1497" s="177">
        <v>2033</v>
      </c>
      <c r="D1497" s="178" t="s">
        <v>4343</v>
      </c>
      <c r="E1497" s="461">
        <v>3.6120442941899908E-2</v>
      </c>
      <c r="F1497" s="462">
        <v>3.7019777594615388E-2</v>
      </c>
      <c r="G1497" s="316">
        <v>6.6784745137621934E-2</v>
      </c>
      <c r="H1497" s="317">
        <v>2.8913071565081221E-3</v>
      </c>
      <c r="I1497" s="317">
        <v>5.0339703246626351E-2</v>
      </c>
      <c r="J1497" s="317">
        <v>2.4639931110615076E-2</v>
      </c>
      <c r="K1497" s="317">
        <v>5.9681118813011153E-3</v>
      </c>
      <c r="L1497" s="318">
        <v>5.8112804144568736E-4</v>
      </c>
      <c r="M1497" s="317">
        <v>2.7467906919731461E-3</v>
      </c>
      <c r="N1497" s="318">
        <v>2.0000005732018801E-3</v>
      </c>
      <c r="O1497" s="317">
        <v>2.8452904434264046E-2</v>
      </c>
      <c r="P1497" s="318">
        <v>1.7258062831544862E-2</v>
      </c>
      <c r="Q1497" s="319">
        <v>6.2379634174693091E-3</v>
      </c>
    </row>
    <row r="1498" spans="2:17" ht="15.75" x14ac:dyDescent="0.25">
      <c r="B1498" s="176">
        <v>2047</v>
      </c>
      <c r="C1498" s="177">
        <v>2034</v>
      </c>
      <c r="D1498" s="178" t="s">
        <v>4344</v>
      </c>
      <c r="E1498" s="461">
        <v>3.6030966505423395E-2</v>
      </c>
      <c r="F1498" s="462">
        <v>3.6935814933980134E-2</v>
      </c>
      <c r="G1498" s="316">
        <v>6.5561877887178044E-2</v>
      </c>
      <c r="H1498" s="317">
        <v>2.859286335247594E-3</v>
      </c>
      <c r="I1498" s="317">
        <v>4.900850430100151E-2</v>
      </c>
      <c r="J1498" s="317">
        <v>2.3813644348639248E-2</v>
      </c>
      <c r="K1498" s="317">
        <v>5.7333208255923506E-3</v>
      </c>
      <c r="L1498" s="318">
        <v>5.7982447196804141E-4</v>
      </c>
      <c r="M1498" s="317">
        <v>2.7405725843638179E-3</v>
      </c>
      <c r="N1498" s="318">
        <v>2.0000005732018801E-3</v>
      </c>
      <c r="O1498" s="317">
        <v>2.8347134423829374E-2</v>
      </c>
      <c r="P1498" s="318">
        <v>1.7241438979585008E-2</v>
      </c>
      <c r="Q1498" s="319">
        <v>5.9925561520912662E-3</v>
      </c>
    </row>
    <row r="1499" spans="2:17" ht="15.75" x14ac:dyDescent="0.25">
      <c r="B1499" s="176">
        <v>2047</v>
      </c>
      <c r="C1499" s="177">
        <v>2035</v>
      </c>
      <c r="D1499" s="178" t="s">
        <v>4345</v>
      </c>
      <c r="E1499" s="461">
        <v>3.5968908986803716E-2</v>
      </c>
      <c r="F1499" s="462">
        <v>3.6858980315478261E-2</v>
      </c>
      <c r="G1499" s="316">
        <v>6.4439063708843669E-2</v>
      </c>
      <c r="H1499" s="317">
        <v>2.8253166498393213E-3</v>
      </c>
      <c r="I1499" s="317">
        <v>4.7699239503888817E-2</v>
      </c>
      <c r="J1499" s="317">
        <v>2.2933127952844381E-2</v>
      </c>
      <c r="K1499" s="317">
        <v>5.4965339123779463E-3</v>
      </c>
      <c r="L1499" s="318">
        <v>5.7868716404800612E-4</v>
      </c>
      <c r="M1499" s="317">
        <v>2.7364173505543894E-3</v>
      </c>
      <c r="N1499" s="318">
        <v>2.0000005732018805E-3</v>
      </c>
      <c r="O1499" s="317">
        <v>2.8276453896730985E-2</v>
      </c>
      <c r="P1499" s="318">
        <v>1.7226829853895381E-2</v>
      </c>
      <c r="Q1499" s="319">
        <v>5.7450627853876781E-3</v>
      </c>
    </row>
    <row r="1500" spans="2:17" ht="15.75" x14ac:dyDescent="0.25">
      <c r="B1500" s="176">
        <v>2047</v>
      </c>
      <c r="C1500" s="177">
        <v>2036</v>
      </c>
      <c r="D1500" s="178" t="s">
        <v>4346</v>
      </c>
      <c r="E1500" s="461">
        <v>3.5896868049809544E-2</v>
      </c>
      <c r="F1500" s="462">
        <v>3.6785260611903021E-2</v>
      </c>
      <c r="G1500" s="316">
        <v>6.3191099261301467E-2</v>
      </c>
      <c r="H1500" s="317">
        <v>2.7896813047159274E-3</v>
      </c>
      <c r="I1500" s="317">
        <v>4.6267481273682617E-2</v>
      </c>
      <c r="J1500" s="317">
        <v>2.2091931238402241E-2</v>
      </c>
      <c r="K1500" s="317">
        <v>5.239465427119388E-3</v>
      </c>
      <c r="L1500" s="318">
        <v>5.7760533715491447E-4</v>
      </c>
      <c r="M1500" s="317">
        <v>2.7314985160365379E-3</v>
      </c>
      <c r="N1500" s="318">
        <v>2.0000005732018801E-3</v>
      </c>
      <c r="O1500" s="317">
        <v>2.8192784521582335E-2</v>
      </c>
      <c r="P1500" s="318">
        <v>1.721336168551596E-2</v>
      </c>
      <c r="Q1500" s="319">
        <v>5.4763708039502297E-3</v>
      </c>
    </row>
    <row r="1501" spans="2:17" ht="15.75" x14ac:dyDescent="0.25">
      <c r="B1501" s="176">
        <v>2047</v>
      </c>
      <c r="C1501" s="177">
        <v>2037</v>
      </c>
      <c r="D1501" s="178" t="s">
        <v>4347</v>
      </c>
      <c r="E1501" s="461">
        <v>3.5849696734026194E-2</v>
      </c>
      <c r="F1501" s="462">
        <v>3.6694529481765277E-2</v>
      </c>
      <c r="G1501" s="316">
        <v>6.2024949075860016E-2</v>
      </c>
      <c r="H1501" s="317">
        <v>2.7517269518076365E-3</v>
      </c>
      <c r="I1501" s="317">
        <v>4.4843535847472707E-2</v>
      </c>
      <c r="J1501" s="317">
        <v>2.1193329348127427E-2</v>
      </c>
      <c r="K1501" s="317">
        <v>4.9781383287310858E-3</v>
      </c>
      <c r="L1501" s="318">
        <v>5.7617429125275286E-4</v>
      </c>
      <c r="M1501" s="317">
        <v>2.7284564211979717E-3</v>
      </c>
      <c r="N1501" s="318">
        <v>2.0000005732018801E-3</v>
      </c>
      <c r="O1501" s="317">
        <v>2.8141038488378324E-2</v>
      </c>
      <c r="P1501" s="318">
        <v>1.7194208823334958E-2</v>
      </c>
      <c r="Q1501" s="319">
        <v>5.2032276537946351E-3</v>
      </c>
    </row>
    <row r="1502" spans="2:17" ht="15.75" x14ac:dyDescent="0.25">
      <c r="B1502" s="176">
        <v>2047</v>
      </c>
      <c r="C1502" s="177">
        <v>2038</v>
      </c>
      <c r="D1502" s="178" t="s">
        <v>4348</v>
      </c>
      <c r="E1502" s="461">
        <v>3.5783392563623284E-2</v>
      </c>
      <c r="F1502" s="462">
        <v>3.662716206991086E-2</v>
      </c>
      <c r="G1502" s="316">
        <v>6.0680814780770517E-2</v>
      </c>
      <c r="H1502" s="317">
        <v>2.7129182610726604E-3</v>
      </c>
      <c r="I1502" s="317">
        <v>4.3265332054716887E-2</v>
      </c>
      <c r="J1502" s="317">
        <v>2.0292970555747785E-2</v>
      </c>
      <c r="K1502" s="317">
        <v>4.6929232433956369E-3</v>
      </c>
      <c r="L1502" s="318">
        <v>5.7528309779929178E-4</v>
      </c>
      <c r="M1502" s="317">
        <v>2.7239138858663591E-3</v>
      </c>
      <c r="N1502" s="318">
        <v>2.0000005732018801E-3</v>
      </c>
      <c r="O1502" s="317">
        <v>2.8063769962387585E-2</v>
      </c>
      <c r="P1502" s="318">
        <v>1.7182170183189124E-2</v>
      </c>
      <c r="Q1502" s="319">
        <v>4.9051164079235163E-3</v>
      </c>
    </row>
    <row r="1503" spans="2:17" ht="15.75" x14ac:dyDescent="0.25">
      <c r="B1503" s="176">
        <v>2047</v>
      </c>
      <c r="C1503" s="177">
        <v>2039</v>
      </c>
      <c r="D1503" s="178" t="s">
        <v>4349</v>
      </c>
      <c r="E1503" s="461">
        <v>3.5751051107754103E-2</v>
      </c>
      <c r="F1503" s="462">
        <v>3.6595364883617011E-2</v>
      </c>
      <c r="G1503" s="316">
        <v>5.9472565035451785E-2</v>
      </c>
      <c r="H1503" s="317">
        <v>2.6724273504716025E-3</v>
      </c>
      <c r="I1503" s="317">
        <v>4.1725022897290499E-2</v>
      </c>
      <c r="J1503" s="317">
        <v>1.9355051422771413E-2</v>
      </c>
      <c r="K1503" s="317">
        <v>4.406467286060538E-3</v>
      </c>
      <c r="L1503" s="318">
        <v>5.7507382723324257E-4</v>
      </c>
      <c r="M1503" s="317">
        <v>2.7220410431784757E-3</v>
      </c>
      <c r="N1503" s="318">
        <v>2.0000005732018801E-3</v>
      </c>
      <c r="O1503" s="317">
        <v>2.8031912908266701E-2</v>
      </c>
      <c r="P1503" s="318">
        <v>1.7181547442043654E-2</v>
      </c>
      <c r="Q1503" s="319">
        <v>4.605708183327205E-3</v>
      </c>
    </row>
    <row r="1504" spans="2:17" ht="15.75" x14ac:dyDescent="0.25">
      <c r="B1504" s="176">
        <v>2047</v>
      </c>
      <c r="C1504" s="177">
        <v>2040</v>
      </c>
      <c r="D1504" s="178" t="s">
        <v>4350</v>
      </c>
      <c r="E1504" s="461">
        <v>3.5700287640729231E-2</v>
      </c>
      <c r="F1504" s="462">
        <v>3.6554543184204182E-2</v>
      </c>
      <c r="G1504" s="316">
        <v>5.8093122610905865E-2</v>
      </c>
      <c r="H1504" s="317">
        <v>2.6282365710722012E-3</v>
      </c>
      <c r="I1504" s="317">
        <v>4.0035849857918963E-2</v>
      </c>
      <c r="J1504" s="317">
        <v>1.8440358055518948E-2</v>
      </c>
      <c r="K1504" s="317">
        <v>4.0970358468069299E-3</v>
      </c>
      <c r="L1504" s="318">
        <v>5.7455328772085712E-4</v>
      </c>
      <c r="M1504" s="317">
        <v>2.7187303232142244E-3</v>
      </c>
      <c r="N1504" s="318">
        <v>2.0000005732018801E-3</v>
      </c>
      <c r="O1504" s="317">
        <v>2.7975597561674784E-2</v>
      </c>
      <c r="P1504" s="318">
        <v>1.7175835554832399E-2</v>
      </c>
      <c r="Q1504" s="319">
        <v>4.2822856274722298E-3</v>
      </c>
    </row>
    <row r="1505" spans="2:17" ht="15.75" x14ac:dyDescent="0.25">
      <c r="B1505" s="176">
        <v>2047</v>
      </c>
      <c r="C1505" s="177">
        <v>2041</v>
      </c>
      <c r="D1505" s="178" t="s">
        <v>4351</v>
      </c>
      <c r="E1505" s="461">
        <v>3.5659232137968552E-2</v>
      </c>
      <c r="F1505" s="462">
        <v>3.6500595266804867E-2</v>
      </c>
      <c r="G1505" s="316">
        <v>5.6703216655386399E-2</v>
      </c>
      <c r="H1505" s="317">
        <v>2.5766388902952395E-3</v>
      </c>
      <c r="I1505" s="317">
        <v>3.8294784687030257E-2</v>
      </c>
      <c r="J1505" s="317">
        <v>3.0271642660143074E-2</v>
      </c>
      <c r="K1505" s="317">
        <v>3.7756650702260911E-3</v>
      </c>
      <c r="L1505" s="318">
        <v>5.7379180442516345E-4</v>
      </c>
      <c r="M1505" s="317">
        <v>2.7161443785746154E-3</v>
      </c>
      <c r="N1505" s="318">
        <v>2.0000005732018801E-3</v>
      </c>
      <c r="O1505" s="317">
        <v>2.7931610643355042E-2</v>
      </c>
      <c r="P1505" s="318">
        <v>1.716562427897364E-2</v>
      </c>
      <c r="Q1505" s="319">
        <v>3.9463838904361002E-3</v>
      </c>
    </row>
    <row r="1506" spans="2:17" ht="15.75" x14ac:dyDescent="0.25">
      <c r="B1506" s="176">
        <v>2047</v>
      </c>
      <c r="C1506" s="177">
        <v>2042</v>
      </c>
      <c r="D1506" s="178" t="s">
        <v>4352</v>
      </c>
      <c r="E1506" s="461">
        <v>3.5600972143130051E-2</v>
      </c>
      <c r="F1506" s="462">
        <v>3.6417223485345485E-2</v>
      </c>
      <c r="G1506" s="316">
        <v>5.5154029843332793E-2</v>
      </c>
      <c r="H1506" s="317">
        <v>2.5141364487226399E-3</v>
      </c>
      <c r="I1506" s="317">
        <v>3.6417072217124875E-2</v>
      </c>
      <c r="J1506" s="317">
        <v>5.1372787039742282E-2</v>
      </c>
      <c r="K1506" s="317">
        <v>3.4336604567847813E-3</v>
      </c>
      <c r="L1506" s="318">
        <v>5.7251262244095887E-4</v>
      </c>
      <c r="M1506" s="317">
        <v>2.7122251826519317E-3</v>
      </c>
      <c r="N1506" s="318">
        <v>2.0000005732018801E-3</v>
      </c>
      <c r="O1506" s="317">
        <v>2.786494512071018E-2</v>
      </c>
      <c r="P1506" s="318">
        <v>1.7145183983646492E-2</v>
      </c>
      <c r="Q1506" s="319">
        <v>3.588915345997974E-3</v>
      </c>
    </row>
    <row r="1507" spans="2:17" ht="15.75" x14ac:dyDescent="0.25">
      <c r="B1507" s="176">
        <v>2047</v>
      </c>
      <c r="C1507" s="177">
        <v>2043</v>
      </c>
      <c r="D1507" s="178" t="s">
        <v>4353</v>
      </c>
      <c r="E1507" s="461">
        <v>3.5583064358406642E-2</v>
      </c>
      <c r="F1507" s="462">
        <v>3.6407734216207507E-2</v>
      </c>
      <c r="G1507" s="316">
        <v>5.375924664763513E-2</v>
      </c>
      <c r="H1507" s="317">
        <v>2.4468898264626386E-3</v>
      </c>
      <c r="I1507" s="317">
        <v>3.4577637304938194E-2</v>
      </c>
      <c r="J1507" s="317">
        <v>8.6380375885812821E-2</v>
      </c>
      <c r="K1507" s="317">
        <v>3.0882046696486805E-3</v>
      </c>
      <c r="L1507" s="318">
        <v>5.7272426472943535E-4</v>
      </c>
      <c r="M1507" s="317">
        <v>2.7113941104223108E-3</v>
      </c>
      <c r="N1507" s="318">
        <v>2.0000005732018801E-3</v>
      </c>
      <c r="O1507" s="317">
        <v>2.785080858208433E-2</v>
      </c>
      <c r="P1507" s="318">
        <v>1.7149081991549679E-2</v>
      </c>
      <c r="Q1507" s="319">
        <v>3.2278395811049347E-3</v>
      </c>
    </row>
    <row r="1508" spans="2:17" ht="15.75" x14ac:dyDescent="0.25">
      <c r="B1508" s="176">
        <v>2047</v>
      </c>
      <c r="C1508" s="177">
        <v>2044</v>
      </c>
      <c r="D1508" s="178" t="s">
        <v>4354</v>
      </c>
      <c r="E1508" s="461">
        <v>3.5575240107462935E-2</v>
      </c>
      <c r="F1508" s="462">
        <v>3.6390778865117192E-2</v>
      </c>
      <c r="G1508" s="316">
        <v>5.2345759151317367E-2</v>
      </c>
      <c r="H1508" s="317">
        <v>2.4048110651484459E-3</v>
      </c>
      <c r="I1508" s="317">
        <v>3.2675344675352443E-2</v>
      </c>
      <c r="J1508" s="317">
        <v>1.2837937111657398E-2</v>
      </c>
      <c r="K1508" s="317">
        <v>2.7282847777010252E-3</v>
      </c>
      <c r="L1508" s="318">
        <v>5.7293272689869354E-4</v>
      </c>
      <c r="M1508" s="317">
        <v>2.7112796349026687E-3</v>
      </c>
      <c r="N1508" s="318">
        <v>2.0000005732018801E-3</v>
      </c>
      <c r="O1508" s="317">
        <v>2.7848861353495218E-2</v>
      </c>
      <c r="P1508" s="318">
        <v>1.7149193941253155E-2</v>
      </c>
      <c r="Q1508" s="319">
        <v>2.8516457087642689E-3</v>
      </c>
    </row>
    <row r="1509" spans="2:17" ht="15.75" x14ac:dyDescent="0.25">
      <c r="B1509" s="176">
        <v>2047</v>
      </c>
      <c r="C1509" s="177">
        <v>2045</v>
      </c>
      <c r="D1509" s="178" t="s">
        <v>4355</v>
      </c>
      <c r="E1509" s="461">
        <v>3.5539381267154217E-2</v>
      </c>
      <c r="F1509" s="462">
        <v>3.6345148222023393E-2</v>
      </c>
      <c r="G1509" s="316">
        <v>5.071454280244362E-2</v>
      </c>
      <c r="H1509" s="317">
        <v>2.4604512975480042E-3</v>
      </c>
      <c r="I1509" s="317">
        <v>3.0606910966838544E-2</v>
      </c>
      <c r="J1509" s="317">
        <v>1.4605359125130694E-2</v>
      </c>
      <c r="K1509" s="317">
        <v>2.3454292650579287E-3</v>
      </c>
      <c r="L1509" s="318">
        <v>5.7275019928205138E-4</v>
      </c>
      <c r="M1509" s="317">
        <v>2.7089255664993093E-3</v>
      </c>
      <c r="N1509" s="318">
        <v>2.0000005732018801E-3</v>
      </c>
      <c r="O1509" s="317">
        <v>2.7808818649954079E-2</v>
      </c>
      <c r="P1509" s="318">
        <v>1.7137842508385126E-2</v>
      </c>
      <c r="Q1509" s="319">
        <v>2.4514791687356239E-3</v>
      </c>
    </row>
    <row r="1510" spans="2:17" ht="15.75" x14ac:dyDescent="0.25">
      <c r="B1510" s="176">
        <v>2047</v>
      </c>
      <c r="C1510" s="177">
        <v>2046</v>
      </c>
      <c r="D1510" s="178" t="s">
        <v>4356</v>
      </c>
      <c r="E1510" s="461">
        <v>3.5513368843827844E-2</v>
      </c>
      <c r="F1510" s="462">
        <v>3.6270372519105719E-2</v>
      </c>
      <c r="G1510" s="316">
        <v>4.9082612827283802E-2</v>
      </c>
      <c r="H1510" s="317">
        <v>2.3906847661225228E-3</v>
      </c>
      <c r="I1510" s="317">
        <v>2.8485791069911077E-2</v>
      </c>
      <c r="J1510" s="317">
        <v>1.3763007534539738E-2</v>
      </c>
      <c r="K1510" s="317">
        <v>1.9494418262717744E-3</v>
      </c>
      <c r="L1510" s="318">
        <v>5.7165443276771576E-4</v>
      </c>
      <c r="M1510" s="317">
        <v>2.7075768541046279E-3</v>
      </c>
      <c r="N1510" s="318">
        <v>2.0000005732018805E-3</v>
      </c>
      <c r="O1510" s="317">
        <v>2.7785877052120544E-2</v>
      </c>
      <c r="P1510" s="318">
        <v>1.7121471560582815E-2</v>
      </c>
      <c r="Q1510" s="319">
        <v>2.0375869351357996E-3</v>
      </c>
    </row>
    <row r="1511" spans="2:17" ht="15.75" x14ac:dyDescent="0.25">
      <c r="B1511" s="176">
        <v>2047</v>
      </c>
      <c r="C1511" s="177">
        <v>2047</v>
      </c>
      <c r="D1511" s="178" t="s">
        <v>4357</v>
      </c>
      <c r="E1511" s="461">
        <v>3.5143803102304069E-2</v>
      </c>
      <c r="F1511" s="462">
        <v>3.5593794253453277E-2</v>
      </c>
      <c r="G1511" s="316">
        <v>4.5696868947946646E-2</v>
      </c>
      <c r="H1511" s="317">
        <v>2.2819008824663265E-3</v>
      </c>
      <c r="I1511" s="317">
        <v>2.5501372585266174E-2</v>
      </c>
      <c r="J1511" s="317">
        <v>1.2733933224166237E-2</v>
      </c>
      <c r="K1511" s="317">
        <v>1.4964052856465196E-3</v>
      </c>
      <c r="L1511" s="318">
        <v>5.5943978266892425E-4</v>
      </c>
      <c r="M1511" s="317">
        <v>2.6793277601653721E-3</v>
      </c>
      <c r="N1511" s="318">
        <v>2.0000005732018801E-3</v>
      </c>
      <c r="O1511" s="317">
        <v>2.73053599642138E-2</v>
      </c>
      <c r="P1511" s="318">
        <v>1.6899480239277322E-2</v>
      </c>
      <c r="Q1511" s="319">
        <v>1.5640660924633445E-3</v>
      </c>
    </row>
    <row r="1512" spans="2:17" ht="15.75" x14ac:dyDescent="0.25">
      <c r="B1512" s="176">
        <v>2048</v>
      </c>
      <c r="C1512" s="177">
        <v>2004</v>
      </c>
      <c r="D1512" s="178" t="s">
        <v>4358</v>
      </c>
      <c r="E1512" s="461">
        <v>5.7697947049021855E-2</v>
      </c>
      <c r="F1512" s="462">
        <v>7.3856536735940545E-2</v>
      </c>
      <c r="G1512" s="316">
        <v>0.23341980326928127</v>
      </c>
      <c r="H1512" s="317">
        <v>1.8327353992111585E-2</v>
      </c>
      <c r="I1512" s="317">
        <v>5.7772231276041301</v>
      </c>
      <c r="J1512" s="317">
        <v>0.11590861757150935</v>
      </c>
      <c r="K1512" s="317">
        <v>5.328840820959025E-2</v>
      </c>
      <c r="L1512" s="318">
        <v>1.9875826417559462E-4</v>
      </c>
      <c r="M1512" s="317">
        <v>2.9729073041613202E-3</v>
      </c>
      <c r="N1512" s="318">
        <v>2.0000005732018801E-3</v>
      </c>
      <c r="O1512" s="317">
        <v>3.2299148007584884E-2</v>
      </c>
      <c r="P1512" s="318">
        <v>1.7833320202861273E-2</v>
      </c>
      <c r="Q1512" s="319">
        <v>5.5697873565018603E-2</v>
      </c>
    </row>
    <row r="1513" spans="2:17" ht="15.75" x14ac:dyDescent="0.25">
      <c r="B1513" s="176">
        <v>2048</v>
      </c>
      <c r="C1513" s="177">
        <v>2005</v>
      </c>
      <c r="D1513" s="178" t="s">
        <v>4359</v>
      </c>
      <c r="E1513" s="461">
        <v>5.7363678575485383E-2</v>
      </c>
      <c r="F1513" s="462">
        <v>7.0163415853221806E-2</v>
      </c>
      <c r="G1513" s="316">
        <v>0.22914457502684285</v>
      </c>
      <c r="H1513" s="317">
        <v>1.5970965650307128E-2</v>
      </c>
      <c r="I1513" s="317">
        <v>5.7195644056734407</v>
      </c>
      <c r="J1513" s="317">
        <v>9.4300833193660477E-2</v>
      </c>
      <c r="K1513" s="317">
        <v>5.2921797399522248E-2</v>
      </c>
      <c r="L1513" s="318">
        <v>1.9939697286362518E-4</v>
      </c>
      <c r="M1513" s="317">
        <v>2.9544586590925181E-3</v>
      </c>
      <c r="N1513" s="318">
        <v>2.0000005732018801E-3</v>
      </c>
      <c r="O1513" s="317">
        <v>3.1985336554964564E-2</v>
      </c>
      <c r="P1513" s="318">
        <v>1.7119379924559187E-2</v>
      </c>
      <c r="Q1513" s="319">
        <v>5.5314686240930715E-2</v>
      </c>
    </row>
    <row r="1514" spans="2:17" ht="15.75" x14ac:dyDescent="0.25">
      <c r="B1514" s="176">
        <v>2048</v>
      </c>
      <c r="C1514" s="177">
        <v>2006</v>
      </c>
      <c r="D1514" s="178" t="s">
        <v>4360</v>
      </c>
      <c r="E1514" s="461">
        <v>5.7266232737539904E-2</v>
      </c>
      <c r="F1514" s="462">
        <v>7.3683886685939795E-2</v>
      </c>
      <c r="G1514" s="316">
        <v>0.22891181533513058</v>
      </c>
      <c r="H1514" s="317">
        <v>6.0437888435214129E-3</v>
      </c>
      <c r="I1514" s="317">
        <v>5.7188386620708291</v>
      </c>
      <c r="J1514" s="317">
        <v>6.5636582156289064E-2</v>
      </c>
      <c r="K1514" s="317">
        <v>5.2879298901913285E-2</v>
      </c>
      <c r="L1514" s="318">
        <v>1.9556369809094459E-4</v>
      </c>
      <c r="M1514" s="317">
        <v>2.9539762286123609E-3</v>
      </c>
      <c r="N1514" s="318">
        <v>2.0000005732018801E-3</v>
      </c>
      <c r="O1514" s="317">
        <v>3.1977130412497085E-2</v>
      </c>
      <c r="P1514" s="318">
        <v>1.8885505723576765E-2</v>
      </c>
      <c r="Q1514" s="319">
        <v>5.5270266149844149E-2</v>
      </c>
    </row>
    <row r="1515" spans="2:17" ht="15.75" x14ac:dyDescent="0.25">
      <c r="B1515" s="176">
        <v>2048</v>
      </c>
      <c r="C1515" s="177">
        <v>2007</v>
      </c>
      <c r="D1515" s="178" t="s">
        <v>4361</v>
      </c>
      <c r="E1515" s="461">
        <v>5.6951649403587136E-2</v>
      </c>
      <c r="F1515" s="462">
        <v>6.9073906031432056E-2</v>
      </c>
      <c r="G1515" s="316">
        <v>0.16090009362446198</v>
      </c>
      <c r="H1515" s="317">
        <v>8.5848853578949173E-3</v>
      </c>
      <c r="I1515" s="317">
        <v>2.8538138930746979</v>
      </c>
      <c r="J1515" s="317">
        <v>5.7540745029415565E-2</v>
      </c>
      <c r="K1515" s="317">
        <v>3.5649489639151662E-2</v>
      </c>
      <c r="L1515" s="318">
        <v>1.9872876937541593E-4</v>
      </c>
      <c r="M1515" s="317">
        <v>2.9194195629434969E-3</v>
      </c>
      <c r="N1515" s="318">
        <v>2.0000005732018801E-3</v>
      </c>
      <c r="O1515" s="317">
        <v>3.1389321529469709E-2</v>
      </c>
      <c r="P1515" s="318">
        <v>1.7429510456316202E-2</v>
      </c>
      <c r="Q1515" s="319">
        <v>3.7261401368366691E-2</v>
      </c>
    </row>
    <row r="1516" spans="2:17" ht="15.75" x14ac:dyDescent="0.25">
      <c r="B1516" s="176">
        <v>2048</v>
      </c>
      <c r="C1516" s="177">
        <v>2008</v>
      </c>
      <c r="D1516" s="178" t="s">
        <v>4362</v>
      </c>
      <c r="E1516" s="461">
        <v>5.7044014089400609E-2</v>
      </c>
      <c r="F1516" s="462">
        <v>6.7507935927050053E-2</v>
      </c>
      <c r="G1516" s="316">
        <v>0.16516210554160821</v>
      </c>
      <c r="H1516" s="317">
        <v>8.3417611887826454E-3</v>
      </c>
      <c r="I1516" s="317">
        <v>2.9335154738508611</v>
      </c>
      <c r="J1516" s="317">
        <v>4.6830808274116661E-2</v>
      </c>
      <c r="K1516" s="317">
        <v>3.6529998308114972E-2</v>
      </c>
      <c r="L1516" s="318">
        <v>2.267619678198481E-4</v>
      </c>
      <c r="M1516" s="317">
        <v>2.9465411739025321E-3</v>
      </c>
      <c r="N1516" s="318">
        <v>2.0000005732018797E-3</v>
      </c>
      <c r="O1516" s="317">
        <v>3.1850660131882903E-2</v>
      </c>
      <c r="P1516" s="318">
        <v>1.7447451854388025E-2</v>
      </c>
      <c r="Q1516" s="319">
        <v>3.8181722732141238E-2</v>
      </c>
    </row>
    <row r="1517" spans="2:17" ht="15.75" x14ac:dyDescent="0.25">
      <c r="B1517" s="176">
        <v>2048</v>
      </c>
      <c r="C1517" s="177">
        <v>2009</v>
      </c>
      <c r="D1517" s="178" t="s">
        <v>4363</v>
      </c>
      <c r="E1517" s="461">
        <v>5.5784165976807278E-2</v>
      </c>
      <c r="F1517" s="462">
        <v>6.2023320549397819E-2</v>
      </c>
      <c r="G1517" s="316">
        <v>0.14892164886417067</v>
      </c>
      <c r="H1517" s="317">
        <v>8.1763514969117289E-3</v>
      </c>
      <c r="I1517" s="317">
        <v>2.5432129253857778</v>
      </c>
      <c r="J1517" s="317">
        <v>3.4090131341334595E-2</v>
      </c>
      <c r="K1517" s="317">
        <v>3.2948141712033849E-2</v>
      </c>
      <c r="L1517" s="318">
        <v>2.561345644192901E-4</v>
      </c>
      <c r="M1517" s="317">
        <v>2.822992698526732E-3</v>
      </c>
      <c r="N1517" s="318">
        <v>2.0000005732018805E-3</v>
      </c>
      <c r="O1517" s="317">
        <v>2.9749100565740538E-2</v>
      </c>
      <c r="P1517" s="318">
        <v>1.6796951143146003E-2</v>
      </c>
      <c r="Q1517" s="319">
        <v>3.4437910475038566E-2</v>
      </c>
    </row>
    <row r="1518" spans="2:17" ht="15.75" x14ac:dyDescent="0.25">
      <c r="B1518" s="176">
        <v>2048</v>
      </c>
      <c r="C1518" s="177">
        <v>2010</v>
      </c>
      <c r="D1518" s="178" t="s">
        <v>4364</v>
      </c>
      <c r="E1518" s="461">
        <v>5.4469214456759972E-2</v>
      </c>
      <c r="F1518" s="462">
        <v>5.9997780228189766E-2</v>
      </c>
      <c r="G1518" s="316">
        <v>8.7787271989697366E-2</v>
      </c>
      <c r="H1518" s="317">
        <v>7.3374869431509244E-3</v>
      </c>
      <c r="I1518" s="317">
        <v>0.22048550619810869</v>
      </c>
      <c r="J1518" s="317">
        <v>3.3153902949481895E-2</v>
      </c>
      <c r="K1518" s="317">
        <v>1.8989501414379394E-2</v>
      </c>
      <c r="L1518" s="318">
        <v>3.1240892903161848E-4</v>
      </c>
      <c r="M1518" s="317">
        <v>2.7292216496610212E-3</v>
      </c>
      <c r="N1518" s="318">
        <v>2.0000005732018801E-3</v>
      </c>
      <c r="O1518" s="317">
        <v>2.8154055024534799E-2</v>
      </c>
      <c r="P1518" s="318">
        <v>1.6407735482036334E-2</v>
      </c>
      <c r="Q1518" s="319">
        <v>1.9848122403673053E-2</v>
      </c>
    </row>
    <row r="1519" spans="2:17" ht="15.75" x14ac:dyDescent="0.25">
      <c r="B1519" s="176">
        <v>2048</v>
      </c>
      <c r="C1519" s="177">
        <v>2011</v>
      </c>
      <c r="D1519" s="178" t="s">
        <v>4365</v>
      </c>
      <c r="E1519" s="461">
        <v>5.4566432533206026E-2</v>
      </c>
      <c r="F1519" s="462">
        <v>5.8660219592105718E-2</v>
      </c>
      <c r="G1519" s="316">
        <v>9.122009761916261E-2</v>
      </c>
      <c r="H1519" s="317">
        <v>7.4436761856988458E-3</v>
      </c>
      <c r="I1519" s="317">
        <v>0.23101180459393239</v>
      </c>
      <c r="J1519" s="317">
        <v>3.3467392895473506E-2</v>
      </c>
      <c r="K1519" s="317">
        <v>1.9741461067244757E-2</v>
      </c>
      <c r="L1519" s="318">
        <v>4.2306618461370479E-4</v>
      </c>
      <c r="M1519" s="317">
        <v>2.7769087378963419E-3</v>
      </c>
      <c r="N1519" s="318">
        <v>2.0000005732018801E-3</v>
      </c>
      <c r="O1519" s="317">
        <v>2.8965212395417602E-2</v>
      </c>
      <c r="P1519" s="318">
        <v>1.6537576370949207E-2</v>
      </c>
      <c r="Q1519" s="319">
        <v>2.0634082335269515E-2</v>
      </c>
    </row>
    <row r="1520" spans="2:17" ht="15.75" x14ac:dyDescent="0.25">
      <c r="B1520" s="176">
        <v>2048</v>
      </c>
      <c r="C1520" s="177">
        <v>2012</v>
      </c>
      <c r="D1520" s="178" t="s">
        <v>4366</v>
      </c>
      <c r="E1520" s="461">
        <v>5.2434252219073045E-2</v>
      </c>
      <c r="F1520" s="462">
        <v>5.8743797219702534E-2</v>
      </c>
      <c r="G1520" s="316">
        <v>7.9494507774268183E-2</v>
      </c>
      <c r="H1520" s="317">
        <v>7.022360963114674E-3</v>
      </c>
      <c r="I1520" s="317">
        <v>0.19893049507179827</v>
      </c>
      <c r="J1520" s="317">
        <v>3.4642909760754341E-2</v>
      </c>
      <c r="K1520" s="317">
        <v>1.7491172963823215E-2</v>
      </c>
      <c r="L1520" s="318">
        <v>6.1403653430471895E-4</v>
      </c>
      <c r="M1520" s="317">
        <v>2.6468688640398806E-3</v>
      </c>
      <c r="N1520" s="318">
        <v>2.0000005732018801E-3</v>
      </c>
      <c r="O1520" s="317">
        <v>2.67532341411192E-2</v>
      </c>
      <c r="P1520" s="318">
        <v>1.6948822313079485E-2</v>
      </c>
      <c r="Q1520" s="319">
        <v>1.828204618931677E-2</v>
      </c>
    </row>
    <row r="1521" spans="2:17" ht="15.75" x14ac:dyDescent="0.25">
      <c r="B1521" s="176">
        <v>2048</v>
      </c>
      <c r="C1521" s="177">
        <v>2013</v>
      </c>
      <c r="D1521" s="178" t="s">
        <v>4367</v>
      </c>
      <c r="E1521" s="461">
        <v>5.4968575062704632E-2</v>
      </c>
      <c r="F1521" s="462">
        <v>5.7578007001409824E-2</v>
      </c>
      <c r="G1521" s="316">
        <v>9.7420350012934573E-2</v>
      </c>
      <c r="H1521" s="317">
        <v>7.9577978721972892E-3</v>
      </c>
      <c r="I1521" s="317">
        <v>0.24711955440180725</v>
      </c>
      <c r="J1521" s="317">
        <v>3.3727392579478079E-2</v>
      </c>
      <c r="K1521" s="317">
        <v>2.0850602756359964E-2</v>
      </c>
      <c r="L1521" s="318">
        <v>9.1639348739340357E-4</v>
      </c>
      <c r="M1521" s="317">
        <v>2.8381453548377536E-3</v>
      </c>
      <c r="N1521" s="318">
        <v>2.0000005732018801E-3</v>
      </c>
      <c r="O1521" s="317">
        <v>3.0006847249591021E-2</v>
      </c>
      <c r="P1521" s="318">
        <v>1.7076255062337242E-2</v>
      </c>
      <c r="Q1521" s="319">
        <v>2.1793374489823079E-2</v>
      </c>
    </row>
    <row r="1522" spans="2:17" ht="15.75" x14ac:dyDescent="0.25">
      <c r="B1522" s="176">
        <v>2048</v>
      </c>
      <c r="C1522" s="177">
        <v>2014</v>
      </c>
      <c r="D1522" s="178" t="s">
        <v>4368</v>
      </c>
      <c r="E1522" s="461">
        <v>5.2339051813232521E-2</v>
      </c>
      <c r="F1522" s="462">
        <v>5.5337523121027202E-2</v>
      </c>
      <c r="G1522" s="316">
        <v>8.7999000325233556E-2</v>
      </c>
      <c r="H1522" s="317">
        <v>8.0806517533240467E-3</v>
      </c>
      <c r="I1522" s="317">
        <v>0.22208969237790432</v>
      </c>
      <c r="J1522" s="317">
        <v>3.2287132093377233E-2</v>
      </c>
      <c r="K1522" s="317">
        <v>1.9117467131707339E-2</v>
      </c>
      <c r="L1522" s="318">
        <v>1.2857636196140234E-3</v>
      </c>
      <c r="M1522" s="317">
        <v>2.740698698719343E-3</v>
      </c>
      <c r="N1522" s="318">
        <v>2.0000005732018801E-3</v>
      </c>
      <c r="O1522" s="317">
        <v>2.8349279629016847E-2</v>
      </c>
      <c r="P1522" s="318">
        <v>1.6601680105110744E-2</v>
      </c>
      <c r="Q1522" s="319">
        <v>1.9981874162899146E-2</v>
      </c>
    </row>
    <row r="1523" spans="2:17" ht="15.75" x14ac:dyDescent="0.25">
      <c r="B1523" s="176">
        <v>2048</v>
      </c>
      <c r="C1523" s="177">
        <v>2015</v>
      </c>
      <c r="D1523" s="178" t="s">
        <v>4369</v>
      </c>
      <c r="E1523" s="461">
        <v>5.1500727536635774E-2</v>
      </c>
      <c r="F1523" s="462">
        <v>5.8140578835579382E-2</v>
      </c>
      <c r="G1523" s="316">
        <v>8.5850070276330445E-2</v>
      </c>
      <c r="H1523" s="317">
        <v>8.0823134862941133E-3</v>
      </c>
      <c r="I1523" s="317">
        <v>0.21800491208214592</v>
      </c>
      <c r="J1523" s="317">
        <v>3.4079898922372877E-2</v>
      </c>
      <c r="K1523" s="317">
        <v>1.8869721028963254E-2</v>
      </c>
      <c r="L1523" s="318">
        <v>1.5957725172048897E-3</v>
      </c>
      <c r="M1523" s="317">
        <v>2.7327253887153798E-3</v>
      </c>
      <c r="N1523" s="318">
        <v>2.0000005732018801E-3</v>
      </c>
      <c r="O1523" s="317">
        <v>2.821365362584944E-2</v>
      </c>
      <c r="P1523" s="318">
        <v>1.7711540147753706E-2</v>
      </c>
      <c r="Q1523" s="319">
        <v>1.9722926080746026E-2</v>
      </c>
    </row>
    <row r="1524" spans="2:17" ht="15.75" x14ac:dyDescent="0.25">
      <c r="B1524" s="176">
        <v>2048</v>
      </c>
      <c r="C1524" s="177">
        <v>2016</v>
      </c>
      <c r="D1524" s="178" t="s">
        <v>4370</v>
      </c>
      <c r="E1524" s="461">
        <v>5.2005672367026808E-2</v>
      </c>
      <c r="F1524" s="462">
        <v>6.0053077624929466E-2</v>
      </c>
      <c r="G1524" s="316">
        <v>9.9050812983634162E-2</v>
      </c>
      <c r="H1524" s="317">
        <v>7.8446241093026621E-3</v>
      </c>
      <c r="I1524" s="317">
        <v>0.22355598233465038</v>
      </c>
      <c r="J1524" s="317">
        <v>3.4725579805023846E-2</v>
      </c>
      <c r="K1524" s="317">
        <v>2.1431721268370608E-2</v>
      </c>
      <c r="L1524" s="318">
        <v>1.8247095548739145E-3</v>
      </c>
      <c r="M1524" s="317">
        <v>2.8823721795782666E-3</v>
      </c>
      <c r="N1524" s="318">
        <v>2.0000005732018801E-3</v>
      </c>
      <c r="O1524" s="317">
        <v>3.0759145538427148E-2</v>
      </c>
      <c r="P1524" s="318">
        <v>1.8797812679039506E-2</v>
      </c>
      <c r="Q1524" s="319">
        <v>2.240076860227173E-2</v>
      </c>
    </row>
    <row r="1525" spans="2:17" ht="15.75" x14ac:dyDescent="0.25">
      <c r="B1525" s="176">
        <v>2048</v>
      </c>
      <c r="C1525" s="177">
        <v>2017</v>
      </c>
      <c r="D1525" s="178" t="s">
        <v>4371</v>
      </c>
      <c r="E1525" s="461">
        <v>4.8717400080996578E-2</v>
      </c>
      <c r="F1525" s="462">
        <v>5.3622078557738456E-2</v>
      </c>
      <c r="G1525" s="316">
        <v>8.0156658709417364E-2</v>
      </c>
      <c r="H1525" s="317">
        <v>7.8527092216176091E-3</v>
      </c>
      <c r="I1525" s="317">
        <v>0.16935763370594961</v>
      </c>
      <c r="J1525" s="317">
        <v>3.1842397560769078E-2</v>
      </c>
      <c r="K1525" s="317">
        <v>1.9824914874500207E-2</v>
      </c>
      <c r="L1525" s="318">
        <v>2.0097538576350324E-3</v>
      </c>
      <c r="M1525" s="317">
        <v>2.8504801352114716E-3</v>
      </c>
      <c r="N1525" s="318">
        <v>2.0000005732018801E-3</v>
      </c>
      <c r="O1525" s="317">
        <v>3.0216661863747971E-2</v>
      </c>
      <c r="P1525" s="318">
        <v>1.7624369768697717E-2</v>
      </c>
      <c r="Q1525" s="319">
        <v>2.0721309553368275E-2</v>
      </c>
    </row>
    <row r="1526" spans="2:17" ht="15.75" x14ac:dyDescent="0.25">
      <c r="B1526" s="176">
        <v>2048</v>
      </c>
      <c r="C1526" s="177">
        <v>2018</v>
      </c>
      <c r="D1526" s="178" t="s">
        <v>4372</v>
      </c>
      <c r="E1526" s="461">
        <v>4.5665282552649351E-2</v>
      </c>
      <c r="F1526" s="462">
        <v>5.1243515644249851E-2</v>
      </c>
      <c r="G1526" s="316">
        <v>8.0499194991571585E-2</v>
      </c>
      <c r="H1526" s="317">
        <v>7.4938878949700029E-3</v>
      </c>
      <c r="I1526" s="317">
        <v>0.13982819931349977</v>
      </c>
      <c r="J1526" s="317">
        <v>3.0413123266524438E-2</v>
      </c>
      <c r="K1526" s="317">
        <v>1.8605584961926276E-2</v>
      </c>
      <c r="L1526" s="318">
        <v>2.0918306224497634E-3</v>
      </c>
      <c r="M1526" s="317">
        <v>2.8546881040730598E-3</v>
      </c>
      <c r="N1526" s="318">
        <v>2.0000005732018714E-3</v>
      </c>
      <c r="O1526" s="317">
        <v>3.0288239414083588E-2</v>
      </c>
      <c r="P1526" s="318">
        <v>1.7620638059409915E-2</v>
      </c>
      <c r="Q1526" s="319">
        <v>1.9446846952844085E-2</v>
      </c>
    </row>
    <row r="1527" spans="2:17" ht="15.75" x14ac:dyDescent="0.25">
      <c r="B1527" s="176">
        <v>2048</v>
      </c>
      <c r="C1527" s="177">
        <v>2019</v>
      </c>
      <c r="D1527" s="178" t="s">
        <v>4373</v>
      </c>
      <c r="E1527" s="461">
        <v>4.5355996765426981E-2</v>
      </c>
      <c r="F1527" s="462">
        <v>4.94063417340464E-2</v>
      </c>
      <c r="G1527" s="316">
        <v>8.0220613910761823E-2</v>
      </c>
      <c r="H1527" s="317">
        <v>6.7458239382024677E-3</v>
      </c>
      <c r="I1527" s="317">
        <v>0.12081720142037655</v>
      </c>
      <c r="J1527" s="317">
        <v>2.7640514078603625E-2</v>
      </c>
      <c r="K1527" s="317">
        <v>1.6054077269636261E-2</v>
      </c>
      <c r="L1527" s="318">
        <v>1.9895600737348659E-3</v>
      </c>
      <c r="M1527" s="317">
        <v>2.8501359855096432E-3</v>
      </c>
      <c r="N1527" s="318">
        <v>2.0000005732018801E-3</v>
      </c>
      <c r="O1527" s="317">
        <v>3.0210807877319862E-2</v>
      </c>
      <c r="P1527" s="318">
        <v>1.7622309433268469E-2</v>
      </c>
      <c r="Q1527" s="319">
        <v>1.67799714048564E-2</v>
      </c>
    </row>
    <row r="1528" spans="2:17" ht="15.75" x14ac:dyDescent="0.25">
      <c r="B1528" s="176">
        <v>2048</v>
      </c>
      <c r="C1528" s="177">
        <v>2020</v>
      </c>
      <c r="D1528" s="178" t="s">
        <v>4374</v>
      </c>
      <c r="E1528" s="461">
        <v>4.5015997446807794E-2</v>
      </c>
      <c r="F1528" s="462">
        <v>4.7566119889579352E-2</v>
      </c>
      <c r="G1528" s="316">
        <v>7.9866135260808935E-2</v>
      </c>
      <c r="H1528" s="317">
        <v>5.8423021638658937E-3</v>
      </c>
      <c r="I1528" s="317">
        <v>0.1015898601353086</v>
      </c>
      <c r="J1528" s="317">
        <v>2.5496299535444661E-2</v>
      </c>
      <c r="K1528" s="317">
        <v>1.3484647358409582E-2</v>
      </c>
      <c r="L1528" s="318">
        <v>1.476786814032328E-3</v>
      </c>
      <c r="M1528" s="317">
        <v>2.8445281649753709E-3</v>
      </c>
      <c r="N1528" s="318">
        <v>2.0000005732018801E-3</v>
      </c>
      <c r="O1528" s="317">
        <v>3.0115418850031894E-2</v>
      </c>
      <c r="P1528" s="318">
        <v>1.7625333787633871E-2</v>
      </c>
      <c r="Q1528" s="319">
        <v>1.4094363274720381E-2</v>
      </c>
    </row>
    <row r="1529" spans="2:17" ht="15.75" x14ac:dyDescent="0.25">
      <c r="B1529" s="176">
        <v>2048</v>
      </c>
      <c r="C1529" s="177">
        <v>2021</v>
      </c>
      <c r="D1529" s="178" t="s">
        <v>4375</v>
      </c>
      <c r="E1529" s="461">
        <v>4.3590589995618781E-2</v>
      </c>
      <c r="F1529" s="462">
        <v>4.5469326146849204E-2</v>
      </c>
      <c r="G1529" s="316">
        <v>7.7285966251780247E-2</v>
      </c>
      <c r="H1529" s="317">
        <v>5.1609099397365455E-3</v>
      </c>
      <c r="I1529" s="317">
        <v>7.8807335471482179E-2</v>
      </c>
      <c r="J1529" s="317">
        <v>2.4460252095583095E-2</v>
      </c>
      <c r="K1529" s="317">
        <v>1.0065391253839626E-2</v>
      </c>
      <c r="L1529" s="318">
        <v>9.8502866802512197E-4</v>
      </c>
      <c r="M1529" s="317">
        <v>2.833771336444693E-3</v>
      </c>
      <c r="N1529" s="318">
        <v>2.0000005732018801E-3</v>
      </c>
      <c r="O1529" s="317">
        <v>2.9932445196725062E-2</v>
      </c>
      <c r="P1529" s="318">
        <v>1.7635261487815929E-2</v>
      </c>
      <c r="Q1529" s="319">
        <v>1.0520503581826046E-2</v>
      </c>
    </row>
    <row r="1530" spans="2:17" ht="15.75" x14ac:dyDescent="0.25">
      <c r="B1530" s="176">
        <v>2048</v>
      </c>
      <c r="C1530" s="177">
        <v>2022</v>
      </c>
      <c r="D1530" s="178" t="s">
        <v>4376</v>
      </c>
      <c r="E1530" s="461">
        <v>4.2419376455949308E-2</v>
      </c>
      <c r="F1530" s="462">
        <v>4.3844006421749203E-2</v>
      </c>
      <c r="G1530" s="316">
        <v>7.7251392335066102E-2</v>
      </c>
      <c r="H1530" s="317">
        <v>4.3700495685553157E-3</v>
      </c>
      <c r="I1530" s="317">
        <v>6.0134528802491698E-2</v>
      </c>
      <c r="J1530" s="317">
        <v>2.3389588421625154E-2</v>
      </c>
      <c r="K1530" s="317">
        <v>7.5944390811007014E-3</v>
      </c>
      <c r="L1530" s="318">
        <v>9.8434223293722921E-4</v>
      </c>
      <c r="M1530" s="317">
        <v>2.8327771297551783E-3</v>
      </c>
      <c r="N1530" s="318">
        <v>2.0000005732018801E-3</v>
      </c>
      <c r="O1530" s="317">
        <v>2.9915533740936414E-2</v>
      </c>
      <c r="P1530" s="318">
        <v>1.7636375686811277E-2</v>
      </c>
      <c r="Q1530" s="319">
        <v>7.9378259165237622E-3</v>
      </c>
    </row>
    <row r="1531" spans="2:17" ht="15.75" x14ac:dyDescent="0.25">
      <c r="B1531" s="176">
        <v>2048</v>
      </c>
      <c r="C1531" s="177">
        <v>2023</v>
      </c>
      <c r="D1531" s="178" t="s">
        <v>4377</v>
      </c>
      <c r="E1531" s="461">
        <v>4.1171719873847053E-2</v>
      </c>
      <c r="F1531" s="462">
        <v>4.2064729024631917E-2</v>
      </c>
      <c r="G1531" s="316">
        <v>7.6794196387292249E-2</v>
      </c>
      <c r="H1531" s="317">
        <v>3.8235752723654801E-3</v>
      </c>
      <c r="I1531" s="317">
        <v>5.9805253078855189E-2</v>
      </c>
      <c r="J1531" s="317">
        <v>2.4261283408686982E-2</v>
      </c>
      <c r="K1531" s="317">
        <v>7.5476305777205741E-3</v>
      </c>
      <c r="L1531" s="318">
        <v>9.8177083296401577E-4</v>
      </c>
      <c r="M1531" s="317">
        <v>2.826676890433766E-3</v>
      </c>
      <c r="N1531" s="318">
        <v>2.0000005732018788E-3</v>
      </c>
      <c r="O1531" s="317">
        <v>2.9811768670079185E-2</v>
      </c>
      <c r="P1531" s="318">
        <v>1.7592473007672093E-2</v>
      </c>
      <c r="Q1531" s="319">
        <v>7.8889009403304532E-3</v>
      </c>
    </row>
    <row r="1532" spans="2:17" ht="15.75" x14ac:dyDescent="0.25">
      <c r="B1532" s="176">
        <v>2048</v>
      </c>
      <c r="C1532" s="177">
        <v>2024</v>
      </c>
      <c r="D1532" s="178" t="s">
        <v>4378</v>
      </c>
      <c r="E1532" s="461">
        <v>3.9965521246476579E-2</v>
      </c>
      <c r="F1532" s="462">
        <v>4.0303924247696452E-2</v>
      </c>
      <c r="G1532" s="316">
        <v>7.6350265992220084E-2</v>
      </c>
      <c r="H1532" s="317">
        <v>3.3397818710917686E-3</v>
      </c>
      <c r="I1532" s="317">
        <v>5.948421642599256E-2</v>
      </c>
      <c r="J1532" s="317">
        <v>2.6293017488029442E-2</v>
      </c>
      <c r="K1532" s="317">
        <v>7.5021418760765094E-3</v>
      </c>
      <c r="L1532" s="318">
        <v>9.7903429346751347E-4</v>
      </c>
      <c r="M1532" s="317">
        <v>2.8207729916344642E-3</v>
      </c>
      <c r="N1532" s="318">
        <v>2.0000005732018801E-3</v>
      </c>
      <c r="O1532" s="317">
        <v>2.9711343351503064E-2</v>
      </c>
      <c r="P1532" s="318">
        <v>1.7550289640121636E-2</v>
      </c>
      <c r="Q1532" s="319">
        <v>7.8413554414511633E-3</v>
      </c>
    </row>
    <row r="1533" spans="2:17" ht="15.75" x14ac:dyDescent="0.25">
      <c r="B1533" s="176">
        <v>2048</v>
      </c>
      <c r="C1533" s="177">
        <v>2025</v>
      </c>
      <c r="D1533" s="178" t="s">
        <v>4379</v>
      </c>
      <c r="E1533" s="461">
        <v>3.8738712194969473E-2</v>
      </c>
      <c r="F1533" s="462">
        <v>3.8580640080315393E-2</v>
      </c>
      <c r="G1533" s="316">
        <v>7.573269752609689E-2</v>
      </c>
      <c r="H1533" s="317">
        <v>3.0658663301518577E-3</v>
      </c>
      <c r="I1533" s="317">
        <v>5.9003502067459308E-2</v>
      </c>
      <c r="J1533" s="317">
        <v>2.9339293830556352E-2</v>
      </c>
      <c r="K1533" s="317">
        <v>7.4301486778581022E-3</v>
      </c>
      <c r="L1533" s="318">
        <v>9.7671924225492318E-4</v>
      </c>
      <c r="M1533" s="317">
        <v>2.8135358122020138E-3</v>
      </c>
      <c r="N1533" s="318">
        <v>2.0000005732018801E-3</v>
      </c>
      <c r="O1533" s="317">
        <v>2.9588238929357084E-2</v>
      </c>
      <c r="P1533" s="318">
        <v>1.7516226243335337E-2</v>
      </c>
      <c r="Q1533" s="319">
        <v>7.7661070302744101E-3</v>
      </c>
    </row>
    <row r="1534" spans="2:17" ht="15.75" x14ac:dyDescent="0.25">
      <c r="B1534" s="176">
        <v>2048</v>
      </c>
      <c r="C1534" s="177">
        <v>2026</v>
      </c>
      <c r="D1534" s="178" t="s">
        <v>4380</v>
      </c>
      <c r="E1534" s="461">
        <v>3.7767912355763204E-2</v>
      </c>
      <c r="F1534" s="462">
        <v>3.8205587468931212E-2</v>
      </c>
      <c r="G1534" s="316">
        <v>7.4966139576624444E-2</v>
      </c>
      <c r="H1534" s="317">
        <v>3.0567845817525046E-3</v>
      </c>
      <c r="I1534" s="317">
        <v>5.8373087289269161E-2</v>
      </c>
      <c r="J1534" s="317">
        <v>2.9188615448915215E-2</v>
      </c>
      <c r="K1534" s="317">
        <v>7.3321782442990011E-3</v>
      </c>
      <c r="L1534" s="318">
        <v>8.5581434835682851E-4</v>
      </c>
      <c r="M1534" s="317">
        <v>2.8054127180110393E-3</v>
      </c>
      <c r="N1534" s="318">
        <v>2.0000005732018797E-3</v>
      </c>
      <c r="O1534" s="317">
        <v>2.9450065097168614E-2</v>
      </c>
      <c r="P1534" s="318">
        <v>1.7482402644962192E-2</v>
      </c>
      <c r="Q1534" s="319">
        <v>7.6637068084471262E-3</v>
      </c>
    </row>
    <row r="1535" spans="2:17" ht="15.75" x14ac:dyDescent="0.25">
      <c r="B1535" s="176">
        <v>2048</v>
      </c>
      <c r="C1535" s="177">
        <v>2027</v>
      </c>
      <c r="D1535" s="178" t="s">
        <v>4381</v>
      </c>
      <c r="E1535" s="461">
        <v>3.6854587721499264E-2</v>
      </c>
      <c r="F1535" s="462">
        <v>3.7853402665678673E-2</v>
      </c>
      <c r="G1535" s="316">
        <v>7.4142125298686939E-2</v>
      </c>
      <c r="H1535" s="317">
        <v>3.0437781234697479E-3</v>
      </c>
      <c r="I1535" s="317">
        <v>5.765605622980375E-2</v>
      </c>
      <c r="J1535" s="317">
        <v>2.8843224692479963E-2</v>
      </c>
      <c r="K1535" s="317">
        <v>7.2171526377890526E-3</v>
      </c>
      <c r="L1535" s="318">
        <v>7.1484870167178396E-4</v>
      </c>
      <c r="M1535" s="317">
        <v>2.7974711795804089E-3</v>
      </c>
      <c r="N1535" s="318">
        <v>2.0000005732018801E-3</v>
      </c>
      <c r="O1535" s="317">
        <v>2.9314979528463587E-2</v>
      </c>
      <c r="P1535" s="318">
        <v>1.7450269185798836E-2</v>
      </c>
      <c r="Q1535" s="319">
        <v>7.5434802544293569E-3</v>
      </c>
    </row>
    <row r="1536" spans="2:17" ht="15.75" x14ac:dyDescent="0.25">
      <c r="B1536" s="176">
        <v>2048</v>
      </c>
      <c r="C1536" s="177">
        <v>2028</v>
      </c>
      <c r="D1536" s="178" t="s">
        <v>4382</v>
      </c>
      <c r="E1536" s="461">
        <v>3.6754969584702445E-2</v>
      </c>
      <c r="F1536" s="462">
        <v>3.7758121690133567E-2</v>
      </c>
      <c r="G1536" s="316">
        <v>7.3338962549083869E-2</v>
      </c>
      <c r="H1536" s="317">
        <v>3.0306860486624507E-3</v>
      </c>
      <c r="I1536" s="317">
        <v>5.6907569988833652E-2</v>
      </c>
      <c r="J1536" s="317">
        <v>2.8481991904946817E-2</v>
      </c>
      <c r="K1536" s="317">
        <v>7.0928466216869856E-3</v>
      </c>
      <c r="L1536" s="318">
        <v>5.9426464146552626E-4</v>
      </c>
      <c r="M1536" s="317">
        <v>2.7906687658223175E-3</v>
      </c>
      <c r="N1536" s="318">
        <v>2.0000005732018801E-3</v>
      </c>
      <c r="O1536" s="317">
        <v>2.9199270470438458E-2</v>
      </c>
      <c r="P1536" s="318">
        <v>1.7430379110364366E-2</v>
      </c>
      <c r="Q1536" s="319">
        <v>7.4135536718789247E-3</v>
      </c>
    </row>
    <row r="1537" spans="2:17" ht="15.75" x14ac:dyDescent="0.25">
      <c r="B1537" s="176">
        <v>2048</v>
      </c>
      <c r="C1537" s="177">
        <v>2029</v>
      </c>
      <c r="D1537" s="178" t="s">
        <v>4383</v>
      </c>
      <c r="E1537" s="461">
        <v>3.6651761713730358E-2</v>
      </c>
      <c r="F1537" s="462">
        <v>3.7628620640958392E-2</v>
      </c>
      <c r="G1537" s="316">
        <v>7.2441163842644457E-2</v>
      </c>
      <c r="H1537" s="317">
        <v>3.0139654946785676E-3</v>
      </c>
      <c r="I1537" s="317">
        <v>5.6049379322935286E-2</v>
      </c>
      <c r="J1537" s="317">
        <v>2.8040884891841821E-2</v>
      </c>
      <c r="K1537" s="317">
        <v>6.9486503586965506E-3</v>
      </c>
      <c r="L1537" s="318">
        <v>5.9179021520372509E-4</v>
      </c>
      <c r="M1537" s="317">
        <v>2.7835837705786986E-3</v>
      </c>
      <c r="N1537" s="318">
        <v>2.0000005732018801E-3</v>
      </c>
      <c r="O1537" s="317">
        <v>2.9078754701344491E-2</v>
      </c>
      <c r="P1537" s="318">
        <v>1.7399404141763844E-2</v>
      </c>
      <c r="Q1537" s="319">
        <v>7.2628374937375121E-3</v>
      </c>
    </row>
    <row r="1538" spans="2:17" ht="15.75" x14ac:dyDescent="0.25">
      <c r="B1538" s="176">
        <v>2048</v>
      </c>
      <c r="C1538" s="177">
        <v>2030</v>
      </c>
      <c r="D1538" s="178" t="s">
        <v>4384</v>
      </c>
      <c r="E1538" s="461">
        <v>3.6560101299451135E-2</v>
      </c>
      <c r="F1538" s="462">
        <v>3.7522851563524015E-2</v>
      </c>
      <c r="G1538" s="316">
        <v>7.154178867691291E-2</v>
      </c>
      <c r="H1538" s="317">
        <v>2.9952404417562467E-3</v>
      </c>
      <c r="I1538" s="317">
        <v>5.5145292679039143E-2</v>
      </c>
      <c r="J1538" s="317">
        <v>2.7428290257938772E-2</v>
      </c>
      <c r="K1538" s="317">
        <v>6.7933170676134514E-3</v>
      </c>
      <c r="L1538" s="318">
        <v>5.8989519437841929E-4</v>
      </c>
      <c r="M1538" s="317">
        <v>2.7773078231815595E-3</v>
      </c>
      <c r="N1538" s="318">
        <v>2.0000005732018801E-3</v>
      </c>
      <c r="O1538" s="317">
        <v>2.8972000836119154E-2</v>
      </c>
      <c r="P1538" s="318">
        <v>1.7376065508040533E-2</v>
      </c>
      <c r="Q1538" s="319">
        <v>7.1004807205128969E-3</v>
      </c>
    </row>
    <row r="1539" spans="2:17" ht="15.75" x14ac:dyDescent="0.25">
      <c r="B1539" s="176">
        <v>2048</v>
      </c>
      <c r="C1539" s="177">
        <v>2031</v>
      </c>
      <c r="D1539" s="178" t="s">
        <v>4385</v>
      </c>
      <c r="E1539" s="461">
        <v>3.6419507294817029E-2</v>
      </c>
      <c r="F1539" s="462">
        <v>3.7361666744339779E-2</v>
      </c>
      <c r="G1539" s="316">
        <v>7.0269377671865446E-2</v>
      </c>
      <c r="H1539" s="317">
        <v>2.9723269217348395E-3</v>
      </c>
      <c r="I1539" s="317">
        <v>5.3947394873937529E-2</v>
      </c>
      <c r="J1539" s="317">
        <v>2.6880616219082044E-2</v>
      </c>
      <c r="K1539" s="317">
        <v>6.5937564930750158E-3</v>
      </c>
      <c r="L1539" s="318">
        <v>5.8687017153884451E-4</v>
      </c>
      <c r="M1539" s="317">
        <v>2.7673136975093116E-3</v>
      </c>
      <c r="N1539" s="318">
        <v>2.0000005732018801E-3</v>
      </c>
      <c r="O1539" s="317">
        <v>2.8802000758434219E-2</v>
      </c>
      <c r="P1539" s="318">
        <v>1.7335222596419387E-2</v>
      </c>
      <c r="Q1539" s="319">
        <v>6.8918969023307646E-3</v>
      </c>
    </row>
    <row r="1540" spans="2:17" ht="15.75" x14ac:dyDescent="0.25">
      <c r="B1540" s="176">
        <v>2048</v>
      </c>
      <c r="C1540" s="177">
        <v>2032</v>
      </c>
      <c r="D1540" s="178" t="s">
        <v>4386</v>
      </c>
      <c r="E1540" s="461">
        <v>3.6306153034531531E-2</v>
      </c>
      <c r="F1540" s="462">
        <v>3.7225791854697286E-2</v>
      </c>
      <c r="G1540" s="316">
        <v>6.9100045736323987E-2</v>
      </c>
      <c r="H1540" s="317">
        <v>2.947934269511644E-3</v>
      </c>
      <c r="I1540" s="317">
        <v>5.2776711494889619E-2</v>
      </c>
      <c r="J1540" s="317">
        <v>2.6192901497194495E-2</v>
      </c>
      <c r="K1540" s="317">
        <v>6.3935445640177181E-3</v>
      </c>
      <c r="L1540" s="318">
        <v>5.8438225051875542E-4</v>
      </c>
      <c r="M1540" s="317">
        <v>2.7593830184332343E-3</v>
      </c>
      <c r="N1540" s="318">
        <v>2.0000005732018801E-3</v>
      </c>
      <c r="O1540" s="317">
        <v>2.8667099907350141E-2</v>
      </c>
      <c r="P1540" s="318">
        <v>1.7302434241834721E-2</v>
      </c>
      <c r="Q1540" s="319">
        <v>6.6826322782687839E-3</v>
      </c>
    </row>
    <row r="1541" spans="2:17" ht="15.75" x14ac:dyDescent="0.25">
      <c r="B1541" s="176">
        <v>2048</v>
      </c>
      <c r="C1541" s="177">
        <v>2033</v>
      </c>
      <c r="D1541" s="178" t="s">
        <v>4387</v>
      </c>
      <c r="E1541" s="461">
        <v>3.6201056927157971E-2</v>
      </c>
      <c r="F1541" s="462">
        <v>3.7129460615259756E-2</v>
      </c>
      <c r="G1541" s="316">
        <v>6.7913449988954919E-2</v>
      </c>
      <c r="H1541" s="317">
        <v>2.9212920511165964E-3</v>
      </c>
      <c r="I1541" s="317">
        <v>5.1553055026137239E-2</v>
      </c>
      <c r="J1541" s="317">
        <v>2.543028247334967E-2</v>
      </c>
      <c r="K1541" s="317">
        <v>6.1818889422934811E-3</v>
      </c>
      <c r="L1541" s="318">
        <v>5.8280397164555645E-4</v>
      </c>
      <c r="M1541" s="317">
        <v>2.7520387547987739E-3</v>
      </c>
      <c r="N1541" s="318">
        <v>2.0000005732018801E-3</v>
      </c>
      <c r="O1541" s="317">
        <v>2.8542173982927969E-2</v>
      </c>
      <c r="P1541" s="318">
        <v>1.7281677945092305E-2</v>
      </c>
      <c r="Q1541" s="319">
        <v>6.4614065285380912E-3</v>
      </c>
    </row>
    <row r="1542" spans="2:17" ht="15.75" x14ac:dyDescent="0.25">
      <c r="B1542" s="176">
        <v>2048</v>
      </c>
      <c r="C1542" s="177">
        <v>2034</v>
      </c>
      <c r="D1542" s="178" t="s">
        <v>4388</v>
      </c>
      <c r="E1542" s="461">
        <v>3.6122660251086014E-2</v>
      </c>
      <c r="F1542" s="462">
        <v>3.7022810461650429E-2</v>
      </c>
      <c r="G1542" s="316">
        <v>6.6822936811792272E-2</v>
      </c>
      <c r="H1542" s="317">
        <v>2.8913095957581736E-3</v>
      </c>
      <c r="I1542" s="317">
        <v>5.0350521183617672E-2</v>
      </c>
      <c r="J1542" s="317">
        <v>2.4644591822099621E-2</v>
      </c>
      <c r="K1542" s="317">
        <v>5.968408843597341E-3</v>
      </c>
      <c r="L1542" s="318">
        <v>5.8103522342288331E-4</v>
      </c>
      <c r="M1542" s="317">
        <v>2.7466812228483478E-3</v>
      </c>
      <c r="N1542" s="318">
        <v>2.0000005732018801E-3</v>
      </c>
      <c r="O1542" s="317">
        <v>2.8451042364451222E-2</v>
      </c>
      <c r="P1542" s="318">
        <v>1.7257710929557593E-2</v>
      </c>
      <c r="Q1542" s="319">
        <v>6.2382738070828137E-3</v>
      </c>
    </row>
    <row r="1543" spans="2:17" ht="15.75" x14ac:dyDescent="0.25">
      <c r="B1543" s="176">
        <v>2048</v>
      </c>
      <c r="C1543" s="177">
        <v>2035</v>
      </c>
      <c r="D1543" s="178" t="s">
        <v>4389</v>
      </c>
      <c r="E1543" s="461">
        <v>3.6033215571146443E-2</v>
      </c>
      <c r="F1543" s="462">
        <v>3.6938799141090793E-2</v>
      </c>
      <c r="G1543" s="316">
        <v>6.5600552117305339E-2</v>
      </c>
      <c r="H1543" s="317">
        <v>2.859259075003181E-3</v>
      </c>
      <c r="I1543" s="317">
        <v>4.9019518548597131E-2</v>
      </c>
      <c r="J1543" s="317">
        <v>2.3792784019855445E-2</v>
      </c>
      <c r="K1543" s="317">
        <v>5.7336456784046908E-3</v>
      </c>
      <c r="L1543" s="318">
        <v>5.7973566267914437E-4</v>
      </c>
      <c r="M1543" s="317">
        <v>2.7404657035358829E-3</v>
      </c>
      <c r="N1543" s="318">
        <v>2.0000005732018801E-3</v>
      </c>
      <c r="O1543" s="317">
        <v>2.834531638094619E-2</v>
      </c>
      <c r="P1543" s="318">
        <v>1.7241093687830583E-2</v>
      </c>
      <c r="Q1543" s="319">
        <v>5.9928956933062681E-3</v>
      </c>
    </row>
    <row r="1544" spans="2:17" ht="15.75" x14ac:dyDescent="0.25">
      <c r="B1544" s="176">
        <v>2048</v>
      </c>
      <c r="C1544" s="177">
        <v>2036</v>
      </c>
      <c r="D1544" s="178" t="s">
        <v>4390</v>
      </c>
      <c r="E1544" s="461">
        <v>3.5971052624310773E-2</v>
      </c>
      <c r="F1544" s="462">
        <v>3.6861851874188042E-2</v>
      </c>
      <c r="G1544" s="316">
        <v>6.4475930399867931E-2</v>
      </c>
      <c r="H1544" s="317">
        <v>2.8249953485361989E-3</v>
      </c>
      <c r="I1544" s="317">
        <v>4.7709556316763026E-2</v>
      </c>
      <c r="J1544" s="317">
        <v>2.2975430723147443E-2</v>
      </c>
      <c r="K1544" s="317">
        <v>5.4968261178596906E-3</v>
      </c>
      <c r="L1544" s="318">
        <v>5.7859893861564554E-4</v>
      </c>
      <c r="M1544" s="317">
        <v>2.7363130414454705E-3</v>
      </c>
      <c r="N1544" s="318">
        <v>2.0000005732018801E-3</v>
      </c>
      <c r="O1544" s="317">
        <v>2.827467959878828E-2</v>
      </c>
      <c r="P1544" s="318">
        <v>1.7226495908223966E-2</v>
      </c>
      <c r="Q1544" s="319">
        <v>5.7453682031046666E-3</v>
      </c>
    </row>
    <row r="1545" spans="2:17" ht="15.75" x14ac:dyDescent="0.25">
      <c r="B1545" s="176">
        <v>2048</v>
      </c>
      <c r="C1545" s="177">
        <v>2037</v>
      </c>
      <c r="D1545" s="178" t="s">
        <v>4391</v>
      </c>
      <c r="E1545" s="461">
        <v>3.5899048626280336E-2</v>
      </c>
      <c r="F1545" s="462">
        <v>3.6788081869579541E-2</v>
      </c>
      <c r="G1545" s="316">
        <v>6.322817994032863E-2</v>
      </c>
      <c r="H1545" s="317">
        <v>2.7883671867696756E-3</v>
      </c>
      <c r="I1545" s="317">
        <v>4.6277922090208597E-2</v>
      </c>
      <c r="J1545" s="317">
        <v>2.2089982797269588E-2</v>
      </c>
      <c r="K1545" s="317">
        <v>5.2397853919318397E-3</v>
      </c>
      <c r="L1545" s="318">
        <v>5.7752109549981574E-4</v>
      </c>
      <c r="M1545" s="317">
        <v>2.7313985577196069E-3</v>
      </c>
      <c r="N1545" s="318">
        <v>2.0000005732018801E-3</v>
      </c>
      <c r="O1545" s="317">
        <v>2.8191084230611341E-2</v>
      </c>
      <c r="P1545" s="318">
        <v>1.7213046374996679E-2</v>
      </c>
      <c r="Q1545" s="319">
        <v>5.4767052361516817E-3</v>
      </c>
    </row>
    <row r="1546" spans="2:17" ht="15.75" x14ac:dyDescent="0.25">
      <c r="B1546" s="176">
        <v>2048</v>
      </c>
      <c r="C1546" s="177">
        <v>2038</v>
      </c>
      <c r="D1546" s="178" t="s">
        <v>4392</v>
      </c>
      <c r="E1546" s="461">
        <v>3.5851849113213319E-2</v>
      </c>
      <c r="F1546" s="462">
        <v>3.669720363871936E-2</v>
      </c>
      <c r="G1546" s="316">
        <v>6.2061642134385725E-2</v>
      </c>
      <c r="H1546" s="317">
        <v>2.749370293913781E-3</v>
      </c>
      <c r="I1546" s="317">
        <v>4.4853761327833752E-2</v>
      </c>
      <c r="J1546" s="317">
        <v>2.1189712736200312E-2</v>
      </c>
      <c r="K1546" s="317">
        <v>4.9784522703817365E-3</v>
      </c>
      <c r="L1546" s="318">
        <v>5.7608908300519539E-4</v>
      </c>
      <c r="M1546" s="317">
        <v>2.7283577497748766E-3</v>
      </c>
      <c r="N1546" s="318">
        <v>2.0000005732018801E-3</v>
      </c>
      <c r="O1546" s="317">
        <v>2.813936008747148E-2</v>
      </c>
      <c r="P1546" s="318">
        <v>1.7193893864880318E-2</v>
      </c>
      <c r="Q1546" s="319">
        <v>5.2035557904936336E-3</v>
      </c>
    </row>
    <row r="1547" spans="2:17" ht="15.75" x14ac:dyDescent="0.25">
      <c r="B1547" s="176">
        <v>2048</v>
      </c>
      <c r="C1547" s="177">
        <v>2039</v>
      </c>
      <c r="D1547" s="178" t="s">
        <v>4393</v>
      </c>
      <c r="E1547" s="461">
        <v>3.5785522590148576E-2</v>
      </c>
      <c r="F1547" s="462">
        <v>3.6629765320812913E-2</v>
      </c>
      <c r="G1547" s="316">
        <v>6.0716839111508367E-2</v>
      </c>
      <c r="H1547" s="317">
        <v>2.7098551342936215E-3</v>
      </c>
      <c r="I1547" s="317">
        <v>4.3275289726536992E-2</v>
      </c>
      <c r="J1547" s="317">
        <v>2.0242962832244693E-2</v>
      </c>
      <c r="K1547" s="317">
        <v>4.6932338831303802E-3</v>
      </c>
      <c r="L1547" s="318">
        <v>5.7520009096883684E-4</v>
      </c>
      <c r="M1547" s="317">
        <v>2.7238187789241416E-3</v>
      </c>
      <c r="N1547" s="318">
        <v>2.0000005732018801E-3</v>
      </c>
      <c r="O1547" s="317">
        <v>2.8062152193300476E-2</v>
      </c>
      <c r="P1547" s="318">
        <v>1.7181868604393691E-2</v>
      </c>
      <c r="Q1547" s="319">
        <v>4.905441093408628E-3</v>
      </c>
    </row>
    <row r="1548" spans="2:17" ht="15.75" x14ac:dyDescent="0.25">
      <c r="B1548" s="176">
        <v>2048</v>
      </c>
      <c r="C1548" s="177">
        <v>2040</v>
      </c>
      <c r="D1548" s="178" t="s">
        <v>4394</v>
      </c>
      <c r="E1548" s="461">
        <v>3.5753229367017907E-2</v>
      </c>
      <c r="F1548" s="462">
        <v>3.6597963325421028E-2</v>
      </c>
      <c r="G1548" s="316">
        <v>5.9508873310413046E-2</v>
      </c>
      <c r="H1548" s="317">
        <v>2.6696106719382526E-3</v>
      </c>
      <c r="I1548" s="317">
        <v>4.173503695414129E-2</v>
      </c>
      <c r="J1548" s="317">
        <v>1.9331189954576482E-2</v>
      </c>
      <c r="K1548" s="317">
        <v>4.4067909097616834E-3</v>
      </c>
      <c r="L1548" s="318">
        <v>5.7499493534206921E-4</v>
      </c>
      <c r="M1548" s="317">
        <v>2.7219487641377111E-3</v>
      </c>
      <c r="N1548" s="318">
        <v>2.0000005732018801E-3</v>
      </c>
      <c r="O1548" s="317">
        <v>2.8030343241783297E-2</v>
      </c>
      <c r="P1548" s="318">
        <v>1.718126524242895E-2</v>
      </c>
      <c r="Q1548" s="319">
        <v>4.6060464398560499E-3</v>
      </c>
    </row>
    <row r="1549" spans="2:17" ht="15.75" x14ac:dyDescent="0.25">
      <c r="B1549" s="176">
        <v>2048</v>
      </c>
      <c r="C1549" s="177">
        <v>2041</v>
      </c>
      <c r="D1549" s="178" t="s">
        <v>4395</v>
      </c>
      <c r="E1549" s="461">
        <v>3.5702432861504103E-2</v>
      </c>
      <c r="F1549" s="462">
        <v>3.6557077462433314E-2</v>
      </c>
      <c r="G1549" s="316">
        <v>5.812872303169353E-2</v>
      </c>
      <c r="H1549" s="317">
        <v>2.627981177339758E-3</v>
      </c>
      <c r="I1549" s="317">
        <v>4.0045507374466327E-2</v>
      </c>
      <c r="J1549" s="317">
        <v>3.2820751313770935E-2</v>
      </c>
      <c r="K1549" s="317">
        <v>4.09734327026803E-3</v>
      </c>
      <c r="L1549" s="318">
        <v>5.7447409723004623E-4</v>
      </c>
      <c r="M1549" s="317">
        <v>2.7186399835123997E-3</v>
      </c>
      <c r="N1549" s="318">
        <v>2.0000005732018805E-3</v>
      </c>
      <c r="O1549" s="317">
        <v>2.7974060883346745E-2</v>
      </c>
      <c r="P1549" s="318">
        <v>1.7175541901133025E-2</v>
      </c>
      <c r="Q1549" s="319">
        <v>4.2826069512580753E-3</v>
      </c>
    </row>
    <row r="1550" spans="2:17" ht="15.75" x14ac:dyDescent="0.25">
      <c r="B1550" s="176">
        <v>2048</v>
      </c>
      <c r="C1550" s="177">
        <v>2042</v>
      </c>
      <c r="D1550" s="178" t="s">
        <v>4396</v>
      </c>
      <c r="E1550" s="461">
        <v>3.5661348139559429E-2</v>
      </c>
      <c r="F1550" s="462">
        <v>3.6503252414163266E-2</v>
      </c>
      <c r="G1550" s="316">
        <v>5.6737414833141923E-2</v>
      </c>
      <c r="H1550" s="317">
        <v>2.5826815880220914E-3</v>
      </c>
      <c r="I1550" s="317">
        <v>3.8303944262759973E-2</v>
      </c>
      <c r="J1550" s="317">
        <v>5.7959721634621937E-2</v>
      </c>
      <c r="K1550" s="317">
        <v>3.7759572920945199E-3</v>
      </c>
      <c r="L1550" s="318">
        <v>5.7371571902985901E-4</v>
      </c>
      <c r="M1550" s="317">
        <v>2.7160599825848813E-3</v>
      </c>
      <c r="N1550" s="318">
        <v>2.0000005732018805E-3</v>
      </c>
      <c r="O1550" s="317">
        <v>2.7930175067569663E-2</v>
      </c>
      <c r="P1550" s="318">
        <v>1.7165351956641827E-2</v>
      </c>
      <c r="Q1550" s="319">
        <v>3.9466893252807092E-3</v>
      </c>
    </row>
    <row r="1551" spans="2:17" ht="15.75" x14ac:dyDescent="0.25">
      <c r="B1551" s="176">
        <v>2048</v>
      </c>
      <c r="C1551" s="177">
        <v>2043</v>
      </c>
      <c r="D1551" s="178" t="s">
        <v>4397</v>
      </c>
      <c r="E1551" s="461">
        <v>3.5603118491265504E-2</v>
      </c>
      <c r="F1551" s="462">
        <v>3.6419971791865395E-2</v>
      </c>
      <c r="G1551" s="316">
        <v>5.5188189566573016E-2</v>
      </c>
      <c r="H1551" s="317">
        <v>2.5280471046473588E-3</v>
      </c>
      <c r="I1551" s="317">
        <v>3.642612375686366E-2</v>
      </c>
      <c r="J1551" s="317">
        <v>9.9856189771967696E-2</v>
      </c>
      <c r="K1551" s="317">
        <v>3.433952221441436E-3</v>
      </c>
      <c r="L1551" s="318">
        <v>5.7243741474944146E-4</v>
      </c>
      <c r="M1551" s="317">
        <v>2.7121454310904602E-3</v>
      </c>
      <c r="N1551" s="318">
        <v>2.0000005732018797E-3</v>
      </c>
      <c r="O1551" s="317">
        <v>2.786358854664955E-2</v>
      </c>
      <c r="P1551" s="318">
        <v>1.7144924916622117E-2</v>
      </c>
      <c r="Q1551" s="319">
        <v>3.5892203029577159E-3</v>
      </c>
    </row>
    <row r="1552" spans="2:17" ht="15.75" x14ac:dyDescent="0.25">
      <c r="B1552" s="176">
        <v>2048</v>
      </c>
      <c r="C1552" s="177">
        <v>2044</v>
      </c>
      <c r="D1552" s="178" t="s">
        <v>4398</v>
      </c>
      <c r="E1552" s="461">
        <v>3.5585250046285398E-2</v>
      </c>
      <c r="F1552" s="462">
        <v>3.6410413771063618E-2</v>
      </c>
      <c r="G1552" s="316">
        <v>5.3793193632724869E-2</v>
      </c>
      <c r="H1552" s="317">
        <v>2.4618575139572409E-3</v>
      </c>
      <c r="I1552" s="317">
        <v>3.458650021507436E-2</v>
      </c>
      <c r="J1552" s="317">
        <v>1.3656276852773664E-2</v>
      </c>
      <c r="K1552" s="317">
        <v>3.0884882393080256E-3</v>
      </c>
      <c r="L1552" s="318">
        <v>5.7264983067269214E-4</v>
      </c>
      <c r="M1552" s="317">
        <v>2.7113194796364692E-3</v>
      </c>
      <c r="N1552" s="318">
        <v>2.0000005732018801E-3</v>
      </c>
      <c r="O1552" s="317">
        <v>2.7849539112417172E-2</v>
      </c>
      <c r="P1552" s="318">
        <v>1.7148816486450464E-2</v>
      </c>
      <c r="Q1552" s="319">
        <v>3.2281359725259548E-3</v>
      </c>
    </row>
    <row r="1553" spans="2:17" ht="15.75" x14ac:dyDescent="0.25">
      <c r="B1553" s="176">
        <v>2048</v>
      </c>
      <c r="C1553" s="177">
        <v>2045</v>
      </c>
      <c r="D1553" s="178" t="s">
        <v>4399</v>
      </c>
      <c r="E1553" s="461">
        <v>3.557753773729716E-2</v>
      </c>
      <c r="F1553" s="462">
        <v>3.6393140796827685E-2</v>
      </c>
      <c r="G1553" s="316">
        <v>5.2379781280767458E-2</v>
      </c>
      <c r="H1553" s="317">
        <v>2.4045728315818206E-3</v>
      </c>
      <c r="I1553" s="317">
        <v>3.2684178098099252E-2</v>
      </c>
      <c r="J1553" s="317">
        <v>1.486303391044334E-2</v>
      </c>
      <c r="K1553" s="317">
        <v>2.7285710884729828E-3</v>
      </c>
      <c r="L1553" s="318">
        <v>5.7286216791783322E-4</v>
      </c>
      <c r="M1553" s="317">
        <v>2.711215313368375E-3</v>
      </c>
      <c r="N1553" s="318">
        <v>2.0000005732018801E-3</v>
      </c>
      <c r="O1553" s="317">
        <v>2.7847767244196884E-2</v>
      </c>
      <c r="P1553" s="318">
        <v>1.7148951597891496E-2</v>
      </c>
      <c r="Q1553" s="319">
        <v>2.8519449652388497E-3</v>
      </c>
    </row>
    <row r="1554" spans="2:17" ht="15.75" x14ac:dyDescent="0.25">
      <c r="B1554" s="176">
        <v>2048</v>
      </c>
      <c r="C1554" s="177">
        <v>2046</v>
      </c>
      <c r="D1554" s="178" t="s">
        <v>4400</v>
      </c>
      <c r="E1554" s="461">
        <v>3.554179280304498E-2</v>
      </c>
      <c r="F1554" s="462">
        <v>3.6347533779387424E-2</v>
      </c>
      <c r="G1554" s="316">
        <v>5.0748450963566477E-2</v>
      </c>
      <c r="H1554" s="317">
        <v>2.460158258191807E-3</v>
      </c>
      <c r="I1554" s="317">
        <v>3.0615617749554899E-2</v>
      </c>
      <c r="J1554" s="317">
        <v>1.4604203376529495E-2</v>
      </c>
      <c r="K1554" s="317">
        <v>2.3457080849058729E-3</v>
      </c>
      <c r="L1554" s="318">
        <v>5.726800284922447E-4</v>
      </c>
      <c r="M1554" s="317">
        <v>2.708875799578148E-3</v>
      </c>
      <c r="N1554" s="318">
        <v>2.0000005732018801E-3</v>
      </c>
      <c r="O1554" s="317">
        <v>2.7807972114625129E-2</v>
      </c>
      <c r="P1554" s="318">
        <v>1.7137647650959747E-2</v>
      </c>
      <c r="Q1554" s="319">
        <v>2.4517705955798504E-3</v>
      </c>
    </row>
    <row r="1555" spans="2:17" ht="15.75" x14ac:dyDescent="0.25">
      <c r="B1555" s="176">
        <v>2048</v>
      </c>
      <c r="C1555" s="177">
        <v>2047</v>
      </c>
      <c r="D1555" s="178" t="s">
        <v>4401</v>
      </c>
      <c r="E1555" s="461">
        <v>3.5515938629317463E-2</v>
      </c>
      <c r="F1555" s="462">
        <v>3.6272776193404972E-2</v>
      </c>
      <c r="G1555" s="316">
        <v>4.9116888058983892E-2</v>
      </c>
      <c r="H1555" s="317">
        <v>2.3904186559716967E-3</v>
      </c>
      <c r="I1555" s="317">
        <v>2.849448859502992E-2</v>
      </c>
      <c r="J1555" s="317">
        <v>1.3762894693878312E-2</v>
      </c>
      <c r="K1555" s="317">
        <v>1.9497059439380327E-3</v>
      </c>
      <c r="L1555" s="318">
        <v>5.7158861233938909E-4</v>
      </c>
      <c r="M1555" s="317">
        <v>2.7075402025580225E-3</v>
      </c>
      <c r="N1555" s="318">
        <v>2.0000005732018801E-3</v>
      </c>
      <c r="O1555" s="317">
        <v>2.7785253609312787E-2</v>
      </c>
      <c r="P1555" s="318">
        <v>1.7121304198005768E-2</v>
      </c>
      <c r="Q1555" s="319">
        <v>2.0378629950309163E-3</v>
      </c>
    </row>
    <row r="1556" spans="2:17" ht="15.75" x14ac:dyDescent="0.25">
      <c r="B1556" s="176">
        <v>2048</v>
      </c>
      <c r="C1556" s="177">
        <v>2048</v>
      </c>
      <c r="D1556" s="178" t="s">
        <v>4402</v>
      </c>
      <c r="E1556" s="461">
        <v>3.5146566262815378E-2</v>
      </c>
      <c r="F1556" s="462">
        <v>3.5596457019967546E-2</v>
      </c>
      <c r="G1556" s="316">
        <v>4.5730951452272822E-2</v>
      </c>
      <c r="H1556" s="317">
        <v>2.2816381519837124E-3</v>
      </c>
      <c r="I1556" s="317">
        <v>2.551005609970981E-2</v>
      </c>
      <c r="J1556" s="317">
        <v>1.2781901852461735E-2</v>
      </c>
      <c r="K1556" s="317">
        <v>1.4966530043442354E-3</v>
      </c>
      <c r="L1556" s="318">
        <v>5.5937353470084388E-4</v>
      </c>
      <c r="M1556" s="317">
        <v>2.6793277601653716E-3</v>
      </c>
      <c r="N1556" s="318">
        <v>2.0000005732018801E-3</v>
      </c>
      <c r="O1556" s="317">
        <v>2.73053599642138E-2</v>
      </c>
      <c r="P1556" s="318">
        <v>1.6899480239277322E-2</v>
      </c>
      <c r="Q1556" s="319">
        <v>1.5643250119013331E-3</v>
      </c>
    </row>
    <row r="1557" spans="2:17" ht="15.75" x14ac:dyDescent="0.25">
      <c r="B1557" s="176">
        <v>2049</v>
      </c>
      <c r="C1557" s="177">
        <v>2005</v>
      </c>
      <c r="D1557" s="178" t="s">
        <v>4403</v>
      </c>
      <c r="E1557" s="461">
        <v>5.7388235067372888E-2</v>
      </c>
      <c r="F1557" s="462">
        <v>7.021263706329825E-2</v>
      </c>
      <c r="G1557" s="316">
        <v>0.2289545182989583</v>
      </c>
      <c r="H1557" s="317">
        <v>1.5981475501875217E-2</v>
      </c>
      <c r="I1557" s="317">
        <v>5.7142062857146243</v>
      </c>
      <c r="J1557" s="317">
        <v>9.4297962254951601E-2</v>
      </c>
      <c r="K1557" s="317">
        <v>5.2920877861827288E-2</v>
      </c>
      <c r="L1557" s="318">
        <v>1.9952238373022023E-4</v>
      </c>
      <c r="M1557" s="317">
        <v>2.953166975302823E-3</v>
      </c>
      <c r="N1557" s="318">
        <v>2.0000005732018801E-3</v>
      </c>
      <c r="O1557" s="317">
        <v>3.1963365013701846E-2</v>
      </c>
      <c r="P1557" s="318">
        <v>1.7119379924559187E-2</v>
      </c>
      <c r="Q1557" s="319">
        <v>5.5313725125821625E-2</v>
      </c>
    </row>
    <row r="1558" spans="2:17" ht="15.75" x14ac:dyDescent="0.25">
      <c r="B1558" s="176">
        <v>2049</v>
      </c>
      <c r="C1558" s="177">
        <v>2006</v>
      </c>
      <c r="D1558" s="178" t="s">
        <v>4404</v>
      </c>
      <c r="E1558" s="461">
        <v>5.7284231810126353E-2</v>
      </c>
      <c r="F1558" s="462">
        <v>7.3740144628619983E-2</v>
      </c>
      <c r="G1558" s="316">
        <v>0.22862152497351473</v>
      </c>
      <c r="H1558" s="317">
        <v>6.0460114311044998E-3</v>
      </c>
      <c r="I1558" s="317">
        <v>5.7106189881610501</v>
      </c>
      <c r="J1558" s="317">
        <v>6.563568245991741E-2</v>
      </c>
      <c r="K1558" s="317">
        <v>5.2877574590813055E-2</v>
      </c>
      <c r="L1558" s="318">
        <v>1.9567922513626925E-4</v>
      </c>
      <c r="M1558" s="317">
        <v>2.9520029482581031E-3</v>
      </c>
      <c r="N1558" s="318">
        <v>2.0000005732018801E-3</v>
      </c>
      <c r="O1558" s="317">
        <v>3.1943564913671167E-2</v>
      </c>
      <c r="P1558" s="318">
        <v>1.8885505723576765E-2</v>
      </c>
      <c r="Q1558" s="319">
        <v>5.5268463873047478E-2</v>
      </c>
    </row>
    <row r="1559" spans="2:17" ht="15.75" x14ac:dyDescent="0.25">
      <c r="B1559" s="176">
        <v>2049</v>
      </c>
      <c r="C1559" s="177">
        <v>2007</v>
      </c>
      <c r="D1559" s="178" t="s">
        <v>4405</v>
      </c>
      <c r="E1559" s="463">
        <v>5.6861377771244156E-2</v>
      </c>
      <c r="F1559" s="464">
        <v>6.9128068331413439E-2</v>
      </c>
      <c r="G1559" s="465">
        <v>0.15830191267639968</v>
      </c>
      <c r="H1559" s="466">
        <v>8.590081626317355E-3</v>
      </c>
      <c r="I1559" s="466">
        <v>2.8024522867205883</v>
      </c>
      <c r="J1559" s="466">
        <v>5.7539741214089071E-2</v>
      </c>
      <c r="K1559" s="466">
        <v>3.511133955769874E-2</v>
      </c>
      <c r="L1559" s="467">
        <v>1.9885754870372841E-4</v>
      </c>
      <c r="M1559" s="466">
        <v>2.9026467100599445E-3</v>
      </c>
      <c r="N1559" s="467">
        <v>2.0000005732018801E-3</v>
      </c>
      <c r="O1559" s="466">
        <v>3.110401530192048E-2</v>
      </c>
      <c r="P1559" s="467">
        <v>1.7429510456316202E-2</v>
      </c>
      <c r="Q1559" s="468">
        <v>3.6698918528236112E-2</v>
      </c>
    </row>
    <row r="1560" spans="2:17" ht="15.75" x14ac:dyDescent="0.25">
      <c r="B1560" s="176">
        <v>2049</v>
      </c>
      <c r="C1560" s="177">
        <v>2008</v>
      </c>
      <c r="D1560" s="178" t="s">
        <v>4406</v>
      </c>
      <c r="E1560" s="462">
        <v>5.7022414589486869E-2</v>
      </c>
      <c r="F1560" s="462">
        <v>6.7564278838000549E-2</v>
      </c>
      <c r="G1560" s="317">
        <v>0.16424385458823546</v>
      </c>
      <c r="H1560" s="317">
        <v>8.3473040166517787E-3</v>
      </c>
      <c r="I1560" s="317">
        <v>2.9154149440070958</v>
      </c>
      <c r="J1560" s="317">
        <v>4.6831958529273507E-2</v>
      </c>
      <c r="K1560" s="317">
        <v>3.6339768568504335E-2</v>
      </c>
      <c r="L1560" s="318">
        <v>2.2691313021681883E-4</v>
      </c>
      <c r="M1560" s="317">
        <v>2.9406145987648613E-3</v>
      </c>
      <c r="N1560" s="318">
        <v>2.0000005732018801E-3</v>
      </c>
      <c r="O1560" s="317">
        <v>3.174984908879102E-2</v>
      </c>
      <c r="P1560" s="318">
        <v>1.7447708690093804E-2</v>
      </c>
      <c r="Q1560" s="319">
        <v>3.7982891647837323E-2</v>
      </c>
    </row>
    <row r="1561" spans="2:17" ht="15.75" x14ac:dyDescent="0.25">
      <c r="B1561" s="176">
        <v>2049</v>
      </c>
      <c r="C1561" s="177">
        <v>2009</v>
      </c>
      <c r="D1561" s="178" t="s">
        <v>4407</v>
      </c>
      <c r="E1561" s="462">
        <v>5.5362052886634226E-2</v>
      </c>
      <c r="F1561" s="462">
        <v>6.2104461310027954E-2</v>
      </c>
      <c r="G1561" s="317">
        <v>0.14268019685484096</v>
      </c>
      <c r="H1561" s="317">
        <v>8.1850562245731531E-3</v>
      </c>
      <c r="I1561" s="317">
        <v>2.4223397283535038</v>
      </c>
      <c r="J1561" s="317">
        <v>3.4106387302711434E-2</v>
      </c>
      <c r="K1561" s="317">
        <v>3.1660982410864597E-2</v>
      </c>
      <c r="L1561" s="318">
        <v>2.5640621793084501E-4</v>
      </c>
      <c r="M1561" s="317">
        <v>2.7832946012861437E-3</v>
      </c>
      <c r="N1561" s="318">
        <v>2.0000005732018801E-3</v>
      </c>
      <c r="O1561" s="317">
        <v>2.9073835931678133E-2</v>
      </c>
      <c r="P1561" s="318">
        <v>1.6804222823081159E-2</v>
      </c>
      <c r="Q1561" s="319">
        <v>3.3092551541955229E-2</v>
      </c>
    </row>
    <row r="1562" spans="2:17" ht="15.75" x14ac:dyDescent="0.25">
      <c r="B1562" s="176">
        <v>2049</v>
      </c>
      <c r="C1562" s="177">
        <v>2010</v>
      </c>
      <c r="D1562" s="178" t="s">
        <v>4408</v>
      </c>
      <c r="E1562" s="462">
        <v>5.4272375044912072E-2</v>
      </c>
      <c r="F1562" s="462">
        <v>6.00953659104492E-2</v>
      </c>
      <c r="G1562" s="317">
        <v>8.6031412785554956E-2</v>
      </c>
      <c r="H1562" s="317">
        <v>7.3418822064547553E-3</v>
      </c>
      <c r="I1562" s="317">
        <v>0.21575761204318664</v>
      </c>
      <c r="J1562" s="317">
        <v>3.3183109457401348E-2</v>
      </c>
      <c r="K1562" s="317">
        <v>1.866230267006222E-2</v>
      </c>
      <c r="L1562" s="318">
        <v>3.1251684506551354E-4</v>
      </c>
      <c r="M1562" s="317">
        <v>2.7104777642607482E-3</v>
      </c>
      <c r="N1562" s="318">
        <v>2.0000005732018801E-3</v>
      </c>
      <c r="O1562" s="317">
        <v>2.7835221533876152E-2</v>
      </c>
      <c r="P1562" s="318">
        <v>1.6418773071421026E-2</v>
      </c>
      <c r="Q1562" s="319">
        <v>1.9506129184060889E-2</v>
      </c>
    </row>
    <row r="1563" spans="2:17" ht="15.75" x14ac:dyDescent="0.25">
      <c r="B1563" s="176">
        <v>2049</v>
      </c>
      <c r="C1563" s="177">
        <v>2011</v>
      </c>
      <c r="D1563" s="178" t="s">
        <v>4409</v>
      </c>
      <c r="E1563" s="462">
        <v>5.4180650933233473E-2</v>
      </c>
      <c r="F1563" s="462">
        <v>5.8739627297262439E-2</v>
      </c>
      <c r="G1563" s="317">
        <v>8.8324570627362695E-2</v>
      </c>
      <c r="H1563" s="317">
        <v>7.4459737817494168E-3</v>
      </c>
      <c r="I1563" s="317">
        <v>0.22321577919870142</v>
      </c>
      <c r="J1563" s="317">
        <v>3.3484530500530629E-2</v>
      </c>
      <c r="K1563" s="317">
        <v>1.9199995363861914E-2</v>
      </c>
      <c r="L1563" s="318">
        <v>4.2317668418744025E-4</v>
      </c>
      <c r="M1563" s="317">
        <v>2.7458540137046553E-3</v>
      </c>
      <c r="N1563" s="318">
        <v>2.0000005732018801E-3</v>
      </c>
      <c r="O1563" s="317">
        <v>2.8436971536917023E-2</v>
      </c>
      <c r="P1563" s="318">
        <v>1.6542120857509734E-2</v>
      </c>
      <c r="Q1563" s="319">
        <v>2.0068133955498155E-2</v>
      </c>
    </row>
    <row r="1564" spans="2:17" ht="15.75" x14ac:dyDescent="0.25">
      <c r="B1564" s="176">
        <v>2049</v>
      </c>
      <c r="C1564" s="177">
        <v>2012</v>
      </c>
      <c r="D1564" s="178" t="s">
        <v>4410</v>
      </c>
      <c r="E1564" s="462">
        <v>5.2217578265616245E-2</v>
      </c>
      <c r="F1564" s="462">
        <v>5.8697766498043896E-2</v>
      </c>
      <c r="G1564" s="317">
        <v>7.7969700252039004E-2</v>
      </c>
      <c r="H1564" s="317">
        <v>7.0222175628392898E-3</v>
      </c>
      <c r="I1564" s="317">
        <v>0.1948377376242266</v>
      </c>
      <c r="J1564" s="317">
        <v>3.4589998174213765E-2</v>
      </c>
      <c r="K1564" s="317">
        <v>1.7206437641823943E-2</v>
      </c>
      <c r="L1564" s="318">
        <v>6.143782699515771E-4</v>
      </c>
      <c r="M1564" s="317">
        <v>2.6306637303423297E-3</v>
      </c>
      <c r="N1564" s="318">
        <v>2.0000005732018801E-3</v>
      </c>
      <c r="O1564" s="317">
        <v>2.6477584816923853E-2</v>
      </c>
      <c r="P1564" s="318">
        <v>1.6918711416139643E-2</v>
      </c>
      <c r="Q1564" s="319">
        <v>1.7984436399550996E-2</v>
      </c>
    </row>
    <row r="1565" spans="2:17" ht="15.75" x14ac:dyDescent="0.25">
      <c r="B1565" s="176">
        <v>2049</v>
      </c>
      <c r="C1565" s="177">
        <v>2013</v>
      </c>
      <c r="D1565" s="178" t="s">
        <v>4411</v>
      </c>
      <c r="E1565" s="462">
        <v>5.4724953636558459E-2</v>
      </c>
      <c r="F1565" s="462">
        <v>5.7525917752362085E-2</v>
      </c>
      <c r="G1565" s="317">
        <v>9.5816645017446855E-2</v>
      </c>
      <c r="H1565" s="317">
        <v>7.9608161092505972E-3</v>
      </c>
      <c r="I1565" s="317">
        <v>0.24279882597336899</v>
      </c>
      <c r="J1565" s="317">
        <v>3.3667534712963923E-2</v>
      </c>
      <c r="K1565" s="317">
        <v>2.0551099383954767E-2</v>
      </c>
      <c r="L1565" s="318">
        <v>9.1719485047671279E-4</v>
      </c>
      <c r="M1565" s="317">
        <v>2.8209662579164272E-3</v>
      </c>
      <c r="N1565" s="318">
        <v>2.0000005732018797E-3</v>
      </c>
      <c r="O1565" s="317">
        <v>2.9714630810959246E-2</v>
      </c>
      <c r="P1565" s="318">
        <v>1.7046086222842757E-2</v>
      </c>
      <c r="Q1565" s="319">
        <v>2.1480328903944308E-2</v>
      </c>
    </row>
    <row r="1566" spans="2:17" ht="15.75" x14ac:dyDescent="0.25">
      <c r="B1566" s="176">
        <v>2049</v>
      </c>
      <c r="C1566" s="177">
        <v>2014</v>
      </c>
      <c r="D1566" s="178" t="s">
        <v>4412</v>
      </c>
      <c r="E1566" s="462">
        <v>5.2260539345544033E-2</v>
      </c>
      <c r="F1566" s="462">
        <v>5.5351095776634614E-2</v>
      </c>
      <c r="G1566" s="317">
        <v>8.7374006805011034E-2</v>
      </c>
      <c r="H1566" s="317">
        <v>8.0851683592645489E-3</v>
      </c>
      <c r="I1566" s="317">
        <v>0.22039767432270457</v>
      </c>
      <c r="J1566" s="317">
        <v>3.2268164009312789E-2</v>
      </c>
      <c r="K1566" s="317">
        <v>1.8999991145044241E-2</v>
      </c>
      <c r="L1566" s="318">
        <v>1.2867624375656097E-3</v>
      </c>
      <c r="M1566" s="317">
        <v>2.7339618204379802E-3</v>
      </c>
      <c r="N1566" s="318">
        <v>2.0000005732018801E-3</v>
      </c>
      <c r="O1566" s="317">
        <v>2.8234685329450865E-2</v>
      </c>
      <c r="P1566" s="318">
        <v>1.6588671877245553E-2</v>
      </c>
      <c r="Q1566" s="319">
        <v>1.9859086433411114E-2</v>
      </c>
    </row>
    <row r="1567" spans="2:17" ht="15.75" x14ac:dyDescent="0.25">
      <c r="B1567" s="176">
        <v>2049</v>
      </c>
      <c r="C1567" s="177">
        <v>2015</v>
      </c>
      <c r="D1567" s="178" t="s">
        <v>4413</v>
      </c>
      <c r="E1567" s="462">
        <v>5.1215031118522943E-2</v>
      </c>
      <c r="F1567" s="462">
        <v>5.8128787953838627E-2</v>
      </c>
      <c r="G1567" s="317">
        <v>8.400625217979725E-2</v>
      </c>
      <c r="H1567" s="317">
        <v>8.0866868864214146E-3</v>
      </c>
      <c r="I1567" s="317">
        <v>0.21300272962800795</v>
      </c>
      <c r="J1567" s="317">
        <v>3.4042382106608177E-2</v>
      </c>
      <c r="K1567" s="317">
        <v>1.8520302593692368E-2</v>
      </c>
      <c r="L1567" s="318">
        <v>1.5971164131881729E-3</v>
      </c>
      <c r="M1567" s="317">
        <v>2.7126362404680019E-3</v>
      </c>
      <c r="N1567" s="318">
        <v>2.0000005732018801E-3</v>
      </c>
      <c r="O1567" s="317">
        <v>2.7871937214161539E-2</v>
      </c>
      <c r="P1567" s="318">
        <v>1.7690439329254851E-2</v>
      </c>
      <c r="Q1567" s="319">
        <v>1.9357708494353504E-2</v>
      </c>
    </row>
    <row r="1568" spans="2:17" ht="15.75" x14ac:dyDescent="0.25">
      <c r="B1568" s="176">
        <v>2049</v>
      </c>
      <c r="C1568" s="177">
        <v>2016</v>
      </c>
      <c r="D1568" s="178" t="s">
        <v>4414</v>
      </c>
      <c r="E1568" s="462">
        <v>5.1959541120730673E-2</v>
      </c>
      <c r="F1568" s="462">
        <v>6.0167561294177031E-2</v>
      </c>
      <c r="G1568" s="317">
        <v>9.8640593623667436E-2</v>
      </c>
      <c r="H1568" s="317">
        <v>7.8498289409003053E-3</v>
      </c>
      <c r="I1568" s="317">
        <v>0.22259717245915583</v>
      </c>
      <c r="J1568" s="317">
        <v>3.4762029304971798E-2</v>
      </c>
      <c r="K1568" s="317">
        <v>2.1353739283192719E-2</v>
      </c>
      <c r="L1568" s="318">
        <v>1.8256214498821076E-3</v>
      </c>
      <c r="M1568" s="317">
        <v>2.8778840087385939E-3</v>
      </c>
      <c r="N1568" s="318">
        <v>2.0000005732018801E-3</v>
      </c>
      <c r="O1568" s="317">
        <v>3.0682801752444321E-2</v>
      </c>
      <c r="P1568" s="318">
        <v>1.8809466347619656E-2</v>
      </c>
      <c r="Q1568" s="319">
        <v>2.2319260617763955E-2</v>
      </c>
    </row>
    <row r="1569" spans="2:17" ht="15.75" x14ac:dyDescent="0.25">
      <c r="B1569" s="176">
        <v>2049</v>
      </c>
      <c r="C1569" s="177">
        <v>2017</v>
      </c>
      <c r="D1569" s="178" t="s">
        <v>4415</v>
      </c>
      <c r="E1569" s="462">
        <v>4.87007505954722E-2</v>
      </c>
      <c r="F1569" s="462">
        <v>5.359885319207406E-2</v>
      </c>
      <c r="G1569" s="317">
        <v>7.9953153955895168E-2</v>
      </c>
      <c r="H1569" s="317">
        <v>7.862253949341369E-3</v>
      </c>
      <c r="I1569" s="317">
        <v>0.16890228805312407</v>
      </c>
      <c r="J1569" s="317">
        <v>3.1813184693751308E-2</v>
      </c>
      <c r="K1569" s="317">
        <v>1.977838281060066E-2</v>
      </c>
      <c r="L1569" s="318">
        <v>2.0126858424931423E-3</v>
      </c>
      <c r="M1569" s="317">
        <v>2.8475130472317661E-3</v>
      </c>
      <c r="N1569" s="318">
        <v>2.0000005732018805E-3</v>
      </c>
      <c r="O1569" s="317">
        <v>3.0166191697213164E-2</v>
      </c>
      <c r="P1569" s="318">
        <v>1.7602126802882659E-2</v>
      </c>
      <c r="Q1569" s="319">
        <v>2.0672673516022127E-2</v>
      </c>
    </row>
    <row r="1570" spans="2:17" ht="15.75" x14ac:dyDescent="0.25">
      <c r="B1570" s="176">
        <v>2049</v>
      </c>
      <c r="C1570" s="177">
        <v>2018</v>
      </c>
      <c r="D1570" s="178" t="s">
        <v>4416</v>
      </c>
      <c r="E1570" s="462">
        <v>4.5635848511657452E-2</v>
      </c>
      <c r="F1570" s="462">
        <v>5.1311487538352817E-2</v>
      </c>
      <c r="G1570" s="317">
        <v>8.0198070906090102E-2</v>
      </c>
      <c r="H1570" s="317">
        <v>7.4983055454320565E-3</v>
      </c>
      <c r="I1570" s="317">
        <v>0.13931625432318501</v>
      </c>
      <c r="J1570" s="317">
        <v>3.0424844724422948E-2</v>
      </c>
      <c r="K1570" s="317">
        <v>1.8544275726620537E-2</v>
      </c>
      <c r="L1570" s="318">
        <v>2.0928645035206694E-3</v>
      </c>
      <c r="M1570" s="317">
        <v>2.8504159502650865E-3</v>
      </c>
      <c r="N1570" s="318">
        <v>2.0000005732018805E-3</v>
      </c>
      <c r="O1570" s="317">
        <v>3.0215570077809947E-2</v>
      </c>
      <c r="P1570" s="318">
        <v>1.7623808091184433E-2</v>
      </c>
      <c r="Q1570" s="319">
        <v>1.9382765585973499E-2</v>
      </c>
    </row>
    <row r="1571" spans="2:17" ht="15.75" x14ac:dyDescent="0.25">
      <c r="B1571" s="176">
        <v>2049</v>
      </c>
      <c r="C1571" s="177">
        <v>2019</v>
      </c>
      <c r="D1571" s="178" t="s">
        <v>4417</v>
      </c>
      <c r="E1571" s="462">
        <v>4.5431760617445874E-2</v>
      </c>
      <c r="F1571" s="462">
        <v>4.9475454128665393E-2</v>
      </c>
      <c r="G1571" s="317">
        <v>8.0542079823518228E-2</v>
      </c>
      <c r="H1571" s="317">
        <v>6.7450156660257858E-3</v>
      </c>
      <c r="I1571" s="317">
        <v>0.12126114939896208</v>
      </c>
      <c r="J1571" s="317">
        <v>2.7652119390034896E-2</v>
      </c>
      <c r="K1571" s="317">
        <v>1.6105626565537469E-2</v>
      </c>
      <c r="L1571" s="318">
        <v>1.9892495488782452E-3</v>
      </c>
      <c r="M1571" s="317">
        <v>2.8546219676896011E-3</v>
      </c>
      <c r="N1571" s="318">
        <v>2.0000005732018801E-3</v>
      </c>
      <c r="O1571" s="317">
        <v>3.0287114434200953E-2</v>
      </c>
      <c r="P1571" s="318">
        <v>1.763055959284026E-2</v>
      </c>
      <c r="Q1571" s="319">
        <v>1.683385153117168E-2</v>
      </c>
    </row>
    <row r="1572" spans="2:17" ht="15.75" x14ac:dyDescent="0.25">
      <c r="B1572" s="176">
        <v>2049</v>
      </c>
      <c r="C1572" s="177">
        <v>2020</v>
      </c>
      <c r="D1572" s="178" t="s">
        <v>4418</v>
      </c>
      <c r="E1572" s="462">
        <v>4.5114835803664967E-2</v>
      </c>
      <c r="F1572" s="462">
        <v>4.7662746604918177E-2</v>
      </c>
      <c r="G1572" s="317">
        <v>8.0263938712533456E-2</v>
      </c>
      <c r="H1572" s="317">
        <v>5.8441896676089096E-3</v>
      </c>
      <c r="I1572" s="317">
        <v>0.10201598769381429</v>
      </c>
      <c r="J1572" s="317">
        <v>2.551401353472529E-2</v>
      </c>
      <c r="K1572" s="317">
        <v>1.3531935467797029E-2</v>
      </c>
      <c r="L1572" s="318">
        <v>1.4775241988601437E-3</v>
      </c>
      <c r="M1572" s="317">
        <v>2.8500674498790385E-3</v>
      </c>
      <c r="N1572" s="318">
        <v>2.0000005732018801E-3</v>
      </c>
      <c r="O1572" s="317">
        <v>3.0209642086243275E-2</v>
      </c>
      <c r="P1572" s="318">
        <v>1.7639085253694495E-2</v>
      </c>
      <c r="Q1572" s="319">
        <v>1.4143789542576488E-2</v>
      </c>
    </row>
    <row r="1573" spans="2:17" ht="15.75" x14ac:dyDescent="0.25">
      <c r="B1573" s="176">
        <v>2049</v>
      </c>
      <c r="C1573" s="177">
        <v>2021</v>
      </c>
      <c r="D1573" s="178" t="s">
        <v>4419</v>
      </c>
      <c r="E1573" s="462">
        <v>4.3767128284526363E-2</v>
      </c>
      <c r="F1573" s="462">
        <v>4.5551443267308325E-2</v>
      </c>
      <c r="G1573" s="317">
        <v>7.8169094122326782E-2</v>
      </c>
      <c r="H1573" s="317">
        <v>5.1600573658489189E-3</v>
      </c>
      <c r="I1573" s="317">
        <v>7.9651136627006208E-2</v>
      </c>
      <c r="J1573" s="317">
        <v>2.4472455169501826E-2</v>
      </c>
      <c r="K1573" s="317">
        <v>1.0180845106732152E-2</v>
      </c>
      <c r="L1573" s="318">
        <v>9.8557849157797361E-4</v>
      </c>
      <c r="M1573" s="317">
        <v>2.8444529265607118E-3</v>
      </c>
      <c r="N1573" s="318">
        <v>2.0000005732018801E-3</v>
      </c>
      <c r="O1573" s="317">
        <v>3.0114139044598535E-2</v>
      </c>
      <c r="P1573" s="318">
        <v>1.7645670804216231E-2</v>
      </c>
      <c r="Q1573" s="319">
        <v>1.0641177745627508E-2</v>
      </c>
    </row>
    <row r="1574" spans="2:17" ht="15.75" x14ac:dyDescent="0.25">
      <c r="B1574" s="176">
        <v>2049</v>
      </c>
      <c r="C1574" s="177">
        <v>2022</v>
      </c>
      <c r="D1574" s="178" t="s">
        <v>4420</v>
      </c>
      <c r="E1574" s="462">
        <v>4.2450097452977072E-2</v>
      </c>
      <c r="F1574" s="462">
        <v>4.3916676398865283E-2</v>
      </c>
      <c r="G1574" s="317">
        <v>7.7329385391951083E-2</v>
      </c>
      <c r="H1574" s="317">
        <v>4.3719814325924771E-3</v>
      </c>
      <c r="I1574" s="317">
        <v>6.0187600417831354E-2</v>
      </c>
      <c r="J1574" s="317">
        <v>2.3396430885165118E-2</v>
      </c>
      <c r="K1574" s="317">
        <v>7.6016712249237818E-3</v>
      </c>
      <c r="L1574" s="318">
        <v>9.8526064206123313E-4</v>
      </c>
      <c r="M1574" s="317">
        <v>2.8336921299999371E-3</v>
      </c>
      <c r="N1574" s="318">
        <v>2.0000005732018801E-3</v>
      </c>
      <c r="O1574" s="317">
        <v>2.9931097895099814E-2</v>
      </c>
      <c r="P1574" s="318">
        <v>1.7645286680365208E-2</v>
      </c>
      <c r="Q1574" s="319">
        <v>7.9453850657983591E-3</v>
      </c>
    </row>
    <row r="1575" spans="2:17" ht="15.75" x14ac:dyDescent="0.25">
      <c r="B1575" s="176">
        <v>2049</v>
      </c>
      <c r="C1575" s="177">
        <v>2023</v>
      </c>
      <c r="D1575" s="178" t="s">
        <v>4421</v>
      </c>
      <c r="E1575" s="462">
        <v>4.1278963453478729E-2</v>
      </c>
      <c r="F1575" s="462">
        <v>4.2285606435999809E-2</v>
      </c>
      <c r="G1575" s="317">
        <v>7.7295619952660002E-2</v>
      </c>
      <c r="H1575" s="317">
        <v>3.8267879055628234E-3</v>
      </c>
      <c r="I1575" s="317">
        <v>6.0148540628585961E-2</v>
      </c>
      <c r="J1575" s="317">
        <v>2.4282995920434813E-2</v>
      </c>
      <c r="K1575" s="317">
        <v>7.5950100191397914E-3</v>
      </c>
      <c r="L1575" s="318">
        <v>9.8451825136867239E-4</v>
      </c>
      <c r="M1575" s="317">
        <v>2.8326947962700592E-3</v>
      </c>
      <c r="N1575" s="318">
        <v>2.0000005732018805E-3</v>
      </c>
      <c r="O1575" s="317">
        <v>2.9914133248354537E-2</v>
      </c>
      <c r="P1575" s="318">
        <v>1.7645041406600708E-2</v>
      </c>
      <c r="Q1575" s="319">
        <v>7.9384226698474801E-3</v>
      </c>
    </row>
    <row r="1576" spans="2:17" ht="15.75" x14ac:dyDescent="0.25">
      <c r="B1576" s="176">
        <v>2049</v>
      </c>
      <c r="C1576" s="177">
        <v>2024</v>
      </c>
      <c r="D1576" s="178" t="s">
        <v>4422</v>
      </c>
      <c r="E1576" s="462">
        <v>4.0069985614125669E-2</v>
      </c>
      <c r="F1576" s="462">
        <v>4.0516293110515141E-2</v>
      </c>
      <c r="G1576" s="317">
        <v>7.683747900949818E-2</v>
      </c>
      <c r="H1576" s="317">
        <v>3.34627493508966E-3</v>
      </c>
      <c r="I1576" s="317">
        <v>5.9818792178536147E-2</v>
      </c>
      <c r="J1576" s="317">
        <v>2.6343430279887812E-2</v>
      </c>
      <c r="K1576" s="317">
        <v>7.5481524790701679E-3</v>
      </c>
      <c r="L1576" s="318">
        <v>9.8192237649798284E-4</v>
      </c>
      <c r="M1576" s="317">
        <v>2.8265899396778468E-3</v>
      </c>
      <c r="N1576" s="318">
        <v>2.0000005732018805E-3</v>
      </c>
      <c r="O1576" s="317">
        <v>2.9810289637721005E-2</v>
      </c>
      <c r="P1576" s="318">
        <v>1.7600519209427189E-2</v>
      </c>
      <c r="Q1576" s="319">
        <v>7.8894464397431634E-3</v>
      </c>
    </row>
    <row r="1577" spans="2:17" ht="15.75" x14ac:dyDescent="0.25">
      <c r="B1577" s="176">
        <v>2049</v>
      </c>
      <c r="C1577" s="177">
        <v>2025</v>
      </c>
      <c r="D1577" s="178" t="s">
        <v>4423</v>
      </c>
      <c r="E1577" s="462">
        <v>3.8863196430159029E-2</v>
      </c>
      <c r="F1577" s="462">
        <v>3.8754912258895692E-2</v>
      </c>
      <c r="G1577" s="317">
        <v>7.6393758025240663E-2</v>
      </c>
      <c r="H1577" s="317">
        <v>3.0737298487974749E-3</v>
      </c>
      <c r="I1577" s="317">
        <v>5.9497675217301704E-2</v>
      </c>
      <c r="J1577" s="317">
        <v>2.9470139675827275E-2</v>
      </c>
      <c r="K1577" s="317">
        <v>7.5026334805041589E-3</v>
      </c>
      <c r="L1577" s="318">
        <v>9.7916158251027557E-4</v>
      </c>
      <c r="M1577" s="317">
        <v>2.8206793621791157E-3</v>
      </c>
      <c r="N1577" s="318">
        <v>2.0000005732018801E-3</v>
      </c>
      <c r="O1577" s="317">
        <v>2.9709750714467593E-2</v>
      </c>
      <c r="P1577" s="318">
        <v>1.7557788927880725E-2</v>
      </c>
      <c r="Q1577" s="319">
        <v>7.8418692740495587E-3</v>
      </c>
    </row>
    <row r="1578" spans="2:17" ht="15.75" x14ac:dyDescent="0.25">
      <c r="B1578" s="176">
        <v>2049</v>
      </c>
      <c r="C1578" s="177">
        <v>2026</v>
      </c>
      <c r="D1578" s="178" t="s">
        <v>4424</v>
      </c>
      <c r="E1578" s="462">
        <v>3.7896665401946396E-2</v>
      </c>
      <c r="F1578" s="462">
        <v>3.8349790676047428E-2</v>
      </c>
      <c r="G1578" s="317">
        <v>7.5775103910878328E-2</v>
      </c>
      <c r="H1578" s="317">
        <v>3.0652537812376336E-3</v>
      </c>
      <c r="I1578" s="317">
        <v>5.9016395655592031E-2</v>
      </c>
      <c r="J1578" s="317">
        <v>2.9405036459505401E-2</v>
      </c>
      <c r="K1578" s="317">
        <v>7.4305818826011861E-3</v>
      </c>
      <c r="L1578" s="318">
        <v>8.5806553045480983E-4</v>
      </c>
      <c r="M1578" s="317">
        <v>2.8134367779995293E-3</v>
      </c>
      <c r="N1578" s="318">
        <v>2.0000005732018801E-3</v>
      </c>
      <c r="O1578" s="317">
        <v>2.9586554357572827E-2</v>
      </c>
      <c r="P1578" s="318">
        <v>1.7515724366050457E-2</v>
      </c>
      <c r="Q1578" s="319">
        <v>7.7665598226136475E-3</v>
      </c>
    </row>
    <row r="1579" spans="2:17" ht="15.75" x14ac:dyDescent="0.25">
      <c r="B1579" s="176">
        <v>2049</v>
      </c>
      <c r="C1579" s="177">
        <v>2027</v>
      </c>
      <c r="D1579" s="178" t="s">
        <v>4425</v>
      </c>
      <c r="E1579" s="462">
        <v>3.6972476982788501E-2</v>
      </c>
      <c r="F1579" s="462">
        <v>3.7989843960016333E-2</v>
      </c>
      <c r="G1579" s="317">
        <v>7.5009721282816633E-2</v>
      </c>
      <c r="H1579" s="317">
        <v>3.0541848420581066E-3</v>
      </c>
      <c r="I1579" s="317">
        <v>5.838635868986479E-2</v>
      </c>
      <c r="J1579" s="317">
        <v>2.9140452387805642E-2</v>
      </c>
      <c r="K1579" s="317">
        <v>7.3326265870173619E-3</v>
      </c>
      <c r="L1579" s="318">
        <v>7.172678581376593E-4</v>
      </c>
      <c r="M1579" s="317">
        <v>2.8053097228951953E-3</v>
      </c>
      <c r="N1579" s="318">
        <v>2.0000005732018801E-3</v>
      </c>
      <c r="O1579" s="317">
        <v>2.9448313150248106E-2</v>
      </c>
      <c r="P1579" s="318">
        <v>1.7481918089185134E-2</v>
      </c>
      <c r="Q1579" s="319">
        <v>7.6641754232337038E-3</v>
      </c>
    </row>
    <row r="1580" spans="2:17" ht="15.75" x14ac:dyDescent="0.25">
      <c r="B1580" s="176">
        <v>2049</v>
      </c>
      <c r="C1580" s="177">
        <v>2028</v>
      </c>
      <c r="D1580" s="178" t="s">
        <v>4426</v>
      </c>
      <c r="E1580" s="462">
        <v>3.6857394105709242E-2</v>
      </c>
      <c r="F1580" s="462">
        <v>3.7856760911383312E-2</v>
      </c>
      <c r="G1580" s="317">
        <v>7.4184175923563675E-2</v>
      </c>
      <c r="H1580" s="317">
        <v>3.0421391868557918E-3</v>
      </c>
      <c r="I1580" s="317">
        <v>5.7668687549140819E-2</v>
      </c>
      <c r="J1580" s="317">
        <v>2.8859517143653934E-2</v>
      </c>
      <c r="K1580" s="317">
        <v>7.2175534860503456E-3</v>
      </c>
      <c r="L1580" s="318">
        <v>5.9597409773211904E-4</v>
      </c>
      <c r="M1580" s="317">
        <v>2.7973663152617311E-3</v>
      </c>
      <c r="N1580" s="318">
        <v>2.0000005732018797E-3</v>
      </c>
      <c r="O1580" s="317">
        <v>2.931319578640287E-2</v>
      </c>
      <c r="P1580" s="318">
        <v>1.7449803122661894E-2</v>
      </c>
      <c r="Q1580" s="319">
        <v>7.5438992272702891E-3</v>
      </c>
    </row>
    <row r="1581" spans="2:17" ht="15.75" x14ac:dyDescent="0.25">
      <c r="B1581" s="176">
        <v>2049</v>
      </c>
      <c r="C1581" s="177">
        <v>2029</v>
      </c>
      <c r="D1581" s="178" t="s">
        <v>4427</v>
      </c>
      <c r="E1581" s="462">
        <v>3.6757651093334689E-2</v>
      </c>
      <c r="F1581" s="462">
        <v>3.7761374067068434E-2</v>
      </c>
      <c r="G1581" s="317">
        <v>7.338034826394603E-2</v>
      </c>
      <c r="H1581" s="317">
        <v>3.0284449049367852E-3</v>
      </c>
      <c r="I1581" s="317">
        <v>5.6919841174815716E-2</v>
      </c>
      <c r="J1581" s="317">
        <v>2.8497650960758313E-2</v>
      </c>
      <c r="K1581" s="317">
        <v>7.093213806499645E-3</v>
      </c>
      <c r="L1581" s="318">
        <v>5.9416170460412131E-4</v>
      </c>
      <c r="M1581" s="317">
        <v>2.7905609034427465E-3</v>
      </c>
      <c r="N1581" s="318">
        <v>2.0000005732018801E-3</v>
      </c>
      <c r="O1581" s="317">
        <v>2.9197435731361944E-2</v>
      </c>
      <c r="P1581" s="318">
        <v>1.7429915194634871E-2</v>
      </c>
      <c r="Q1581" s="319">
        <v>7.4139374591594542E-3</v>
      </c>
    </row>
    <row r="1582" spans="2:17" ht="15.75" x14ac:dyDescent="0.25">
      <c r="B1582" s="176">
        <v>2049</v>
      </c>
      <c r="C1582" s="177">
        <v>2030</v>
      </c>
      <c r="D1582" s="178" t="s">
        <v>4428</v>
      </c>
      <c r="E1582" s="462">
        <v>3.6654373603780106E-2</v>
      </c>
      <c r="F1582" s="462">
        <v>3.7631810489418299E-2</v>
      </c>
      <c r="G1582" s="317">
        <v>7.2482778741338377E-2</v>
      </c>
      <c r="H1582" s="317">
        <v>3.0113404086933395E-3</v>
      </c>
      <c r="I1582" s="317">
        <v>5.6061653593227179E-2</v>
      </c>
      <c r="J1582" s="317">
        <v>2.7957918931909437E-2</v>
      </c>
      <c r="K1582" s="317">
        <v>6.9490103550163751E-3</v>
      </c>
      <c r="L1582" s="318">
        <v>5.916898973781611E-4</v>
      </c>
      <c r="M1582" s="317">
        <v>2.7834726081658791E-3</v>
      </c>
      <c r="N1582" s="318">
        <v>2.0000005732018801E-3</v>
      </c>
      <c r="O1582" s="317">
        <v>2.9076863828702431E-2</v>
      </c>
      <c r="P1582" s="318">
        <v>1.7398947027757451E-2</v>
      </c>
      <c r="Q1582" s="319">
        <v>7.2632137674934587E-3</v>
      </c>
    </row>
    <row r="1583" spans="2:17" ht="15.75" x14ac:dyDescent="0.25">
      <c r="B1583" s="176">
        <v>2049</v>
      </c>
      <c r="C1583" s="177">
        <v>2031</v>
      </c>
      <c r="D1583" s="178" t="s">
        <v>4429</v>
      </c>
      <c r="E1583" s="462">
        <v>3.6562567424980777E-2</v>
      </c>
      <c r="F1583" s="462">
        <v>3.7525977521398551E-2</v>
      </c>
      <c r="G1583" s="317">
        <v>7.1581889482259492E-2</v>
      </c>
      <c r="H1583" s="317">
        <v>2.9925248572999553E-3</v>
      </c>
      <c r="I1583" s="317">
        <v>5.5156915982917429E-2</v>
      </c>
      <c r="J1583" s="317">
        <v>2.7488175856201062E-2</v>
      </c>
      <c r="K1583" s="317">
        <v>6.7936327578643459E-3</v>
      </c>
      <c r="L1583" s="318">
        <v>5.8979593816771729E-4</v>
      </c>
      <c r="M1583" s="317">
        <v>2.7771957380094011E-3</v>
      </c>
      <c r="N1583" s="318">
        <v>2.0000005732018801E-3</v>
      </c>
      <c r="O1583" s="317">
        <v>2.8970094267340738E-2</v>
      </c>
      <c r="P1583" s="318">
        <v>1.7375630489372816E-2</v>
      </c>
      <c r="Q1583" s="319">
        <v>7.1008106848760915E-3</v>
      </c>
    </row>
    <row r="1584" spans="2:17" ht="15.75" x14ac:dyDescent="0.25">
      <c r="B1584" s="176">
        <v>2049</v>
      </c>
      <c r="C1584" s="177">
        <v>2032</v>
      </c>
      <c r="D1584" s="178" t="s">
        <v>4430</v>
      </c>
      <c r="E1584" s="462">
        <v>3.6421918831852258E-2</v>
      </c>
      <c r="F1584" s="462">
        <v>3.7364773223642275E-2</v>
      </c>
      <c r="G1584" s="317">
        <v>7.0309392742771787E-2</v>
      </c>
      <c r="H1584" s="317">
        <v>2.9712673989170232E-3</v>
      </c>
      <c r="I1584" s="317">
        <v>5.3958994062774858E-2</v>
      </c>
      <c r="J1584" s="317">
        <v>2.6866495169603738E-2</v>
      </c>
      <c r="K1584" s="317">
        <v>6.5940808715205688E-3</v>
      </c>
      <c r="L1584" s="318">
        <v>5.8677397463997535E-4</v>
      </c>
      <c r="M1584" s="317">
        <v>2.7672024948036272E-3</v>
      </c>
      <c r="N1584" s="318">
        <v>2.0000005732018805E-3</v>
      </c>
      <c r="O1584" s="317">
        <v>2.8800109200410529E-2</v>
      </c>
      <c r="P1584" s="318">
        <v>1.7334815930897442E-2</v>
      </c>
      <c r="Q1584" s="319">
        <v>6.8922359477302259E-3</v>
      </c>
    </row>
    <row r="1585" spans="2:17" ht="15.75" x14ac:dyDescent="0.25">
      <c r="B1585" s="176">
        <v>2049</v>
      </c>
      <c r="C1585" s="177">
        <v>2033</v>
      </c>
      <c r="D1585" s="178" t="s">
        <v>4431</v>
      </c>
      <c r="E1585" s="462">
        <v>3.6308476424077307E-2</v>
      </c>
      <c r="F1585" s="462">
        <v>3.722884308522708E-2</v>
      </c>
      <c r="G1585" s="317">
        <v>6.9138993962880951E-2</v>
      </c>
      <c r="H1585" s="317">
        <v>2.946648634697019E-3</v>
      </c>
      <c r="I1585" s="317">
        <v>5.2787886682096233E-2</v>
      </c>
      <c r="J1585" s="317">
        <v>2.6160646310614721E-2</v>
      </c>
      <c r="K1585" s="317">
        <v>6.3938495533873776E-3</v>
      </c>
      <c r="L1585" s="318">
        <v>5.8428774853521066E-4</v>
      </c>
      <c r="M1585" s="317">
        <v>2.7592729408380981E-3</v>
      </c>
      <c r="N1585" s="318">
        <v>2.0000005732018797E-3</v>
      </c>
      <c r="O1585" s="317">
        <v>2.8665227487456871E-2</v>
      </c>
      <c r="P1585" s="318">
        <v>1.7302042197352457E-2</v>
      </c>
      <c r="Q1585" s="319">
        <v>6.6829510579043683E-3</v>
      </c>
    </row>
    <row r="1586" spans="2:17" ht="15.75" x14ac:dyDescent="0.25">
      <c r="B1586" s="176">
        <v>2049</v>
      </c>
      <c r="C1586" s="177">
        <v>2034</v>
      </c>
      <c r="D1586" s="178" t="s">
        <v>4432</v>
      </c>
      <c r="E1586" s="462">
        <v>3.6203296390658848E-2</v>
      </c>
      <c r="F1586" s="462">
        <v>3.7132430090298145E-2</v>
      </c>
      <c r="G1586" s="317">
        <v>6.795201961672663E-2</v>
      </c>
      <c r="H1586" s="317">
        <v>2.9200982960546004E-3</v>
      </c>
      <c r="I1586" s="317">
        <v>5.1564011358616157E-2</v>
      </c>
      <c r="J1586" s="317">
        <v>2.5429721072941162E-2</v>
      </c>
      <c r="K1586" s="317">
        <v>6.1821819081763615E-3</v>
      </c>
      <c r="L1586" s="318">
        <v>5.8270918123409776E-4</v>
      </c>
      <c r="M1586" s="317">
        <v>2.7519275959651248E-3</v>
      </c>
      <c r="N1586" s="318">
        <v>2.0000005732018805E-3</v>
      </c>
      <c r="O1586" s="317">
        <v>2.8540283171167594E-2</v>
      </c>
      <c r="P1586" s="318">
        <v>1.7281301014029117E-2</v>
      </c>
      <c r="Q1586" s="319">
        <v>6.4617127410381741E-3</v>
      </c>
    </row>
    <row r="1587" spans="2:17" ht="15.75" x14ac:dyDescent="0.25">
      <c r="B1587" s="176">
        <v>2049</v>
      </c>
      <c r="C1587" s="177">
        <v>2035</v>
      </c>
      <c r="D1587" s="178" t="s">
        <v>4433</v>
      </c>
      <c r="E1587" s="462">
        <v>3.6124943036835798E-2</v>
      </c>
      <c r="F1587" s="462">
        <v>3.7025803781505724E-2</v>
      </c>
      <c r="G1587" s="317">
        <v>6.6862130884745338E-2</v>
      </c>
      <c r="H1587" s="317">
        <v>2.8906025037209872E-3</v>
      </c>
      <c r="I1587" s="317">
        <v>5.0361747784641961E-2</v>
      </c>
      <c r="J1587" s="317">
        <v>2.4619127979901137E-2</v>
      </c>
      <c r="K1587" s="317">
        <v>5.9687362137376375E-3</v>
      </c>
      <c r="L1587" s="318">
        <v>5.8094534734491534E-4</v>
      </c>
      <c r="M1587" s="317">
        <v>2.7465730058153703E-3</v>
      </c>
      <c r="N1587" s="318">
        <v>2.0000005732018801E-3</v>
      </c>
      <c r="O1587" s="317">
        <v>2.8449201592720279E-2</v>
      </c>
      <c r="P1587" s="318">
        <v>1.7257362183176177E-2</v>
      </c>
      <c r="Q1587" s="319">
        <v>6.2386159794481791E-3</v>
      </c>
    </row>
    <row r="1588" spans="2:17" ht="15.75" x14ac:dyDescent="0.25">
      <c r="B1588" s="176">
        <v>2049</v>
      </c>
      <c r="C1588" s="177">
        <v>2036</v>
      </c>
      <c r="D1588" s="178" t="s">
        <v>4434</v>
      </c>
      <c r="E1588" s="462">
        <v>3.6035370471592852E-2</v>
      </c>
      <c r="F1588" s="462">
        <v>3.6941666614051391E-2</v>
      </c>
      <c r="G1588" s="317">
        <v>6.5637772268749242E-2</v>
      </c>
      <c r="H1588" s="317">
        <v>2.858863616549009E-3</v>
      </c>
      <c r="I1588" s="317">
        <v>4.9029976972604583E-2</v>
      </c>
      <c r="J1588" s="317">
        <v>2.3838045418565046E-2</v>
      </c>
      <c r="K1588" s="317">
        <v>5.7339343818960092E-3</v>
      </c>
      <c r="L1588" s="318">
        <v>5.7964583203019078E-4</v>
      </c>
      <c r="M1588" s="317">
        <v>2.7403596073683071E-3</v>
      </c>
      <c r="N1588" s="318">
        <v>2.0000005732018801E-3</v>
      </c>
      <c r="O1588" s="317">
        <v>2.8343511685135731E-2</v>
      </c>
      <c r="P1588" s="318">
        <v>1.7240745638328531E-2</v>
      </c>
      <c r="Q1588" s="319">
        <v>5.9931974506883638E-3</v>
      </c>
    </row>
    <row r="1589" spans="2:17" ht="15.75" x14ac:dyDescent="0.25">
      <c r="B1589" s="176">
        <v>2049</v>
      </c>
      <c r="C1589" s="177">
        <v>2037</v>
      </c>
      <c r="D1589" s="178" t="s">
        <v>4435</v>
      </c>
      <c r="E1589" s="462">
        <v>3.5973249229988041E-2</v>
      </c>
      <c r="F1589" s="462">
        <v>3.6864703380800674E-2</v>
      </c>
      <c r="G1589" s="317">
        <v>6.4513453326297793E-2</v>
      </c>
      <c r="H1589" s="317">
        <v>2.8239721690036593E-3</v>
      </c>
      <c r="I1589" s="317">
        <v>4.7720183625642551E-2</v>
      </c>
      <c r="J1589" s="317">
        <v>2.2975645859492563E-2</v>
      </c>
      <c r="K1589" s="317">
        <v>5.497146107808366E-3</v>
      </c>
      <c r="L1589" s="318">
        <v>5.785137267170417E-4</v>
      </c>
      <c r="M1589" s="317">
        <v>2.7362111480508451E-3</v>
      </c>
      <c r="N1589" s="318">
        <v>2.0000005732018801E-3</v>
      </c>
      <c r="O1589" s="317">
        <v>2.8272946392145743E-2</v>
      </c>
      <c r="P1589" s="318">
        <v>1.7226174258433605E-2</v>
      </c>
      <c r="Q1589" s="319">
        <v>5.7457026615788812E-3</v>
      </c>
    </row>
    <row r="1590" spans="2:17" ht="15.75" x14ac:dyDescent="0.25">
      <c r="B1590" s="176">
        <v>2049</v>
      </c>
      <c r="C1590" s="177">
        <v>2038</v>
      </c>
      <c r="D1590" s="178" t="s">
        <v>4436</v>
      </c>
      <c r="E1590" s="462">
        <v>3.5901197611624858E-2</v>
      </c>
      <c r="F1590" s="462">
        <v>3.6790781773562847E-2</v>
      </c>
      <c r="G1590" s="317">
        <v>6.3265195863915949E-2</v>
      </c>
      <c r="H1590" s="317">
        <v>2.7860428639550389E-3</v>
      </c>
      <c r="I1590" s="317">
        <v>4.6288290085336123E-2</v>
      </c>
      <c r="J1590" s="317">
        <v>2.2087211582116087E-2</v>
      </c>
      <c r="K1590" s="317">
        <v>5.240095969597007E-3</v>
      </c>
      <c r="L1590" s="318">
        <v>5.7743523841729562E-4</v>
      </c>
      <c r="M1590" s="317">
        <v>2.7312974948149496E-3</v>
      </c>
      <c r="N1590" s="318">
        <v>2.0000005732018801E-3</v>
      </c>
      <c r="O1590" s="317">
        <v>2.8189365150603118E-2</v>
      </c>
      <c r="P1590" s="318">
        <v>1.7212725028239239E-2</v>
      </c>
      <c r="Q1590" s="319">
        <v>5.4770298567606984E-3</v>
      </c>
    </row>
    <row r="1591" spans="2:17" ht="15.75" x14ac:dyDescent="0.25">
      <c r="B1591" s="176">
        <v>2049</v>
      </c>
      <c r="C1591" s="177">
        <v>2039</v>
      </c>
      <c r="D1591" s="178" t="s">
        <v>4437</v>
      </c>
      <c r="E1591" s="462">
        <v>3.5853970024540868E-2</v>
      </c>
      <c r="F1591" s="462">
        <v>3.6699764637372019E-2</v>
      </c>
      <c r="G1591" s="317">
        <v>6.2098023715204571E-2</v>
      </c>
      <c r="H1591" s="317">
        <v>2.7447708825656045E-3</v>
      </c>
      <c r="I1591" s="317">
        <v>4.4863861209036709E-2</v>
      </c>
      <c r="J1591" s="317">
        <v>2.1129035748452697E-2</v>
      </c>
      <c r="K1591" s="317">
        <v>4.9787568961684901E-3</v>
      </c>
      <c r="L1591" s="318">
        <v>5.7600482784785599E-4</v>
      </c>
      <c r="M1591" s="317">
        <v>2.7282589461812413E-3</v>
      </c>
      <c r="N1591" s="318">
        <v>2.0000005732018801E-3</v>
      </c>
      <c r="O1591" s="317">
        <v>2.8137679438343745E-2</v>
      </c>
      <c r="P1591" s="318">
        <v>1.7193580052739143E-2</v>
      </c>
      <c r="Q1591" s="319">
        <v>5.2038741901067036E-3</v>
      </c>
    </row>
    <row r="1592" spans="2:17" ht="15.75" x14ac:dyDescent="0.25">
      <c r="B1592" s="176">
        <v>2049</v>
      </c>
      <c r="C1592" s="177">
        <v>2040</v>
      </c>
      <c r="D1592" s="178" t="s">
        <v>4438</v>
      </c>
      <c r="E1592" s="462">
        <v>3.5787704335289904E-2</v>
      </c>
      <c r="F1592" s="462">
        <v>3.6632211257622331E-2</v>
      </c>
      <c r="G1592" s="317">
        <v>6.0753562400373662E-2</v>
      </c>
      <c r="H1592" s="317">
        <v>2.7016226179490586E-3</v>
      </c>
      <c r="I1592" s="317">
        <v>4.328552797855368E-2</v>
      </c>
      <c r="J1592" s="317">
        <v>2.0190283494380481E-2</v>
      </c>
      <c r="K1592" s="317">
        <v>4.6935645888947037E-3</v>
      </c>
      <c r="L1592" s="318">
        <v>5.7511958115811753E-4</v>
      </c>
      <c r="M1592" s="317">
        <v>2.7237250754186021E-3</v>
      </c>
      <c r="N1592" s="318">
        <v>2.0000005732018797E-3</v>
      </c>
      <c r="O1592" s="317">
        <v>2.8060558296671256E-2</v>
      </c>
      <c r="P1592" s="318">
        <v>1.7181571614773763E-2</v>
      </c>
      <c r="Q1592" s="319">
        <v>4.9057867522201166E-3</v>
      </c>
    </row>
    <row r="1593" spans="2:17" ht="15.75" x14ac:dyDescent="0.25">
      <c r="B1593" s="176">
        <v>2049</v>
      </c>
      <c r="C1593" s="177">
        <v>2041</v>
      </c>
      <c r="D1593" s="178" t="s">
        <v>4439</v>
      </c>
      <c r="E1593" s="462">
        <v>3.5755380360032354E-2</v>
      </c>
      <c r="F1593" s="462">
        <v>3.660023536903647E-2</v>
      </c>
      <c r="G1593" s="317">
        <v>5.9544968524667272E-2</v>
      </c>
      <c r="H1593" s="317">
        <v>2.6568212089619317E-3</v>
      </c>
      <c r="I1593" s="317">
        <v>4.1744946804221895E-2</v>
      </c>
      <c r="J1593" s="317">
        <v>3.5162038543044484E-2</v>
      </c>
      <c r="K1593" s="317">
        <v>4.4071061591920997E-3</v>
      </c>
      <c r="L1593" s="318">
        <v>5.7491549800817903E-4</v>
      </c>
      <c r="M1593" s="317">
        <v>2.7218562989897613E-3</v>
      </c>
      <c r="N1593" s="318">
        <v>2.0000005732018801E-3</v>
      </c>
      <c r="O1593" s="317">
        <v>2.8028770409616665E-2</v>
      </c>
      <c r="P1593" s="318">
        <v>1.7180979539207438E-2</v>
      </c>
      <c r="Q1593" s="319">
        <v>4.6063759434668205E-3</v>
      </c>
    </row>
    <row r="1594" spans="2:17" ht="15.75" x14ac:dyDescent="0.25">
      <c r="B1594" s="176">
        <v>2049</v>
      </c>
      <c r="C1594" s="177">
        <v>2042</v>
      </c>
      <c r="D1594" s="178" t="s">
        <v>4440</v>
      </c>
      <c r="E1594" s="462">
        <v>3.5704536512205939E-2</v>
      </c>
      <c r="F1594" s="462">
        <v>3.6559199875542861E-2</v>
      </c>
      <c r="G1594" s="317">
        <v>5.8163309545046962E-2</v>
      </c>
      <c r="H1594" s="317">
        <v>2.6118734720446796E-3</v>
      </c>
      <c r="I1594" s="317">
        <v>4.0054874681286254E-2</v>
      </c>
      <c r="J1594" s="317">
        <v>6.3924456549571573E-2</v>
      </c>
      <c r="K1594" s="317">
        <v>4.0976401019435565E-3</v>
      </c>
      <c r="L1594" s="318">
        <v>5.7439700027969763E-4</v>
      </c>
      <c r="M1594" s="317">
        <v>2.7185523334585134E-3</v>
      </c>
      <c r="N1594" s="318">
        <v>2.0000005732018801E-3</v>
      </c>
      <c r="O1594" s="317">
        <v>2.797256995593014E-2</v>
      </c>
      <c r="P1594" s="318">
        <v>1.7175256600497658E-2</v>
      </c>
      <c r="Q1594" s="319">
        <v>4.2829172043447857E-3</v>
      </c>
    </row>
    <row r="1595" spans="2:17" ht="15.75" x14ac:dyDescent="0.25">
      <c r="B1595" s="176">
        <v>2049</v>
      </c>
      <c r="C1595" s="177">
        <v>2043</v>
      </c>
      <c r="D1595" s="178" t="s">
        <v>4441</v>
      </c>
      <c r="E1595" s="462">
        <v>3.5663476130514661E-2</v>
      </c>
      <c r="F1595" s="462">
        <v>3.6505305393918198E-2</v>
      </c>
      <c r="G1595" s="317">
        <v>5.6772004901146172E-2</v>
      </c>
      <c r="H1595" s="317">
        <v>2.5663660494351396E-3</v>
      </c>
      <c r="I1595" s="317">
        <v>3.8313219106762865E-2</v>
      </c>
      <c r="J1595" s="317">
        <v>0.11408570823637273</v>
      </c>
      <c r="K1595" s="317">
        <v>3.7762547368780709E-3</v>
      </c>
      <c r="L1595" s="318">
        <v>5.7363961356736708E-4</v>
      </c>
      <c r="M1595" s="317">
        <v>2.7159756265574091E-3</v>
      </c>
      <c r="N1595" s="318">
        <v>2.0000005732018801E-3</v>
      </c>
      <c r="O1595" s="317">
        <v>2.7928740171542288E-2</v>
      </c>
      <c r="P1595" s="318">
        <v>1.7165080266881606E-2</v>
      </c>
      <c r="Q1595" s="319">
        <v>3.9470002191974787E-3</v>
      </c>
    </row>
    <row r="1596" spans="2:17" ht="15.75" x14ac:dyDescent="0.25">
      <c r="B1596" s="176">
        <v>2049</v>
      </c>
      <c r="C1596" s="177">
        <v>2044</v>
      </c>
      <c r="D1596" s="178" t="s">
        <v>4442</v>
      </c>
      <c r="E1596" s="462">
        <v>3.5605254137965538E-2</v>
      </c>
      <c r="F1596" s="462">
        <v>3.6422112252152077E-2</v>
      </c>
      <c r="G1596" s="317">
        <v>5.5222369965291382E-2</v>
      </c>
      <c r="H1596" s="317">
        <v>2.5158778694849729E-3</v>
      </c>
      <c r="I1596" s="317">
        <v>3.6435152976970558E-2</v>
      </c>
      <c r="J1596" s="317">
        <v>1.4500796833725373E-2</v>
      </c>
      <c r="K1596" s="317">
        <v>3.4342405699187553E-3</v>
      </c>
      <c r="L1596" s="318">
        <v>5.723622353987751E-4</v>
      </c>
      <c r="M1596" s="317">
        <v>2.7120651972452735E-3</v>
      </c>
      <c r="N1596" s="318">
        <v>2.0000005732018797E-3</v>
      </c>
      <c r="O1596" s="317">
        <v>2.7862223768942849E-2</v>
      </c>
      <c r="P1596" s="318">
        <v>1.7144665126223129E-2</v>
      </c>
      <c r="Q1596" s="319">
        <v>3.5895216892736568E-3</v>
      </c>
    </row>
    <row r="1597" spans="2:17" ht="15.75" x14ac:dyDescent="0.25">
      <c r="B1597" s="176">
        <v>2049</v>
      </c>
      <c r="C1597" s="177">
        <v>2045</v>
      </c>
      <c r="D1597" s="178" t="s">
        <v>4443</v>
      </c>
      <c r="E1597" s="462">
        <v>3.5587447544154903E-2</v>
      </c>
      <c r="F1597" s="462">
        <v>3.6412747717473957E-2</v>
      </c>
      <c r="G1597" s="317">
        <v>5.3827212876568914E-2</v>
      </c>
      <c r="H1597" s="317">
        <v>2.461770701846415E-3</v>
      </c>
      <c r="I1597" s="317">
        <v>3.459540473945668E-2</v>
      </c>
      <c r="J1597" s="317">
        <v>1.5722686049513105E-2</v>
      </c>
      <c r="K1597" s="317">
        <v>3.0887751052725287E-3</v>
      </c>
      <c r="L1597" s="318">
        <v>5.725775187188102E-4</v>
      </c>
      <c r="M1597" s="317">
        <v>2.7112457068090637E-3</v>
      </c>
      <c r="N1597" s="318">
        <v>2.0000005732018805E-3</v>
      </c>
      <c r="O1597" s="317">
        <v>2.7848284236623003E-2</v>
      </c>
      <c r="P1597" s="318">
        <v>1.714855633791414E-2</v>
      </c>
      <c r="Q1597" s="319">
        <v>3.228435809296422E-3</v>
      </c>
    </row>
    <row r="1598" spans="2:17" ht="15.75" x14ac:dyDescent="0.25">
      <c r="B1598" s="176">
        <v>2049</v>
      </c>
      <c r="C1598" s="177">
        <v>2046</v>
      </c>
      <c r="D1598" s="178" t="s">
        <v>4444</v>
      </c>
      <c r="E1598" s="462">
        <v>3.5579795916429555E-2</v>
      </c>
      <c r="F1598" s="462">
        <v>3.6395404184077502E-2</v>
      </c>
      <c r="G1598" s="317">
        <v>5.2413498307399345E-2</v>
      </c>
      <c r="H1598" s="317">
        <v>2.4042319287153118E-3</v>
      </c>
      <c r="I1598" s="317">
        <v>3.2692864686056859E-2</v>
      </c>
      <c r="J1598" s="317">
        <v>1.4861763436539225E-2</v>
      </c>
      <c r="K1598" s="317">
        <v>2.728847786370624E-3</v>
      </c>
      <c r="L1598" s="318">
        <v>5.7278895361228871E-4</v>
      </c>
      <c r="M1598" s="317">
        <v>2.7111503023624166E-3</v>
      </c>
      <c r="N1598" s="318">
        <v>2.0000005732018797E-3</v>
      </c>
      <c r="O1598" s="317">
        <v>2.7846661406985534E-2</v>
      </c>
      <c r="P1598" s="318">
        <v>1.7148704695707236E-2</v>
      </c>
      <c r="Q1598" s="319">
        <v>2.8522341741875922E-3</v>
      </c>
    </row>
    <row r="1599" spans="2:17" ht="15.75" x14ac:dyDescent="0.25">
      <c r="B1599" s="176">
        <v>2049</v>
      </c>
      <c r="C1599" s="177">
        <v>2047</v>
      </c>
      <c r="D1599" s="178" t="s">
        <v>4445</v>
      </c>
      <c r="E1599" s="462">
        <v>3.5544248205840095E-2</v>
      </c>
      <c r="F1599" s="462">
        <v>3.6349923655722489E-2</v>
      </c>
      <c r="G1599" s="317">
        <v>5.0782772202570874E-2</v>
      </c>
      <c r="H1599" s="317">
        <v>2.459876598573513E-3</v>
      </c>
      <c r="I1599" s="317">
        <v>3.0624472830129368E-2</v>
      </c>
      <c r="J1599" s="317">
        <v>1.4604066018073663E-2</v>
      </c>
      <c r="K1599" s="317">
        <v>2.3459941361090608E-3</v>
      </c>
      <c r="L1599" s="318">
        <v>5.7261337842007395E-4</v>
      </c>
      <c r="M1599" s="317">
        <v>2.7088267644149763E-3</v>
      </c>
      <c r="N1599" s="318">
        <v>2.0000005732018801E-3</v>
      </c>
      <c r="O1599" s="317">
        <v>2.7807138026499572E-2</v>
      </c>
      <c r="P1599" s="318">
        <v>1.7137457569739396E-2</v>
      </c>
      <c r="Q1599" s="319">
        <v>2.4520695807491127E-3</v>
      </c>
    </row>
    <row r="1600" spans="2:17" ht="15.75" x14ac:dyDescent="0.25">
      <c r="B1600" s="176">
        <v>2049</v>
      </c>
      <c r="C1600" s="177">
        <v>2048</v>
      </c>
      <c r="D1600" s="178" t="s">
        <v>4446</v>
      </c>
      <c r="E1600" s="462">
        <v>3.5518464464616629E-2</v>
      </c>
      <c r="F1600" s="462">
        <v>3.627507878637428E-2</v>
      </c>
      <c r="G1600" s="317">
        <v>4.9150947888411747E-2</v>
      </c>
      <c r="H1600" s="317">
        <v>2.3901439729081294E-3</v>
      </c>
      <c r="I1600" s="317">
        <v>2.8503094952181215E-2</v>
      </c>
      <c r="J1600" s="317">
        <v>1.3761972572397307E-2</v>
      </c>
      <c r="K1600" s="317">
        <v>1.9499653068157997E-3</v>
      </c>
      <c r="L1600" s="318">
        <v>5.7152061025963704E-4</v>
      </c>
      <c r="M1600" s="317">
        <v>2.707502959478361E-3</v>
      </c>
      <c r="N1600" s="318">
        <v>2.0000005732018801E-3</v>
      </c>
      <c r="O1600" s="317">
        <v>2.7784620104527862E-2</v>
      </c>
      <c r="P1600" s="318">
        <v>1.712113430757602E-2</v>
      </c>
      <c r="Q1600" s="319">
        <v>2.0381340851471129E-3</v>
      </c>
    </row>
    <row r="1601" spans="2:17" ht="15.75" x14ac:dyDescent="0.25">
      <c r="B1601" s="176">
        <v>2049</v>
      </c>
      <c r="C1601" s="177">
        <v>2049</v>
      </c>
      <c r="D1601" s="178" t="s">
        <v>4447</v>
      </c>
      <c r="E1601" s="462">
        <v>3.5149318900331294E-2</v>
      </c>
      <c r="F1601" s="462">
        <v>3.5598967435005173E-2</v>
      </c>
      <c r="G1601" s="317">
        <v>4.5764966122904649E-2</v>
      </c>
      <c r="H1601" s="317">
        <v>2.2813749890273505E-3</v>
      </c>
      <c r="I1601" s="317">
        <v>2.5518704966429273E-2</v>
      </c>
      <c r="J1601" s="317">
        <v>1.2758323510822862E-2</v>
      </c>
      <c r="K1601" s="317">
        <v>1.4968989556751562E-3</v>
      </c>
      <c r="L1601" s="318">
        <v>5.5930701808219946E-4</v>
      </c>
      <c r="M1601" s="317">
        <v>2.6793277601653716E-3</v>
      </c>
      <c r="N1601" s="318">
        <v>2.0000005732018801E-3</v>
      </c>
      <c r="O1601" s="317">
        <v>2.73053599642138E-2</v>
      </c>
      <c r="P1601" s="318">
        <v>1.6899480239277322E-2</v>
      </c>
      <c r="Q1601" s="319">
        <v>1.5645820840600524E-3</v>
      </c>
    </row>
    <row r="1602" spans="2:17" ht="15.75" x14ac:dyDescent="0.25">
      <c r="B1602" s="176">
        <v>2050</v>
      </c>
      <c r="C1602" s="177">
        <v>2006</v>
      </c>
      <c r="D1602" s="178" t="s">
        <v>4448</v>
      </c>
      <c r="E1602" s="462">
        <v>5.730705913069243E-2</v>
      </c>
      <c r="F1602" s="462">
        <v>7.3794096123270966E-2</v>
      </c>
      <c r="G1602" s="317">
        <v>0.22842281055027325</v>
      </c>
      <c r="H1602" s="317">
        <v>6.0482105716506088E-3</v>
      </c>
      <c r="I1602" s="317">
        <v>5.7049684532183518</v>
      </c>
      <c r="J1602" s="317">
        <v>6.5634878256267931E-2</v>
      </c>
      <c r="K1602" s="317">
        <v>5.2876758107685808E-2</v>
      </c>
      <c r="L1602" s="318">
        <v>1.95792653823394E-4</v>
      </c>
      <c r="M1602" s="317">
        <v>2.9506452163730922E-3</v>
      </c>
      <c r="N1602" s="318">
        <v>2.0000005732018801E-3</v>
      </c>
      <c r="O1602" s="317">
        <v>3.1920469894307128E-2</v>
      </c>
      <c r="P1602" s="318">
        <v>1.8885505723576765E-2</v>
      </c>
      <c r="Q1602" s="319">
        <v>5.5267610472176411E-2</v>
      </c>
    </row>
    <row r="1603" spans="2:17" ht="15.75" x14ac:dyDescent="0.25">
      <c r="B1603" s="176">
        <v>2050</v>
      </c>
      <c r="C1603" s="177">
        <v>2007</v>
      </c>
      <c r="D1603" s="178" t="s">
        <v>4449</v>
      </c>
      <c r="E1603" s="462">
        <v>5.6863145240253016E-2</v>
      </c>
      <c r="F1603" s="462">
        <v>6.9179590501682153E-2</v>
      </c>
      <c r="G1603" s="317">
        <v>0.15769233177762099</v>
      </c>
      <c r="H1603" s="317">
        <v>8.5952122025936308E-3</v>
      </c>
      <c r="I1603" s="317">
        <v>2.7904114354763907</v>
      </c>
      <c r="J1603" s="317">
        <v>5.7538755783049698E-2</v>
      </c>
      <c r="K1603" s="317">
        <v>3.4985086526907225E-2</v>
      </c>
      <c r="L1603" s="318">
        <v>1.9898448966157407E-4</v>
      </c>
      <c r="M1603" s="317">
        <v>2.8987063812887753E-3</v>
      </c>
      <c r="N1603" s="318">
        <v>2.0000005732018801E-3</v>
      </c>
      <c r="O1603" s="317">
        <v>3.1036990309522897E-2</v>
      </c>
      <c r="P1603" s="318">
        <v>1.7429510456316202E-2</v>
      </c>
      <c r="Q1603" s="319">
        <v>3.6566956895631705E-2</v>
      </c>
    </row>
    <row r="1604" spans="2:17" ht="15.75" x14ac:dyDescent="0.25">
      <c r="B1604" s="176">
        <v>2050</v>
      </c>
      <c r="C1604" s="177">
        <v>2008</v>
      </c>
      <c r="D1604" s="178" t="s">
        <v>4450</v>
      </c>
      <c r="E1604" s="462">
        <v>5.6942719212305447E-2</v>
      </c>
      <c r="F1604" s="462">
        <v>6.7617103078371751E-2</v>
      </c>
      <c r="G1604" s="317">
        <v>0.16227754529714269</v>
      </c>
      <c r="H1604" s="317">
        <v>8.3526264369101974E-3</v>
      </c>
      <c r="I1604" s="317">
        <v>2.8765560216965871</v>
      </c>
      <c r="J1604" s="317">
        <v>4.6830826607779055E-2</v>
      </c>
      <c r="K1604" s="317">
        <v>3.5932195871757749E-2</v>
      </c>
      <c r="L1604" s="318">
        <v>2.2705943060621211E-4</v>
      </c>
      <c r="M1604" s="317">
        <v>2.9279075244878806E-3</v>
      </c>
      <c r="N1604" s="318">
        <v>2.0000005732018801E-3</v>
      </c>
      <c r="O1604" s="317">
        <v>3.153370175533967E-2</v>
      </c>
      <c r="P1604" s="318">
        <v>1.7447708690093804E-2</v>
      </c>
      <c r="Q1604" s="319">
        <v>3.7556890322320881E-2</v>
      </c>
    </row>
    <row r="1605" spans="2:17" ht="15.75" x14ac:dyDescent="0.25">
      <c r="B1605" s="176">
        <v>2050</v>
      </c>
      <c r="C1605" s="177">
        <v>2009</v>
      </c>
      <c r="D1605" s="178" t="s">
        <v>4451</v>
      </c>
      <c r="E1605" s="462">
        <v>5.5167229893745784E-2</v>
      </c>
      <c r="F1605" s="462">
        <v>6.2156192748415551E-2</v>
      </c>
      <c r="G1605" s="317">
        <v>0.13961430642506528</v>
      </c>
      <c r="H1605" s="317">
        <v>8.1908620868540311E-3</v>
      </c>
      <c r="I1605" s="317">
        <v>2.3629198174482431</v>
      </c>
      <c r="J1605" s="317">
        <v>3.4105779902364429E-2</v>
      </c>
      <c r="K1605" s="317">
        <v>3.1028528952938724E-2</v>
      </c>
      <c r="L1605" s="318">
        <v>2.5657996201893207E-4</v>
      </c>
      <c r="M1605" s="317">
        <v>2.7637749193452407E-3</v>
      </c>
      <c r="N1605" s="318">
        <v>2.0000005732018801E-3</v>
      </c>
      <c r="O1605" s="317">
        <v>2.8741806141863366E-2</v>
      </c>
      <c r="P1605" s="318">
        <v>1.6804382193155887E-2</v>
      </c>
      <c r="Q1605" s="319">
        <v>3.2431501345132563E-2</v>
      </c>
    </row>
    <row r="1606" spans="2:17" ht="15.75" x14ac:dyDescent="0.25">
      <c r="B1606" s="176">
        <v>2050</v>
      </c>
      <c r="C1606" s="177">
        <v>2010</v>
      </c>
      <c r="D1606" s="178" t="s">
        <v>4452</v>
      </c>
      <c r="E1606" s="462">
        <v>5.366478130648094E-2</v>
      </c>
      <c r="F1606" s="462">
        <v>6.016616558574453E-2</v>
      </c>
      <c r="G1606" s="317">
        <v>8.0938954303958172E-2</v>
      </c>
      <c r="H1606" s="317">
        <v>7.3497130005548408E-3</v>
      </c>
      <c r="I1606" s="317">
        <v>0.20205471777476514</v>
      </c>
      <c r="J1606" s="317">
        <v>3.3193190860451749E-2</v>
      </c>
      <c r="K1606" s="317">
        <v>1.7714152872164827E-2</v>
      </c>
      <c r="L1606" s="318">
        <v>3.1285000981737E-4</v>
      </c>
      <c r="M1606" s="317">
        <v>2.6561125213944328E-3</v>
      </c>
      <c r="N1606" s="318">
        <v>2.0000005732018797E-3</v>
      </c>
      <c r="O1606" s="317">
        <v>2.6910468752720129E-2</v>
      </c>
      <c r="P1606" s="318">
        <v>1.6423324091766906E-2</v>
      </c>
      <c r="Q1606" s="319">
        <v>1.8515108259654956E-2</v>
      </c>
    </row>
    <row r="1607" spans="2:17" ht="15.75" x14ac:dyDescent="0.25">
      <c r="B1607" s="176">
        <v>2050</v>
      </c>
      <c r="C1607" s="177">
        <v>2011</v>
      </c>
      <c r="D1607" s="178" t="s">
        <v>4453</v>
      </c>
      <c r="E1607" s="462">
        <v>5.3963214619956699E-2</v>
      </c>
      <c r="F1607" s="462">
        <v>5.8847767314988843E-2</v>
      </c>
      <c r="G1607" s="317">
        <v>8.6637658089451522E-2</v>
      </c>
      <c r="H1607" s="317">
        <v>7.4507750638409887E-3</v>
      </c>
      <c r="I1607" s="317">
        <v>0.2186652089579475</v>
      </c>
      <c r="J1607" s="317">
        <v>3.3520153553906758E-2</v>
      </c>
      <c r="K1607" s="317">
        <v>1.8884018015540936E-2</v>
      </c>
      <c r="L1607" s="318">
        <v>4.233219860204653E-4</v>
      </c>
      <c r="M1607" s="317">
        <v>2.727715968037614E-3</v>
      </c>
      <c r="N1607" s="318">
        <v>2.0000005732018801E-3</v>
      </c>
      <c r="O1607" s="317">
        <v>2.8128443380120643E-2</v>
      </c>
      <c r="P1607" s="318">
        <v>1.6555532946780343E-2</v>
      </c>
      <c r="Q1607" s="319">
        <v>1.9737869513614833E-2</v>
      </c>
    </row>
    <row r="1608" spans="2:17" ht="15.75" x14ac:dyDescent="0.25">
      <c r="B1608" s="176">
        <v>2050</v>
      </c>
      <c r="C1608" s="177">
        <v>2012</v>
      </c>
      <c r="D1608" s="178" t="s">
        <v>4454</v>
      </c>
      <c r="E1608" s="462">
        <v>5.1643354540048599E-2</v>
      </c>
      <c r="F1608" s="462">
        <v>5.8780027086776002E-2</v>
      </c>
      <c r="G1608" s="317">
        <v>7.4111835867535156E-2</v>
      </c>
      <c r="H1608" s="317">
        <v>7.0251023728776238E-3</v>
      </c>
      <c r="I1608" s="317">
        <v>0.18448720093394236</v>
      </c>
      <c r="J1608" s="317">
        <v>3.4608563216659817E-2</v>
      </c>
      <c r="K1608" s="317">
        <v>1.6486615238329064E-2</v>
      </c>
      <c r="L1608" s="318">
        <v>6.1456843505613306E-4</v>
      </c>
      <c r="M1608" s="317">
        <v>2.5896466935732376E-3</v>
      </c>
      <c r="N1608" s="318">
        <v>2.0000005732018801E-3</v>
      </c>
      <c r="O1608" s="317">
        <v>2.5779885021481593E-2</v>
      </c>
      <c r="P1608" s="318">
        <v>1.6923021120870602E-2</v>
      </c>
      <c r="Q1608" s="319">
        <v>1.7232066821134692E-2</v>
      </c>
    </row>
    <row r="1609" spans="2:17" ht="15.75" x14ac:dyDescent="0.25">
      <c r="B1609" s="176">
        <v>2050</v>
      </c>
      <c r="C1609" s="177">
        <v>2013</v>
      </c>
      <c r="D1609" s="178" t="s">
        <v>4455</v>
      </c>
      <c r="E1609" s="462">
        <v>5.4596113068626002E-2</v>
      </c>
      <c r="F1609" s="462">
        <v>5.7464153598268577E-2</v>
      </c>
      <c r="G1609" s="317">
        <v>9.490875821582874E-2</v>
      </c>
      <c r="H1609" s="317">
        <v>7.9622257338161952E-3</v>
      </c>
      <c r="I1609" s="317">
        <v>0.24035476394731933</v>
      </c>
      <c r="J1609" s="317">
        <v>3.3602695150599438E-2</v>
      </c>
      <c r="K1609" s="317">
        <v>2.0381589384989587E-2</v>
      </c>
      <c r="L1609" s="318">
        <v>9.1773179351699243E-4</v>
      </c>
      <c r="M1609" s="317">
        <v>2.811256759623335E-3</v>
      </c>
      <c r="N1609" s="318">
        <v>2.0000005732018801E-3</v>
      </c>
      <c r="O1609" s="317">
        <v>2.9549472244993758E-2</v>
      </c>
      <c r="P1609" s="318">
        <v>1.7013034664711931E-2</v>
      </c>
      <c r="Q1609" s="319">
        <v>2.1303154415015391E-2</v>
      </c>
    </row>
    <row r="1610" spans="2:17" ht="15.75" x14ac:dyDescent="0.25">
      <c r="B1610" s="176">
        <v>2050</v>
      </c>
      <c r="C1610" s="177">
        <v>2014</v>
      </c>
      <c r="D1610" s="178" t="s">
        <v>4456</v>
      </c>
      <c r="E1610" s="462">
        <v>5.1915581952195665E-2</v>
      </c>
      <c r="F1610" s="462">
        <v>5.5350134349691799E-2</v>
      </c>
      <c r="G1610" s="317">
        <v>8.5045903250194857E-2</v>
      </c>
      <c r="H1610" s="317">
        <v>8.0888035791827472E-3</v>
      </c>
      <c r="I1610" s="317">
        <v>0.21412269343192708</v>
      </c>
      <c r="J1610" s="317">
        <v>3.2240480126620695E-2</v>
      </c>
      <c r="K1610" s="317">
        <v>1.8563972295742356E-2</v>
      </c>
      <c r="L1610" s="318">
        <v>1.2876551203776828E-3</v>
      </c>
      <c r="M1610" s="317">
        <v>2.7089762839270304E-3</v>
      </c>
      <c r="N1610" s="318">
        <v>2.0000005732018801E-3</v>
      </c>
      <c r="O1610" s="317">
        <v>2.7809681353399611E-2</v>
      </c>
      <c r="P1610" s="318">
        <v>1.6572468135749006E-2</v>
      </c>
      <c r="Q1610" s="319">
        <v>1.9403352746548794E-2</v>
      </c>
    </row>
    <row r="1611" spans="2:17" ht="15.75" x14ac:dyDescent="0.25">
      <c r="B1611" s="176">
        <v>2050</v>
      </c>
      <c r="C1611" s="177">
        <v>2015</v>
      </c>
      <c r="D1611" s="178" t="s">
        <v>4457</v>
      </c>
      <c r="E1611" s="462">
        <v>5.1121803008089384E-2</v>
      </c>
      <c r="F1611" s="462">
        <v>5.8079274103670087E-2</v>
      </c>
      <c r="G1611" s="317">
        <v>8.3333265128531828E-2</v>
      </c>
      <c r="H1611" s="317">
        <v>8.0924653467619352E-3</v>
      </c>
      <c r="I1611" s="317">
        <v>0.21116560795995096</v>
      </c>
      <c r="J1611" s="317">
        <v>3.3983921261185712E-2</v>
      </c>
      <c r="K1611" s="317">
        <v>1.8392071566342347E-2</v>
      </c>
      <c r="L1611" s="318">
        <v>1.5990200424733101E-3</v>
      </c>
      <c r="M1611" s="317">
        <v>2.7052432502659191E-3</v>
      </c>
      <c r="N1611" s="318">
        <v>2.0000005732018801E-3</v>
      </c>
      <c r="O1611" s="317">
        <v>2.7746182450824108E-2</v>
      </c>
      <c r="P1611" s="318">
        <v>1.7658420170156723E-2</v>
      </c>
      <c r="Q1611" s="319">
        <v>1.9223679428963466E-2</v>
      </c>
    </row>
    <row r="1612" spans="2:17" ht="15.75" x14ac:dyDescent="0.25">
      <c r="B1612" s="176">
        <v>2050</v>
      </c>
      <c r="C1612" s="177">
        <v>2016</v>
      </c>
      <c r="D1612" s="178" t="s">
        <v>4458</v>
      </c>
      <c r="E1612" s="462">
        <v>5.1813544417398931E-2</v>
      </c>
      <c r="F1612" s="462">
        <v>6.0132773393563925E-2</v>
      </c>
      <c r="G1612" s="317">
        <v>9.7620958020532875E-2</v>
      </c>
      <c r="H1612" s="317">
        <v>7.855273401576119E-3</v>
      </c>
      <c r="I1612" s="317">
        <v>0.22021489299684743</v>
      </c>
      <c r="J1612" s="317">
        <v>3.4718538106390237E-2</v>
      </c>
      <c r="K1612" s="317">
        <v>2.1159805775075764E-2</v>
      </c>
      <c r="L1612" s="318">
        <v>1.8275775864437468E-3</v>
      </c>
      <c r="M1612" s="317">
        <v>2.8667074244984794E-3</v>
      </c>
      <c r="N1612" s="318">
        <v>2.0000005732018801E-3</v>
      </c>
      <c r="O1612" s="317">
        <v>3.0492688054519958E-2</v>
      </c>
      <c r="P1612" s="318">
        <v>1.8780933344294259E-2</v>
      </c>
      <c r="Q1612" s="319">
        <v>2.2116558296977226E-2</v>
      </c>
    </row>
    <row r="1613" spans="2:17" ht="15.75" x14ac:dyDescent="0.25">
      <c r="B1613" s="176">
        <v>2050</v>
      </c>
      <c r="C1613" s="177">
        <v>2017</v>
      </c>
      <c r="D1613" s="178" t="s">
        <v>4459</v>
      </c>
      <c r="E1613" s="462">
        <v>4.8663506042627001E-2</v>
      </c>
      <c r="F1613" s="462">
        <v>5.3681295336585597E-2</v>
      </c>
      <c r="G1613" s="317">
        <v>7.9640448545809484E-2</v>
      </c>
      <c r="H1613" s="317">
        <v>7.8661644096846509E-3</v>
      </c>
      <c r="I1613" s="317">
        <v>0.16821194790064065</v>
      </c>
      <c r="J1613" s="317">
        <v>3.1833286182306478E-2</v>
      </c>
      <c r="K1613" s="317">
        <v>1.9707802114278968E-2</v>
      </c>
      <c r="L1613" s="318">
        <v>2.0135505068155759E-3</v>
      </c>
      <c r="M1613" s="317">
        <v>2.8430561820998457E-3</v>
      </c>
      <c r="N1613" s="318">
        <v>2.0000005732018801E-3</v>
      </c>
      <c r="O1613" s="317">
        <v>3.0090380421319205E-2</v>
      </c>
      <c r="P1613" s="318">
        <v>1.7609181721177918E-2</v>
      </c>
      <c r="Q1613" s="319">
        <v>2.0598901473810008E-2</v>
      </c>
    </row>
    <row r="1614" spans="2:17" ht="15.75" x14ac:dyDescent="0.25">
      <c r="B1614" s="176">
        <v>2050</v>
      </c>
      <c r="C1614" s="177">
        <v>2018</v>
      </c>
      <c r="D1614" s="178" t="s">
        <v>4460</v>
      </c>
      <c r="E1614" s="462">
        <v>4.5622848275961143E-2</v>
      </c>
      <c r="F1614" s="462">
        <v>5.1289263479843562E-2</v>
      </c>
      <c r="G1614" s="317">
        <v>7.999473596396478E-2</v>
      </c>
      <c r="H1614" s="317">
        <v>7.5078110102342315E-3</v>
      </c>
      <c r="I1614" s="317">
        <v>0.13896600774257575</v>
      </c>
      <c r="J1614" s="317">
        <v>3.0400367283263674E-2</v>
      </c>
      <c r="K1614" s="317">
        <v>1.8502248872284903E-2</v>
      </c>
      <c r="L1614" s="318">
        <v>2.095915880703173E-3</v>
      </c>
      <c r="M1614" s="317">
        <v>2.8474505821145957E-3</v>
      </c>
      <c r="N1614" s="318">
        <v>2.0000005732018801E-3</v>
      </c>
      <c r="O1614" s="317">
        <v>3.0165129165570102E-2</v>
      </c>
      <c r="P1614" s="318">
        <v>1.7601582827208636E-2</v>
      </c>
      <c r="Q1614" s="319">
        <v>1.9338838463776296E-2</v>
      </c>
    </row>
    <row r="1615" spans="2:17" ht="15.75" x14ac:dyDescent="0.25">
      <c r="B1615" s="176">
        <v>2050</v>
      </c>
      <c r="C1615" s="177">
        <v>2019</v>
      </c>
      <c r="D1615" s="178" t="s">
        <v>4461</v>
      </c>
      <c r="E1615" s="462">
        <v>4.5395257854603549E-2</v>
      </c>
      <c r="F1615" s="462">
        <v>4.9542345738463021E-2</v>
      </c>
      <c r="G1615" s="317">
        <v>8.0240725884889827E-2</v>
      </c>
      <c r="H1615" s="317">
        <v>6.7490290953249087E-3</v>
      </c>
      <c r="I1615" s="317">
        <v>0.12084182852782503</v>
      </c>
      <c r="J1615" s="317">
        <v>2.7662517353182217E-2</v>
      </c>
      <c r="K1615" s="317">
        <v>1.6056794072905889E-2</v>
      </c>
      <c r="L1615" s="318">
        <v>1.990289990938848E-3</v>
      </c>
      <c r="M1615" s="317">
        <v>2.8503472950005453E-3</v>
      </c>
      <c r="N1615" s="318">
        <v>2.0000005732018801E-3</v>
      </c>
      <c r="O1615" s="317">
        <v>3.02144022517601E-2</v>
      </c>
      <c r="P1615" s="318">
        <v>1.7633756555876512E-2</v>
      </c>
      <c r="Q1615" s="319">
        <v>1.6782811049914258E-2</v>
      </c>
    </row>
    <row r="1616" spans="2:17" ht="15.75" x14ac:dyDescent="0.25">
      <c r="B1616" s="176">
        <v>2050</v>
      </c>
      <c r="C1616" s="177">
        <v>2020</v>
      </c>
      <c r="D1616" s="178" t="s">
        <v>4462</v>
      </c>
      <c r="E1616" s="462">
        <v>4.5198063872444856E-2</v>
      </c>
      <c r="F1616" s="462">
        <v>4.7731439534680516E-2</v>
      </c>
      <c r="G1616" s="317">
        <v>8.058598756428266E-2</v>
      </c>
      <c r="H1616" s="317">
        <v>5.8436004632697394E-3</v>
      </c>
      <c r="I1616" s="317">
        <v>0.10236094983305437</v>
      </c>
      <c r="J1616" s="317">
        <v>2.5523896593127871E-2</v>
      </c>
      <c r="K1616" s="317">
        <v>1.3570204382742512E-2</v>
      </c>
      <c r="L1616" s="318">
        <v>1.4775260347103215E-3</v>
      </c>
      <c r="M1616" s="317">
        <v>2.8545536038748231E-3</v>
      </c>
      <c r="N1616" s="318">
        <v>2.0000005732018801E-3</v>
      </c>
      <c r="O1616" s="317">
        <v>3.028595156571157E-2</v>
      </c>
      <c r="P1616" s="318">
        <v>1.7647342778558193E-2</v>
      </c>
      <c r="Q1616" s="319">
        <v>1.4183788808040009E-2</v>
      </c>
    </row>
    <row r="1617" spans="2:17" ht="15.75" x14ac:dyDescent="0.25">
      <c r="B1617" s="176">
        <v>2050</v>
      </c>
      <c r="C1617" s="177">
        <v>2021</v>
      </c>
      <c r="D1617" s="178" t="s">
        <v>4463</v>
      </c>
      <c r="E1617" s="462">
        <v>4.3868142587736719E-2</v>
      </c>
      <c r="F1617" s="462">
        <v>4.5646300590409999E-2</v>
      </c>
      <c r="G1617" s="317">
        <v>7.8628991432419207E-2</v>
      </c>
      <c r="H1617" s="317">
        <v>5.1617821709007096E-3</v>
      </c>
      <c r="I1617" s="317">
        <v>8.0089884239543052E-2</v>
      </c>
      <c r="J1617" s="317">
        <v>2.448609538152231E-2</v>
      </c>
      <c r="K1617" s="317">
        <v>1.0240775618142317E-2</v>
      </c>
      <c r="L1617" s="318">
        <v>9.8669612435317751E-4</v>
      </c>
      <c r="M1617" s="317">
        <v>2.849993272798433E-3</v>
      </c>
      <c r="N1617" s="318">
        <v>2.0000005732018801E-3</v>
      </c>
      <c r="O1617" s="317">
        <v>3.020838033410218E-2</v>
      </c>
      <c r="P1617" s="318">
        <v>1.7659521945647037E-2</v>
      </c>
      <c r="Q1617" s="319">
        <v>1.070381804882589E-2</v>
      </c>
    </row>
    <row r="1618" spans="2:17" ht="15.75" x14ac:dyDescent="0.25">
      <c r="B1618" s="176">
        <v>2050</v>
      </c>
      <c r="C1618" s="177">
        <v>2022</v>
      </c>
      <c r="D1618" s="178" t="s">
        <v>4464</v>
      </c>
      <c r="E1618" s="462">
        <v>4.262703232034646E-2</v>
      </c>
      <c r="F1618" s="462">
        <v>4.3996881618452249E-2</v>
      </c>
      <c r="G1618" s="317">
        <v>7.8213518101224344E-2</v>
      </c>
      <c r="H1618" s="317">
        <v>4.3714191841316731E-3</v>
      </c>
      <c r="I1618" s="317">
        <v>6.0793056296727481E-2</v>
      </c>
      <c r="J1618" s="317">
        <v>2.3405271486679039E-2</v>
      </c>
      <c r="K1618" s="317">
        <v>7.68558911668254E-3</v>
      </c>
      <c r="L1618" s="318">
        <v>9.8581414975628312E-4</v>
      </c>
      <c r="M1618" s="317">
        <v>2.8443742921019483E-3</v>
      </c>
      <c r="N1618" s="318">
        <v>2.0000005732018801E-3</v>
      </c>
      <c r="O1618" s="317">
        <v>3.0112801472454973E-2</v>
      </c>
      <c r="P1618" s="318">
        <v>1.7655712403281225E-2</v>
      </c>
      <c r="Q1618" s="319">
        <v>8.0330973522423129E-3</v>
      </c>
    </row>
    <row r="1619" spans="2:17" ht="15.75" x14ac:dyDescent="0.25">
      <c r="B1619" s="176">
        <v>2050</v>
      </c>
      <c r="C1619" s="177">
        <v>2023</v>
      </c>
      <c r="D1619" s="178" t="s">
        <v>4465</v>
      </c>
      <c r="E1619" s="462">
        <v>4.1309345111894082E-2</v>
      </c>
      <c r="F1619" s="462">
        <v>4.2356474908312174E-2</v>
      </c>
      <c r="G1619" s="317">
        <v>7.737397260909501E-2</v>
      </c>
      <c r="H1619" s="317">
        <v>3.8288147537746766E-3</v>
      </c>
      <c r="I1619" s="317">
        <v>6.0201773025087391E-2</v>
      </c>
      <c r="J1619" s="317">
        <v>2.4289035989397672E-2</v>
      </c>
      <c r="K1619" s="317">
        <v>7.6022557736062334E-3</v>
      </c>
      <c r="L1619" s="318">
        <v>9.8543888737238992E-4</v>
      </c>
      <c r="M1619" s="317">
        <v>2.8336103782406982E-3</v>
      </c>
      <c r="N1619" s="318">
        <v>2.0000005732018801E-3</v>
      </c>
      <c r="O1619" s="317">
        <v>2.9929707297675107E-2</v>
      </c>
      <c r="P1619" s="318">
        <v>1.7653999562969969E-2</v>
      </c>
      <c r="Q1619" s="319">
        <v>7.9459960451783371E-3</v>
      </c>
    </row>
    <row r="1620" spans="2:17" ht="15.75" x14ac:dyDescent="0.25">
      <c r="B1620" s="176">
        <v>2050</v>
      </c>
      <c r="C1620" s="177">
        <v>2024</v>
      </c>
      <c r="D1620" s="178" t="s">
        <v>4466</v>
      </c>
      <c r="E1620" s="462">
        <v>4.0177596637029578E-2</v>
      </c>
      <c r="F1620" s="462">
        <v>4.0733841816504412E-2</v>
      </c>
      <c r="G1620" s="317">
        <v>7.7339854455510282E-2</v>
      </c>
      <c r="H1620" s="317">
        <v>3.3508983852410744E-3</v>
      </c>
      <c r="I1620" s="317">
        <v>6.0162549527785499E-2</v>
      </c>
      <c r="J1620" s="317">
        <v>2.6360655434070047E-2</v>
      </c>
      <c r="K1620" s="317">
        <v>7.5955778091034223E-3</v>
      </c>
      <c r="L1620" s="318">
        <v>9.8468036458196503E-4</v>
      </c>
      <c r="M1620" s="317">
        <v>2.8326114216026006E-3</v>
      </c>
      <c r="N1620" s="318">
        <v>2.0000005732018797E-3</v>
      </c>
      <c r="O1620" s="317">
        <v>2.9912715045261062E-2</v>
      </c>
      <c r="P1620" s="318">
        <v>1.7653285651595102E-2</v>
      </c>
      <c r="Q1620" s="319">
        <v>7.9390161327537248E-3</v>
      </c>
    </row>
    <row r="1621" spans="2:17" ht="15.75" x14ac:dyDescent="0.25">
      <c r="B1621" s="176">
        <v>2050</v>
      </c>
      <c r="C1621" s="177">
        <v>2025</v>
      </c>
      <c r="D1621" s="178" t="s">
        <v>4467</v>
      </c>
      <c r="E1621" s="462">
        <v>3.8967993875431796E-2</v>
      </c>
      <c r="F1621" s="462">
        <v>3.8963828872641638E-2</v>
      </c>
      <c r="G1621" s="317">
        <v>7.6881919312776992E-2</v>
      </c>
      <c r="H1621" s="317">
        <v>3.0808508140801687E-3</v>
      </c>
      <c r="I1621" s="317">
        <v>5.9832720112230162E-2</v>
      </c>
      <c r="J1621" s="317">
        <v>2.9517333582687755E-2</v>
      </c>
      <c r="K1621" s="317">
        <v>7.5486901487263006E-3</v>
      </c>
      <c r="L1621" s="318">
        <v>9.8205925749963248E-4</v>
      </c>
      <c r="M1621" s="317">
        <v>2.8264999269619561E-3</v>
      </c>
      <c r="N1621" s="318">
        <v>2.0000005732018801E-3</v>
      </c>
      <c r="O1621" s="317">
        <v>2.9808758521423707E-2</v>
      </c>
      <c r="P1621" s="318">
        <v>1.7608190927363116E-2</v>
      </c>
      <c r="Q1621" s="319">
        <v>7.8900084204352738E-3</v>
      </c>
    </row>
    <row r="1622" spans="2:17" ht="15.75" x14ac:dyDescent="0.25">
      <c r="B1622" s="176">
        <v>2050</v>
      </c>
      <c r="C1622" s="177">
        <v>2026</v>
      </c>
      <c r="D1622" s="178" t="s">
        <v>4468</v>
      </c>
      <c r="E1622" s="462">
        <v>3.8013498965660017E-2</v>
      </c>
      <c r="F1622" s="462">
        <v>3.8518257290226364E-2</v>
      </c>
      <c r="G1622" s="317">
        <v>7.6437172352085983E-2</v>
      </c>
      <c r="H1622" s="317">
        <v>3.0730685603866472E-3</v>
      </c>
      <c r="I1622" s="317">
        <v>5.9511048413697684E-2</v>
      </c>
      <c r="J1622" s="317">
        <v>2.9537354739069134E-2</v>
      </c>
      <c r="K1622" s="317">
        <v>7.5031099857589077E-3</v>
      </c>
      <c r="L1622" s="318">
        <v>8.6073861346917053E-4</v>
      </c>
      <c r="M1622" s="317">
        <v>2.820583193863952E-3</v>
      </c>
      <c r="N1622" s="318">
        <v>2.0000005732018801E-3</v>
      </c>
      <c r="O1622" s="317">
        <v>2.9708114891426645E-2</v>
      </c>
      <c r="P1622" s="318">
        <v>1.7557251718231748E-2</v>
      </c>
      <c r="Q1622" s="319">
        <v>7.8423673247574807E-3</v>
      </c>
    </row>
    <row r="1623" spans="2:17" ht="15.75" x14ac:dyDescent="0.25">
      <c r="B1623" s="176">
        <v>2050</v>
      </c>
      <c r="C1623" s="177">
        <v>2027</v>
      </c>
      <c r="D1623" s="178" t="s">
        <v>4469</v>
      </c>
      <c r="E1623" s="462">
        <v>3.7093076312788575E-2</v>
      </c>
      <c r="F1623" s="462">
        <v>3.8129540053707937E-2</v>
      </c>
      <c r="G1623" s="317">
        <v>7.581983349888928E-2</v>
      </c>
      <c r="H1623" s="317">
        <v>3.0623218275356258E-3</v>
      </c>
      <c r="I1623" s="317">
        <v>5.9030213434280283E-2</v>
      </c>
      <c r="J1623" s="317">
        <v>2.9354195511756279E-2</v>
      </c>
      <c r="K1623" s="317">
        <v>7.4310782099275639E-3</v>
      </c>
      <c r="L1623" s="318">
        <v>7.1973819369758687E-4</v>
      </c>
      <c r="M1623" s="317">
        <v>2.8133368307342878E-3</v>
      </c>
      <c r="N1623" s="318">
        <v>2.0000005732018801E-3</v>
      </c>
      <c r="O1623" s="317">
        <v>2.9584854254591068E-2</v>
      </c>
      <c r="P1623" s="318">
        <v>1.7515219151162092E-2</v>
      </c>
      <c r="Q1623" s="319">
        <v>7.7670785916593025E-3</v>
      </c>
    </row>
    <row r="1624" spans="2:17" ht="15.75" x14ac:dyDescent="0.25">
      <c r="B1624" s="176">
        <v>2050</v>
      </c>
      <c r="C1624" s="177">
        <v>2028</v>
      </c>
      <c r="D1624" s="178" t="s">
        <v>4470</v>
      </c>
      <c r="E1624" s="462">
        <v>3.6975405075402736E-2</v>
      </c>
      <c r="F1624" s="462">
        <v>3.7993177621883568E-2</v>
      </c>
      <c r="G1624" s="317">
        <v>7.5052905537640491E-2</v>
      </c>
      <c r="H1624" s="317">
        <v>3.0519013375371576E-3</v>
      </c>
      <c r="I1624" s="317">
        <v>5.8399525328855423E-2</v>
      </c>
      <c r="J1624" s="317">
        <v>2.9153341353262321E-2</v>
      </c>
      <c r="K1624" s="317">
        <v>7.3330726712359118E-3</v>
      </c>
      <c r="L1624" s="318">
        <v>5.9855861316636221E-4</v>
      </c>
      <c r="M1624" s="317">
        <v>2.8052075625570115E-3</v>
      </c>
      <c r="N1624" s="318">
        <v>2.0000005732018805E-3</v>
      </c>
      <c r="O1624" s="317">
        <v>2.9446575402895601E-2</v>
      </c>
      <c r="P1624" s="318">
        <v>1.7481443349529651E-2</v>
      </c>
      <c r="Q1624" s="319">
        <v>7.6646416774011532E-3</v>
      </c>
    </row>
    <row r="1625" spans="2:17" ht="15.75" x14ac:dyDescent="0.25">
      <c r="B1625" s="176">
        <v>2050</v>
      </c>
      <c r="C1625" s="177">
        <v>2029</v>
      </c>
      <c r="D1625" s="178" t="s">
        <v>4471</v>
      </c>
      <c r="E1625" s="462">
        <v>3.6860171530353085E-2</v>
      </c>
      <c r="F1625" s="462">
        <v>3.7859959562977476E-2</v>
      </c>
      <c r="G1625" s="317">
        <v>7.422654522217649E-2</v>
      </c>
      <c r="H1625" s="317">
        <v>3.0387498754872598E-3</v>
      </c>
      <c r="I1625" s="317">
        <v>5.7681406021116995E-2</v>
      </c>
      <c r="J1625" s="317">
        <v>2.8869072685048871E-2</v>
      </c>
      <c r="K1625" s="317">
        <v>7.217954197712699E-3</v>
      </c>
      <c r="L1625" s="318">
        <v>5.9587033912981838E-4</v>
      </c>
      <c r="M1625" s="317">
        <v>2.7972598679117545E-3</v>
      </c>
      <c r="N1625" s="318">
        <v>2.0000005732018801E-3</v>
      </c>
      <c r="O1625" s="317">
        <v>2.9311385116979775E-2</v>
      </c>
      <c r="P1625" s="318">
        <v>1.7449328773415693E-2</v>
      </c>
      <c r="Q1625" s="319">
        <v>7.5443180573358812E-3</v>
      </c>
    </row>
    <row r="1626" spans="2:17" ht="15.75" x14ac:dyDescent="0.25">
      <c r="B1626" s="176">
        <v>2050</v>
      </c>
      <c r="C1626" s="177">
        <v>2030</v>
      </c>
      <c r="D1626" s="178" t="s">
        <v>4472</v>
      </c>
      <c r="E1626" s="462">
        <v>3.6760367702598079E-2</v>
      </c>
      <c r="F1626" s="462">
        <v>3.7764510234359304E-2</v>
      </c>
      <c r="G1626" s="317">
        <v>7.3423056511133789E-2</v>
      </c>
      <c r="H1626" s="317">
        <v>3.0241117470695667E-3</v>
      </c>
      <c r="I1626" s="317">
        <v>5.6932621593850409E-2</v>
      </c>
      <c r="J1626" s="317">
        <v>2.8402532008744614E-2</v>
      </c>
      <c r="K1626" s="317">
        <v>7.0936123048714545E-3</v>
      </c>
      <c r="L1626" s="318">
        <v>5.9406125641773384E-4</v>
      </c>
      <c r="M1626" s="317">
        <v>2.7904516137721323E-3</v>
      </c>
      <c r="N1626" s="318">
        <v>2.0000005732018801E-3</v>
      </c>
      <c r="O1626" s="317">
        <v>2.9195576714064801E-2</v>
      </c>
      <c r="P1626" s="318">
        <v>1.7429447959727746E-2</v>
      </c>
      <c r="Q1626" s="319">
        <v>7.4143539758593354E-3</v>
      </c>
    </row>
    <row r="1627" spans="2:17" ht="15.75" x14ac:dyDescent="0.25">
      <c r="B1627" s="176">
        <v>2050</v>
      </c>
      <c r="C1627" s="177">
        <v>2031</v>
      </c>
      <c r="D1627" s="178" t="s">
        <v>4473</v>
      </c>
      <c r="E1627" s="462">
        <v>3.6656912361734038E-2</v>
      </c>
      <c r="F1627" s="462">
        <v>3.7634830920338855E-2</v>
      </c>
      <c r="G1627" s="317">
        <v>7.2523779361604229E-2</v>
      </c>
      <c r="H1627" s="317">
        <v>3.0063732603821968E-3</v>
      </c>
      <c r="I1627" s="317">
        <v>5.6073662695116891E-2</v>
      </c>
      <c r="J1627" s="317">
        <v>2.8008175459234255E-2</v>
      </c>
      <c r="K1627" s="317">
        <v>6.9493481606364418E-3</v>
      </c>
      <c r="L1627" s="318">
        <v>5.915896214121032E-4</v>
      </c>
      <c r="M1627" s="317">
        <v>2.783360468776459E-3</v>
      </c>
      <c r="N1627" s="318">
        <v>2.0000005732018801E-3</v>
      </c>
      <c r="O1627" s="317">
        <v>2.9074956337688394E-2</v>
      </c>
      <c r="P1627" s="318">
        <v>1.7398488403713604E-2</v>
      </c>
      <c r="Q1627" s="319">
        <v>7.2635668471846696E-3</v>
      </c>
    </row>
    <row r="1628" spans="2:17" ht="15.75" x14ac:dyDescent="0.25">
      <c r="B1628" s="176">
        <v>2050</v>
      </c>
      <c r="C1628" s="177">
        <v>2032</v>
      </c>
      <c r="D1628" s="178" t="s">
        <v>4474</v>
      </c>
      <c r="E1628" s="462">
        <v>3.6565090532346509E-2</v>
      </c>
      <c r="F1628" s="462">
        <v>3.7528991698880465E-2</v>
      </c>
      <c r="G1628" s="317">
        <v>7.1623165472132225E-2</v>
      </c>
      <c r="H1628" s="317">
        <v>2.9890052262314601E-3</v>
      </c>
      <c r="I1628" s="317">
        <v>5.5169064851783571E-2</v>
      </c>
      <c r="J1628" s="317">
        <v>2.7460604393103979E-2</v>
      </c>
      <c r="K1628" s="317">
        <v>6.7939918535679074E-3</v>
      </c>
      <c r="L1628" s="318">
        <v>5.8969953282723259E-4</v>
      </c>
      <c r="M1628" s="317">
        <v>2.7770851514499198E-3</v>
      </c>
      <c r="N1628" s="318">
        <v>2.0000005732018801E-3</v>
      </c>
      <c r="O1628" s="317">
        <v>2.8968213189963968E-2</v>
      </c>
      <c r="P1628" s="318">
        <v>1.7375200770185263E-2</v>
      </c>
      <c r="Q1628" s="319">
        <v>7.1011860172939031E-3</v>
      </c>
    </row>
    <row r="1629" spans="2:17" ht="15.75" x14ac:dyDescent="0.25">
      <c r="B1629" s="176">
        <v>2050</v>
      </c>
      <c r="C1629" s="177">
        <v>2033</v>
      </c>
      <c r="D1629" s="178" t="s">
        <v>4475</v>
      </c>
      <c r="E1629" s="462">
        <v>3.6424339459796326E-2</v>
      </c>
      <c r="F1629" s="462">
        <v>3.7367779023531333E-2</v>
      </c>
      <c r="G1629" s="317">
        <v>7.0349495392006217E-2</v>
      </c>
      <c r="H1629" s="317">
        <v>2.9673364434364335E-3</v>
      </c>
      <c r="I1629" s="317">
        <v>5.3970681851968641E-2</v>
      </c>
      <c r="J1629" s="317">
        <v>2.6819595443012E-2</v>
      </c>
      <c r="K1629" s="317">
        <v>6.5944183022257153E-3</v>
      </c>
      <c r="L1629" s="318">
        <v>5.86680063898124E-4</v>
      </c>
      <c r="M1629" s="317">
        <v>2.7670932243066787E-3</v>
      </c>
      <c r="N1629" s="318">
        <v>2.0000005732018801E-3</v>
      </c>
      <c r="O1629" s="317">
        <v>2.8798250509257429E-2</v>
      </c>
      <c r="P1629" s="318">
        <v>1.7334415613200382E-2</v>
      </c>
      <c r="Q1629" s="319">
        <v>6.8925886355545368E-3</v>
      </c>
    </row>
    <row r="1630" spans="2:17" ht="15.75" x14ac:dyDescent="0.25">
      <c r="B1630" s="176">
        <v>2050</v>
      </c>
      <c r="C1630" s="177">
        <v>2034</v>
      </c>
      <c r="D1630" s="178" t="s">
        <v>4476</v>
      </c>
      <c r="E1630" s="462">
        <v>3.6310797333196865E-2</v>
      </c>
      <c r="F1630" s="462">
        <v>3.7231736207240802E-2</v>
      </c>
      <c r="G1630" s="317">
        <v>6.9178642128325113E-2</v>
      </c>
      <c r="H1630" s="317">
        <v>2.9429853753634573E-3</v>
      </c>
      <c r="I1630" s="317">
        <v>5.2799308829922072E-2</v>
      </c>
      <c r="J1630" s="317">
        <v>2.614964509662409E-2</v>
      </c>
      <c r="K1630" s="317">
        <v>6.394167915197679E-3</v>
      </c>
      <c r="L1630" s="318">
        <v>5.8419228264146371E-4</v>
      </c>
      <c r="M1630" s="317">
        <v>2.7591617004296973E-3</v>
      </c>
      <c r="N1630" s="318">
        <v>2.0000005732018797E-3</v>
      </c>
      <c r="O1630" s="317">
        <v>2.8663335288109982E-2</v>
      </c>
      <c r="P1630" s="318">
        <v>1.7301645609720157E-2</v>
      </c>
      <c r="Q1630" s="319">
        <v>6.6832838146230165E-3</v>
      </c>
    </row>
    <row r="1631" spans="2:17" ht="15.75" x14ac:dyDescent="0.25">
      <c r="B1631" s="176">
        <v>2050</v>
      </c>
      <c r="C1631" s="177">
        <v>2035</v>
      </c>
      <c r="D1631" s="178" t="s">
        <v>4477</v>
      </c>
      <c r="E1631" s="462">
        <v>3.6205625221635417E-2</v>
      </c>
      <c r="F1631" s="462">
        <v>3.7135360887029303E-2</v>
      </c>
      <c r="G1631" s="317">
        <v>6.7992078056949845E-2</v>
      </c>
      <c r="H1631" s="317">
        <v>2.917665738786897E-3</v>
      </c>
      <c r="I1631" s="317">
        <v>5.1575593465727508E-2</v>
      </c>
      <c r="J1631" s="317">
        <v>2.539576619526502E-2</v>
      </c>
      <c r="K1631" s="317">
        <v>6.1825222465539918E-3</v>
      </c>
      <c r="L1631" s="318">
        <v>5.8261843369915626E-4</v>
      </c>
      <c r="M1631" s="317">
        <v>2.7518177189461124E-3</v>
      </c>
      <c r="N1631" s="318">
        <v>2.0000005732018801E-3</v>
      </c>
      <c r="O1631" s="317">
        <v>2.8538414163074195E-2</v>
      </c>
      <c r="P1631" s="318">
        <v>1.7280927555624572E-2</v>
      </c>
      <c r="Q1631" s="319">
        <v>6.4620684680070121E-3</v>
      </c>
    </row>
    <row r="1632" spans="2:17" ht="15.75" x14ac:dyDescent="0.25">
      <c r="B1632" s="176">
        <v>2050</v>
      </c>
      <c r="C1632" s="177">
        <v>2036</v>
      </c>
      <c r="D1632" s="178" t="s">
        <v>4478</v>
      </c>
      <c r="E1632" s="462">
        <v>3.6127154588593814E-2</v>
      </c>
      <c r="F1632" s="462">
        <v>3.7028708243965265E-2</v>
      </c>
      <c r="G1632" s="317">
        <v>6.690030791337441E-2</v>
      </c>
      <c r="H1632" s="317">
        <v>2.8900740626612098E-3</v>
      </c>
      <c r="I1632" s="317">
        <v>5.0372604769692783E-2</v>
      </c>
      <c r="J1632" s="317">
        <v>2.4668265973796091E-2</v>
      </c>
      <c r="K1632" s="317">
        <v>5.9690411148249686E-3</v>
      </c>
      <c r="L1632" s="318">
        <v>5.8085544452960651E-4</v>
      </c>
      <c r="M1632" s="317">
        <v>2.7464655696228884E-3</v>
      </c>
      <c r="N1632" s="318">
        <v>2.0000005732018801E-3</v>
      </c>
      <c r="O1632" s="317">
        <v>2.8447374103086148E-2</v>
      </c>
      <c r="P1632" s="318">
        <v>1.7257010499691614E-2</v>
      </c>
      <c r="Q1632" s="319">
        <v>6.2389346668096932E-3</v>
      </c>
    </row>
    <row r="1633" spans="2:17" ht="15.75" x14ac:dyDescent="0.25">
      <c r="B1633" s="176">
        <v>2050</v>
      </c>
      <c r="C1633" s="177">
        <v>2037</v>
      </c>
      <c r="D1633" s="178" t="s">
        <v>4479</v>
      </c>
      <c r="E1633" s="462">
        <v>3.6037603797613088E-2</v>
      </c>
      <c r="F1633" s="462">
        <v>3.6944596450394621E-2</v>
      </c>
      <c r="G1633" s="317">
        <v>6.5676128677319312E-2</v>
      </c>
      <c r="H1633" s="317">
        <v>2.860154852559272E-3</v>
      </c>
      <c r="I1633" s="317">
        <v>4.904095753010651E-2</v>
      </c>
      <c r="J1633" s="317">
        <v>2.385106397326962E-2</v>
      </c>
      <c r="K1633" s="317">
        <v>5.7342673380839197E-3</v>
      </c>
      <c r="L1633" s="318">
        <v>5.7956012241149036E-4</v>
      </c>
      <c r="M1633" s="317">
        <v>2.7402560006074723E-3</v>
      </c>
      <c r="N1633" s="318">
        <v>2.0000005732018801E-3</v>
      </c>
      <c r="O1633" s="317">
        <v>2.8341749334133932E-2</v>
      </c>
      <c r="P1633" s="318">
        <v>1.7240410537314919E-2</v>
      </c>
      <c r="Q1633" s="319">
        <v>5.9935454616776226E-3</v>
      </c>
    </row>
    <row r="1634" spans="2:17" ht="15.75" x14ac:dyDescent="0.25">
      <c r="B1634" s="176">
        <v>2050</v>
      </c>
      <c r="C1634" s="177">
        <v>2038</v>
      </c>
      <c r="D1634" s="178" t="s">
        <v>4480</v>
      </c>
      <c r="E1634" s="462">
        <v>3.5975438513775861E-2</v>
      </c>
      <c r="F1634" s="462">
        <v>3.6867604465615079E-2</v>
      </c>
      <c r="G1634" s="317">
        <v>6.4551369346329698E-2</v>
      </c>
      <c r="H1634" s="317">
        <v>2.8275133148067061E-3</v>
      </c>
      <c r="I1634" s="317">
        <v>4.7730930692838264E-2</v>
      </c>
      <c r="J1634" s="317">
        <v>2.3003915040777579E-2</v>
      </c>
      <c r="K1634" s="317">
        <v>5.4974703624342544E-3</v>
      </c>
      <c r="L1634" s="318">
        <v>5.784279159792065E-4</v>
      </c>
      <c r="M1634" s="317">
        <v>2.7361081054133782E-3</v>
      </c>
      <c r="N1634" s="318">
        <v>2.0000005732018801E-3</v>
      </c>
      <c r="O1634" s="317">
        <v>2.8271193636882391E-2</v>
      </c>
      <c r="P1634" s="318">
        <v>1.7225846430047782E-2</v>
      </c>
      <c r="Q1634" s="319">
        <v>5.7460415775600886E-3</v>
      </c>
    </row>
    <row r="1635" spans="2:17" ht="15.75" x14ac:dyDescent="0.25">
      <c r="B1635" s="176">
        <v>2050</v>
      </c>
      <c r="C1635" s="177">
        <v>2039</v>
      </c>
      <c r="D1635" s="178" t="s">
        <v>4481</v>
      </c>
      <c r="E1635" s="462">
        <v>3.5903340238049426E-2</v>
      </c>
      <c r="F1635" s="462">
        <v>3.6793674739468249E-2</v>
      </c>
      <c r="G1635" s="317">
        <v>6.330235210223796E-2</v>
      </c>
      <c r="H1635" s="317">
        <v>2.7920860190592334E-3</v>
      </c>
      <c r="I1635" s="317">
        <v>4.6298720225001103E-2</v>
      </c>
      <c r="J1635" s="317">
        <v>2.20780007204281E-2</v>
      </c>
      <c r="K1635" s="317">
        <v>5.240410430010051E-3</v>
      </c>
      <c r="L1635" s="318">
        <v>5.7735136684105009E-4</v>
      </c>
      <c r="M1635" s="317">
        <v>2.7311962836295812E-3</v>
      </c>
      <c r="N1635" s="318">
        <v>2.0000005732018801E-3</v>
      </c>
      <c r="O1635" s="317">
        <v>2.8187643548340004E-2</v>
      </c>
      <c r="P1635" s="318">
        <v>1.7212404819988661E-2</v>
      </c>
      <c r="Q1635" s="319">
        <v>5.4773585356782161E-3</v>
      </c>
    </row>
    <row r="1636" spans="2:17" ht="15.75" x14ac:dyDescent="0.25">
      <c r="B1636" s="176">
        <v>2050</v>
      </c>
      <c r="C1636" s="177">
        <v>2040</v>
      </c>
      <c r="D1636" s="178" t="s">
        <v>4482</v>
      </c>
      <c r="E1636" s="462">
        <v>3.5856169469069721E-2</v>
      </c>
      <c r="F1636" s="462">
        <v>3.6702660198789566E-2</v>
      </c>
      <c r="G1636" s="317">
        <v>6.213558062603973E-2</v>
      </c>
      <c r="H1636" s="317">
        <v>2.7528058458509311E-3</v>
      </c>
      <c r="I1636" s="317">
        <v>4.4874443705756051E-2</v>
      </c>
      <c r="J1636" s="317">
        <v>2.1157418387828194E-2</v>
      </c>
      <c r="K1636" s="317">
        <v>4.9790964243413699E-3</v>
      </c>
      <c r="L1636" s="318">
        <v>5.7592410476864353E-4</v>
      </c>
      <c r="M1636" s="317">
        <v>2.7281616107844831E-3</v>
      </c>
      <c r="N1636" s="318">
        <v>2.0000005732018801E-3</v>
      </c>
      <c r="O1636" s="317">
        <v>2.813602376324489E-2</v>
      </c>
      <c r="P1636" s="318">
        <v>1.7193271013562952E-2</v>
      </c>
      <c r="Q1636" s="319">
        <v>5.2042290702369338E-3</v>
      </c>
    </row>
    <row r="1637" spans="2:17" ht="15.75" x14ac:dyDescent="0.25">
      <c r="B1637" s="176">
        <v>2050</v>
      </c>
      <c r="C1637" s="177">
        <v>2041</v>
      </c>
      <c r="D1637" s="178" t="s">
        <v>4483</v>
      </c>
      <c r="E1637" s="462">
        <v>3.5789885405709702E-2</v>
      </c>
      <c r="F1637" s="462">
        <v>3.6635054713761786E-2</v>
      </c>
      <c r="G1637" s="317">
        <v>6.0790521916976585E-2</v>
      </c>
      <c r="H1637" s="317">
        <v>2.7109198694684981E-3</v>
      </c>
      <c r="I1637" s="317">
        <v>4.3295842925648274E-2</v>
      </c>
      <c r="J1637" s="317">
        <v>3.7507799044681572E-2</v>
      </c>
      <c r="K1637" s="317">
        <v>4.6938990239668065E-3</v>
      </c>
      <c r="L1637" s="318">
        <v>5.750395466398553E-4</v>
      </c>
      <c r="M1637" s="317">
        <v>2.7236311954635141E-3</v>
      </c>
      <c r="N1637" s="318">
        <v>2.0000005732018801E-3</v>
      </c>
      <c r="O1637" s="317">
        <v>2.8058961398635195E-2</v>
      </c>
      <c r="P1637" s="318">
        <v>1.7181271036242108E-2</v>
      </c>
      <c r="Q1637" s="319">
        <v>4.9061363089621538E-3</v>
      </c>
    </row>
    <row r="1638" spans="2:17" ht="15.75" x14ac:dyDescent="0.25">
      <c r="B1638" s="176">
        <v>2050</v>
      </c>
      <c r="C1638" s="177">
        <v>2042</v>
      </c>
      <c r="D1638" s="178" t="s">
        <v>4484</v>
      </c>
      <c r="E1638" s="462">
        <v>3.5757517500518254E-2</v>
      </c>
      <c r="F1638" s="462">
        <v>3.6603068577801975E-2</v>
      </c>
      <c r="G1638" s="317">
        <v>5.9580480529309719E-2</v>
      </c>
      <c r="H1638" s="317">
        <v>2.6671763577932328E-3</v>
      </c>
      <c r="I1638" s="317">
        <v>4.1754736670233501E-2</v>
      </c>
      <c r="J1638" s="317">
        <v>6.9676731358288446E-2</v>
      </c>
      <c r="K1638" s="317">
        <v>4.4074223384660428E-3</v>
      </c>
      <c r="L1638" s="318">
        <v>5.7483916140975617E-4</v>
      </c>
      <c r="M1638" s="317">
        <v>2.7217666141505009E-3</v>
      </c>
      <c r="N1638" s="318">
        <v>2.0000005732018801E-3</v>
      </c>
      <c r="O1638" s="317">
        <v>2.8027244870500845E-2</v>
      </c>
      <c r="P1638" s="318">
        <v>1.7180701888659871E-2</v>
      </c>
      <c r="Q1638" s="319">
        <v>4.6067064189645127E-3</v>
      </c>
    </row>
    <row r="1639" spans="2:17" ht="15.75" x14ac:dyDescent="0.25">
      <c r="B1639" s="176">
        <v>2050</v>
      </c>
      <c r="C1639" s="177">
        <v>2043</v>
      </c>
      <c r="D1639" s="178" t="s">
        <v>4485</v>
      </c>
      <c r="E1639" s="462">
        <v>3.5706680102660628E-2</v>
      </c>
      <c r="F1639" s="462">
        <v>3.6561854822243271E-2</v>
      </c>
      <c r="G1639" s="317">
        <v>5.8198743097681173E-2</v>
      </c>
      <c r="H1639" s="317">
        <v>2.6211542668837101E-3</v>
      </c>
      <c r="I1639" s="317">
        <v>4.0064537591626655E-2</v>
      </c>
      <c r="J1639" s="317">
        <v>0.12734808098741926</v>
      </c>
      <c r="K1639" s="317">
        <v>4.0979539049651303E-3</v>
      </c>
      <c r="L1639" s="318">
        <v>5.7432092555085386E-4</v>
      </c>
      <c r="M1639" s="317">
        <v>2.7184647434545825E-3</v>
      </c>
      <c r="N1639" s="318">
        <v>2.0000005732018801E-3</v>
      </c>
      <c r="O1639" s="317">
        <v>2.7971080049963282E-2</v>
      </c>
      <c r="P1639" s="318">
        <v>1.7174971959383077E-2</v>
      </c>
      <c r="Q1639" s="319">
        <v>4.2832451961465198E-3</v>
      </c>
    </row>
    <row r="1640" spans="2:17" ht="15.75" x14ac:dyDescent="0.25">
      <c r="B1640" s="176">
        <v>2050</v>
      </c>
      <c r="C1640" s="177">
        <v>2044</v>
      </c>
      <c r="D1640" s="178" t="s">
        <v>4486</v>
      </c>
      <c r="E1640" s="462">
        <v>3.5665620922828122E-2</v>
      </c>
      <c r="F1640" s="462">
        <v>3.6507802821863528E-2</v>
      </c>
      <c r="G1640" s="317">
        <v>5.6807053060874725E-2</v>
      </c>
      <c r="H1640" s="317">
        <v>2.5685280821321895E-3</v>
      </c>
      <c r="I1640" s="317">
        <v>3.8322637245750017E-2</v>
      </c>
      <c r="J1640" s="317">
        <v>1.5340269190224191E-2</v>
      </c>
      <c r="K1640" s="317">
        <v>3.7765586327530606E-3</v>
      </c>
      <c r="L1640" s="318">
        <v>5.7356459424279108E-4</v>
      </c>
      <c r="M1640" s="317">
        <v>2.7158907404276973E-3</v>
      </c>
      <c r="N1640" s="318">
        <v>2.0000005732018805E-3</v>
      </c>
      <c r="O1640" s="317">
        <v>2.7927296258475957E-2</v>
      </c>
      <c r="P1640" s="318">
        <v>1.7164807810335997E-2</v>
      </c>
      <c r="Q1640" s="319">
        <v>3.9473178558954202E-3</v>
      </c>
    </row>
    <row r="1641" spans="2:17" ht="15.75" x14ac:dyDescent="0.25">
      <c r="B1641" s="176">
        <v>2050</v>
      </c>
      <c r="C1641" s="177">
        <v>2045</v>
      </c>
      <c r="D1641" s="178" t="s">
        <v>4487</v>
      </c>
      <c r="E1641" s="462">
        <v>3.5607430729772696E-2</v>
      </c>
      <c r="F1641" s="462">
        <v>3.6424497931579564E-2</v>
      </c>
      <c r="G1641" s="317">
        <v>5.5257060156233162E-2</v>
      </c>
      <c r="H1641" s="317">
        <v>2.5161069079639156E-3</v>
      </c>
      <c r="I1641" s="317">
        <v>3.6444389323088584E-2</v>
      </c>
      <c r="J1641" s="317">
        <v>1.6601058693768878E-2</v>
      </c>
      <c r="K1641" s="317">
        <v>3.4345422810481583E-3</v>
      </c>
      <c r="L1641" s="318">
        <v>5.7229024621970092E-4</v>
      </c>
      <c r="M1641" s="317">
        <v>2.711985859374134E-3</v>
      </c>
      <c r="N1641" s="318">
        <v>2.0000005732018805E-3</v>
      </c>
      <c r="O1641" s="317">
        <v>2.7860874231754849E-2</v>
      </c>
      <c r="P1641" s="318">
        <v>1.7144410714376349E-2</v>
      </c>
      <c r="Q1641" s="319">
        <v>3.5898370424415041E-3</v>
      </c>
    </row>
    <row r="1642" spans="2:17" ht="15.75" x14ac:dyDescent="0.25">
      <c r="B1642" s="176">
        <v>2050</v>
      </c>
      <c r="C1642" s="177">
        <v>2046</v>
      </c>
      <c r="D1642" s="178" t="s">
        <v>4488</v>
      </c>
      <c r="E1642" s="462">
        <v>3.5589635920383778E-2</v>
      </c>
      <c r="F1642" s="462">
        <v>3.6415001525699056E-2</v>
      </c>
      <c r="G1642" s="317">
        <v>5.3861351891245982E-2</v>
      </c>
      <c r="H1642" s="317">
        <v>2.4614152338994612E-3</v>
      </c>
      <c r="I1642" s="317">
        <v>3.4604312642596988E-2</v>
      </c>
      <c r="J1642" s="317">
        <v>1.5721190506642436E-2</v>
      </c>
      <c r="K1642" s="317">
        <v>3.0890600029167855E-3</v>
      </c>
      <c r="L1642" s="318">
        <v>5.7250365552659354E-4</v>
      </c>
      <c r="M1642" s="317">
        <v>2.711171326782814E-3</v>
      </c>
      <c r="N1642" s="318">
        <v>2.0000005732018801E-3</v>
      </c>
      <c r="O1642" s="317">
        <v>2.7847019032376494E-2</v>
      </c>
      <c r="P1642" s="318">
        <v>1.7148292206915779E-2</v>
      </c>
      <c r="Q1642" s="319">
        <v>3.2287335887479329E-3</v>
      </c>
    </row>
    <row r="1643" spans="2:17" ht="15.75" x14ac:dyDescent="0.25">
      <c r="B1643" s="176">
        <v>2050</v>
      </c>
      <c r="C1643" s="177">
        <v>2047</v>
      </c>
      <c r="D1643" s="178" t="s">
        <v>4489</v>
      </c>
      <c r="E1643" s="462">
        <v>3.5582129141436943E-2</v>
      </c>
      <c r="F1643" s="462">
        <v>3.639769180144016E-2</v>
      </c>
      <c r="G1643" s="317">
        <v>5.2448071032949045E-2</v>
      </c>
      <c r="H1643" s="317">
        <v>2.403906406039491E-3</v>
      </c>
      <c r="I1643" s="317">
        <v>3.2701862229767169E-2</v>
      </c>
      <c r="J1643" s="317">
        <v>1.4861606510011893E-2</v>
      </c>
      <c r="K1643" s="317">
        <v>2.7291409663466378E-3</v>
      </c>
      <c r="L1643" s="318">
        <v>5.7272040848744047E-4</v>
      </c>
      <c r="M1643" s="317">
        <v>2.7110861403244753E-3</v>
      </c>
      <c r="N1643" s="318">
        <v>2.0000005732018801E-3</v>
      </c>
      <c r="O1643" s="317">
        <v>2.7845570010720147E-2</v>
      </c>
      <c r="P1643" s="318">
        <v>1.7148463145652507E-2</v>
      </c>
      <c r="Q1643" s="319">
        <v>2.8525406104611571E-3</v>
      </c>
    </row>
    <row r="1644" spans="2:17" ht="15.75" x14ac:dyDescent="0.25">
      <c r="B1644" s="176">
        <v>2050</v>
      </c>
      <c r="C1644" s="177">
        <v>2048</v>
      </c>
      <c r="D1644" s="178" t="s">
        <v>4490</v>
      </c>
      <c r="E1644" s="462">
        <v>3.5546687400892341E-2</v>
      </c>
      <c r="F1644" s="462">
        <v>3.6352146554162842E-2</v>
      </c>
      <c r="G1644" s="317">
        <v>5.0817270707651609E-2</v>
      </c>
      <c r="H1644" s="317">
        <v>2.4595936353396844E-3</v>
      </c>
      <c r="I1644" s="317">
        <v>3.0633363672043605E-2</v>
      </c>
      <c r="J1644" s="317">
        <v>1.4546741147689054E-2</v>
      </c>
      <c r="K1644" s="317">
        <v>2.3462805501856371E-3</v>
      </c>
      <c r="L1644" s="318">
        <v>5.7254571152672788E-4</v>
      </c>
      <c r="M1644" s="317">
        <v>2.708776921580165E-3</v>
      </c>
      <c r="N1644" s="318">
        <v>2.0000005732018797E-3</v>
      </c>
      <c r="O1644" s="317">
        <v>2.780629019987943E-2</v>
      </c>
      <c r="P1644" s="318">
        <v>1.7137264588143519E-2</v>
      </c>
      <c r="Q1644" s="319">
        <v>2.4523689451992929E-3</v>
      </c>
    </row>
    <row r="1645" spans="2:17" ht="15.75" x14ac:dyDescent="0.25">
      <c r="B1645" s="176">
        <v>2050</v>
      </c>
      <c r="C1645" s="177">
        <v>2049</v>
      </c>
      <c r="D1645" s="178" t="s">
        <v>4491</v>
      </c>
      <c r="E1645" s="462">
        <v>3.5521002078040209E-2</v>
      </c>
      <c r="F1645" s="462">
        <v>3.6277303440406035E-2</v>
      </c>
      <c r="G1645" s="317">
        <v>4.9185295049392494E-2</v>
      </c>
      <c r="H1645" s="317">
        <v>2.3898747394205801E-3</v>
      </c>
      <c r="I1645" s="317">
        <v>2.85117736102296E-2</v>
      </c>
      <c r="J1645" s="317">
        <v>1.3733670249349069E-2</v>
      </c>
      <c r="K1645" s="317">
        <v>1.9502265336133339E-3</v>
      </c>
      <c r="L1645" s="318">
        <v>5.7145342693281894E-4</v>
      </c>
      <c r="M1645" s="317">
        <v>2.7074650494080111E-3</v>
      </c>
      <c r="N1645" s="318">
        <v>2.0000005732018797E-3</v>
      </c>
      <c r="O1645" s="317">
        <v>2.7783975254231097E-2</v>
      </c>
      <c r="P1645" s="318">
        <v>1.712096178413194E-2</v>
      </c>
      <c r="Q1645" s="319">
        <v>2.0384071234612567E-3</v>
      </c>
    </row>
    <row r="1646" spans="2:17" ht="16.5" thickBot="1" x14ac:dyDescent="0.3">
      <c r="B1646" s="179">
        <v>2050</v>
      </c>
      <c r="C1646" s="180">
        <v>2050</v>
      </c>
      <c r="D1646" s="181" t="s">
        <v>4492</v>
      </c>
      <c r="E1646" s="469">
        <v>3.5152101936051824E-2</v>
      </c>
      <c r="F1646" s="469">
        <v>3.560150172843974E-2</v>
      </c>
      <c r="G1646" s="320">
        <v>4.5799306543734049E-2</v>
      </c>
      <c r="H1646" s="320">
        <v>2.2811219969935629E-3</v>
      </c>
      <c r="I1646" s="320">
        <v>2.5527450673322381E-2</v>
      </c>
      <c r="J1646" s="320">
        <v>1.2758389166712245E-2</v>
      </c>
      <c r="K1646" s="320">
        <v>1.4971480773715061E-3</v>
      </c>
      <c r="L1646" s="321">
        <v>5.5924228140257068E-4</v>
      </c>
      <c r="M1646" s="320">
        <v>2.6793277601653721E-3</v>
      </c>
      <c r="N1646" s="321">
        <v>2.0000005732018805E-3</v>
      </c>
      <c r="O1646" s="320">
        <v>2.7305359964213811E-2</v>
      </c>
      <c r="P1646" s="321">
        <v>1.6899480239277322E-2</v>
      </c>
      <c r="Q1646" s="322">
        <v>1.5648424699340451E-3</v>
      </c>
    </row>
  </sheetData>
  <sheetProtection algorithmName="SHA-512" hashValue="V7X2gB5t2SESanPUyNKITnR8MefGkvy2kV/0eMlCouGR0iKEchVjoT8bG2obhJ16Y4e4DVGj7lzPptHwFFbqdg==" saltValue="lnWUoYzDteYgtJz0CtF0fw==" spinCount="100000" sheet="1" objects="1" scenarios="1"/>
  <hyperlinks>
    <hyperlink ref="B23" r:id="rId1" tooltip="Link to EMFAC2017 Database"/>
  </hyperlinks>
  <pageMargins left="0.7" right="0.7" top="0.98479166666666662" bottom="0.75" header="0.3" footer="0.3"/>
  <pageSetup scale="65" fitToHeight="0" orientation="portrait" r:id="rId2"/>
  <headerFooter>
    <oddFooter>&amp;L&amp;"Avenir LT Std 55 Roman,Regular"&amp;12&amp;K000000FINAL November 1, 2019&amp;C&amp;"Avenir LT Std 55 Roman,Regular"&amp;12Page &amp;P of &amp;N&amp;R&amp;"Avenir LT Std 55 Roman,Regular"&amp;12&amp;K000000&amp;A</oddFooter>
  </headerFooter>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AF57"/>
  <sheetViews>
    <sheetView showGridLines="0" zoomScaleNormal="100" workbookViewId="0"/>
  </sheetViews>
  <sheetFormatPr defaultRowHeight="15" x14ac:dyDescent="0.25"/>
  <cols>
    <col min="1" max="1" width="2.28515625" style="71" customWidth="1"/>
    <col min="2" max="2" width="34.7109375" style="71" customWidth="1"/>
    <col min="3" max="4" width="22.140625" style="71" customWidth="1"/>
    <col min="5" max="8" width="16.7109375" style="71" customWidth="1"/>
    <col min="9" max="11" width="14.7109375" style="71" customWidth="1"/>
    <col min="12" max="12" width="3.28515625" style="71" customWidth="1"/>
    <col min="13" max="13" width="5.5703125" style="71" customWidth="1"/>
    <col min="14" max="14" width="8.85546875" style="71" customWidth="1"/>
    <col min="15" max="16" width="14.7109375" style="71" customWidth="1"/>
    <col min="17" max="16384" width="9.140625" style="71"/>
  </cols>
  <sheetData>
    <row r="2" spans="2:32" ht="18.75" x14ac:dyDescent="0.3">
      <c r="E2" s="72"/>
    </row>
    <row r="3" spans="2:32" ht="18.75" x14ac:dyDescent="0.3">
      <c r="E3" s="73"/>
    </row>
    <row r="4" spans="2:32" ht="18.75" x14ac:dyDescent="0.3">
      <c r="E4" s="74"/>
    </row>
    <row r="7" spans="2:32" ht="15.75" thickBot="1" x14ac:dyDescent="0.3"/>
    <row r="8" spans="2:32" ht="18" customHeight="1" thickBot="1" x14ac:dyDescent="0.35">
      <c r="B8" s="1084" t="s">
        <v>336</v>
      </c>
      <c r="C8" s="1085"/>
      <c r="D8" s="1086"/>
      <c r="E8" s="41"/>
      <c r="F8" s="41"/>
      <c r="G8" s="41"/>
      <c r="H8" s="41"/>
      <c r="I8" s="41"/>
      <c r="J8" s="41"/>
      <c r="K8" s="41"/>
      <c r="L8" s="41"/>
      <c r="M8" s="41"/>
      <c r="N8" s="41"/>
      <c r="O8" s="41"/>
      <c r="P8" s="41"/>
      <c r="Q8" s="75"/>
      <c r="R8" s="75"/>
      <c r="S8" s="75"/>
      <c r="T8" s="75"/>
      <c r="U8" s="75"/>
      <c r="V8" s="75"/>
      <c r="W8" s="75"/>
      <c r="X8" s="75"/>
      <c r="Y8" s="75"/>
      <c r="Z8" s="75"/>
      <c r="AA8" s="75"/>
      <c r="AB8" s="75"/>
      <c r="AC8" s="75"/>
      <c r="AD8" s="75"/>
      <c r="AE8" s="75"/>
      <c r="AF8" s="76"/>
    </row>
    <row r="9" spans="2:32" ht="15.75" x14ac:dyDescent="0.25">
      <c r="B9" s="77"/>
      <c r="C9" s="859">
        <v>2016</v>
      </c>
      <c r="D9" s="860"/>
      <c r="E9" s="41"/>
      <c r="F9" s="41"/>
      <c r="G9" s="41"/>
      <c r="H9" s="41"/>
      <c r="I9" s="41"/>
      <c r="J9" s="41"/>
      <c r="K9" s="41"/>
      <c r="L9" s="41"/>
      <c r="M9" s="41"/>
      <c r="N9" s="41"/>
      <c r="O9" s="41"/>
      <c r="P9" s="41"/>
      <c r="Q9" s="78"/>
      <c r="R9" s="78"/>
      <c r="S9" s="78"/>
      <c r="T9" s="78"/>
      <c r="U9" s="78"/>
      <c r="V9" s="78"/>
      <c r="W9" s="78"/>
      <c r="X9" s="78"/>
      <c r="Y9" s="78"/>
      <c r="Z9" s="78"/>
      <c r="AA9" s="78"/>
      <c r="AB9" s="78"/>
      <c r="AC9" s="78"/>
      <c r="AD9" s="78"/>
      <c r="AE9" s="78"/>
    </row>
    <row r="10" spans="2:32" ht="15.75" x14ac:dyDescent="0.25">
      <c r="B10" s="79" t="s">
        <v>337</v>
      </c>
      <c r="C10" s="80" t="s">
        <v>338</v>
      </c>
      <c r="D10" s="81" t="s">
        <v>339</v>
      </c>
      <c r="E10" s="846"/>
      <c r="F10" s="846"/>
      <c r="G10" s="846"/>
      <c r="H10" s="846"/>
      <c r="I10" s="846"/>
      <c r="J10" s="846"/>
      <c r="K10" s="846"/>
      <c r="L10" s="846"/>
      <c r="M10" s="846"/>
      <c r="N10" s="846"/>
      <c r="O10" s="846"/>
      <c r="P10" s="846"/>
      <c r="Q10" s="83"/>
      <c r="R10" s="83"/>
      <c r="S10" s="83"/>
      <c r="T10" s="83"/>
      <c r="U10" s="83"/>
      <c r="V10" s="83"/>
      <c r="W10" s="83"/>
      <c r="X10" s="83"/>
      <c r="Y10" s="83"/>
      <c r="Z10" s="83"/>
      <c r="AA10" s="83"/>
      <c r="AB10" s="83"/>
      <c r="AC10" s="83"/>
      <c r="AD10" s="83"/>
      <c r="AE10" s="83"/>
    </row>
    <row r="11" spans="2:32" ht="18.75" x14ac:dyDescent="0.35">
      <c r="B11" s="84" t="s">
        <v>4539</v>
      </c>
      <c r="C11" s="85">
        <v>42.67</v>
      </c>
      <c r="D11" s="86">
        <v>26.28</v>
      </c>
      <c r="E11" s="87"/>
      <c r="F11" s="87"/>
      <c r="G11" s="87"/>
      <c r="H11" s="87"/>
      <c r="I11" s="87"/>
      <c r="J11" s="87"/>
      <c r="K11" s="87"/>
      <c r="L11" s="87"/>
      <c r="M11" s="87"/>
      <c r="N11" s="87"/>
      <c r="O11" s="87"/>
      <c r="P11" s="87"/>
      <c r="Q11" s="13"/>
      <c r="R11" s="13"/>
      <c r="S11" s="13"/>
      <c r="T11" s="13"/>
      <c r="U11" s="13"/>
      <c r="V11" s="13"/>
      <c r="W11" s="13"/>
      <c r="X11" s="13"/>
      <c r="Y11" s="13"/>
      <c r="Z11" s="13"/>
      <c r="AA11" s="13"/>
      <c r="AB11" s="13"/>
      <c r="AC11" s="13"/>
      <c r="AD11" s="13"/>
      <c r="AE11" s="13"/>
    </row>
    <row r="12" spans="2:32" ht="16.5" hidden="1" customHeight="1" x14ac:dyDescent="0.25">
      <c r="B12" s="88">
        <v>1000000</v>
      </c>
      <c r="C12" s="89"/>
      <c r="D12" s="90"/>
      <c r="E12" s="91"/>
      <c r="F12" s="91"/>
      <c r="G12" s="91"/>
      <c r="H12" s="91"/>
      <c r="I12" s="91"/>
      <c r="J12" s="91"/>
      <c r="K12" s="91"/>
      <c r="L12" s="91"/>
      <c r="M12" s="91"/>
      <c r="N12" s="91"/>
      <c r="O12" s="13"/>
      <c r="P12" s="13"/>
      <c r="Q12" s="13"/>
      <c r="R12" s="13"/>
      <c r="S12" s="13"/>
      <c r="T12" s="13"/>
      <c r="U12" s="13"/>
      <c r="V12" s="13"/>
      <c r="W12" s="13"/>
      <c r="X12" s="13"/>
      <c r="Y12" s="13"/>
      <c r="Z12" s="13"/>
      <c r="AA12" s="13"/>
      <c r="AB12" s="13"/>
      <c r="AC12" s="13"/>
      <c r="AD12" s="13"/>
      <c r="AE12" s="13"/>
    </row>
    <row r="13" spans="2:32" ht="18.75" x14ac:dyDescent="0.35">
      <c r="B13" s="84" t="s">
        <v>4540</v>
      </c>
      <c r="C13" s="912">
        <v>68950000</v>
      </c>
      <c r="D13" s="913"/>
      <c r="E13" s="92"/>
      <c r="F13" s="92"/>
      <c r="G13" s="92"/>
      <c r="H13" s="92"/>
      <c r="I13" s="92"/>
      <c r="J13" s="92"/>
      <c r="K13" s="92"/>
      <c r="L13" s="92"/>
      <c r="M13" s="92"/>
      <c r="N13" s="92"/>
      <c r="O13" s="92"/>
      <c r="P13" s="92"/>
      <c r="Q13" s="93"/>
      <c r="R13" s="93"/>
      <c r="S13" s="93"/>
      <c r="T13" s="93"/>
      <c r="U13" s="93"/>
      <c r="V13" s="93"/>
      <c r="W13" s="93"/>
      <c r="X13" s="93"/>
      <c r="Y13" s="93"/>
      <c r="Z13" s="93"/>
      <c r="AA13" s="93"/>
      <c r="AB13" s="93"/>
      <c r="AC13" s="93"/>
      <c r="AD13" s="93"/>
      <c r="AE13" s="93"/>
    </row>
    <row r="14" spans="2:32" ht="5.25" customHeight="1" x14ac:dyDescent="0.25">
      <c r="B14" s="861"/>
      <c r="C14" s="862"/>
      <c r="D14" s="863"/>
      <c r="E14" s="91"/>
      <c r="F14" s="91"/>
      <c r="G14" s="91"/>
      <c r="H14" s="91"/>
      <c r="I14" s="91"/>
      <c r="J14" s="91"/>
      <c r="K14" s="91"/>
      <c r="L14" s="91"/>
      <c r="M14" s="91"/>
      <c r="N14" s="91"/>
      <c r="O14" s="91"/>
      <c r="P14" s="91"/>
      <c r="Q14" s="13"/>
      <c r="R14" s="13"/>
      <c r="S14" s="13"/>
      <c r="T14" s="13"/>
      <c r="U14" s="13"/>
      <c r="V14" s="13"/>
      <c r="W14" s="13"/>
      <c r="X14" s="13"/>
      <c r="Y14" s="13"/>
      <c r="Z14" s="13"/>
      <c r="AA14" s="13"/>
      <c r="AB14" s="13"/>
      <c r="AC14" s="13"/>
      <c r="AD14" s="13"/>
      <c r="AE14" s="13"/>
    </row>
    <row r="15" spans="2:32" ht="15.75" x14ac:dyDescent="0.25">
      <c r="B15" s="84" t="s">
        <v>340</v>
      </c>
      <c r="C15" s="864">
        <v>302587</v>
      </c>
      <c r="D15" s="865"/>
      <c r="E15" s="94"/>
      <c r="F15" s="94"/>
      <c r="G15" s="94"/>
      <c r="H15" s="94"/>
      <c r="I15" s="94"/>
      <c r="J15" s="94"/>
      <c r="K15" s="92"/>
      <c r="L15" s="92"/>
      <c r="M15" s="92"/>
      <c r="N15" s="92"/>
      <c r="O15" s="92"/>
      <c r="P15" s="92"/>
      <c r="Q15" s="95"/>
      <c r="R15" s="95"/>
      <c r="S15" s="95"/>
      <c r="T15" s="95"/>
      <c r="U15" s="95"/>
      <c r="V15" s="95"/>
      <c r="W15" s="95"/>
      <c r="X15" s="95"/>
      <c r="Y15" s="95"/>
      <c r="Z15" s="95"/>
      <c r="AA15" s="95"/>
      <c r="AB15" s="96"/>
      <c r="AC15" s="96"/>
      <c r="AD15" s="96"/>
      <c r="AE15" s="96"/>
    </row>
    <row r="16" spans="2:32" ht="16.5" hidden="1" customHeight="1" thickBot="1" x14ac:dyDescent="0.3">
      <c r="B16" s="88">
        <v>1000</v>
      </c>
      <c r="C16" s="897"/>
      <c r="D16" s="898"/>
      <c r="E16" s="92"/>
      <c r="F16" s="92"/>
      <c r="G16" s="92"/>
      <c r="H16" s="92"/>
      <c r="I16" s="92"/>
      <c r="J16" s="92"/>
      <c r="K16" s="92"/>
      <c r="L16" s="92"/>
      <c r="M16" s="92"/>
      <c r="N16" s="92"/>
      <c r="O16" s="97"/>
      <c r="P16" s="97"/>
      <c r="Q16" s="13"/>
      <c r="R16" s="13"/>
      <c r="S16" s="13"/>
      <c r="T16" s="13"/>
      <c r="U16" s="13"/>
      <c r="V16" s="13"/>
      <c r="W16" s="13"/>
      <c r="X16" s="13"/>
      <c r="Y16" s="13"/>
      <c r="Z16" s="13"/>
      <c r="AA16" s="13"/>
      <c r="AB16" s="13"/>
      <c r="AC16" s="13"/>
      <c r="AD16" s="13"/>
      <c r="AE16" s="13"/>
    </row>
    <row r="17" spans="2:31" ht="16.5" thickBot="1" x14ac:dyDescent="0.3">
      <c r="B17" s="98" t="s">
        <v>341</v>
      </c>
      <c r="C17" s="866">
        <v>302587000</v>
      </c>
      <c r="D17" s="867"/>
      <c r="E17" s="94"/>
      <c r="F17" s="94"/>
      <c r="G17" s="94"/>
      <c r="H17" s="94"/>
      <c r="I17" s="94"/>
      <c r="J17" s="94"/>
      <c r="K17" s="94"/>
      <c r="L17" s="94"/>
      <c r="M17" s="94"/>
      <c r="N17" s="94"/>
      <c r="O17" s="94"/>
      <c r="P17" s="94"/>
      <c r="Q17" s="95"/>
      <c r="R17" s="95"/>
      <c r="S17" s="95"/>
      <c r="T17" s="95"/>
      <c r="U17" s="95"/>
      <c r="V17" s="95"/>
      <c r="W17" s="95"/>
      <c r="X17" s="95"/>
      <c r="Y17" s="95"/>
      <c r="Z17" s="95"/>
      <c r="AA17" s="95"/>
      <c r="AB17" s="95"/>
      <c r="AC17" s="95"/>
      <c r="AD17" s="95"/>
      <c r="AE17" s="95"/>
    </row>
    <row r="18" spans="2:31" ht="18" customHeight="1" thickBot="1" x14ac:dyDescent="0.3">
      <c r="B18" s="856" t="s">
        <v>342</v>
      </c>
      <c r="C18" s="857"/>
      <c r="D18" s="858"/>
      <c r="E18" s="41"/>
      <c r="F18" s="41"/>
      <c r="G18" s="41"/>
      <c r="H18" s="41"/>
      <c r="I18" s="41"/>
      <c r="J18" s="41"/>
      <c r="K18" s="41"/>
      <c r="L18" s="41"/>
      <c r="M18" s="41"/>
      <c r="N18" s="41"/>
      <c r="O18" s="41"/>
      <c r="P18" s="41"/>
      <c r="Q18" s="13"/>
      <c r="R18" s="13"/>
      <c r="S18" s="13"/>
      <c r="T18" s="13"/>
      <c r="U18" s="13"/>
      <c r="V18" s="13"/>
      <c r="W18" s="13"/>
      <c r="X18" s="13"/>
      <c r="Y18" s="13"/>
      <c r="Z18" s="13"/>
      <c r="AA18" s="13"/>
      <c r="AB18" s="13"/>
      <c r="AC18" s="13"/>
      <c r="AD18" s="13"/>
      <c r="AE18" s="13"/>
    </row>
    <row r="19" spans="2:31" ht="18.75" x14ac:dyDescent="0.35">
      <c r="B19" s="99" t="s">
        <v>4541</v>
      </c>
      <c r="C19" s="868">
        <v>0.22786834860717745</v>
      </c>
      <c r="D19" s="869"/>
      <c r="E19" s="895"/>
      <c r="F19" s="895"/>
      <c r="G19" s="895"/>
      <c r="H19" s="895"/>
      <c r="I19" s="895"/>
      <c r="J19" s="895"/>
      <c r="K19" s="895"/>
      <c r="L19" s="895"/>
      <c r="M19" s="895"/>
      <c r="N19" s="895"/>
      <c r="O19" s="895"/>
      <c r="P19" s="895"/>
      <c r="Q19" s="100"/>
      <c r="R19" s="100"/>
      <c r="S19" s="100"/>
      <c r="T19" s="100"/>
      <c r="U19" s="100"/>
      <c r="V19" s="100"/>
      <c r="W19" s="100"/>
      <c r="X19" s="100"/>
      <c r="Y19" s="100"/>
      <c r="Z19" s="100"/>
      <c r="AA19" s="100"/>
      <c r="AB19" s="100"/>
      <c r="AC19" s="100"/>
      <c r="AD19" s="100"/>
      <c r="AE19" s="100"/>
    </row>
    <row r="20" spans="2:31" ht="18.75" x14ac:dyDescent="0.35">
      <c r="B20" s="84" t="s">
        <v>4542</v>
      </c>
      <c r="C20" s="870">
        <v>2.2786834860717743E-4</v>
      </c>
      <c r="D20" s="871"/>
      <c r="E20" s="896"/>
      <c r="F20" s="896"/>
      <c r="G20" s="896"/>
      <c r="H20" s="896"/>
      <c r="I20" s="896"/>
      <c r="J20" s="896"/>
      <c r="K20" s="896"/>
      <c r="L20" s="896"/>
      <c r="M20" s="896"/>
      <c r="N20" s="896"/>
      <c r="O20" s="896"/>
      <c r="P20" s="896"/>
      <c r="Q20" s="100"/>
      <c r="R20" s="100"/>
      <c r="S20" s="100"/>
      <c r="T20" s="100"/>
      <c r="U20" s="100"/>
      <c r="V20" s="100"/>
      <c r="W20" s="100"/>
      <c r="X20" s="100"/>
      <c r="Y20" s="100"/>
      <c r="Z20" s="100"/>
      <c r="AA20" s="100"/>
      <c r="AB20" s="100"/>
      <c r="AC20" s="100"/>
      <c r="AD20" s="100"/>
      <c r="AE20" s="100"/>
    </row>
    <row r="21" spans="2:31" ht="15.75" x14ac:dyDescent="0.25">
      <c r="B21" s="84" t="s">
        <v>343</v>
      </c>
      <c r="C21" s="872">
        <v>502.36311870635552</v>
      </c>
      <c r="D21" s="873"/>
      <c r="E21" s="765"/>
      <c r="F21" s="765"/>
      <c r="G21" s="765"/>
      <c r="H21" s="765"/>
      <c r="I21" s="765"/>
      <c r="J21" s="765"/>
      <c r="K21" s="765"/>
      <c r="L21" s="765"/>
      <c r="M21" s="765"/>
      <c r="N21" s="765"/>
      <c r="O21" s="765"/>
      <c r="P21" s="765"/>
      <c r="Q21" s="100"/>
      <c r="R21" s="100"/>
      <c r="S21" s="100"/>
      <c r="T21" s="100"/>
      <c r="U21" s="100"/>
      <c r="V21" s="100"/>
      <c r="W21" s="100"/>
      <c r="X21" s="100"/>
      <c r="Y21" s="100"/>
      <c r="Z21" s="100"/>
      <c r="AA21" s="100"/>
      <c r="AB21" s="100"/>
      <c r="AC21" s="100"/>
      <c r="AD21" s="100"/>
      <c r="AE21" s="100"/>
    </row>
    <row r="22" spans="2:31" ht="16.5" thickBot="1" x14ac:dyDescent="0.3">
      <c r="B22" s="101" t="s">
        <v>344</v>
      </c>
      <c r="C22" s="874">
        <v>0.50236311870635553</v>
      </c>
      <c r="D22" s="875"/>
      <c r="E22" s="895"/>
      <c r="F22" s="895"/>
      <c r="G22" s="895"/>
      <c r="H22" s="895"/>
      <c r="I22" s="895"/>
      <c r="J22" s="895"/>
      <c r="K22" s="895"/>
      <c r="L22" s="895"/>
      <c r="M22" s="895"/>
      <c r="N22" s="895"/>
      <c r="O22" s="895"/>
      <c r="P22" s="895"/>
      <c r="Q22" s="100"/>
      <c r="R22" s="100"/>
      <c r="S22" s="100"/>
      <c r="T22" s="100"/>
      <c r="U22" s="100"/>
      <c r="V22" s="100"/>
      <c r="W22" s="100"/>
      <c r="X22" s="100"/>
      <c r="Y22" s="100"/>
      <c r="Z22" s="100"/>
      <c r="AA22" s="100"/>
      <c r="AB22" s="100"/>
      <c r="AC22" s="100"/>
      <c r="AD22" s="100"/>
      <c r="AE22" s="100"/>
    </row>
    <row r="23" spans="2:31" ht="15.75" thickBot="1" x14ac:dyDescent="0.3">
      <c r="B23" s="102"/>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row>
    <row r="24" spans="2:31" ht="15.95" customHeight="1" x14ac:dyDescent="0.3">
      <c r="B24" s="876" t="s">
        <v>345</v>
      </c>
      <c r="C24" s="1087"/>
      <c r="D24" s="1087"/>
      <c r="E24" s="1087"/>
      <c r="F24" s="1087"/>
      <c r="G24" s="1087"/>
      <c r="H24" s="1088"/>
      <c r="I24" s="75"/>
      <c r="J24" s="75"/>
      <c r="K24" s="75"/>
      <c r="L24" s="103"/>
      <c r="M24" s="103"/>
      <c r="N24" s="40"/>
      <c r="O24" s="40"/>
      <c r="P24" s="40"/>
      <c r="Q24" s="40"/>
      <c r="R24" s="40"/>
      <c r="S24" s="40"/>
      <c r="T24" s="40"/>
      <c r="U24" s="40"/>
      <c r="V24" s="40"/>
      <c r="W24" s="40"/>
      <c r="X24" s="40"/>
      <c r="Y24" s="40"/>
      <c r="Z24" s="40"/>
      <c r="AA24" s="40"/>
      <c r="AB24" s="40"/>
      <c r="AC24" s="40"/>
      <c r="AD24" s="40"/>
      <c r="AE24" s="40"/>
    </row>
    <row r="25" spans="2:31" ht="16.5" thickBot="1" x14ac:dyDescent="0.3">
      <c r="B25" s="877" t="s">
        <v>346</v>
      </c>
      <c r="C25" s="878"/>
      <c r="D25" s="878"/>
      <c r="E25" s="878"/>
      <c r="F25" s="878"/>
      <c r="G25" s="878"/>
      <c r="H25" s="879"/>
      <c r="I25" s="76"/>
      <c r="J25" s="76"/>
      <c r="K25" s="76"/>
    </row>
    <row r="26" spans="2:31" ht="18.75" x14ac:dyDescent="0.35">
      <c r="B26" s="104" t="s">
        <v>347</v>
      </c>
      <c r="C26" s="105" t="s">
        <v>348</v>
      </c>
      <c r="D26" s="844" t="s">
        <v>349</v>
      </c>
      <c r="E26" s="844" t="s">
        <v>4543</v>
      </c>
      <c r="F26" s="844" t="s">
        <v>350</v>
      </c>
      <c r="G26" s="844" t="s">
        <v>4544</v>
      </c>
      <c r="H26" s="845" t="s">
        <v>4545</v>
      </c>
      <c r="I26" s="76"/>
      <c r="J26" s="76"/>
      <c r="K26" s="76"/>
      <c r="O26" s="106"/>
    </row>
    <row r="27" spans="2:31" ht="15.75" x14ac:dyDescent="0.25">
      <c r="B27" s="107">
        <v>2012</v>
      </c>
      <c r="C27" s="108" t="s">
        <v>351</v>
      </c>
      <c r="D27" s="109">
        <v>2.8</v>
      </c>
      <c r="E27" s="110">
        <v>18.11</v>
      </c>
      <c r="F27" s="110">
        <v>6.95</v>
      </c>
      <c r="G27" s="110">
        <v>6.45</v>
      </c>
      <c r="H27" s="111">
        <v>5.81</v>
      </c>
      <c r="I27" s="76"/>
      <c r="J27" s="76"/>
      <c r="K27" s="76"/>
    </row>
    <row r="28" spans="2:31" ht="16.5" thickBot="1" x14ac:dyDescent="0.3">
      <c r="B28" s="112">
        <v>2012</v>
      </c>
      <c r="C28" s="113" t="s">
        <v>352</v>
      </c>
      <c r="D28" s="114">
        <v>2.38</v>
      </c>
      <c r="E28" s="114">
        <v>14.43</v>
      </c>
      <c r="F28" s="114">
        <v>2.65</v>
      </c>
      <c r="G28" s="114">
        <v>2.52</v>
      </c>
      <c r="H28" s="115">
        <v>2.34</v>
      </c>
      <c r="I28" s="76"/>
      <c r="J28" s="76"/>
      <c r="K28" s="76"/>
    </row>
    <row r="29" spans="2:31" ht="16.5" thickBot="1" x14ac:dyDescent="0.3">
      <c r="B29" s="880" t="s">
        <v>353</v>
      </c>
      <c r="C29" s="881"/>
      <c r="D29" s="881"/>
      <c r="E29" s="881"/>
      <c r="F29" s="881"/>
      <c r="G29" s="881"/>
      <c r="H29" s="882"/>
      <c r="I29" s="76"/>
      <c r="J29" s="76"/>
      <c r="K29" s="76"/>
    </row>
    <row r="30" spans="2:31" ht="18.75" x14ac:dyDescent="0.35">
      <c r="B30" s="104" t="s">
        <v>347</v>
      </c>
      <c r="C30" s="116" t="s">
        <v>348</v>
      </c>
      <c r="D30" s="117" t="s">
        <v>349</v>
      </c>
      <c r="E30" s="117" t="s">
        <v>4543</v>
      </c>
      <c r="F30" s="117" t="s">
        <v>350</v>
      </c>
      <c r="G30" s="117" t="s">
        <v>4544</v>
      </c>
      <c r="H30" s="118" t="s">
        <v>4545</v>
      </c>
      <c r="I30" s="76"/>
      <c r="J30" s="76"/>
      <c r="K30" s="76"/>
    </row>
    <row r="31" spans="2:31" ht="15.75" x14ac:dyDescent="0.25">
      <c r="B31" s="107">
        <v>2012</v>
      </c>
      <c r="C31" s="841" t="s">
        <v>351</v>
      </c>
      <c r="D31" s="119">
        <v>1021.9999999999999</v>
      </c>
      <c r="E31" s="119">
        <v>6610.15</v>
      </c>
      <c r="F31" s="119">
        <v>2536.75</v>
      </c>
      <c r="G31" s="119">
        <v>2354.25</v>
      </c>
      <c r="H31" s="120">
        <v>2120.6499999999996</v>
      </c>
      <c r="I31" s="76"/>
      <c r="J31" s="76"/>
      <c r="K31" s="76"/>
    </row>
    <row r="32" spans="2:31" ht="16.5" thickBot="1" x14ac:dyDescent="0.3">
      <c r="B32" s="112">
        <v>2012</v>
      </c>
      <c r="C32" s="841" t="s">
        <v>352</v>
      </c>
      <c r="D32" s="119">
        <v>868.69999999999993</v>
      </c>
      <c r="E32" s="119">
        <v>5266.95</v>
      </c>
      <c r="F32" s="119">
        <v>967.25</v>
      </c>
      <c r="G32" s="119">
        <v>919.8</v>
      </c>
      <c r="H32" s="120">
        <v>854.09999999999991</v>
      </c>
      <c r="I32" s="76"/>
      <c r="J32" s="76"/>
      <c r="K32" s="76"/>
    </row>
    <row r="33" spans="2:13" ht="16.5" thickBot="1" x14ac:dyDescent="0.3">
      <c r="B33" s="64"/>
      <c r="C33" s="121" t="s">
        <v>7</v>
      </c>
      <c r="D33" s="122">
        <v>1890.6999999999998</v>
      </c>
      <c r="E33" s="122">
        <v>11877.099999999999</v>
      </c>
      <c r="F33" s="122">
        <v>3504</v>
      </c>
      <c r="G33" s="122">
        <v>3274.05</v>
      </c>
      <c r="H33" s="123">
        <v>2974.7499999999995</v>
      </c>
      <c r="I33" s="76"/>
      <c r="J33" s="76"/>
      <c r="K33" s="76"/>
    </row>
    <row r="34" spans="2:13" ht="11.25" customHeight="1" thickBot="1" x14ac:dyDescent="0.3">
      <c r="B34" s="76"/>
      <c r="C34" s="124"/>
      <c r="D34" s="125"/>
      <c r="E34" s="125"/>
      <c r="F34" s="125"/>
      <c r="G34" s="125"/>
      <c r="H34" s="125"/>
      <c r="I34" s="76"/>
      <c r="J34" s="76"/>
      <c r="K34" s="76"/>
    </row>
    <row r="35" spans="2:13" ht="15.75" x14ac:dyDescent="0.25">
      <c r="B35" s="126" t="s">
        <v>354</v>
      </c>
      <c r="C35" s="127">
        <v>307460000</v>
      </c>
      <c r="D35" s="883"/>
      <c r="E35" s="884"/>
      <c r="F35" s="884"/>
      <c r="G35" s="884"/>
      <c r="H35" s="885"/>
      <c r="I35" s="76"/>
      <c r="J35" s="76"/>
      <c r="K35" s="76"/>
    </row>
    <row r="36" spans="2:13" ht="19.5" thickBot="1" x14ac:dyDescent="0.4">
      <c r="B36" s="101" t="s">
        <v>355</v>
      </c>
      <c r="C36" s="128">
        <v>204618000</v>
      </c>
      <c r="D36" s="129" t="s">
        <v>349</v>
      </c>
      <c r="E36" s="129" t="s">
        <v>4543</v>
      </c>
      <c r="F36" s="129" t="s">
        <v>350</v>
      </c>
      <c r="G36" s="129" t="s">
        <v>4544</v>
      </c>
      <c r="H36" s="130" t="s">
        <v>4545</v>
      </c>
      <c r="I36" s="76"/>
      <c r="J36" s="76"/>
      <c r="K36" s="76"/>
    </row>
    <row r="37" spans="2:13" ht="15.75" x14ac:dyDescent="0.25">
      <c r="B37" s="64"/>
      <c r="C37" s="131" t="s">
        <v>356</v>
      </c>
      <c r="D37" s="132">
        <v>9.2401450507775462E-6</v>
      </c>
      <c r="E37" s="132">
        <v>5.8045235512027283E-5</v>
      </c>
      <c r="F37" s="132">
        <v>1.7124593144298154E-5</v>
      </c>
      <c r="G37" s="132">
        <v>1.600079171920359E-5</v>
      </c>
      <c r="H37" s="133">
        <v>1.4538066054794786E-5</v>
      </c>
      <c r="I37" s="76"/>
      <c r="J37" s="76"/>
      <c r="K37" s="76"/>
    </row>
    <row r="38" spans="2:13" ht="15.75" x14ac:dyDescent="0.25">
      <c r="B38" s="64"/>
      <c r="C38" s="134" t="s">
        <v>357</v>
      </c>
      <c r="D38" s="135">
        <v>9.2401450507775459E-9</v>
      </c>
      <c r="E38" s="135">
        <v>5.8045235512027281E-8</v>
      </c>
      <c r="F38" s="135">
        <v>1.7124593144298153E-8</v>
      </c>
      <c r="G38" s="135">
        <v>1.600079171920359E-8</v>
      </c>
      <c r="H38" s="136">
        <v>1.4538066054794785E-8</v>
      </c>
      <c r="I38" s="76"/>
      <c r="J38" s="76"/>
      <c r="K38" s="76"/>
    </row>
    <row r="39" spans="2:13" ht="15.75" x14ac:dyDescent="0.25">
      <c r="B39" s="64"/>
      <c r="C39" s="137" t="s">
        <v>343</v>
      </c>
      <c r="D39" s="138">
        <v>2.0371008581845193E-2</v>
      </c>
      <c r="E39" s="138">
        <v>0.12796768711452558</v>
      </c>
      <c r="F39" s="138">
        <v>3.7753220537782593E-2</v>
      </c>
      <c r="G39" s="138">
        <v>3.5275665439990618E-2</v>
      </c>
      <c r="H39" s="139">
        <v>3.2050911185721682E-2</v>
      </c>
      <c r="I39" s="76"/>
      <c r="J39" s="76"/>
      <c r="K39" s="76"/>
    </row>
    <row r="40" spans="2:13" ht="16.5" thickBot="1" x14ac:dyDescent="0.3">
      <c r="B40" s="64"/>
      <c r="C40" s="140" t="s">
        <v>344</v>
      </c>
      <c r="D40" s="141">
        <v>2.0371008581845191E-5</v>
      </c>
      <c r="E40" s="141">
        <v>1.2796768711452559E-4</v>
      </c>
      <c r="F40" s="141">
        <v>3.7753220537782591E-5</v>
      </c>
      <c r="G40" s="141">
        <v>3.5275665439990617E-5</v>
      </c>
      <c r="H40" s="142">
        <v>3.2050911185721676E-5</v>
      </c>
      <c r="I40" s="76"/>
      <c r="J40" s="76"/>
      <c r="K40" s="76"/>
    </row>
    <row r="41" spans="2:13" ht="15.75" thickBot="1" x14ac:dyDescent="0.3"/>
    <row r="42" spans="2:13" ht="15.75" x14ac:dyDescent="0.25">
      <c r="B42" s="886" t="s">
        <v>182</v>
      </c>
      <c r="C42" s="887"/>
      <c r="D42" s="887"/>
      <c r="E42" s="887"/>
      <c r="F42" s="887"/>
      <c r="G42" s="887"/>
      <c r="H42" s="887"/>
      <c r="I42" s="887"/>
      <c r="J42" s="887"/>
      <c r="K42" s="888"/>
      <c r="L42" s="78"/>
      <c r="M42" s="78"/>
    </row>
    <row r="43" spans="2:13" ht="15.75" x14ac:dyDescent="0.25">
      <c r="B43" s="143" t="s">
        <v>358</v>
      </c>
      <c r="C43" s="144"/>
      <c r="D43" s="144"/>
      <c r="E43" s="144"/>
      <c r="F43" s="144"/>
      <c r="G43" s="144"/>
      <c r="H43" s="144"/>
      <c r="I43" s="144"/>
      <c r="J43" s="144"/>
      <c r="K43" s="145"/>
      <c r="L43" s="146"/>
      <c r="M43" s="146"/>
    </row>
    <row r="44" spans="2:13" ht="15.75" x14ac:dyDescent="0.25">
      <c r="B44" s="894" t="s">
        <v>5080</v>
      </c>
      <c r="C44" s="892"/>
      <c r="D44" s="892"/>
      <c r="E44" s="892"/>
      <c r="F44" s="892"/>
      <c r="G44" s="892"/>
      <c r="H44" s="892"/>
      <c r="I44" s="892"/>
      <c r="J44" s="892"/>
      <c r="K44" s="893"/>
    </row>
    <row r="45" spans="2:13" ht="15" customHeight="1" x14ac:dyDescent="0.25">
      <c r="B45" s="894" t="s">
        <v>5081</v>
      </c>
      <c r="C45" s="889"/>
      <c r="D45" s="889"/>
      <c r="E45" s="889"/>
      <c r="F45" s="889"/>
      <c r="G45" s="889"/>
      <c r="H45" s="889"/>
      <c r="I45" s="889"/>
      <c r="J45" s="889"/>
      <c r="K45" s="890"/>
    </row>
    <row r="46" spans="2:13" ht="15.75" x14ac:dyDescent="0.25">
      <c r="B46" s="147" t="s">
        <v>359</v>
      </c>
      <c r="C46" s="64"/>
      <c r="D46" s="64"/>
      <c r="E46" s="64"/>
      <c r="F46" s="64"/>
      <c r="G46" s="64"/>
      <c r="H46" s="64"/>
      <c r="I46" s="64"/>
      <c r="J46" s="64"/>
      <c r="K46" s="148"/>
    </row>
    <row r="47" spans="2:13" ht="6.75" customHeight="1" x14ac:dyDescent="0.25">
      <c r="B47" s="149"/>
      <c r="C47" s="64"/>
      <c r="D47" s="64"/>
      <c r="E47" s="64"/>
      <c r="F47" s="64"/>
      <c r="G47" s="64"/>
      <c r="H47" s="64"/>
      <c r="I47" s="64"/>
      <c r="J47" s="64"/>
      <c r="K47" s="148"/>
    </row>
    <row r="48" spans="2:13" ht="15.75" x14ac:dyDescent="0.25">
      <c r="B48" s="150" t="s">
        <v>360</v>
      </c>
      <c r="C48" s="151"/>
      <c r="D48" s="64"/>
      <c r="E48" s="64"/>
      <c r="F48" s="64"/>
      <c r="G48" s="64"/>
      <c r="H48" s="64"/>
      <c r="I48" s="64"/>
      <c r="J48" s="64"/>
      <c r="K48" s="148"/>
    </row>
    <row r="49" spans="2:13" ht="15.75" x14ac:dyDescent="0.25">
      <c r="B49" s="152" t="s">
        <v>361</v>
      </c>
      <c r="C49" s="153"/>
      <c r="D49" s="64"/>
      <c r="E49" s="64"/>
      <c r="F49" s="64"/>
      <c r="G49" s="64"/>
      <c r="H49" s="64"/>
      <c r="I49" s="64"/>
      <c r="J49" s="64"/>
      <c r="K49" s="148"/>
    </row>
    <row r="50" spans="2:13" ht="9" customHeight="1" x14ac:dyDescent="0.25">
      <c r="B50" s="150"/>
      <c r="C50" s="151"/>
      <c r="D50" s="64"/>
      <c r="E50" s="64"/>
      <c r="F50" s="64"/>
      <c r="G50" s="64"/>
      <c r="H50" s="64"/>
      <c r="I50" s="64"/>
      <c r="J50" s="64"/>
      <c r="K50" s="148"/>
    </row>
    <row r="51" spans="2:13" ht="15.75" x14ac:dyDescent="0.25">
      <c r="B51" s="154" t="s">
        <v>362</v>
      </c>
      <c r="C51" s="155"/>
      <c r="D51" s="155"/>
      <c r="E51" s="155"/>
      <c r="F51" s="155"/>
      <c r="G51" s="155"/>
      <c r="H51" s="155"/>
      <c r="I51" s="155"/>
      <c r="J51" s="155"/>
      <c r="K51" s="156"/>
      <c r="L51" s="157"/>
      <c r="M51" s="157"/>
    </row>
    <row r="52" spans="2:13" ht="15" customHeight="1" x14ac:dyDescent="0.25">
      <c r="B52" s="894" t="s">
        <v>5082</v>
      </c>
      <c r="C52" s="889"/>
      <c r="D52" s="889"/>
      <c r="E52" s="889"/>
      <c r="F52" s="889"/>
      <c r="G52" s="889"/>
      <c r="H52" s="889"/>
      <c r="I52" s="889"/>
      <c r="J52" s="889"/>
      <c r="K52" s="890"/>
    </row>
    <row r="53" spans="2:13" ht="15" customHeight="1" x14ac:dyDescent="0.25">
      <c r="B53" s="891" t="s">
        <v>5083</v>
      </c>
      <c r="C53" s="889"/>
      <c r="D53" s="889"/>
      <c r="E53" s="889"/>
      <c r="F53" s="889"/>
      <c r="G53" s="889"/>
      <c r="H53" s="889"/>
      <c r="I53" s="889"/>
      <c r="J53" s="889"/>
      <c r="K53" s="890"/>
    </row>
    <row r="54" spans="2:13" ht="15.75" x14ac:dyDescent="0.25">
      <c r="B54" s="147" t="s">
        <v>363</v>
      </c>
      <c r="C54" s="64"/>
      <c r="D54" s="64"/>
      <c r="E54" s="64"/>
      <c r="F54" s="64"/>
      <c r="G54" s="64"/>
      <c r="H54" s="64"/>
      <c r="I54" s="64"/>
      <c r="J54" s="64"/>
      <c r="K54" s="148"/>
    </row>
    <row r="55" spans="2:13" ht="5.25" customHeight="1" x14ac:dyDescent="0.25">
      <c r="B55" s="149"/>
      <c r="C55" s="64"/>
      <c r="D55" s="64"/>
      <c r="E55" s="64"/>
      <c r="F55" s="64"/>
      <c r="G55" s="64"/>
      <c r="H55" s="64"/>
      <c r="I55" s="64"/>
      <c r="J55" s="64"/>
      <c r="K55" s="148"/>
    </row>
    <row r="56" spans="2:13" ht="15.75" x14ac:dyDescent="0.25">
      <c r="B56" s="150" t="s">
        <v>364</v>
      </c>
      <c r="C56" s="64"/>
      <c r="D56" s="64"/>
      <c r="E56" s="64"/>
      <c r="F56" s="64"/>
      <c r="G56" s="64"/>
      <c r="H56" s="64"/>
      <c r="I56" s="64"/>
      <c r="J56" s="64"/>
      <c r="K56" s="148"/>
    </row>
    <row r="57" spans="2:13" ht="16.5" thickBot="1" x14ac:dyDescent="0.3">
      <c r="B57" s="158" t="s">
        <v>361</v>
      </c>
      <c r="C57" s="159"/>
      <c r="D57" s="159"/>
      <c r="E57" s="159"/>
      <c r="F57" s="159"/>
      <c r="G57" s="159"/>
      <c r="H57" s="159"/>
      <c r="I57" s="159"/>
      <c r="J57" s="159"/>
      <c r="K57" s="160"/>
    </row>
  </sheetData>
  <sheetProtection algorithmName="SHA-512" hashValue="3njGc8hIxU3pTSZKByux9ryQzCEk5UwQPgPPYghCsqiC9aeze5nL40B+QiF6vv9ydHf1UezK5rVRqbk0wwVDpg==" saltValue="skPesZ/AWOPyz+kHFbDpBA==" spinCount="100000" sheet="1" objects="1" scenarios="1"/>
  <hyperlinks>
    <hyperlink ref="B46" r:id="rId1" tooltip="Link to CARB GHG inventory"/>
    <hyperlink ref="B49" r:id="rId2" tooltip="Link to CEC Energy Almanac"/>
    <hyperlink ref="B54" r:id="rId3" location="0" tooltip="Link to CARB's criteria pollutant emissions inventory"/>
    <hyperlink ref="B57" r:id="rId4" tooltip="Link to CEC Energy Almanac"/>
  </hyperlinks>
  <pageMargins left="0.7" right="0.7" top="0.98479166666666662" bottom="0.75" header="0.3" footer="0.3"/>
  <pageSetup scale="65" fitToHeight="0" orientation="landscape" r:id="rId5"/>
  <headerFooter>
    <oddFooter>&amp;L&amp;"Avenir LT Std 55 Roman,Regular"&amp;12&amp;K000000FINAL November 1, 2019&amp;C&amp;"Avenir LT Std 55 Roman,Regular"&amp;12Page &amp;P of &amp;N&amp;R&amp;"Avenir LT Std 55 Roman,Regular"&amp;12&amp;K000000&amp;A</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Q58"/>
  <sheetViews>
    <sheetView showGridLines="0" zoomScaleNormal="100" workbookViewId="0">
      <selection activeCell="C13" sqref="C13"/>
    </sheetView>
  </sheetViews>
  <sheetFormatPr defaultColWidth="9.140625" defaultRowHeight="15.75" x14ac:dyDescent="0.25"/>
  <cols>
    <col min="1" max="1" width="2.85546875" style="91" customWidth="1"/>
    <col min="2" max="2" width="48" style="91" bestFit="1" customWidth="1"/>
    <col min="3" max="3" width="32.28515625" style="91" customWidth="1"/>
    <col min="4" max="4" width="9.42578125" style="91" hidden="1" customWidth="1"/>
    <col min="5" max="5" width="52.42578125" style="91" hidden="1" customWidth="1"/>
    <col min="6" max="6" width="15.42578125" style="91" hidden="1" customWidth="1"/>
    <col min="7" max="7" width="6" style="91" customWidth="1"/>
    <col min="8" max="8" width="47.28515625" style="91" customWidth="1"/>
    <col min="9" max="9" width="16" style="91" customWidth="1"/>
    <col min="10" max="10" width="10.42578125" style="91" bestFit="1" customWidth="1"/>
    <col min="11" max="11" width="11" style="91" bestFit="1" customWidth="1"/>
    <col min="12" max="16384" width="9.140625" style="91"/>
  </cols>
  <sheetData>
    <row r="1" spans="1:10" ht="18.75" customHeight="1" x14ac:dyDescent="0.25">
      <c r="A1" s="41"/>
      <c r="B1" s="41"/>
      <c r="C1" s="41"/>
      <c r="D1" s="41"/>
    </row>
    <row r="2" spans="1:10" ht="15" customHeight="1" x14ac:dyDescent="0.25"/>
    <row r="3" spans="1:10" ht="18.75" customHeight="1" x14ac:dyDescent="0.25">
      <c r="A3" s="41"/>
      <c r="B3" s="41"/>
      <c r="C3" s="41"/>
      <c r="D3" s="41"/>
    </row>
    <row r="4" spans="1:10" ht="18.75" customHeight="1" x14ac:dyDescent="0.25">
      <c r="A4" s="631"/>
      <c r="B4" s="631"/>
      <c r="C4" s="631"/>
      <c r="D4" s="631"/>
    </row>
    <row r="5" spans="1:10" ht="15" customHeight="1" x14ac:dyDescent="0.25"/>
    <row r="6" spans="1:10" ht="18.75" customHeight="1" x14ac:dyDescent="0.25">
      <c r="A6" s="41"/>
      <c r="B6" s="41"/>
      <c r="C6" s="41"/>
      <c r="D6" s="41"/>
    </row>
    <row r="7" spans="1:10" ht="15" customHeight="1" x14ac:dyDescent="0.25"/>
    <row r="8" spans="1:10" ht="15" customHeight="1" x14ac:dyDescent="0.25">
      <c r="A8" s="708"/>
      <c r="B8" s="41" t="s">
        <v>4825</v>
      </c>
      <c r="C8" s="41"/>
    </row>
    <row r="9" spans="1:10" ht="15" customHeight="1" x14ac:dyDescent="0.25">
      <c r="A9" s="708"/>
      <c r="B9" s="41"/>
      <c r="C9" s="41"/>
    </row>
    <row r="10" spans="1:10" ht="15" customHeight="1" x14ac:dyDescent="0.25">
      <c r="A10" s="708"/>
      <c r="B10" s="41"/>
      <c r="C10" s="41"/>
    </row>
    <row r="11" spans="1:10" ht="15" customHeight="1" x14ac:dyDescent="0.25">
      <c r="A11" s="724"/>
    </row>
    <row r="12" spans="1:10" ht="15" customHeight="1" thickBot="1" x14ac:dyDescent="0.3">
      <c r="B12" s="41" t="s">
        <v>30</v>
      </c>
      <c r="E12" s="41" t="s">
        <v>46</v>
      </c>
      <c r="F12" s="217"/>
      <c r="G12" s="217"/>
      <c r="H12" s="41" t="s">
        <v>4526</v>
      </c>
    </row>
    <row r="13" spans="1:10" ht="18.75" customHeight="1" x14ac:dyDescent="0.25">
      <c r="B13" s="611" t="s">
        <v>4842</v>
      </c>
      <c r="C13" s="1140"/>
      <c r="E13" s="611" t="s">
        <v>4849</v>
      </c>
      <c r="F13" s="725" t="str">
        <f>IFERROR(MIN(DensityIncrease*7%,30%),"")</f>
        <v/>
      </c>
      <c r="G13" s="726"/>
      <c r="H13" s="611" t="s">
        <v>150</v>
      </c>
      <c r="I13" s="727" t="str">
        <f>AvoidedVMT</f>
        <v/>
      </c>
      <c r="J13" s="728"/>
    </row>
    <row r="14" spans="1:10" ht="18.75" customHeight="1" x14ac:dyDescent="0.35">
      <c r="A14" s="728"/>
      <c r="B14" s="729" t="s">
        <v>13</v>
      </c>
      <c r="C14" s="1107"/>
      <c r="E14" s="613" t="s">
        <v>4850</v>
      </c>
      <c r="F14" s="730" t="str">
        <f>IFERROR(IF(MUDev&lt;&gt;"",IF(OR(NOT(MUDev="Yes"),LUIndex&lt;0.15),0,MIN((MIN(((LUIndex-0.15)/0.15),5)*9%),30%)),""),"")</f>
        <v/>
      </c>
      <c r="G14" s="726"/>
      <c r="H14" s="612" t="s">
        <v>4577</v>
      </c>
      <c r="I14" s="731" t="str">
        <f>IFERROR(AVERAGE(VLOOKUP(CONCATENATE(County,"_",AHDYear1),'Passenger Auto GHG'!$D$31:$E$2731,2,FALSE)*AnnualAvoidedVMT,VLOOKUP(CONCATENATE(County,"_",IF(AHDYear1&gt;2020,2050,AHDYear1+30)),'Passenger Auto GHG'!$D$31:$E$2731,2,FALSE)*AnnualAvoidedVMT)*30/1000000,"")</f>
        <v/>
      </c>
    </row>
    <row r="15" spans="1:10" ht="18.75" customHeight="1" x14ac:dyDescent="0.25">
      <c r="B15" s="732" t="s">
        <v>15</v>
      </c>
      <c r="C15" s="733"/>
      <c r="E15" s="613" t="s">
        <v>4851</v>
      </c>
      <c r="F15" s="730" t="str">
        <f>IFERROR(IF(CBD&lt;&gt;"",IF(CBD&gt;12,0,MIN(((12-CBD)/12)*20%,20%)),""),"")</f>
        <v/>
      </c>
      <c r="G15" s="726"/>
      <c r="H15" s="612" t="s">
        <v>152</v>
      </c>
      <c r="I15" s="731" t="str">
        <f>IFERROR(AVERAGE(VLOOKUP(CONCATENATE(County,"_",AHDYear1),'Passenger Auto Criteria &amp; Toxic'!$D$32:$K$2732,3,FALSE)*AnnualAvoidedVMT,VLOOKUP(CONCATENATE(County,"_",IF(AHDYear1&gt;2020,2050,AHDYear1+30)),'Passenger Auto Criteria &amp; Toxic'!D$32:$K$2732,3,FALSE)*AnnualAvoidedVMT)*30/453.59,"")</f>
        <v/>
      </c>
    </row>
    <row r="16" spans="1:10" ht="18.75" customHeight="1" x14ac:dyDescent="0.35">
      <c r="B16" s="732" t="s">
        <v>16</v>
      </c>
      <c r="C16" s="733"/>
      <c r="E16" s="613" t="s">
        <v>4852</v>
      </c>
      <c r="F16" s="734" t="str">
        <f>IFERROR(MIN(4%*Affordability,4%),"")</f>
        <v/>
      </c>
      <c r="G16" s="735"/>
      <c r="H16" s="612" t="s">
        <v>4774</v>
      </c>
      <c r="I16" s="731" t="str">
        <f>IFERROR(AVERAGE(VLOOKUP(CONCATENATE(County,"_",AHDYear1),'Passenger Auto Criteria &amp; Toxic'!$D$32:$K$2732,4,FALSE)*AnnualAvoidedVMT,VLOOKUP(CONCATENATE(County,"_",IF(AHDYear1&gt;2020,2050,AHDYear1+30)),'Passenger Auto Criteria &amp; Toxic'!D$32:$K$2732,4,FALSE)*AnnualAvoidedVMT)*30/453.59,"")</f>
        <v/>
      </c>
    </row>
    <row r="17" spans="1:17" ht="18.75" customHeight="1" x14ac:dyDescent="0.35">
      <c r="B17" s="732" t="s">
        <v>17</v>
      </c>
      <c r="C17" s="733"/>
      <c r="E17" s="736" t="s">
        <v>4853</v>
      </c>
      <c r="F17" s="737" t="str">
        <f>IFERROR(MIN(VLOOKUP(ProjectAreaType,VMTCaps[],2,FALSE),1-(1-LUT_1)*(1-LUT_3)*(1-LUT_4)*(1-LUT_6)),"")</f>
        <v/>
      </c>
      <c r="G17" s="738"/>
      <c r="H17" s="612" t="s">
        <v>4775</v>
      </c>
      <c r="I17" s="731" t="str">
        <f>IFERROR(AVERAGE((VLOOKUP(CONCATENATE(County,"_",AHDYear1),'Passenger Auto Criteria &amp; Toxic'!$D$32:$K$2732,5,FALSE)+'Passenger Auto Criteria &amp; Toxic'!$M$33+'Passenger Auto Criteria &amp; Toxic'!$N$33)*AnnualAvoidedVMT,(VLOOKUP(CONCATENATE(County,"_",IF(AHDYear1&gt;2020,2050,AHDYear1+30)),'Passenger Auto Criteria &amp; Toxic'!D$32:$K$2732,5,FALSE)+'Passenger Auto Criteria &amp; Toxic'!$M$33+'Passenger Auto Criteria &amp; Toxic'!$N$33)*AnnualAvoidedVMT)*30/453.59,"")</f>
        <v/>
      </c>
    </row>
    <row r="18" spans="1:17" ht="18.75" customHeight="1" x14ac:dyDescent="0.35">
      <c r="B18" s="732" t="s">
        <v>116</v>
      </c>
      <c r="C18" s="739"/>
      <c r="E18" s="740" t="s">
        <v>4854</v>
      </c>
      <c r="F18" s="734" t="str">
        <f>IFERROR(MIN(ParkingReduction*50%,12.5%),"")</f>
        <v/>
      </c>
      <c r="G18" s="735"/>
      <c r="H18" s="741" t="s">
        <v>4776</v>
      </c>
      <c r="I18" s="742" t="str">
        <f>IFERROR(AVERAGE(VLOOKUP(CONCATENATE(County,"_",AHDYear1),'Passenger Auto Criteria &amp; Toxic'!$D$32:$K$2732,8,FALSE)*AnnualAvoidedVMT,VLOOKUP(CONCATENATE(County,"_",IF(AHDYear1&gt;2020,2050,AHDYear1+30)),'Passenger Auto Criteria &amp; Toxic'!$D$32:$K$2732,8,FALSE)*AnnualAvoidedVMT)*30/453.59,"")</f>
        <v/>
      </c>
    </row>
    <row r="19" spans="1:17" ht="18.75" customHeight="1" thickBot="1" x14ac:dyDescent="0.3">
      <c r="B19" s="732" t="s">
        <v>20</v>
      </c>
      <c r="C19" s="1108"/>
      <c r="E19" s="740" t="s">
        <v>4855</v>
      </c>
      <c r="F19" s="734" t="str">
        <f>IFERROR(IF(UnbundledCost="","",MIN(UnbundledCost*(12/4000)*0.4*85%,20%)),"")</f>
        <v/>
      </c>
      <c r="G19" s="735"/>
      <c r="H19" s="614" t="s">
        <v>4723</v>
      </c>
      <c r="I19" s="743" t="str">
        <f>IFERROR(AVERAGE(VLOOKUP(CONCATENATE(County,"_",AHDYear1),'Passenger Auto Criteria &amp; Toxic'!$D$32:$K$2732,2,FALSE)*AnnualAvoidedVMT,VLOOKUP(CONCATENATE(County,"_",IF(AHDYear1&gt;2020,2050,AHDYear1+30)),'Passenger Auto Criteria &amp; Toxic'!D$32:$K$2732,2,FALSE)*AnnualAvoidedVMT)*30,"")</f>
        <v/>
      </c>
      <c r="J19" s="744"/>
      <c r="K19" s="745"/>
      <c r="L19" s="217"/>
      <c r="M19" s="217"/>
      <c r="N19" s="217"/>
      <c r="O19" s="746"/>
      <c r="P19" s="746"/>
      <c r="Q19" s="217"/>
    </row>
    <row r="20" spans="1:17" ht="18.75" customHeight="1" x14ac:dyDescent="0.25">
      <c r="A20" s="41"/>
      <c r="B20" s="732" t="s">
        <v>18</v>
      </c>
      <c r="C20" s="747"/>
      <c r="E20" s="740" t="s">
        <v>4856</v>
      </c>
      <c r="F20" s="734" t="str">
        <f>IFERROR(IF(OnStreetCost="","",MIN(IF(OnStreetCost&gt;=25%,OnStreetCost*0.11,0),5.5%)),"")</f>
        <v/>
      </c>
      <c r="G20" s="735"/>
      <c r="I20" s="217"/>
      <c r="J20" s="748"/>
    </row>
    <row r="21" spans="1:17" ht="18.75" customHeight="1" x14ac:dyDescent="0.25">
      <c r="A21" s="425"/>
      <c r="B21" s="732" t="s">
        <v>19</v>
      </c>
      <c r="C21" s="747"/>
      <c r="D21" s="425"/>
      <c r="E21" s="736" t="s">
        <v>4857</v>
      </c>
      <c r="F21" s="737" t="str">
        <f>IFERROR(MIN((1-(1-PDT_1)*(1-PDT_2)*(1-PDT_3)),20%),"")</f>
        <v/>
      </c>
      <c r="G21" s="738"/>
      <c r="J21" s="748"/>
    </row>
    <row r="22" spans="1:17" ht="18.75" customHeight="1" x14ac:dyDescent="0.25">
      <c r="A22" s="425"/>
      <c r="B22" s="749" t="s">
        <v>21</v>
      </c>
      <c r="C22" s="750"/>
      <c r="D22" s="425"/>
      <c r="E22" s="740" t="s">
        <v>4870</v>
      </c>
      <c r="F22" s="734" t="str">
        <f>IF(TrafficCalming&lt;&gt;"",IF(TrafficCalming="Yes",1%,0),"")</f>
        <v/>
      </c>
      <c r="G22" s="735"/>
      <c r="J22" s="748"/>
    </row>
    <row r="23" spans="1:17" ht="18.75" customHeight="1" thickBot="1" x14ac:dyDescent="0.3">
      <c r="A23" s="425"/>
      <c r="B23" s="751" t="s">
        <v>22</v>
      </c>
      <c r="C23" s="1109"/>
      <c r="D23" s="425"/>
      <c r="E23" s="752" t="s">
        <v>4858</v>
      </c>
      <c r="F23" s="734" t="str">
        <f>IFERROR(IF(SubsidyTotal="","",MIN(LOOKUP(SubsidyValue,SubsidyElasticities[Min Subsidy],IF(Setting="Rural",SubsidyElasticities[Rural Elasticity],SubsidyElasticities[Urban Elasticity]))*PercentSubsidies*(SubsidyDuration/30),20%)),"")</f>
        <v/>
      </c>
      <c r="G23" s="735"/>
      <c r="H23" s="217"/>
    </row>
    <row r="24" spans="1:17" ht="18.75" hidden="1" customHeight="1" thickBot="1" x14ac:dyDescent="0.3">
      <c r="A24" s="425"/>
      <c r="B24" s="753" t="s">
        <v>132</v>
      </c>
      <c r="C24" s="754" t="str">
        <f>IF(OR(ProjectAreaType="ICP", ProjectAreaType="TOD"),"Urban",IF(ProjectAreaType="RIPA","Rural",""))</f>
        <v/>
      </c>
      <c r="D24" s="425"/>
      <c r="E24" s="755" t="s">
        <v>47</v>
      </c>
      <c r="F24" s="756" t="str">
        <f>IFERROR(MIN(MIN(LUTTotal+PDTTotal+SDT_2,VLOOKUP(ProjectAreaType,VMTCaps[],3,FALSE))+TRT_4,VLOOKUP(ProjectAreaType,VMTCaps[],4,FALSE)),"")</f>
        <v/>
      </c>
      <c r="G24" s="738"/>
      <c r="H24" s="217"/>
    </row>
    <row r="25" spans="1:17" ht="18.75" hidden="1" customHeight="1" x14ac:dyDescent="0.25">
      <c r="A25" s="425"/>
      <c r="B25" s="757" t="s">
        <v>24</v>
      </c>
      <c r="C25" s="758" t="str">
        <f>IFERROR(IF(AND(DwellingType="Apartments",Stories&lt;='Trip Generation'!P10),'Trip Generation'!N10,IF(AND(DwellingType="Apartments",Stories&lt;='Trip Generation'!P11),'Trip Generation'!N11,IF(AND(DwellingType="Apartments",Stories&lt;='Trip Generation'!P12),'Trip Generation'!N12,IF(AND(DwellingType="Apartments",Stories&gt;='Trip Generation'!O13),'Trip Generation'!N13,IF(AND(DwellingType="Condos or Townhouses",Stories&lt;='Trip Generation'!P14),'Trip Generation'!N14,IF(AND(DwellingType="Condos or Townhouses",Stories&lt;='Trip Generation'!P15),'Trip Generation'!N15,IF(AND(DwellingType="Condos or Townhouses",Stories&gt;='Trip Generation'!O16),'Trip Generation'!N16,IF(DwellingType="Age-restricted Housing",'Trip Generation'!N17,"")))))))),"")</f>
        <v/>
      </c>
      <c r="D25" s="425"/>
      <c r="E25" s="759"/>
      <c r="F25" s="760"/>
      <c r="G25" s="217"/>
      <c r="H25" s="728"/>
    </row>
    <row r="26" spans="1:17" ht="18.75" hidden="1" customHeight="1" thickBot="1" x14ac:dyDescent="0.3">
      <c r="A26" s="425"/>
      <c r="B26" s="613" t="s">
        <v>25</v>
      </c>
      <c r="C26" s="761" t="str">
        <f>IFERROR(AffordableDUs/DUs,"")</f>
        <v/>
      </c>
      <c r="D26" s="425"/>
      <c r="E26" s="625" t="s">
        <v>45</v>
      </c>
      <c r="F26" s="762"/>
      <c r="H26" s="217"/>
    </row>
    <row r="27" spans="1:17" ht="18.75" hidden="1" customHeight="1" x14ac:dyDescent="0.25">
      <c r="A27" s="662"/>
      <c r="B27" s="613" t="s">
        <v>48</v>
      </c>
      <c r="C27" s="761" t="str">
        <f>IFERROR(IF(Density="","",IF(Density&lt;VLOOKUP(ProjectAreaType,DensityRequirements[],2,FALSE),0,(Density-VLOOKUP(ProjectAreaType,DensityRequirements[],2,FALSE))/VLOOKUP(ProjectAreaType,DensityRequirements[],2,FALSE))),"")</f>
        <v/>
      </c>
      <c r="D27" s="662"/>
      <c r="E27" s="763" t="s">
        <v>57</v>
      </c>
      <c r="F27" s="764" t="str">
        <f>IFERROR((INDEX(TripParkingRates[Weekday Trips],MATCH(ResidentialType,TripParkingRates[Land Use Subtype],0))*5+INDEX(TripParkingRates[Saturday Trips],MATCH(ResidentialType,TripParkingRates[Land Use Subtype],0))+INDEX(TripParkingRates[Sunday Trips],MATCH(ResidentialType,TripParkingRates[Land Use Subtype],0)))/7,"")</f>
        <v/>
      </c>
      <c r="G27" s="765"/>
      <c r="H27" s="217"/>
    </row>
    <row r="28" spans="1:17" ht="18.75" hidden="1" customHeight="1" x14ac:dyDescent="0.25">
      <c r="A28" s="766"/>
      <c r="B28" s="767" t="s">
        <v>38</v>
      </c>
      <c r="C28" s="34" t="str">
        <f>IFERROR(MUSpace/(MUSpace+ResidentialSpace),"")</f>
        <v/>
      </c>
      <c r="D28" s="766"/>
      <c r="E28" s="757" t="s">
        <v>43</v>
      </c>
      <c r="F28" s="768" t="str">
        <f>IF(Setting="Rural",(VLOOKUP(County,RuralTripLength[#All],3,FALSE)*TripTypes[Home-Work]+VLOOKUP(County,RuralTripLength[#All],4,FALSE)*TripTypes[Home-Shopping]+VLOOKUP(County,RuralTripLength[#All],5,FALSE)*TripTypes[Home-Other]),IF(Setting="Urban",(VLOOKUP(County,UrbanTripLength[#All],3,FALSE)*TripTypes[Home-Work]+VLOOKUP(County,UrbanTripLength[#All],4,FALSE)*TripTypes[Home-Shopping]+VLOOKUP(County,UrbanTripLength[#All],5,FALSE)*TripTypes[Home-Other]),""))</f>
        <v/>
      </c>
      <c r="G28" s="769"/>
      <c r="H28" s="217"/>
    </row>
    <row r="29" spans="1:17" ht="18.75" hidden="1" customHeight="1" x14ac:dyDescent="0.25">
      <c r="A29" s="759"/>
      <c r="B29" s="613" t="s">
        <v>36</v>
      </c>
      <c r="C29" s="35" t="str">
        <f>IFERROR(ResidentialSpace/(ResidentialSpace+MUSpace),"")</f>
        <v/>
      </c>
      <c r="D29" s="759"/>
      <c r="E29" s="613" t="s">
        <v>44</v>
      </c>
      <c r="F29" s="768" t="str">
        <f>IFERROR(ResidentialPrimaryTrip*TripLinks[Primary]+ResidentialPrimaryTrip*25%*TripLinks[Diverted]+0.1*TripLinks[Pass-by],"")</f>
        <v/>
      </c>
      <c r="G29" s="769"/>
      <c r="H29" s="217"/>
    </row>
    <row r="30" spans="1:17" ht="18.75" hidden="1" customHeight="1" thickBot="1" x14ac:dyDescent="0.3">
      <c r="A30" s="759"/>
      <c r="B30" s="614" t="s">
        <v>37</v>
      </c>
      <c r="C30" s="37" t="str">
        <f>IFERROR(-((4*0.01*LN(0.01))+(MUPercent*LN(MUPercent))+(ResidentialPercent*LN(ResidentialPercent)))/LN(6),"")</f>
        <v/>
      </c>
      <c r="D30" s="759"/>
      <c r="E30" s="613" t="s">
        <v>4792</v>
      </c>
      <c r="F30" s="770" t="str">
        <f>IFERROR(ResidentialDailyTrips*ResidentialOverallTrip*DUs*365,"")</f>
        <v/>
      </c>
      <c r="H30" s="217"/>
    </row>
    <row r="31" spans="1:17" ht="15" customHeight="1" thickBot="1" x14ac:dyDescent="0.3">
      <c r="A31" s="759"/>
      <c r="B31" s="425"/>
      <c r="C31" s="425"/>
      <c r="D31" s="759"/>
      <c r="E31" s="771" t="s">
        <v>4529</v>
      </c>
      <c r="F31" s="772" t="str">
        <f>IFERROR(ResidentialUnmitigatedVMT*30,"")</f>
        <v/>
      </c>
      <c r="H31" s="217"/>
    </row>
    <row r="32" spans="1:17" ht="15" customHeight="1" thickBot="1" x14ac:dyDescent="0.3">
      <c r="A32" s="759"/>
      <c r="B32" s="41" t="s">
        <v>31</v>
      </c>
      <c r="D32" s="759"/>
      <c r="F32" s="217"/>
      <c r="G32" s="217"/>
      <c r="H32" s="217"/>
    </row>
    <row r="33" spans="1:8" ht="18.75" customHeight="1" thickBot="1" x14ac:dyDescent="0.3">
      <c r="A33" s="759"/>
      <c r="B33" s="773" t="s">
        <v>23</v>
      </c>
      <c r="C33" s="774"/>
      <c r="E33" s="775" t="s">
        <v>108</v>
      </c>
      <c r="G33" s="776"/>
      <c r="H33" s="728"/>
    </row>
    <row r="34" spans="1:8" ht="18.75" customHeight="1" x14ac:dyDescent="0.25">
      <c r="A34" s="759"/>
      <c r="B34" s="732" t="s">
        <v>4807</v>
      </c>
      <c r="C34" s="777"/>
      <c r="E34" s="778" t="s">
        <v>4528</v>
      </c>
      <c r="F34" s="779" t="str">
        <f>IFERROR(ResidentialUnmitigatedVMT*ReductionsTotal,"")</f>
        <v/>
      </c>
      <c r="G34" s="776"/>
      <c r="H34" s="780"/>
    </row>
    <row r="35" spans="1:8" ht="18.75" customHeight="1" thickBot="1" x14ac:dyDescent="0.3">
      <c r="A35" s="759"/>
      <c r="B35" s="751" t="s">
        <v>4806</v>
      </c>
      <c r="C35" s="781"/>
      <c r="E35" s="782" t="s">
        <v>4527</v>
      </c>
      <c r="F35" s="783" t="str">
        <f>IFERROR(UnmitigatedVMT*ReductionsTotal,"")</f>
        <v/>
      </c>
      <c r="G35" s="217"/>
      <c r="H35" s="217"/>
    </row>
    <row r="36" spans="1:8" ht="18.75" hidden="1" customHeight="1" x14ac:dyDescent="0.25">
      <c r="A36" s="759"/>
      <c r="B36" s="767" t="s">
        <v>40</v>
      </c>
      <c r="C36" s="838" t="str">
        <f>IFERROR(DUs*IF(ResidentialType="Apartments (Mid-rise)",IF(Stories&lt;='Trip Generation'!P11,'Trip Generation'!Q11,'Trip Generation'!Q12),VLOOKUP(ResidentialType,TripParkingRates[],4,FALSE)),"")</f>
        <v/>
      </c>
      <c r="E36" s="759"/>
      <c r="F36" s="784"/>
      <c r="H36" s="217"/>
    </row>
    <row r="37" spans="1:8" ht="18.75" hidden="1" customHeight="1" thickBot="1" x14ac:dyDescent="0.3">
      <c r="A37" s="785"/>
      <c r="B37" s="614" t="s">
        <v>39</v>
      </c>
      <c r="C37" s="786" t="str">
        <f>IFERROR(IF(ParkingSpaces="","",IF(ParkingSpaces&gt;DefaultParking,0,(DefaultParking-ParkingSpaces)/DefaultParking)),"")</f>
        <v/>
      </c>
      <c r="H37" s="217"/>
    </row>
    <row r="38" spans="1:8" ht="15" customHeight="1" x14ac:dyDescent="0.25">
      <c r="A38" s="785"/>
      <c r="B38" s="759"/>
      <c r="C38" s="759"/>
      <c r="H38" s="217"/>
    </row>
    <row r="39" spans="1:8" ht="15" customHeight="1" thickBot="1" x14ac:dyDescent="0.3">
      <c r="A39" s="29"/>
      <c r="B39" s="41" t="s">
        <v>32</v>
      </c>
      <c r="H39" s="217"/>
    </row>
    <row r="40" spans="1:8" ht="18.75" customHeight="1" x14ac:dyDescent="0.25">
      <c r="B40" s="773" t="s">
        <v>4820</v>
      </c>
      <c r="C40" s="774"/>
      <c r="H40" s="728"/>
    </row>
    <row r="41" spans="1:8" ht="18.75" customHeight="1" x14ac:dyDescent="0.25">
      <c r="B41" s="732" t="s">
        <v>4805</v>
      </c>
      <c r="C41" s="777"/>
      <c r="H41" s="787"/>
    </row>
    <row r="42" spans="1:8" ht="18.75" customHeight="1" thickBot="1" x14ac:dyDescent="0.3">
      <c r="B42" s="751" t="s">
        <v>117</v>
      </c>
      <c r="C42" s="788"/>
      <c r="H42" s="217"/>
    </row>
    <row r="43" spans="1:8" ht="18.75" hidden="1" customHeight="1" x14ac:dyDescent="0.25">
      <c r="B43" s="789" t="s">
        <v>41</v>
      </c>
      <c r="C43" s="790" t="str">
        <f>IFERROR(Subsidies/DUs,"")</f>
        <v/>
      </c>
    </row>
    <row r="44" spans="1:8" ht="18.75" hidden="1" customHeight="1" thickBot="1" x14ac:dyDescent="0.3">
      <c r="B44" s="791" t="s">
        <v>42</v>
      </c>
      <c r="C44" s="792" t="str">
        <f>IFERROR(IF(AND(Subsidies&gt;0,SubsidyValue&gt;0,SubsidyDuration&gt;0),Subsidies*SubsidyValue*SubsidyDuration,""),"")</f>
        <v/>
      </c>
    </row>
    <row r="45" spans="1:8" ht="18.75" customHeight="1" x14ac:dyDescent="0.25"/>
    <row r="46" spans="1:8" ht="15" customHeight="1" x14ac:dyDescent="0.25"/>
    <row r="47" spans="1:8" ht="15" customHeight="1" x14ac:dyDescent="0.25"/>
    <row r="48" spans="1: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sheetData>
  <sheetProtection algorithmName="SHA-512" hashValue="DmJ12eEHnyfkxVdQdVI89s6Sa4+Idr5+y4R31ksAj2E/n59UPu6niqa0eCCEpxYnmNmDNr15JR6z7Gbatdmgfw==" saltValue="yqdh3i41WXBvjM97YH5N9g==" spinCount="100000" sheet="1" objects="1" scenarios="1" formatColumns="0" formatRows="0"/>
  <conditionalFormatting sqref="C20:C21">
    <cfRule type="expression" dxfId="407" priority="4">
      <formula>OR($C$19="No",$C$19="")</formula>
    </cfRule>
  </conditionalFormatting>
  <conditionalFormatting sqref="C16:C18">
    <cfRule type="expression" priority="3">
      <formula>NOT($C$19="Yes")</formula>
    </cfRule>
  </conditionalFormatting>
  <conditionalFormatting sqref="C28:C30">
    <cfRule type="expression" dxfId="406" priority="2">
      <formula>NOT($C$19="Yes")</formula>
    </cfRule>
  </conditionalFormatting>
  <dataValidations xWindow="493" yWindow="510" count="18">
    <dataValidation type="list" allowBlank="1" showInputMessage="1" showErrorMessage="1" sqref="C14">
      <formula1>"Apartments, Condos or Townhouses, Age-restricted Housing"</formula1>
    </dataValidation>
    <dataValidation type="whole" operator="greaterThan" allowBlank="1" showInputMessage="1" showErrorMessage="1" sqref="C15">
      <formula1>0</formula1>
    </dataValidation>
    <dataValidation type="whole" allowBlank="1" showInputMessage="1" showErrorMessage="1" prompt="Restricted units as defined per AHSC Guidelines" sqref="C17">
      <formula1>0</formula1>
      <formula2>C16</formula2>
    </dataValidation>
    <dataValidation type="decimal" operator="greaterThan" allowBlank="1" showInputMessage="1" showErrorMessage="1" sqref="C18">
      <formula1>0</formula1>
    </dataValidation>
    <dataValidation type="list" allowBlank="1" showInputMessage="1" showErrorMessage="1" promptTitle="At least one within 1/2 mile?" prompt="Count-down signal timers_x000a_Curb extensions, chicanes, or chokers_x000a_Marked or raised crosswalks_x000a_Median islands_x000a_On-street parking_x000a_Planter strips with street trees_x000a_Raised intersections_x000a_Roundabouts or mini-circles_x000a_Speed tables_x000a_Tight corner radii" sqref="C23">
      <formula1>"Yes, No"</formula1>
    </dataValidation>
    <dataValidation type="decimal" operator="greaterThanOrEqual" allowBlank="1" showInputMessage="1" showErrorMessage="1" prompt="Annual value of transit pass to each resident" sqref="C41">
      <formula1>0</formula1>
    </dataValidation>
    <dataValidation type="whole" operator="greaterThanOrEqual" allowBlank="1" showInputMessage="1" showErrorMessage="1" prompt="Number of _x000a_on-site parking spaces for residents" sqref="C33">
      <formula1>0</formula1>
    </dataValidation>
    <dataValidation type="whole" allowBlank="1" showInputMessage="1" showErrorMessage="1" prompt="Number of dwelling units receiving transit passes" sqref="C40">
      <formula1>0</formula1>
      <formula2>C16</formula2>
    </dataValidation>
    <dataValidation type="whole" allowBlank="1" showInputMessage="1" showErrorMessage="1" prompt="Number of years transit passes are funded, up to 30" sqref="C42">
      <formula1>0</formula1>
      <formula2>30</formula2>
    </dataValidation>
    <dataValidation type="whole" allowBlank="1" showInputMessage="1" showErrorMessage="1" prompt="First year when housing will be open to residents" sqref="C13">
      <formula1>2020</formula1>
      <formula2>2050</formula2>
    </dataValidation>
    <dataValidation type="whole" operator="greaterThan" allowBlank="1" showInputMessage="1" showErrorMessage="1" prompt="All affordable, market rate, and manager's units, as applicable" sqref="C16">
      <formula1>0</formula1>
    </dataValidation>
    <dataValidation type="list" allowBlank="1" showInputMessage="1" showErrorMessage="1" prompt="Does the project combine affordable housing with publically accessible space for commercial or social service uses?" sqref="C19">
      <formula1>"Yes, No"</formula1>
    </dataValidation>
    <dataValidation allowBlank="1" showInputMessage="1" showErrorMessage="1" prompt="Total area for residential uses" sqref="C20"/>
    <dataValidation allowBlank="1" showInputMessage="1" showErrorMessage="1" prompt="Total publically accessible area for commercial or social service uses" sqref="C21"/>
    <dataValidation type="decimal" operator="greaterThanOrEqual" allowBlank="1" showInputMessage="1" showErrorMessage="1" prompt="Measured using CARB mapping tool; see user guide for details" sqref="C22">
      <formula1>0</formula1>
    </dataValidation>
    <dataValidation type="decimal" operator="greaterThanOrEqual" allowBlank="1" showInputMessage="1" showErrorMessage="1" prompt="Monthly cost of _x000a_on-site parking for residents, if unbundled from rent" sqref="C34">
      <formula1>0</formula1>
    </dataValidation>
    <dataValidation type="decimal" operator="greaterThanOrEqual" allowBlank="1" showInputMessage="1" showErrorMessage="1" prompt="Increase in on-street parking price above baseline within 1/2 mile, if applicable" sqref="C35">
      <formula1>0</formula1>
    </dataValidation>
    <dataValidation operator="greaterThanOrEqual" allowBlank="1" showInputMessage="1" showErrorMessage="1" sqref="C37"/>
  </dataValidations>
  <pageMargins left="0.7" right="0.7" top="0.98479166666666662" bottom="0.75" header="0.3" footer="0.3"/>
  <pageSetup scale="65" fitToWidth="0" fitToHeight="0" orientation="landscape" r:id="rId1"/>
  <headerFooter>
    <oddFooter>&amp;L&amp;"Avenir LT Std 55 Roman,Regular"&amp;12&amp;K000000FINAL November 1, 2019&amp;C&amp;"Avenir LT Std 55 Roman,Regular"&amp;12Page &amp;P of &amp;N&amp;R&amp;"Avenir LT Std 55 Roman,Regular"&amp;12&amp;K000000&amp;A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X55"/>
  <sheetViews>
    <sheetView showGridLines="0" topLeftCell="A8" zoomScaleNormal="100" workbookViewId="0">
      <selection activeCell="B14" sqref="B14"/>
    </sheetView>
  </sheetViews>
  <sheetFormatPr defaultColWidth="9.140625" defaultRowHeight="15.75" x14ac:dyDescent="0.25"/>
  <cols>
    <col min="1" max="1" width="2.85546875" style="18" customWidth="1"/>
    <col min="2" max="2" width="31.85546875" style="18" customWidth="1"/>
    <col min="3" max="3" width="22.42578125" style="18" customWidth="1"/>
    <col min="4" max="4" width="13.85546875" style="18" customWidth="1"/>
    <col min="5" max="5" width="8.28515625" style="18" hidden="1" customWidth="1"/>
    <col min="6" max="6" width="12.140625" style="18" hidden="1" customWidth="1"/>
    <col min="7" max="7" width="19" style="18" customWidth="1"/>
    <col min="8" max="8" width="18.5703125" style="18" hidden="1" customWidth="1"/>
    <col min="9" max="9" width="11.7109375" style="18" customWidth="1"/>
    <col min="10" max="10" width="13.140625" style="18" customWidth="1"/>
    <col min="11" max="11" width="13.7109375" style="18" hidden="1" customWidth="1"/>
    <col min="12" max="12" width="14.7109375" style="18" customWidth="1"/>
    <col min="13" max="13" width="14.28515625" style="18" customWidth="1"/>
    <col min="14" max="14" width="9.140625" style="18" hidden="1" customWidth="1"/>
    <col min="15" max="16" width="15.42578125" style="18" customWidth="1"/>
    <col min="17" max="17" width="11.42578125" style="18" customWidth="1"/>
    <col min="18" max="18" width="13.85546875" style="18" customWidth="1"/>
    <col min="19" max="19" width="13.42578125" style="18" customWidth="1"/>
    <col min="20" max="20" width="13.140625" style="18" customWidth="1"/>
    <col min="21" max="21" width="13.42578125" style="18" customWidth="1"/>
    <col min="22" max="22" width="14.140625" style="18" customWidth="1"/>
    <col min="23" max="23" width="15.85546875" style="18" customWidth="1"/>
    <col min="24" max="24" width="16.5703125" style="18" customWidth="1"/>
    <col min="25" max="25" width="13.7109375" style="18" customWidth="1"/>
    <col min="26" max="16384" width="9.140625" style="18"/>
  </cols>
  <sheetData>
    <row r="1" spans="1:24" ht="18.75" customHeight="1" x14ac:dyDescent="0.25">
      <c r="A1" s="626"/>
      <c r="B1" s="626"/>
      <c r="C1" s="626"/>
      <c r="D1" s="626"/>
    </row>
    <row r="2" spans="1:24" ht="15" customHeight="1" x14ac:dyDescent="0.25">
      <c r="A2" s="91"/>
      <c r="B2" s="91"/>
      <c r="C2" s="91"/>
      <c r="D2" s="91"/>
    </row>
    <row r="3" spans="1:24" ht="18.75" customHeight="1" x14ac:dyDescent="0.25">
      <c r="A3" s="626"/>
      <c r="B3" s="626"/>
      <c r="C3" s="626"/>
      <c r="D3" s="626"/>
    </row>
    <row r="4" spans="1:24" ht="18.75" customHeight="1" x14ac:dyDescent="0.25">
      <c r="A4" s="628"/>
      <c r="B4" s="628"/>
      <c r="C4" s="628"/>
      <c r="D4" s="628"/>
      <c r="E4" s="30"/>
    </row>
    <row r="5" spans="1:24" ht="15" customHeight="1" x14ac:dyDescent="0.25">
      <c r="A5" s="91"/>
      <c r="B5" s="91"/>
      <c r="C5" s="91"/>
      <c r="D5" s="91"/>
    </row>
    <row r="6" spans="1:24" ht="18.75" customHeight="1" x14ac:dyDescent="0.25">
      <c r="A6" s="626"/>
      <c r="B6" s="626"/>
      <c r="C6" s="626"/>
      <c r="D6" s="626"/>
    </row>
    <row r="7" spans="1:24" ht="15" customHeight="1" x14ac:dyDescent="0.25"/>
    <row r="8" spans="1:24" ht="15" customHeight="1" x14ac:dyDescent="0.25">
      <c r="A8" s="16"/>
      <c r="B8" s="14" t="s">
        <v>4825</v>
      </c>
      <c r="C8" s="14"/>
    </row>
    <row r="9" spans="1:24" ht="15" customHeight="1" x14ac:dyDescent="0.25">
      <c r="B9" s="836"/>
      <c r="C9" s="836"/>
      <c r="D9" s="836"/>
      <c r="E9" s="836"/>
      <c r="F9" s="836"/>
      <c r="G9" s="836"/>
      <c r="H9" s="836"/>
      <c r="I9" s="836"/>
      <c r="J9" s="836"/>
    </row>
    <row r="10" spans="1:24" ht="15" customHeight="1" x14ac:dyDescent="0.25">
      <c r="B10" s="1106"/>
      <c r="C10" s="1106"/>
      <c r="D10" s="1106"/>
      <c r="E10" s="1106"/>
      <c r="F10" s="1106"/>
      <c r="G10" s="1106"/>
      <c r="H10" s="1106"/>
      <c r="I10" s="1106"/>
      <c r="J10" s="1106"/>
    </row>
    <row r="11" spans="1:24" ht="15" customHeight="1" x14ac:dyDescent="0.25">
      <c r="A11" s="17"/>
    </row>
    <row r="12" spans="1:24" ht="15" customHeight="1" x14ac:dyDescent="0.25">
      <c r="B12" s="14" t="s">
        <v>4846</v>
      </c>
      <c r="R12" s="14" t="s">
        <v>4526</v>
      </c>
      <c r="S12" s="14"/>
    </row>
    <row r="13" spans="1:24" ht="80.25" customHeight="1" x14ac:dyDescent="0.35">
      <c r="B13" s="19" t="s">
        <v>4845</v>
      </c>
      <c r="C13" s="20" t="s">
        <v>142</v>
      </c>
      <c r="D13" s="20" t="s">
        <v>4842</v>
      </c>
      <c r="E13" s="20" t="s">
        <v>118</v>
      </c>
      <c r="F13" s="20" t="s">
        <v>119</v>
      </c>
      <c r="G13" s="20" t="s">
        <v>124</v>
      </c>
      <c r="H13" s="20" t="s">
        <v>122</v>
      </c>
      <c r="I13" s="20" t="s">
        <v>125</v>
      </c>
      <c r="J13" s="20" t="s">
        <v>130</v>
      </c>
      <c r="K13" s="20" t="s">
        <v>123</v>
      </c>
      <c r="L13" s="20" t="s">
        <v>5035</v>
      </c>
      <c r="M13" s="20" t="s">
        <v>5034</v>
      </c>
      <c r="N13" s="20" t="s">
        <v>120</v>
      </c>
      <c r="O13" s="817" t="s">
        <v>5036</v>
      </c>
      <c r="P13" s="817" t="s">
        <v>5047</v>
      </c>
      <c r="Q13" s="793" t="s">
        <v>126</v>
      </c>
      <c r="R13" s="794" t="s">
        <v>150</v>
      </c>
      <c r="S13" s="795" t="s">
        <v>4577</v>
      </c>
      <c r="T13" s="795" t="s">
        <v>152</v>
      </c>
      <c r="U13" s="795" t="s">
        <v>4774</v>
      </c>
      <c r="V13" s="795" t="s">
        <v>4775</v>
      </c>
      <c r="W13" s="795" t="s">
        <v>4776</v>
      </c>
      <c r="X13" s="20" t="s">
        <v>4723</v>
      </c>
    </row>
    <row r="14" spans="1:24" ht="18.75" customHeight="1" x14ac:dyDescent="0.25">
      <c r="B14" s="21"/>
      <c r="C14" s="835"/>
      <c r="D14" s="22"/>
      <c r="E14"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14" s="796" t="str">
        <f>IF(OR(ATInputs[New Facility or Program Type]="",ATInputs[New Facility or Program Type]="Bike Share"),"",200)</f>
        <v/>
      </c>
      <c r="G14" s="797"/>
      <c r="H14" s="798" t="str">
        <f>IF(ATInputs[New Facility or Program Type]="","",IF(ATInputs[New Facility or Program Type]="Walkway",0.3,1.5))</f>
        <v/>
      </c>
      <c r="I14" s="644"/>
      <c r="J14" s="854"/>
      <c r="K14"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14" s="22"/>
      <c r="M14" s="22"/>
      <c r="N14"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14" s="1141"/>
      <c r="P14" s="1142"/>
      <c r="Q14" s="802"/>
      <c r="R14"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14"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14"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14"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14"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14"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14" s="804"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15" spans="1:24" ht="18.75" customHeight="1" x14ac:dyDescent="0.25">
      <c r="A15" s="38"/>
      <c r="B15" s="21"/>
      <c r="C15" s="835"/>
      <c r="D15" s="22"/>
      <c r="E15"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15" s="796" t="str">
        <f>IF(OR(ATInputs[New Facility or Program Type]="",ATInputs[New Facility or Program Type]="Bike Share"),"",200)</f>
        <v/>
      </c>
      <c r="G15" s="797"/>
      <c r="H15" s="798" t="str">
        <f>IF(ATInputs[New Facility or Program Type]="","",IF(ATInputs[New Facility or Program Type]="Walkway",0.3,1.5))</f>
        <v/>
      </c>
      <c r="I15" s="644"/>
      <c r="J15" s="799"/>
      <c r="K15"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15" s="22"/>
      <c r="M15" s="22"/>
      <c r="N15"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15" s="1141"/>
      <c r="P15" s="1142"/>
      <c r="Q15" s="802"/>
      <c r="R15"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15"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15"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15"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15"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15"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15"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16" spans="1:24" ht="18.75" customHeight="1" x14ac:dyDescent="0.25">
      <c r="B16" s="21"/>
      <c r="C16" s="22"/>
      <c r="D16" s="22"/>
      <c r="E16"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16" s="796" t="str">
        <f>IF(OR(ATInputs[New Facility or Program Type]="",ATInputs[New Facility or Program Type]="Bike Share"),"",200)</f>
        <v/>
      </c>
      <c r="G16" s="797"/>
      <c r="H16" s="798" t="str">
        <f>IF(ATInputs[New Facility or Program Type]="","",IF(ATInputs[New Facility or Program Type]="Walkway",0.3,1.5))</f>
        <v/>
      </c>
      <c r="I16" s="644"/>
      <c r="J16" s="799"/>
      <c r="K16"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16" s="22"/>
      <c r="M16" s="22"/>
      <c r="N16"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16" s="1141"/>
      <c r="P16" s="1142"/>
      <c r="Q16" s="802"/>
      <c r="R16"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16"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16"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16"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16"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16"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16"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17" spans="1:24" ht="18.75" customHeight="1" x14ac:dyDescent="0.25">
      <c r="B17" s="21"/>
      <c r="C17" s="22"/>
      <c r="D17" s="22"/>
      <c r="E17"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17" s="796" t="str">
        <f>IF(OR(ATInputs[New Facility or Program Type]="",ATInputs[New Facility or Program Type]="Bike Share"),"",200)</f>
        <v/>
      </c>
      <c r="G17" s="797"/>
      <c r="H17" s="798" t="str">
        <f>IF(ATInputs[New Facility or Program Type]="","",IF(ATInputs[New Facility or Program Type]="Walkway",0.3,1.5))</f>
        <v/>
      </c>
      <c r="I17" s="644"/>
      <c r="J17" s="799"/>
      <c r="K17"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17" s="22"/>
      <c r="M17" s="22"/>
      <c r="N17"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17" s="1141"/>
      <c r="P17" s="1142"/>
      <c r="Q17" s="802"/>
      <c r="R17"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17"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17"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17"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17"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17"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17"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18" spans="1:24" ht="18.75" customHeight="1" x14ac:dyDescent="0.25">
      <c r="B18" s="21"/>
      <c r="C18" s="39"/>
      <c r="D18" s="22"/>
      <c r="E18"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18" s="796" t="str">
        <f>IF(OR(ATInputs[New Facility or Program Type]="",ATInputs[New Facility or Program Type]="Bike Share"),"",200)</f>
        <v/>
      </c>
      <c r="G18" s="797"/>
      <c r="H18" s="798" t="str">
        <f>IF(ATInputs[New Facility or Program Type]="","",IF(ATInputs[New Facility or Program Type]="Walkway",0.3,1.5))</f>
        <v/>
      </c>
      <c r="I18" s="644"/>
      <c r="J18" s="799"/>
      <c r="K18"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18" s="22"/>
      <c r="M18" s="22"/>
      <c r="N18"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18" s="1141"/>
      <c r="P18" s="1142"/>
      <c r="Q18" s="802"/>
      <c r="R18"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18"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18"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18"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18"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18"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18"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19" spans="1:24" ht="18.75" customHeight="1" x14ac:dyDescent="0.25">
      <c r="B19" s="21"/>
      <c r="C19" s="22"/>
      <c r="D19" s="22"/>
      <c r="E19"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19" s="796" t="str">
        <f>IF(OR(ATInputs[New Facility or Program Type]="",ATInputs[New Facility or Program Type]="Bike Share"),"",200)</f>
        <v/>
      </c>
      <c r="G19" s="797"/>
      <c r="H19" s="798" t="str">
        <f>IF(ATInputs[New Facility or Program Type]="","",IF(ATInputs[New Facility or Program Type]="Walkway",0.3,1.5))</f>
        <v/>
      </c>
      <c r="I19" s="644"/>
      <c r="J19" s="799"/>
      <c r="K19"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19" s="22"/>
      <c r="M19" s="22"/>
      <c r="N19"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19" s="1141"/>
      <c r="P19" s="1142"/>
      <c r="Q19" s="802"/>
      <c r="R19"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19"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19"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19"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19"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19"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19"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0" spans="1:24" ht="18.75" customHeight="1" x14ac:dyDescent="0.25">
      <c r="B20" s="21"/>
      <c r="C20" s="22"/>
      <c r="D20" s="22"/>
      <c r="E20"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20" s="796" t="str">
        <f>IF(OR(ATInputs[New Facility or Program Type]="",ATInputs[New Facility or Program Type]="Bike Share"),"",200)</f>
        <v/>
      </c>
      <c r="G20" s="797"/>
      <c r="H20" s="798" t="str">
        <f>IF(ATInputs[New Facility or Program Type]="","",IF(ATInputs[New Facility or Program Type]="Walkway",0.3,1.5))</f>
        <v/>
      </c>
      <c r="I20" s="644"/>
      <c r="J20" s="799"/>
      <c r="K20"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20" s="22"/>
      <c r="M20" s="22"/>
      <c r="N20"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20" s="1141"/>
      <c r="P20" s="1142"/>
      <c r="Q20" s="802"/>
      <c r="R20"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20"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20"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20"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20"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20"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20"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1" spans="1:24" ht="18.75" customHeight="1" x14ac:dyDescent="0.25">
      <c r="B21" s="23"/>
      <c r="C21" s="24"/>
      <c r="D21" s="24"/>
      <c r="E21" s="805"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21" s="805" t="str">
        <f>IF(OR(ATInputs[New Facility or Program Type]="",ATInputs[New Facility or Program Type]="Bike Share"),"",200)</f>
        <v/>
      </c>
      <c r="G21" s="806"/>
      <c r="H21" s="807" t="str">
        <f>IF(ATInputs[New Facility or Program Type]="","",IF(ATInputs[New Facility or Program Type]="Walkway",0.3,1.5))</f>
        <v/>
      </c>
      <c r="I21" s="641"/>
      <c r="J21" s="808"/>
      <c r="K21" s="809"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21" s="24"/>
      <c r="M21" s="24"/>
      <c r="N21" s="810"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21" s="1143"/>
      <c r="P21" s="1144"/>
      <c r="Q21" s="811"/>
      <c r="R21" s="441"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21"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21"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21"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21"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21"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21"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2" spans="1:24" ht="18.75" customHeight="1" x14ac:dyDescent="0.25">
      <c r="B22" s="21"/>
      <c r="C22" s="22"/>
      <c r="D22" s="22"/>
      <c r="E22"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22" s="796" t="str">
        <f>IF(OR(ATInputs[New Facility or Program Type]="",ATInputs[New Facility or Program Type]="Bike Share"),"",200)</f>
        <v/>
      </c>
      <c r="G22" s="797"/>
      <c r="H22" s="798" t="str">
        <f>IF(ATInputs[New Facility or Program Type]="","",IF(ATInputs[New Facility or Program Type]="Walkway",0.3,1.5))</f>
        <v/>
      </c>
      <c r="I22" s="644"/>
      <c r="J22" s="799"/>
      <c r="K22"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22" s="22"/>
      <c r="M22" s="22"/>
      <c r="N22"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22" s="1141"/>
      <c r="P22" s="1142"/>
      <c r="Q22" s="802"/>
      <c r="R22"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22"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22"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22"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22"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22"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22"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3" spans="1:24" ht="18.75" customHeight="1" x14ac:dyDescent="0.25">
      <c r="A23" s="25"/>
      <c r="B23" s="21"/>
      <c r="C23" s="22"/>
      <c r="D23" s="22"/>
      <c r="E23"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23" s="796" t="str">
        <f>IF(OR(ATInputs[New Facility or Program Type]="",ATInputs[New Facility or Program Type]="Bike Share"),"",200)</f>
        <v/>
      </c>
      <c r="G23" s="797"/>
      <c r="H23" s="798" t="str">
        <f>IF(ATInputs[New Facility or Program Type]="","",IF(ATInputs[New Facility or Program Type]="Walkway",0.3,1.5))</f>
        <v/>
      </c>
      <c r="I23" s="644"/>
      <c r="J23" s="799"/>
      <c r="K23"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23" s="22"/>
      <c r="M23" s="22"/>
      <c r="N23"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23" s="1141"/>
      <c r="P23" s="1142"/>
      <c r="Q23" s="802"/>
      <c r="R23"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23"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23"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23"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23"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23"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23"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4" spans="1:24" ht="18.75" customHeight="1" x14ac:dyDescent="0.25">
      <c r="B24" s="21"/>
      <c r="C24" s="22"/>
      <c r="D24" s="22"/>
      <c r="E24"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24" s="796" t="str">
        <f>IF(OR(ATInputs[New Facility or Program Type]="",ATInputs[New Facility or Program Type]="Bike Share"),"",200)</f>
        <v/>
      </c>
      <c r="G24" s="797"/>
      <c r="H24" s="798" t="str">
        <f>IF(ATInputs[New Facility or Program Type]="","",IF(ATInputs[New Facility or Program Type]="Walkway",0.3,1.5))</f>
        <v/>
      </c>
      <c r="I24" s="644"/>
      <c r="J24" s="799"/>
      <c r="K24"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24" s="22"/>
      <c r="M24" s="22"/>
      <c r="N24"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24" s="1141"/>
      <c r="P24" s="1142"/>
      <c r="Q24" s="802"/>
      <c r="R24"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24"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24"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24"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24"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24"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24"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5" spans="1:24" ht="18.75" customHeight="1" x14ac:dyDescent="0.25">
      <c r="A25" s="14"/>
      <c r="B25" s="21"/>
      <c r="C25" s="22"/>
      <c r="D25" s="22"/>
      <c r="E25"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25" s="796" t="str">
        <f>IF(OR(ATInputs[New Facility or Program Type]="",ATInputs[New Facility or Program Type]="Bike Share"),"",200)</f>
        <v/>
      </c>
      <c r="G25" s="797"/>
      <c r="H25" s="798" t="str">
        <f>IF(ATInputs[New Facility or Program Type]="","",IF(ATInputs[New Facility or Program Type]="Walkway",0.3,1.5))</f>
        <v/>
      </c>
      <c r="I25" s="644"/>
      <c r="J25" s="799"/>
      <c r="K25"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25" s="22"/>
      <c r="M25" s="22"/>
      <c r="N25"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25" s="1141"/>
      <c r="P25" s="1142"/>
      <c r="Q25" s="802"/>
      <c r="R25"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25"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25"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25"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25"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25"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25"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6" spans="1:24" ht="18.75" customHeight="1" x14ac:dyDescent="0.25">
      <c r="A26" s="25"/>
      <c r="B26" s="21"/>
      <c r="C26" s="22"/>
      <c r="D26" s="22"/>
      <c r="E26"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26" s="796" t="str">
        <f>IF(OR(ATInputs[New Facility or Program Type]="",ATInputs[New Facility or Program Type]="Bike Share"),"",200)</f>
        <v/>
      </c>
      <c r="G26" s="797"/>
      <c r="H26" s="798" t="str">
        <f>IF(ATInputs[New Facility or Program Type]="","",IF(ATInputs[New Facility or Program Type]="Walkway",0.3,1.5))</f>
        <v/>
      </c>
      <c r="I26" s="644"/>
      <c r="J26" s="799"/>
      <c r="K26"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26" s="22"/>
      <c r="M26" s="22"/>
      <c r="N26"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26" s="1141"/>
      <c r="P26" s="1142"/>
      <c r="Q26" s="802"/>
      <c r="R26"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26"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26"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26"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26"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26"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26"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7" spans="1:24" ht="18.75" customHeight="1" x14ac:dyDescent="0.25">
      <c r="A27" s="25"/>
      <c r="B27" s="21"/>
      <c r="C27" s="22"/>
      <c r="D27" s="22"/>
      <c r="E27"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27" s="796" t="str">
        <f>IF(OR(ATInputs[New Facility or Program Type]="",ATInputs[New Facility or Program Type]="Bike Share"),"",200)</f>
        <v/>
      </c>
      <c r="G27" s="797"/>
      <c r="H27" s="798" t="str">
        <f>IF(ATInputs[New Facility or Program Type]="","",IF(ATInputs[New Facility or Program Type]="Walkway",0.3,1.5))</f>
        <v/>
      </c>
      <c r="I27" s="644"/>
      <c r="J27" s="799"/>
      <c r="K27"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27" s="22"/>
      <c r="M27" s="22"/>
      <c r="N27"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27" s="1141"/>
      <c r="P27" s="1142"/>
      <c r="Q27" s="802"/>
      <c r="R27" s="803"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27" s="441"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27" s="441"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27" s="441"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27" s="441"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27" s="441"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27" s="803"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8" spans="1:24" ht="18.75" customHeight="1" thickBot="1" x14ac:dyDescent="0.3">
      <c r="A28" s="25"/>
      <c r="B28" s="21"/>
      <c r="C28" s="22"/>
      <c r="D28" s="22"/>
      <c r="E28" s="796" t="str">
        <f>IF(ATInputs[First Year Operational]="","",IF(ATInputs[New Facility or Program Type]="","",IF(OR(ATInputs[New Facility or Program Type]="Walkway",ATInputs[New Facility or Program Type]="Class I Bike Path"),ATInputs[First Year Operational]+20,IF(OR(ATInputs[New Facility or Program Type]="Class II Bike Lane",ATInputs[New Facility or Program Type]="Class IV Separated Bikeway"),ATInputs[First Year Operational]+15,ATInputs[First Year Operational]+10))))</f>
        <v/>
      </c>
      <c r="F28" s="796" t="str">
        <f>IF(OR(ATInputs[New Facility or Program Type]="",ATInputs[New Facility or Program Type]="Bike Share"),"",200)</f>
        <v/>
      </c>
      <c r="G28" s="797"/>
      <c r="H28" s="798" t="str">
        <f>IF(ATInputs[New Facility or Program Type]="","",IF(ATInputs[New Facility or Program Type]="Walkway",0.3,1.5))</f>
        <v/>
      </c>
      <c r="I28" s="644"/>
      <c r="J28" s="799"/>
      <c r="K28" s="800" t="str">
        <f ca="1">IFERROR(IF(ATInputs[New Facility or Program Type]="","",IF(ATInputs[New Facility or Program Type]="Bike Share",0.5,LOOKUP(ATInputs[Average Daily Traffic (trips/day)],IF(ATInputs[University Town with Population &lt; 250,000?]="Yes",AdjFactorsUniversity[Minimum Average Daily Traffic], IF(ATInputs[University Town with Population &lt; 250,000?]="No",AdjFactorsCities[Minimum Average Daily Traffic],"")),INDIRECT(CONCATENATE(IF(ATInputs[University Town with Population &lt; 250,000?]="Yes","AdjFactorsUniversity","AdjFactorsCities"),"[",ATInputs[One-way Facility Length (miles)],"]"))))),"")</f>
        <v/>
      </c>
      <c r="L28" s="22"/>
      <c r="M28" s="22"/>
      <c r="N28" s="801" t="str">
        <f>IF(AND(ATInputs[Key Destinations within 1/4 Mile]="",ATInputs[Key Destinations within 1/2 Mile]=""),"",MAX(LOOKUP(ATInputs[Key Destinations within 1/4 Mile],ActivityCenterCredits[Minimum Key Destinations], ActivityCenterCredits[Within 1/4 Mile]),LOOKUP(ATInputs[Key Destinations within 1/2 Mile],ActivityCenterCredits[Minimum Key Destinations], ActivityCenterCredits[Within 1/2 Mile])))</f>
        <v/>
      </c>
      <c r="O28" s="1141"/>
      <c r="P28" s="1142"/>
      <c r="Q28" s="802"/>
      <c r="R28" s="812" t="str">
        <f ca="1">IFERROR(IF(NOT(ATInputs[[#This Row],[New Facility or Program Type]]="Bike Share"),ATInputs[[#This Row],[Annual Days of Operation]]*ATInputs[[#This Row],[Average Daily Traffic (trips/day)]]*(ATInputs[[#This Row],[Adjustment Factor]]+ATInputs[[#This Row],[Activity Center Credit]])*ATInputs[[#This Row],[Length of Average Auto Trip Reduced (miles)]]*(ATInputs[[#This Row],[Year F]]-ATInputs[[#This Row],[First Year Operational]]),IF(OR(ATInputs[[#This Row],[Bike Share Energy Consumption (kWh/mile)]]="",ATInputs[[#This Row],[Bike Share Trips in Year 1]]="",ATInputs[[#This Row],[Average Cost of Bike Share Trip ($)]]=""),"",ATInputs[[#This Row],[Bike Share Trips in Year 1]]*ATInputs[[#This Row],[Adjustment Factor]]*ATInputs[[#This Row],[Length of Average Auto Trip Reduced (miles)]]*(ATInputs[[#This Row],[Year F]]-ATInputs[[#This Row],[First Year Operational]]))),"")</f>
        <v/>
      </c>
      <c r="S28" s="813" t="str">
        <f ca="1">IFERROR(AVERAGE(VLOOKUP(CONCATENATE(County,"_",ATInputs[[#This Row],[First Year Operational]]),'Passenger Auto GHG'!$D$31:$E$2731,2,FALSE)*(ATInputs[[#This Row],[Passenger VMT Reductions (miles)]]/(ATInputs[[#This Row],[Year F]]-ATInputs[[#This Row],[First Year Operational]])),VLOOKUP(CONCATENATE(County,"_",IF(ATInputs[[#This Row],[Year F]]&gt;2050,2050,ATInputs[[#This Row],[Year F]])),'Passenger Auto GHG'!$D$31:$E$2731,2,FALSE)*(ATInputs[[#This Row],[Passenger VMT Reductions (miles)]]/(ATInputs[[#This Row],[Year F]]-ATInputs[[#This Row],[First Year Operational]])))*(ATInputs[[#This Row],[Year F]]-ATInputs[[#This Row],[First Year Operational]])/1000000-IF(ATInputs[[#This Row],[New Facility or Program Type]]="Bike Share",ATInputs[[#This Row],[Bike Share Trips in Year 1]]*ATInputs[[#This Row],[Length of Average Auto Trip Reduced (miles)]]*ATInputs[[#This Row],[Bike Share Energy Consumption (kWh/mile)]]*'Grid Electricity'!$C$20*10,0),"")</f>
        <v/>
      </c>
      <c r="T28" s="813" t="str">
        <f ca="1">IFERROR(AVERAGE(VLOOKUP(CONCATENATE(County,"_",ATInputs[[#This Row],[First Year Operational]]),'Passenger Auto Criteria &amp; Toxic'!$D$32:$K$2732,3,FALSE)*(ATInputs[[#This Row],[Passenger VMT Reductions (miles)]]/(ATInputs[[#This Row],[Year F]]-ATInputs[[#This Row],[First Year Operational]])),VLOOKUP(CONCATENATE(County,"_",IF(ATInputs[[#This Row],[Year F]]&gt;2050,2050,ATInputs[[#This Row],[Year F]])),'Passenger Auto Criteria &amp; Toxic'!$D$32:$K$2732,3,FALSE)*(ATInputs[[#This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Electricity'!$D$40*10,0),"")</f>
        <v/>
      </c>
      <c r="U28" s="813" t="str">
        <f ca="1">IFERROR(AVERAGE(VLOOKUP(CONCATENATE(County,"_",ATInputs[[#This Row],[First Year Operational]]),'Passenger Auto Criteria &amp; Toxic'!$D$32:$K$2732,4,FALSE)*(ATInputs[[#This Row],[Passenger VMT Reductions (miles)]]/(ATInputs[[#This Row],[Year F]]-ATInputs[[#This Row],[First Year Operational]])),VLOOKUP(CONCATENATE(County,"_",IF(ATInputs[[#This Row],[Year F]]&gt;2050,2050,ATInputs[[#This Row],[Year F]])),'Passenger Auto Criteria &amp; Toxic'!$D$32:$K$2732,4,FALSE)*(ATInputs[[#This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Electricity'!$E$40*10,0),"")</f>
        <v/>
      </c>
      <c r="V28" s="813" t="str">
        <f ca="1">IFERROR(AVERAGE((VLOOKUP(CONCATENATE(County,"_",ATInputs[[#This Row],[First Year Operational]]),'Passenger Auto Criteria &amp; Toxic'!$D$32:$K$2732,5,FALSE)+'Passenger Auto Criteria &amp; Toxic'!$M$33+'Passenger Auto Criteria &amp; Toxic'!$N$33)*(ATInputs[[#This Row],[Passenger VMT Reductions (miles)]]/(ATInputs[[#This Row],[Year F]]-ATInputs[[#This Row],[First Year Operational]])),(VLOOKUP(CONCATENATE(County,"_",IF(ATInputs[[#This Row],[Year F]]&gt;2050,2050,ATInputs[[#This Row],[Year F]])),'Passenger Auto Criteria &amp; Toxic'!$D$32:$K$2732,5,FALSE)+'Passenger Auto Criteria &amp; Toxic'!$M$33+'Passenger Auto Criteria &amp; Toxic'!$N$33)*(ATInputs[[#This Row],[Passenger VMT Reductions (miles)]]/(ATInputs[[#This Row],[Year F]]-ATInputs[[#This Row],[First Year Operational]])))*(ATInputs[[#This Row],[Year F]]-ATInputs[[#This Row],[First Year Operational]])/453.59-IF(ATInputs[[#This Row],[New Facility or Program Type]]="Bike Share",ATInputs[[#This Row],[Bike Share Trips in Year 1]]*ATInputs[[#This Row],[Length of Average Auto Trip Reduced (miles)]]*ATInputs[[#This Row],[Bike Share Energy Consumption (kWh/mile)]]*'Grid Electricity'!$H$40*10,0),"")</f>
        <v/>
      </c>
      <c r="W28" s="813" t="str">
        <f ca="1">IFERROR(AVERAGE(VLOOKUP(CONCATENATE(County,"_",ATInputs[[#This Row],[First Year Operational]]),'Passenger Auto Criteria &amp; Toxic'!$D$32:$K$2732,8,FALSE)*(ATInputs[[#This Row],[Passenger VMT Reductions (miles)]]/(ATInputs[[#This Row],[Year F]]-ATInputs[[#This Row],[First Year Operational]])),VLOOKUP(CONCATENATE(County,"_",IF(ATInputs[[#This Row],[Year F]]&gt;2050,2050,ATInputs[[#This Row],[Year F]])),'Passenger Auto Criteria &amp; Toxic'!$D$32:$K$2732,8,FALSE)*(ATInputs[[#This Row],[Passenger VMT Reductions (miles)]]/(ATInputs[[#This Row],[Year F]]-ATInputs[[#This Row],[First Year Operational]])))*(ATInputs[[#This Row],[Year F]]-ATInputs[[#This Row],[First Year Operational]])/453.59,"")</f>
        <v/>
      </c>
      <c r="X28" s="814" t="str">
        <f ca="1">IFERROR(AVERAGE(VLOOKUP(CONCATENATE(County,"_",ATInputs[[#This Row],[First Year Operational]]),'Passenger Auto Criteria &amp; Toxic'!$D$32:$K$2732,2,FALSE)*(ATInputs[[#This Row],[Passenger VMT Reductions (miles)]]/(ATInputs[[#This Row],[Year F]]-ATInputs[[#This Row],[First Year Operational]])),VLOOKUP(CONCATENATE(County,"_",IF(ATInputs[[#This Row],[Year F]]&gt;2050,2050,ATInputs[[#This Row],[Year F]])),'Passenger Auto Criteria &amp; Toxic'!$D$32:$K$2732,2,FALSE)*(ATInputs[[#This Row],[Passenger VMT Reductions (miles)]]/(ATInputs[[#This Row],[Year F]]-ATInputs[[#This Row],[First Year Operational]])))*(ATInputs[[#This Row],[Year F]]-ATInputs[[#This Row],[First Year Operational]]),"")</f>
        <v/>
      </c>
    </row>
    <row r="29" spans="1:24" ht="15" customHeight="1" x14ac:dyDescent="0.25">
      <c r="A29" s="26"/>
      <c r="B29" s="27"/>
      <c r="D29" s="25"/>
    </row>
    <row r="30" spans="1:24" ht="15" customHeight="1" x14ac:dyDescent="0.25">
      <c r="A30" s="26"/>
      <c r="B30" s="26"/>
      <c r="C30" s="26"/>
      <c r="D30" s="26"/>
    </row>
    <row r="31" spans="1:24" ht="15" customHeight="1" x14ac:dyDescent="0.25">
      <c r="A31" s="26"/>
      <c r="B31" s="26"/>
      <c r="C31" s="26"/>
      <c r="D31" s="26"/>
    </row>
    <row r="32" spans="1:24" ht="15" customHeight="1" x14ac:dyDescent="0.25">
      <c r="A32" s="26"/>
      <c r="B32" s="26"/>
      <c r="C32" s="26"/>
      <c r="D32" s="26"/>
    </row>
    <row r="33" spans="1:4" ht="15" customHeight="1" x14ac:dyDescent="0.25">
      <c r="A33" s="28"/>
      <c r="B33" s="28"/>
      <c r="C33" s="28"/>
      <c r="D33" s="26"/>
    </row>
    <row r="34" spans="1:4" ht="15" customHeight="1" x14ac:dyDescent="0.25">
      <c r="A34" s="28"/>
      <c r="B34" s="28"/>
      <c r="C34" s="28"/>
      <c r="D34" s="28"/>
    </row>
    <row r="35" spans="1:4" ht="15" customHeight="1" x14ac:dyDescent="0.25">
      <c r="A35" s="29"/>
      <c r="B35" s="29"/>
      <c r="C35" s="29"/>
      <c r="D35" s="28"/>
    </row>
    <row r="36" spans="1:4" ht="15" customHeight="1" x14ac:dyDescent="0.25">
      <c r="D36" s="28"/>
    </row>
    <row r="37" spans="1:4" ht="15" customHeight="1" x14ac:dyDescent="0.25"/>
    <row r="38" spans="1:4" ht="15" customHeight="1" x14ac:dyDescent="0.25"/>
    <row r="39" spans="1:4" ht="15" customHeight="1" x14ac:dyDescent="0.25"/>
    <row r="40" spans="1:4" ht="15" customHeight="1" x14ac:dyDescent="0.25"/>
    <row r="41" spans="1:4" ht="15" customHeight="1" x14ac:dyDescent="0.25"/>
    <row r="42" spans="1:4" ht="15" customHeight="1" x14ac:dyDescent="0.25"/>
    <row r="43" spans="1:4" ht="15" customHeight="1" x14ac:dyDescent="0.25"/>
    <row r="44" spans="1:4" ht="15" customHeight="1" x14ac:dyDescent="0.25"/>
    <row r="45" spans="1:4" ht="15" customHeight="1" x14ac:dyDescent="0.25"/>
    <row r="46" spans="1:4" ht="15" customHeight="1" x14ac:dyDescent="0.25"/>
    <row r="47" spans="1:4" ht="15" customHeight="1" x14ac:dyDescent="0.25"/>
    <row r="48" spans="1:4"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sheetProtection algorithmName="SHA-512" hashValue="tQKMiotpoQ76EkIjGe+MpTMMDpCu2w0TEYpO2VeU6cQzB2hDc9HINWr6wKD3AV/m7gBIUAWu/KBlRyCkg+6O9Q==" saltValue="LKvpjtuLBlnFE2rbNdciBA==" spinCount="100000" sheet="1" objects="1" scenarios="1"/>
  <conditionalFormatting sqref="C14:Q28">
    <cfRule type="expression" dxfId="405" priority="5">
      <formula>OR($B14="")</formula>
    </cfRule>
  </conditionalFormatting>
  <conditionalFormatting sqref="F14:G28 I14:J28 L14:N28">
    <cfRule type="expression" dxfId="404" priority="4">
      <formula>OR($B14="Bike Share")</formula>
    </cfRule>
  </conditionalFormatting>
  <conditionalFormatting sqref="O14:Q28">
    <cfRule type="expression" dxfId="403" priority="1">
      <formula>NOT($B14="Bike Share")</formula>
    </cfRule>
  </conditionalFormatting>
  <dataValidations count="10">
    <dataValidation type="list" allowBlank="1" showInputMessage="1" showErrorMessage="1" sqref="B14:B28">
      <formula1>"Bike Share, Class I Bike Path, Class II Bike Lane, Class IV Separated Bikeway, Walkway"</formula1>
    </dataValidation>
    <dataValidation type="list" allowBlank="1" showInputMessage="1" showErrorMessage="1" sqref="J14:J28">
      <formula1>"Yes, No"</formula1>
    </dataValidation>
    <dataValidation type="whole" allowBlank="1" showInputMessage="1" showErrorMessage="1" prompt="Average two-way daily traffic volume on road parallel to new facility" sqref="I14:I28">
      <formula1>1</formula1>
      <formula2>30000</formula2>
    </dataValidation>
    <dataValidation type="list" operator="greaterThan" allowBlank="1" showInputMessage="1" showErrorMessage="1" prompt="Length measured in one direction only" sqref="G14:G28">
      <formula1>" ≤ 1 mile, &gt; 1 and ≤ 2 miles, &gt; 2 miles"</formula1>
    </dataValidation>
    <dataValidation type="whole" operator="greaterThan" allowBlank="1" showInputMessage="1" showErrorMessage="1" prompt="Expected number of bike trips using bike share in first year" sqref="Q14:Q28">
      <formula1>0</formula1>
    </dataValidation>
    <dataValidation type="textLength" operator="lessThanOrEqual" allowBlank="1" showInputMessage="1" showErrorMessage="1" sqref="C14:C28">
      <formula1>100</formula1>
    </dataValidation>
    <dataValidation type="whole" operator="greaterThanOrEqual" allowBlank="1" showInputMessage="1" showErrorMessage="1" promptTitle="Key Destinations:" prompt="Bank or post office_x000a_Child care center_x000a_Grocery store_x000a_Medical center_x000a_Office park_x000a_Pharmacy_x000a_Place of worship_x000a_Public library_x000a_Public park_x000a_School, university, or college_x000a_" sqref="L14:M28">
      <formula1>0</formula1>
    </dataValidation>
    <dataValidation type="whole" allowBlank="1" showInputMessage="1" showErrorMessage="1" prompt="First year facility or program will be open to users" sqref="D14:D28">
      <formula1>2020</formula1>
      <formula2>2050</formula2>
    </dataValidation>
    <dataValidation type="decimal" operator="greaterThanOrEqual" allowBlank="1" showInputMessage="1" showErrorMessage="1" prompt="Bicycle electricity consumption per mile" sqref="O14:O28">
      <formula1>0</formula1>
    </dataValidation>
    <dataValidation type="decimal" operator="greaterThanOrEqual" allowBlank="1" showInputMessage="1" showErrorMessage="1" prompt="Price of average one-way trip using bike share" sqref="P14:P28">
      <formula1>0</formula1>
    </dataValidation>
  </dataValidations>
  <pageMargins left="0.7" right="0.7" top="0.98479166666666662" bottom="0.75" header="0.3" footer="0.3"/>
  <pageSetup scale="65" fitToWidth="0" fitToHeight="0" orientation="landscape" r:id="rId1"/>
  <headerFooter>
    <oddFooter>&amp;L&amp;"Avenir LT Std 55 Roman,Regular"&amp;12&amp;K000000FINAL November 1, 2019&amp;C&amp;"Avenir LT Std 55 Roman,Regular"&amp;12Page &amp;P of &amp;N&amp;R&amp;"Avenir LT Std 55 Roman,Regular"&amp;12&amp;K000000&amp;A</oddFooter>
  </headerFooter>
  <drawing r:id="rId2"/>
  <legacyDrawingHF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AL64"/>
  <sheetViews>
    <sheetView showGridLines="0" zoomScaleNormal="100" workbookViewId="0">
      <selection activeCell="B14" sqref="B14"/>
    </sheetView>
  </sheetViews>
  <sheetFormatPr defaultColWidth="9.140625" defaultRowHeight="15.75" x14ac:dyDescent="0.25"/>
  <cols>
    <col min="1" max="1" width="2.85546875" style="18" customWidth="1"/>
    <col min="2" max="2" width="37.42578125" style="18" customWidth="1"/>
    <col min="3" max="3" width="25.85546875" style="18" customWidth="1"/>
    <col min="4" max="4" width="14.140625" style="18" customWidth="1"/>
    <col min="5" max="5" width="14" style="18" customWidth="1"/>
    <col min="6" max="6" width="11.7109375" style="18" customWidth="1"/>
    <col min="7" max="8" width="16.7109375" style="18" customWidth="1"/>
    <col min="9" max="9" width="13.5703125" style="18" customWidth="1"/>
    <col min="10" max="10" width="16.7109375" style="18" customWidth="1"/>
    <col min="11" max="11" width="28.140625" style="18" customWidth="1"/>
    <col min="12" max="12" width="10.140625" style="18" customWidth="1"/>
    <col min="13" max="13" width="13.42578125" style="18" customWidth="1"/>
    <col min="14" max="14" width="14.140625" style="18" customWidth="1"/>
    <col min="15" max="15" width="15.85546875" style="18" customWidth="1"/>
    <col min="16" max="16" width="10.85546875" style="18" customWidth="1"/>
    <col min="17" max="17" width="12.140625" style="18" customWidth="1"/>
    <col min="18" max="18" width="12.7109375" style="18" hidden="1" customWidth="1"/>
    <col min="19" max="19" width="14.28515625" style="18" hidden="1" customWidth="1"/>
    <col min="20" max="20" width="13.85546875" style="18" customWidth="1"/>
    <col min="21" max="21" width="12.85546875" style="18" hidden="1" customWidth="1"/>
    <col min="22" max="22" width="13.140625" style="18" hidden="1" customWidth="1"/>
    <col min="23" max="23" width="13.5703125" style="18" hidden="1" customWidth="1"/>
    <col min="24" max="24" width="12.85546875" style="18" hidden="1" customWidth="1"/>
    <col min="25" max="25" width="16.5703125" style="18" hidden="1" customWidth="1"/>
    <col min="26" max="27" width="15.140625" style="18" hidden="1" customWidth="1"/>
    <col min="28" max="28" width="15.5703125" style="18" hidden="1" customWidth="1"/>
    <col min="29" max="30" width="14.7109375" style="18" hidden="1" customWidth="1"/>
    <col min="31" max="31" width="16" style="18" hidden="1" customWidth="1"/>
    <col min="32" max="32" width="12.28515625" style="18" hidden="1" customWidth="1"/>
    <col min="33" max="33" width="16.140625" style="18" customWidth="1"/>
    <col min="34" max="34" width="17.140625" style="18" customWidth="1"/>
    <col min="35" max="35" width="17.28515625" style="18" customWidth="1"/>
    <col min="36" max="36" width="14" style="18" customWidth="1"/>
    <col min="37" max="37" width="15.140625" style="18" customWidth="1"/>
    <col min="38" max="38" width="12.85546875" style="18" customWidth="1"/>
    <col min="39" max="39" width="3.28515625" style="18" customWidth="1"/>
    <col min="40" max="16384" width="9.140625" style="18"/>
  </cols>
  <sheetData>
    <row r="1" spans="1:38" ht="18.75" customHeight="1" x14ac:dyDescent="0.25">
      <c r="A1" s="626"/>
      <c r="B1" s="626"/>
      <c r="C1" s="626"/>
      <c r="D1" s="626"/>
    </row>
    <row r="2" spans="1:38" ht="15" customHeight="1" x14ac:dyDescent="0.25">
      <c r="A2" s="91"/>
      <c r="B2" s="91"/>
      <c r="C2" s="91"/>
      <c r="D2" s="91"/>
    </row>
    <row r="3" spans="1:38" ht="18.75" customHeight="1" x14ac:dyDescent="0.25">
      <c r="A3" s="626"/>
      <c r="B3" s="626"/>
      <c r="C3" s="626"/>
      <c r="D3" s="626"/>
    </row>
    <row r="4" spans="1:38" ht="18.75" customHeight="1" x14ac:dyDescent="0.25">
      <c r="A4" s="815"/>
      <c r="B4" s="628"/>
      <c r="C4" s="628"/>
      <c r="D4" s="628"/>
      <c r="E4" s="30"/>
    </row>
    <row r="5" spans="1:38" ht="15" customHeight="1" x14ac:dyDescent="0.25">
      <c r="A5" s="91"/>
      <c r="B5" s="91"/>
      <c r="C5" s="91"/>
      <c r="D5" s="91"/>
    </row>
    <row r="6" spans="1:38" ht="18.75" customHeight="1" x14ac:dyDescent="0.25">
      <c r="A6" s="626"/>
      <c r="B6" s="626"/>
      <c r="C6" s="626"/>
      <c r="D6" s="626"/>
    </row>
    <row r="7" spans="1:38" ht="15" customHeight="1" x14ac:dyDescent="0.25"/>
    <row r="8" spans="1:38" ht="15" customHeight="1" x14ac:dyDescent="0.25">
      <c r="A8" s="16"/>
      <c r="B8" s="14" t="s">
        <v>4825</v>
      </c>
      <c r="C8" s="14"/>
    </row>
    <row r="9" spans="1:38" ht="15" customHeight="1" x14ac:dyDescent="0.25">
      <c r="A9" s="16"/>
      <c r="B9" s="14"/>
      <c r="C9" s="14"/>
    </row>
    <row r="10" spans="1:38" ht="15" customHeight="1" x14ac:dyDescent="0.25">
      <c r="A10" s="16"/>
      <c r="B10" s="14"/>
      <c r="C10" s="14"/>
    </row>
    <row r="11" spans="1:38" ht="15" customHeight="1" x14ac:dyDescent="0.25">
      <c r="A11" s="17"/>
    </row>
    <row r="12" spans="1:38" ht="15" customHeight="1" x14ac:dyDescent="0.25">
      <c r="B12" s="14" t="s">
        <v>138</v>
      </c>
      <c r="T12" s="14" t="s">
        <v>4526</v>
      </c>
    </row>
    <row r="13" spans="1:38" ht="83.25" x14ac:dyDescent="0.35">
      <c r="B13" s="438" t="s">
        <v>135</v>
      </c>
      <c r="C13" s="439" t="s">
        <v>142</v>
      </c>
      <c r="D13" s="439" t="s">
        <v>4842</v>
      </c>
      <c r="E13" s="439" t="s">
        <v>5041</v>
      </c>
      <c r="F13" s="439" t="s">
        <v>119</v>
      </c>
      <c r="G13" s="439" t="s">
        <v>4532</v>
      </c>
      <c r="H13" s="439" t="s">
        <v>4533</v>
      </c>
      <c r="I13" s="439" t="s">
        <v>123</v>
      </c>
      <c r="J13" s="439" t="s">
        <v>122</v>
      </c>
      <c r="K13" s="439" t="s">
        <v>4535</v>
      </c>
      <c r="L13" s="439" t="s">
        <v>4537</v>
      </c>
      <c r="M13" s="439" t="s">
        <v>4534</v>
      </c>
      <c r="N13" s="439" t="s">
        <v>4848</v>
      </c>
      <c r="O13" s="439" t="s">
        <v>4714</v>
      </c>
      <c r="P13" s="439" t="s">
        <v>4530</v>
      </c>
      <c r="Q13" s="439" t="s">
        <v>137</v>
      </c>
      <c r="R13" s="439" t="s">
        <v>140</v>
      </c>
      <c r="S13" s="439" t="s">
        <v>141</v>
      </c>
      <c r="T13" s="439" t="s">
        <v>150</v>
      </c>
      <c r="U13" s="439" t="s">
        <v>4578</v>
      </c>
      <c r="V13" s="439" t="s">
        <v>4531</v>
      </c>
      <c r="W13" s="439" t="s">
        <v>4579</v>
      </c>
      <c r="X13" s="439" t="s">
        <v>4580</v>
      </c>
      <c r="Y13" s="439" t="s">
        <v>4722</v>
      </c>
      <c r="Z13" s="439" t="s">
        <v>4724</v>
      </c>
      <c r="AA13" s="439" t="s">
        <v>4581</v>
      </c>
      <c r="AB13" s="439" t="s">
        <v>4536</v>
      </c>
      <c r="AC13" s="439" t="s">
        <v>4582</v>
      </c>
      <c r="AD13" s="439" t="s">
        <v>4583</v>
      </c>
      <c r="AE13" s="597" t="s">
        <v>4683</v>
      </c>
      <c r="AF13" s="597" t="s">
        <v>4762</v>
      </c>
      <c r="AG13" s="597" t="s">
        <v>4780</v>
      </c>
      <c r="AH13" s="439" t="s">
        <v>152</v>
      </c>
      <c r="AI13" s="439" t="s">
        <v>4573</v>
      </c>
      <c r="AJ13" s="439" t="s">
        <v>4781</v>
      </c>
      <c r="AK13" s="597" t="s">
        <v>4782</v>
      </c>
      <c r="AL13" s="597" t="s">
        <v>4723</v>
      </c>
    </row>
    <row r="14" spans="1:38" ht="18.75" customHeight="1" x14ac:dyDescent="0.25">
      <c r="A14" s="38"/>
      <c r="B14" s="23"/>
      <c r="C14" s="640"/>
      <c r="D14" s="24"/>
      <c r="E14" s="24"/>
      <c r="F14" s="24"/>
      <c r="G14" s="641"/>
      <c r="H14" s="642"/>
      <c r="I14" s="24"/>
      <c r="J14" s="818"/>
      <c r="K14" s="24"/>
      <c r="L14" s="24"/>
      <c r="M14" s="24"/>
      <c r="N14" s="641"/>
      <c r="O14" s="641"/>
      <c r="P14" s="834"/>
      <c r="Q14" s="834"/>
      <c r="R14" s="440" t="str">
        <f>IF(TransitInputs[Annual Days of Operation]*TransitInputs[Year 1 Daily Ridership Increase (trips/day)]*TransitInputs[Adjustment Factor]*TransitInputs[Length of Average Auto Trip Reduced (miles)]&lt;&gt;0,TransitInputs[Annual Days of Operation]*TransitInputs[Year 1 Daily Ridership Increase (trips/day)]*TransitInputs[Adjustment Factor]*TransitInputs[Length of Average Auto Trip Reduced (miles)],"")</f>
        <v/>
      </c>
      <c r="S14" s="440" t="str">
        <f>IF(TransitInputs[Annual Days of Operation]*TransitInputs[Year F Daily Ridership Increase (trips/day)]*TransitInputs[Adjustment Factor]*TransitInputs[Length of Average Auto Trip Reduced (miles)]&lt;&gt;0,TransitInputs[Annual Days of Operation]*TransitInputs[Year F Daily Ridership Increase (trips/day)]*TransitInputs[Adjustment Factor]*TransitInputs[Length of Average Auto Trip Reduced (miles)],"")</f>
        <v/>
      </c>
      <c r="T14" s="441" t="str">
        <f>IFERROR(((TransitInputs[Year 1 Auto VMT Reductions]+TransitInputs[Year F Auto VMT Reductions])/2)*(TransitInputs[Final Year Operational]-TransitInputs[First Year Operational]),"")</f>
        <v/>
      </c>
      <c r="U14" s="441" t="str">
        <f>IFERROR(AVERAGE(VLOOKUP(CONCATENATE(County,"_",TransitInputs[First Year Operational]),'Passenger Auto GHG'!$D$31:$E$2731,2,FALSE)*TransitInputs[Year 1 Auto VMT Reductions],VLOOKUP(CONCATENATE(County,"_",IF(TransitInputs[Final Year Operational]&gt;2050,2050,TransitInputs[Final Year Operational])),'Passenger Auto GHG'!$D$31:$E$2731,2,FALSE)*TransitInputs[Year F Auto VMT Reductions])*(TransitInputs[Final Year Operational]-TransitInputs[First Year Operational])/1000000,"")</f>
        <v/>
      </c>
      <c r="V14" s="441" t="str">
        <f>IFERROR(AVERAGE(VLOOKUP(CONCATENATE(County,"_",TransitInputs[First Year Operational]),'Passenger Auto Criteria &amp; Toxic'!$D$32:$K$2732,3,FALSE)*TransitInputs[Year 1 Auto VMT Reductions],VLOOKUP(CONCATENATE(County,"_",IF(TransitInputs[Final Year Operational]&gt;2050,2050,TransitInputs[Final Year Operational])),'Passenger Auto Criteria &amp; Toxic'!$D$32:$K$2732,3,FALSE)*TransitInputs[Year F Auto VMT Reductions])*(TransitInputs[Final Year Operational]-TransitInputs[First Year Operational])/453.59,"")</f>
        <v/>
      </c>
      <c r="W14" s="441" t="str">
        <f>IFERROR(AVERAGE(VLOOKUP(CONCATENATE(County,"_",TransitInputs[First Year Operational]),'Passenger Auto Criteria &amp; Toxic'!$D$32:$K$2732,4,FALSE)*TransitInputs[Year 1 Auto VMT Reductions],VLOOKUP(CONCATENATE(County,"_",IF(TransitInputs[Final Year Operational]&gt;2050,2050,TransitInputs[Final Year Operational])),'Passenger Auto Criteria &amp; Toxic'!$D$32:$K$2732,4,FALSE)*TransitInputs[Year F Auto VMT Reductions])*(TransitInputs[Final Year Operational]-TransitInputs[First Year Operational])/453.59,"")</f>
        <v/>
      </c>
      <c r="X14" s="441" t="str">
        <f>IFERROR(AVERAGE((VLOOKUP(CONCATENATE(County,"_",TransitInputs[First Year Operational]),'Passenger Auto Criteria &amp; Toxic'!$D$32:$K$2732,5,FALSE)+'Passenger Auto Criteria &amp; Toxic'!$M$33+'Passenger Auto Criteria &amp; Toxic'!$N$33)*TransitInputs[Year 1 Auto VMT Reductions],(VLOOKUP(CONCATENATE(County,"_",IF(TransitInputs[Final Year Operational]&gt;2050,2050,TransitInputs[Final Year Operational])),'Passenger Auto Criteria &amp; Toxic'!$D$32:$K$2732,5,FALSE)+'Passenger Auto Criteria &amp; Toxic'!$M$33+'Passenger Auto Criteria &amp; Toxic'!$N$33)*TransitInputs[Year F Auto VMT Reductions])*(TransitInputs[Final Year Operational]-TransitInputs[First Year Operational])/453.59,"")</f>
        <v/>
      </c>
      <c r="Y14" s="441" t="str">
        <f>IFERROR(AVERAGE(VLOOKUP(CONCATENATE(County,"_",TransitInputs[First Year Operational]),'Passenger Auto Criteria &amp; Toxic'!$D$32:$K$2732,8,FALSE)*TransitInputs[Year 1 Auto VMT Reductions],VLOOKUP(CONCATENATE(County,"_",IF(TransitInputs[Final Year Operational]&gt;2050,2050,TransitInputs[Final Year Operational])),'Passenger Auto Criteria &amp; Toxic'!$D$32:$K$2732,8,FALSE)*TransitInputs[Year F Auto VMT Reductions])*(TransitInputs[Final Year Operational]-TransitInputs[First Year Operational])/453.59,"")</f>
        <v/>
      </c>
      <c r="Z14" s="441" t="str">
        <f>IFERROR(AVERAGE(VLOOKUP(CONCATENATE(County,"_",TransitInputs[First Year Operational]),'Passenger Auto Criteria &amp; Toxic'!$D$32:$K$2732,2,FALSE)*TransitInputs[Year 1 Auto VMT Reductions],VLOOKUP(CONCATENATE(County,"_",IF(TransitInputs[Final Year Operational]&gt;2050,2050,TransitInputs[Final Year Operational])),'Passenger Auto Criteria &amp; Toxic'!$D$32:$K$2732,2,FALSE)*TransitInputs[Year F Auto VMT Reductions])*(TransitInputs[Final Year Operational]-TransitInputs[First Year Operational]),"")</f>
        <v/>
      </c>
      <c r="AA14" s="596">
        <f>IF(TransitInputs[[#This Row],[New Transit Service or Infrastructure Type]]="Ferry",'Transit Emissions'!J66,IF(TransitInputs[[#This Row],[New Transit Service or Infrastructure Type]]="Light Rail",'Transit Emissions'!H34,IF(TransitInputs[[#This Row],[New Transit Service or Infrastructure Type]]="Local Bus",'Transit Emissions'!J10,IF(TransitInputs[[#This Row],[New Transit Service or Infrastructure Type]]="Long-distance Commuter Bus",'Transit Emissions'!J18,(IF(TransitInputs[[#This Row],[New Transit Service or Infrastructure Type]]="Shuttle",'Transit Emissions'!J58,IF(TransitInputs[[#This Row],[New Transit Service or Infrastructure Type]]="Streetcar, Cable Car, or Trolley Bus",'Transit Emissions'!H26,IF(TransitInputs[[#This Row],[New Transit Service or Infrastructure Type]]="Heavy Rail",'Transit Emissions'!I42,IF(TransitInputs[[#This Row],[New Transit Service or Infrastructure Type]]="Vanpool",'Transit Emissions'!J50,0)))))))))</f>
        <v>0</v>
      </c>
      <c r="AB14" s="441">
        <f>IF(TransitInputs[[#This Row],[New Transit Service or Infrastructure Type]]="Ferry",'Transit Emissions'!L66,IF(TransitInputs[[#This Row],[New Transit Service or Infrastructure Type]]="Light Rail",'Transit Emissions'!J34,IF(TransitInputs[[#This Row],[New Transit Service or Infrastructure Type]]="Local Bus",'Transit Emissions'!L10,IF(TransitInputs[[#This Row],[New Transit Service or Infrastructure Type]]="Long-distance Commuter Bus",'Transit Emissions'!L18,(IF(TransitInputs[[#This Row],[New Transit Service or Infrastructure Type]]="Shuttle",'Transit Emissions'!L58,IF(TransitInputs[[#This Row],[New Transit Service or Infrastructure Type]]="Streetcar, Cable Car, or Trolley Bus",'Transit Emissions'!J26,IF(TransitInputs[[#This Row],[New Transit Service or Infrastructure Type]]="Heavy Rail",'Transit Emissions'!K42,IF(TransitInputs[[#This Row],[New Transit Service or Infrastructure Type]]="Vanpool",'Transit Emissions'!L50,0)))))))))</f>
        <v>0</v>
      </c>
      <c r="AC14" s="441">
        <f>IF(TransitInputs[[#This Row],[New Transit Service or Infrastructure Type]]="Ferry",'Transit Emissions'!N66,IF(TransitInputs[[#This Row],[New Transit Service or Infrastructure Type]]="Light Rail",'Transit Emissions'!L34,IF(TransitInputs[[#This Row],[New Transit Service or Infrastructure Type]]="Local Bus",'Transit Emissions'!N10,IF(TransitInputs[[#This Row],[New Transit Service or Infrastructure Type]]="Long-distance Commuter Bus",'Transit Emissions'!N18,(IF(TransitInputs[[#This Row],[New Transit Service or Infrastructure Type]]="Shuttle",'Transit Emissions'!N58,IF(TransitInputs[[#This Row],[New Transit Service or Infrastructure Type]]="Streetcar, Cable Car, or Trolley Bus",'Transit Emissions'!L26,IF(TransitInputs[[#This Row],[New Transit Service or Infrastructure Type]]="Heavy Rail",'Transit Emissions'!M42,IF(TransitInputs[[#This Row],[New Transit Service or Infrastructure Type]]="Vanpool",'Transit Emissions'!N50,0)))))))))</f>
        <v>0</v>
      </c>
      <c r="AD14" s="441">
        <f>IF(TransitInputs[[#This Row],[New Transit Service or Infrastructure Type]]="Ferry",'Transit Emissions'!P66,IF(TransitInputs[[#This Row],[New Transit Service or Infrastructure Type]]="Light Rail",'Transit Emissions'!N34,IF(TransitInputs[[#This Row],[New Transit Service or Infrastructure Type]]="Local Bus",'Transit Emissions'!P10,IF(TransitInputs[[#This Row],[New Transit Service or Infrastructure Type]]="Long-distance Commuter Bus",'Transit Emissions'!P18,(IF(TransitInputs[[#This Row],[New Transit Service or Infrastructure Type]]="Shuttle",'Transit Emissions'!P58,IF(TransitInputs[[#This Row],[New Transit Service or Infrastructure Type]]="Streetcar, Cable Car, or Trolley Bus",'Transit Emissions'!N26,IF(TransitInputs[[#This Row],[New Transit Service or Infrastructure Type]]="Heavy Rail",'Transit Emissions'!O42,IF(TransitInputs[[#This Row],[New Transit Service or Infrastructure Type]]="Vanpool",'Transit Emissions'!P50,0)))))))))</f>
        <v>0</v>
      </c>
      <c r="AE14" s="442">
        <f>IF(TransitInputs[[#This Row],[New Transit Service or Infrastructure Type]]="Ferry",'Transit Emissions'!R66,IF(TransitInputs[[#This Row],[New Transit Service or Infrastructure Type]]="Light Rail",'Transit Emissions'!P34,IF(TransitInputs[[#This Row],[New Transit Service or Infrastructure Type]]="Local Bus",'Transit Emissions'!R10,IF(TransitInputs[[#This Row],[New Transit Service or Infrastructure Type]]="Long-distance Commuter Bus",'Transit Emissions'!R18,(IF(TransitInputs[[#This Row],[New Transit Service or Infrastructure Type]]="Shuttle",'Transit Emissions'!R58,IF(TransitInputs[[#This Row],[New Transit Service or Infrastructure Type]]="Streetcar, Cable Car, or Trolley Bus",'Transit Emissions'!P26,IF(TransitInputs[[#This Row],[New Transit Service or Infrastructure Type]]="Heavy Rail",'Transit Emissions'!Q42,IF(TransitInputs[[#This Row],[New Transit Service or Infrastructure Type]]="Vanpool",'Transit Emissions'!R50,0)))))))))</f>
        <v>0</v>
      </c>
      <c r="AF14" s="442">
        <f>IF(TransitInputs[[#This Row],[New Transit Service or Infrastructure Type]]="Ferry",'Transit Emissions'!S66,IF(TransitInputs[[#This Row],[New Transit Service or Infrastructure Type]]="Light Rail",'Transit Emissions'!Q34,IF(TransitInputs[[#This Row],[New Transit Service or Infrastructure Type]]="Local Bus",'Transit Emissions'!S10,IF(TransitInputs[[#This Row],[New Transit Service or Infrastructure Type]]="Long-distance Commuter Bus",'Transit Emissions'!S18,(IF(TransitInputs[[#This Row],[New Transit Service or Infrastructure Type]]="Shuttle",'Transit Emissions'!S58,IF(TransitInputs[[#This Row],[New Transit Service or Infrastructure Type]]="Streetcar, Cable Car, or Trolley Bus",'Transit Emissions'!Q26,IF(TransitInputs[[#This Row],[New Transit Service or Infrastructure Type]]="Heavy Rail",'Transit Emissions'!R42,IF(TransitInputs[[#This Row],[New Transit Service or Infrastructure Type]]="Vanpool",'Transit Emissions'!Q50,0)))))))))</f>
        <v>0</v>
      </c>
      <c r="AG14" s="598" t="str">
        <f>IFERROR(TransitInputs[[#This Row],[Auto GHG Emission Reductions (MTCO2e)]]-TransitInputs[[#This Row],[Transit Vehicle GHG Emissions (MTCO2e)]],"")</f>
        <v/>
      </c>
      <c r="AH14" s="598" t="str">
        <f>IFERROR(TransitInputs[[#This Row],[Auto ROG Emission Reductions (lbs)]]-TransitInputs[[#This Row],[Transit Vehicle ROG Emissions (lbs)]],"")</f>
        <v/>
      </c>
      <c r="AI14" s="598" t="str">
        <f>IFERROR(TransitInputs[[#This Row],[Auto NOx Emission Reductions (lbs)]]-TransitInputs[[#This Row],[Transit Vehicle NOx Emissions (lbs)]],"")</f>
        <v/>
      </c>
      <c r="AJ14" s="598" t="str">
        <f>IFERROR(TransitInputs[[#This Row],[Auto PM2.5 Emission Reductions (lbs)]]-TransitInputs[[#This Row],[Transit Vehicle PM2.5 Emissions (lbs)]],"")</f>
        <v/>
      </c>
      <c r="AK14" s="598" t="str">
        <f>IFERROR(TransitInputs[[#This Row],[Auto Diesel PM10 Emission Reductions (lbs)]]-TransitInputs[[#This Row],[Transit Vehicle Diesel PM10 Emissions (lbs)]],"")</f>
        <v/>
      </c>
      <c r="AL14" s="804" t="str">
        <f>IFERROR(TransitInputs[[#This Row],[Auto Fossil Fuel Use Reductions (gal)]]-TransitInputs[[#This Row],[Transit Vehicle Fossil Fuel Use (gal)]],"")</f>
        <v/>
      </c>
    </row>
    <row r="15" spans="1:38" ht="18.75" customHeight="1" x14ac:dyDescent="0.25">
      <c r="A15" s="38"/>
      <c r="B15" s="23"/>
      <c r="C15" s="640"/>
      <c r="D15" s="24"/>
      <c r="E15" s="24"/>
      <c r="F15" s="24"/>
      <c r="G15" s="641"/>
      <c r="H15" s="642"/>
      <c r="I15" s="24"/>
      <c r="J15" s="818"/>
      <c r="K15" s="24"/>
      <c r="L15" s="24"/>
      <c r="M15" s="24"/>
      <c r="N15" s="641"/>
      <c r="O15" s="641"/>
      <c r="P15" s="24"/>
      <c r="Q15" s="24"/>
      <c r="R15" s="440" t="str">
        <f>IF(TransitInputs[Annual Days of Operation]*TransitInputs[Year 1 Daily Ridership Increase (trips/day)]*TransitInputs[Adjustment Factor]*TransitInputs[Length of Average Auto Trip Reduced (miles)]&lt;&gt;0,TransitInputs[Annual Days of Operation]*TransitInputs[Year 1 Daily Ridership Increase (trips/day)]*TransitInputs[Adjustment Factor]*TransitInputs[Length of Average Auto Trip Reduced (miles)],"")</f>
        <v/>
      </c>
      <c r="S15" s="440" t="str">
        <f>IF(TransitInputs[Annual Days of Operation]*TransitInputs[Year F Daily Ridership Increase (trips/day)]*TransitInputs[Adjustment Factor]*TransitInputs[Length of Average Auto Trip Reduced (miles)]&lt;&gt;0,TransitInputs[Annual Days of Operation]*TransitInputs[Year F Daily Ridership Increase (trips/day)]*TransitInputs[Adjustment Factor]*TransitInputs[Length of Average Auto Trip Reduced (miles)],"")</f>
        <v/>
      </c>
      <c r="T15" s="441" t="str">
        <f>IFERROR(((TransitInputs[Year 1 Auto VMT Reductions]+TransitInputs[Year F Auto VMT Reductions])/2)*(TransitInputs[Final Year Operational]-TransitInputs[First Year Operational]),"")</f>
        <v/>
      </c>
      <c r="U15" s="441" t="str">
        <f>IFERROR(AVERAGE(VLOOKUP(CONCATENATE(County,"_",TransitInputs[First Year Operational]),'Passenger Auto GHG'!$D$31:$E$2731,2,FALSE)*TransitInputs[Year 1 Auto VMT Reductions],VLOOKUP(CONCATENATE(County,"_",IF(TransitInputs[Final Year Operational]&gt;2050,2050,TransitInputs[Final Year Operational])),'Passenger Auto GHG'!$D$31:$E$2731,2,FALSE)*TransitInputs[Year F Auto VMT Reductions])*(TransitInputs[Final Year Operational]-TransitInputs[First Year Operational])/1000000,"")</f>
        <v/>
      </c>
      <c r="V15" s="441" t="str">
        <f>IFERROR(AVERAGE(VLOOKUP(CONCATENATE(County,"_",TransitInputs[First Year Operational]),'Passenger Auto Criteria &amp; Toxic'!$D$32:$K$2732,3,FALSE)*TransitInputs[Year 1 Auto VMT Reductions],VLOOKUP(CONCATENATE(County,"_",IF(TransitInputs[Final Year Operational]&gt;2050,2050,TransitInputs[Final Year Operational])),'Passenger Auto Criteria &amp; Toxic'!$D$32:$K$2732,3,FALSE)*TransitInputs[Year F Auto VMT Reductions])*(TransitInputs[Final Year Operational]-TransitInputs[First Year Operational])/453.59,"")</f>
        <v/>
      </c>
      <c r="W15" s="441" t="str">
        <f>IFERROR(AVERAGE(VLOOKUP(CONCATENATE(County,"_",TransitInputs[First Year Operational]),'Passenger Auto Criteria &amp; Toxic'!$D$32:$K$2732,4,FALSE)*TransitInputs[Year 1 Auto VMT Reductions],VLOOKUP(CONCATENATE(County,"_",IF(TransitInputs[Final Year Operational]&gt;2050,2050,TransitInputs[Final Year Operational])),'Passenger Auto Criteria &amp; Toxic'!$D$32:$K$2732,4,FALSE)*TransitInputs[Year F Auto VMT Reductions])*(TransitInputs[Final Year Operational]-TransitInputs[First Year Operational])/453.59,"")</f>
        <v/>
      </c>
      <c r="X15" s="441" t="str">
        <f>IFERROR(AVERAGE((VLOOKUP(CONCATENATE(County,"_",TransitInputs[First Year Operational]),'Passenger Auto Criteria &amp; Toxic'!$D$32:$K$2732,5,FALSE)+'Passenger Auto Criteria &amp; Toxic'!$M$33+'Passenger Auto Criteria &amp; Toxic'!$N$33)*TransitInputs[Year 1 Auto VMT Reductions],(VLOOKUP(CONCATENATE(County,"_",IF(TransitInputs[Final Year Operational]&gt;2050,2050,TransitInputs[Final Year Operational])),'Passenger Auto Criteria &amp; Toxic'!$D$32:$K$2732,5,FALSE)+'Passenger Auto Criteria &amp; Toxic'!$M$33+'Passenger Auto Criteria &amp; Toxic'!$N$33)*TransitInputs[Year F Auto VMT Reductions])*(TransitInputs[Final Year Operational]-TransitInputs[First Year Operational])/453.59,"")</f>
        <v/>
      </c>
      <c r="Y15" s="441" t="str">
        <f>IFERROR(AVERAGE(VLOOKUP(CONCATENATE(County,"_",TransitInputs[First Year Operational]),'Passenger Auto Criteria &amp; Toxic'!$D$32:$K$2732,8,FALSE)*TransitInputs[Year 1 Auto VMT Reductions],VLOOKUP(CONCATENATE(County,"_",IF(TransitInputs[Final Year Operational]&gt;2050,2050,TransitInputs[Final Year Operational])),'Passenger Auto Criteria &amp; Toxic'!$D$32:$K$2732,8,FALSE)*TransitInputs[Year F Auto VMT Reductions])*(TransitInputs[Final Year Operational]-TransitInputs[First Year Operational])/453.59,"")</f>
        <v/>
      </c>
      <c r="Z15" s="441" t="str">
        <f>IFERROR(AVERAGE(VLOOKUP(CONCATENATE(County,"_",TransitInputs[First Year Operational]),'Passenger Auto Criteria &amp; Toxic'!$D$32:$K$2732,2,FALSE)*TransitInputs[Year 1 Auto VMT Reductions],VLOOKUP(CONCATENATE(County,"_",IF(TransitInputs[Final Year Operational]&gt;2050,2050,TransitInputs[Final Year Operational])),'Passenger Auto Criteria &amp; Toxic'!$D$32:$K$2732,2,FALSE)*TransitInputs[Year F Auto VMT Reductions])*(TransitInputs[Final Year Operational]-TransitInputs[First Year Operational]),"")</f>
        <v/>
      </c>
      <c r="AA15" s="441">
        <f>IF(TransitInputs[[#This Row],[New Transit Service or Infrastructure Type]]="Ferry",'Transit Emissions'!J67,IF(TransitInputs[[#This Row],[New Transit Service or Infrastructure Type]]="Light Rail",'Transit Emissions'!H35,IF(TransitInputs[[#This Row],[New Transit Service or Infrastructure Type]]="Local Bus",'Transit Emissions'!J11,IF(TransitInputs[[#This Row],[New Transit Service or Infrastructure Type]]="Long-distance Commuter Bus",'Transit Emissions'!J19,(IF(TransitInputs[[#This Row],[New Transit Service or Infrastructure Type]]="Shuttle",'Transit Emissions'!J59,IF(TransitInputs[[#This Row],[New Transit Service or Infrastructure Type]]="Streetcar, Cable Car, or Trolley Bus",'Transit Emissions'!H27,IF(TransitInputs[[#This Row],[New Transit Service or Infrastructure Type]]="Heavy Rail",'Transit Emissions'!I43,IF(TransitInputs[[#This Row],[New Transit Service or Infrastructure Type]]="Vanpool",'Transit Emissions'!J51,0)))))))))</f>
        <v>0</v>
      </c>
      <c r="AB15" s="441">
        <f>IF(TransitInputs[[#This Row],[New Transit Service or Infrastructure Type]]="Ferry",'Transit Emissions'!L67,IF(TransitInputs[[#This Row],[New Transit Service or Infrastructure Type]]="Light Rail",'Transit Emissions'!J35,IF(TransitInputs[[#This Row],[New Transit Service or Infrastructure Type]]="Local Bus",'Transit Emissions'!L11,IF(TransitInputs[[#This Row],[New Transit Service or Infrastructure Type]]="Long-distance Commuter Bus",'Transit Emissions'!L19,(IF(TransitInputs[[#This Row],[New Transit Service or Infrastructure Type]]="Shuttle",'Transit Emissions'!L59,IF(TransitInputs[[#This Row],[New Transit Service or Infrastructure Type]]="Streetcar, Cable Car, or Trolley Bus",'Transit Emissions'!J27,IF(TransitInputs[[#This Row],[New Transit Service or Infrastructure Type]]="Heavy Rail",'Transit Emissions'!K43,IF(TransitInputs[[#This Row],[New Transit Service or Infrastructure Type]]="Vanpool",'Transit Emissions'!L51,0)))))))))</f>
        <v>0</v>
      </c>
      <c r="AC15" s="441">
        <f>IF(TransitInputs[[#This Row],[New Transit Service or Infrastructure Type]]="Ferry",'Transit Emissions'!N67,IF(TransitInputs[[#This Row],[New Transit Service or Infrastructure Type]]="Light Rail",'Transit Emissions'!L35,IF(TransitInputs[[#This Row],[New Transit Service or Infrastructure Type]]="Local Bus",'Transit Emissions'!N11,IF(TransitInputs[[#This Row],[New Transit Service or Infrastructure Type]]="Long-distance Commuter Bus",'Transit Emissions'!N19,(IF(TransitInputs[[#This Row],[New Transit Service or Infrastructure Type]]="Shuttle",'Transit Emissions'!N59,IF(TransitInputs[[#This Row],[New Transit Service or Infrastructure Type]]="Streetcar, Cable Car, or Trolley Bus",'Transit Emissions'!L27,IF(TransitInputs[[#This Row],[New Transit Service or Infrastructure Type]]="Heavy Rail",'Transit Emissions'!M43,IF(TransitInputs[[#This Row],[New Transit Service or Infrastructure Type]]="Vanpool",'Transit Emissions'!N51,0)))))))))</f>
        <v>0</v>
      </c>
      <c r="AD15" s="441">
        <f>IF(TransitInputs[[#This Row],[New Transit Service or Infrastructure Type]]="Ferry",'Transit Emissions'!P67,IF(TransitInputs[[#This Row],[New Transit Service or Infrastructure Type]]="Light Rail",'Transit Emissions'!N35,IF(TransitInputs[[#This Row],[New Transit Service or Infrastructure Type]]="Local Bus",'Transit Emissions'!P11,IF(TransitInputs[[#This Row],[New Transit Service or Infrastructure Type]]="Long-distance Commuter Bus",'Transit Emissions'!P19,(IF(TransitInputs[[#This Row],[New Transit Service or Infrastructure Type]]="Shuttle",'Transit Emissions'!P59,IF(TransitInputs[[#This Row],[New Transit Service or Infrastructure Type]]="Streetcar, Cable Car, or Trolley Bus",'Transit Emissions'!N27,IF(TransitInputs[[#This Row],[New Transit Service or Infrastructure Type]]="Heavy Rail",'Transit Emissions'!O43,IF(TransitInputs[[#This Row],[New Transit Service or Infrastructure Type]]="Vanpool",'Transit Emissions'!P51,0)))))))))</f>
        <v>0</v>
      </c>
      <c r="AE15" s="442">
        <f>IF(TransitInputs[[#This Row],[New Transit Service or Infrastructure Type]]="Ferry",'Transit Emissions'!R67,IF(TransitInputs[[#This Row],[New Transit Service or Infrastructure Type]]="Light Rail",'Transit Emissions'!P35,IF(TransitInputs[[#This Row],[New Transit Service or Infrastructure Type]]="Local Bus",'Transit Emissions'!R11,IF(TransitInputs[[#This Row],[New Transit Service or Infrastructure Type]]="Long-distance Commuter Bus",'Transit Emissions'!R19,(IF(TransitInputs[[#This Row],[New Transit Service or Infrastructure Type]]="Shuttle",'Transit Emissions'!R59,IF(TransitInputs[[#This Row],[New Transit Service or Infrastructure Type]]="Streetcar, Cable Car, or Trolley Bus",'Transit Emissions'!P27,IF(TransitInputs[[#This Row],[New Transit Service or Infrastructure Type]]="Heavy Rail",'Transit Emissions'!Q43,IF(TransitInputs[[#This Row],[New Transit Service or Infrastructure Type]]="Vanpool",'Transit Emissions'!R51,0)))))))))</f>
        <v>0</v>
      </c>
      <c r="AF15" s="442">
        <f>IF(TransitInputs[[#This Row],[New Transit Service or Infrastructure Type]]="Ferry",'Transit Emissions'!S67,IF(TransitInputs[[#This Row],[New Transit Service or Infrastructure Type]]="Light Rail",'Transit Emissions'!Q35,IF(TransitInputs[[#This Row],[New Transit Service or Infrastructure Type]]="Local Bus",'Transit Emissions'!S11,IF(TransitInputs[[#This Row],[New Transit Service or Infrastructure Type]]="Long-distance Commuter Bus",'Transit Emissions'!S19,(IF(TransitInputs[[#This Row],[New Transit Service or Infrastructure Type]]="Shuttle",'Transit Emissions'!S59,IF(TransitInputs[[#This Row],[New Transit Service or Infrastructure Type]]="Streetcar, Cable Car, or Trolley Bus",'Transit Emissions'!Q27,IF(TransitInputs[[#This Row],[New Transit Service or Infrastructure Type]]="Heavy Rail",'Transit Emissions'!R43,IF(TransitInputs[[#This Row],[New Transit Service or Infrastructure Type]]="Vanpool",'Transit Emissions'!Q51,0)))))))))</f>
        <v>0</v>
      </c>
      <c r="AG15" s="442" t="str">
        <f>IFERROR(TransitInputs[[#This Row],[Auto GHG Emission Reductions (MTCO2e)]]-TransitInputs[[#This Row],[Transit Vehicle GHG Emissions (MTCO2e)]],"")</f>
        <v/>
      </c>
      <c r="AH15" s="442" t="str">
        <f>IFERROR(TransitInputs[[#This Row],[Auto ROG Emission Reductions (lbs)]]-TransitInputs[[#This Row],[Transit Vehicle ROG Emissions (lbs)]],"")</f>
        <v/>
      </c>
      <c r="AI15" s="442" t="str">
        <f>IFERROR(TransitInputs[[#This Row],[Auto NOx Emission Reductions (lbs)]]-TransitInputs[[#This Row],[Transit Vehicle NOx Emissions (lbs)]],"")</f>
        <v/>
      </c>
      <c r="AJ15" s="442" t="str">
        <f>IFERROR(TransitInputs[[#This Row],[Auto PM2.5 Emission Reductions (lbs)]]-TransitInputs[[#This Row],[Transit Vehicle PM2.5 Emissions (lbs)]],"")</f>
        <v/>
      </c>
      <c r="AK15" s="442" t="str">
        <f>IFERROR(TransitInputs[[#This Row],[Auto Diesel PM10 Emission Reductions (lbs)]]-TransitInputs[[#This Row],[Transit Vehicle Diesel PM10 Emissions (lbs)]],"")</f>
        <v/>
      </c>
      <c r="AL15" s="441" t="str">
        <f>IFERROR(TransitInputs[[#This Row],[Auto Fossil Fuel Use Reductions (gal)]]-TransitInputs[[#This Row],[Transit Vehicle Fossil Fuel Use (gal)]],"")</f>
        <v/>
      </c>
    </row>
    <row r="16" spans="1:38" ht="18.75" customHeight="1" x14ac:dyDescent="0.25">
      <c r="B16" s="23"/>
      <c r="C16" s="640"/>
      <c r="D16" s="24"/>
      <c r="E16" s="24"/>
      <c r="F16" s="24"/>
      <c r="G16" s="641"/>
      <c r="H16" s="642"/>
      <c r="I16" s="24"/>
      <c r="J16" s="818"/>
      <c r="K16" s="24"/>
      <c r="L16" s="24"/>
      <c r="M16" s="24"/>
      <c r="N16" s="641"/>
      <c r="O16" s="641"/>
      <c r="P16" s="24"/>
      <c r="Q16" s="24"/>
      <c r="R16" s="440" t="str">
        <f>IF(TransitInputs[Annual Days of Operation]*TransitInputs[Year 1 Daily Ridership Increase (trips/day)]*TransitInputs[Adjustment Factor]*TransitInputs[Length of Average Auto Trip Reduced (miles)]&lt;&gt;0,TransitInputs[Annual Days of Operation]*TransitInputs[Year 1 Daily Ridership Increase (trips/day)]*TransitInputs[Adjustment Factor]*TransitInputs[Length of Average Auto Trip Reduced (miles)],"")</f>
        <v/>
      </c>
      <c r="S16" s="440" t="str">
        <f>IF(TransitInputs[Annual Days of Operation]*TransitInputs[Year F Daily Ridership Increase (trips/day)]*TransitInputs[Adjustment Factor]*TransitInputs[Length of Average Auto Trip Reduced (miles)]&lt;&gt;0,TransitInputs[Annual Days of Operation]*TransitInputs[Year F Daily Ridership Increase (trips/day)]*TransitInputs[Adjustment Factor]*TransitInputs[Length of Average Auto Trip Reduced (miles)],"")</f>
        <v/>
      </c>
      <c r="T16" s="441" t="str">
        <f>IFERROR(((TransitInputs[Year 1 Auto VMT Reductions]+TransitInputs[Year F Auto VMT Reductions])/2)*(TransitInputs[Final Year Operational]-TransitInputs[First Year Operational]),"")</f>
        <v/>
      </c>
      <c r="U16" s="441" t="str">
        <f>IFERROR(AVERAGE(VLOOKUP(CONCATENATE(County,"_",TransitInputs[First Year Operational]),'Passenger Auto GHG'!$D$31:$E$2731,2,FALSE)*TransitInputs[Year 1 Auto VMT Reductions],VLOOKUP(CONCATENATE(County,"_",IF(TransitInputs[Final Year Operational]&gt;2050,2050,TransitInputs[Final Year Operational])),'Passenger Auto GHG'!$D$31:$E$2731,2,FALSE)*TransitInputs[Year F Auto VMT Reductions])*(TransitInputs[Final Year Operational]-TransitInputs[First Year Operational])/1000000,"")</f>
        <v/>
      </c>
      <c r="V16" s="441" t="str">
        <f>IFERROR(AVERAGE(VLOOKUP(CONCATENATE(County,"_",TransitInputs[First Year Operational]),'Passenger Auto Criteria &amp; Toxic'!$D$32:$K$2732,3,FALSE)*TransitInputs[Year 1 Auto VMT Reductions],VLOOKUP(CONCATENATE(County,"_",IF(TransitInputs[Final Year Operational]&gt;2050,2050,TransitInputs[Final Year Operational])),'Passenger Auto Criteria &amp; Toxic'!$D$32:$K$2732,3,FALSE)*TransitInputs[Year F Auto VMT Reductions])*(TransitInputs[Final Year Operational]-TransitInputs[First Year Operational])/453.59,"")</f>
        <v/>
      </c>
      <c r="W16" s="441" t="str">
        <f>IFERROR(AVERAGE(VLOOKUP(CONCATENATE(County,"_",TransitInputs[First Year Operational]),'Passenger Auto Criteria &amp; Toxic'!$D$32:$K$2732,4,FALSE)*TransitInputs[Year 1 Auto VMT Reductions],VLOOKUP(CONCATENATE(County,"_",IF(TransitInputs[Final Year Operational]&gt;2050,2050,TransitInputs[Final Year Operational])),'Passenger Auto Criteria &amp; Toxic'!$D$32:$K$2732,4,FALSE)*TransitInputs[Year F Auto VMT Reductions])*(TransitInputs[Final Year Operational]-TransitInputs[First Year Operational])/453.59,"")</f>
        <v/>
      </c>
      <c r="X16" s="441" t="str">
        <f>IFERROR(AVERAGE((VLOOKUP(CONCATENATE(County,"_",TransitInputs[First Year Operational]),'Passenger Auto Criteria &amp; Toxic'!$D$32:$K$2732,5,FALSE)+'Passenger Auto Criteria &amp; Toxic'!$M$33+'Passenger Auto Criteria &amp; Toxic'!$N$33)*TransitInputs[Year 1 Auto VMT Reductions],(VLOOKUP(CONCATENATE(County,"_",IF(TransitInputs[Final Year Operational]&gt;2050,2050,TransitInputs[Final Year Operational])),'Passenger Auto Criteria &amp; Toxic'!$D$32:$K$2732,5,FALSE)+'Passenger Auto Criteria &amp; Toxic'!$M$33+'Passenger Auto Criteria &amp; Toxic'!$N$33)*TransitInputs[Year F Auto VMT Reductions])*(TransitInputs[Final Year Operational]-TransitInputs[First Year Operational])/453.59,"")</f>
        <v/>
      </c>
      <c r="Y16" s="441" t="str">
        <f>IFERROR(AVERAGE(VLOOKUP(CONCATENATE(County,"_",TransitInputs[First Year Operational]),'Passenger Auto Criteria &amp; Toxic'!$D$32:$K$2732,8,FALSE)*TransitInputs[Year 1 Auto VMT Reductions],VLOOKUP(CONCATENATE(County,"_",IF(TransitInputs[Final Year Operational]&gt;2050,2050,TransitInputs[Final Year Operational])),'Passenger Auto Criteria &amp; Toxic'!$D$32:$K$2732,8,FALSE)*TransitInputs[Year F Auto VMT Reductions])*(TransitInputs[Final Year Operational]-TransitInputs[First Year Operational])/453.59,"")</f>
        <v/>
      </c>
      <c r="Z16" s="441" t="str">
        <f>IFERROR(AVERAGE(VLOOKUP(CONCATENATE(County,"_",TransitInputs[First Year Operational]),'Passenger Auto Criteria &amp; Toxic'!$D$32:$K$2732,2,FALSE)*TransitInputs[Year 1 Auto VMT Reductions],VLOOKUP(CONCATENATE(County,"_",IF(TransitInputs[Final Year Operational]&gt;2050,2050,TransitInputs[Final Year Operational])),'Passenger Auto Criteria &amp; Toxic'!$D$32:$K$2732,2,FALSE)*TransitInputs[Year F Auto VMT Reductions])*(TransitInputs[Final Year Operational]-TransitInputs[First Year Operational]),"")</f>
        <v/>
      </c>
      <c r="AA16" s="441">
        <f>IF(TransitInputs[[#This Row],[New Transit Service or Infrastructure Type]]="Ferry",'Transit Emissions'!J68,IF(TransitInputs[[#This Row],[New Transit Service or Infrastructure Type]]="Light Rail",'Transit Emissions'!H36,IF(TransitInputs[[#This Row],[New Transit Service or Infrastructure Type]]="Local Bus",'Transit Emissions'!J12,IF(TransitInputs[[#This Row],[New Transit Service or Infrastructure Type]]="Long-distance Commuter Bus",'Transit Emissions'!J20,(IF(TransitInputs[[#This Row],[New Transit Service or Infrastructure Type]]="Shuttle",'Transit Emissions'!J60,IF(TransitInputs[[#This Row],[New Transit Service or Infrastructure Type]]="Streetcar, Cable Car, or Trolley Bus",'Transit Emissions'!H28,IF(TransitInputs[[#This Row],[New Transit Service or Infrastructure Type]]="Heavy Rail",'Transit Emissions'!I44,IF(TransitInputs[[#This Row],[New Transit Service or Infrastructure Type]]="Vanpool",'Transit Emissions'!J52,0)))))))))</f>
        <v>0</v>
      </c>
      <c r="AB16" s="441">
        <f>IF(TransitInputs[[#This Row],[New Transit Service or Infrastructure Type]]="Ferry",'Transit Emissions'!L68,IF(TransitInputs[[#This Row],[New Transit Service or Infrastructure Type]]="Light Rail",'Transit Emissions'!J36,IF(TransitInputs[[#This Row],[New Transit Service or Infrastructure Type]]="Local Bus",'Transit Emissions'!L12,IF(TransitInputs[[#This Row],[New Transit Service or Infrastructure Type]]="Long-distance Commuter Bus",'Transit Emissions'!L20,(IF(TransitInputs[[#This Row],[New Transit Service or Infrastructure Type]]="Shuttle",'Transit Emissions'!L60,IF(TransitInputs[[#This Row],[New Transit Service or Infrastructure Type]]="Streetcar, Cable Car, or Trolley Bus",'Transit Emissions'!J28,IF(TransitInputs[[#This Row],[New Transit Service or Infrastructure Type]]="Heavy Rail",'Transit Emissions'!K44,IF(TransitInputs[[#This Row],[New Transit Service or Infrastructure Type]]="Vanpool",'Transit Emissions'!L52,0)))))))))</f>
        <v>0</v>
      </c>
      <c r="AC16" s="441">
        <f>IF(TransitInputs[[#This Row],[New Transit Service or Infrastructure Type]]="Ferry",'Transit Emissions'!N68,IF(TransitInputs[[#This Row],[New Transit Service or Infrastructure Type]]="Light Rail",'Transit Emissions'!L36,IF(TransitInputs[[#This Row],[New Transit Service or Infrastructure Type]]="Local Bus",'Transit Emissions'!N12,IF(TransitInputs[[#This Row],[New Transit Service or Infrastructure Type]]="Long-distance Commuter Bus",'Transit Emissions'!N20,(IF(TransitInputs[[#This Row],[New Transit Service or Infrastructure Type]]="Shuttle",'Transit Emissions'!N60,IF(TransitInputs[[#This Row],[New Transit Service or Infrastructure Type]]="Streetcar, Cable Car, or Trolley Bus",'Transit Emissions'!L28,IF(TransitInputs[[#This Row],[New Transit Service or Infrastructure Type]]="Heavy Rail",'Transit Emissions'!M44,IF(TransitInputs[[#This Row],[New Transit Service or Infrastructure Type]]="Vanpool",'Transit Emissions'!N52,0)))))))))</f>
        <v>0</v>
      </c>
      <c r="AD16" s="441">
        <f>IF(TransitInputs[[#This Row],[New Transit Service or Infrastructure Type]]="Ferry",'Transit Emissions'!P68,IF(TransitInputs[[#This Row],[New Transit Service or Infrastructure Type]]="Light Rail",'Transit Emissions'!N36,IF(TransitInputs[[#This Row],[New Transit Service or Infrastructure Type]]="Local Bus",'Transit Emissions'!P12,IF(TransitInputs[[#This Row],[New Transit Service or Infrastructure Type]]="Long-distance Commuter Bus",'Transit Emissions'!P20,(IF(TransitInputs[[#This Row],[New Transit Service or Infrastructure Type]]="Shuttle",'Transit Emissions'!P60,IF(TransitInputs[[#This Row],[New Transit Service or Infrastructure Type]]="Streetcar, Cable Car, or Trolley Bus",'Transit Emissions'!N28,IF(TransitInputs[[#This Row],[New Transit Service or Infrastructure Type]]="Heavy Rail",'Transit Emissions'!O44,IF(TransitInputs[[#This Row],[New Transit Service or Infrastructure Type]]="Vanpool",'Transit Emissions'!P52,0)))))))))</f>
        <v>0</v>
      </c>
      <c r="AE16" s="442">
        <f>IF(TransitInputs[[#This Row],[New Transit Service or Infrastructure Type]]="Ferry",'Transit Emissions'!R68,IF(TransitInputs[[#This Row],[New Transit Service or Infrastructure Type]]="Light Rail",'Transit Emissions'!P36,IF(TransitInputs[[#This Row],[New Transit Service or Infrastructure Type]]="Local Bus",'Transit Emissions'!R12,IF(TransitInputs[[#This Row],[New Transit Service or Infrastructure Type]]="Long-distance Commuter Bus",'Transit Emissions'!R20,(IF(TransitInputs[[#This Row],[New Transit Service or Infrastructure Type]]="Shuttle",'Transit Emissions'!R60,IF(TransitInputs[[#This Row],[New Transit Service or Infrastructure Type]]="Streetcar, Cable Car, or Trolley Bus",'Transit Emissions'!P28,IF(TransitInputs[[#This Row],[New Transit Service or Infrastructure Type]]="Heavy Rail",'Transit Emissions'!Q44,IF(TransitInputs[[#This Row],[New Transit Service or Infrastructure Type]]="Vanpool",'Transit Emissions'!R52,0)))))))))</f>
        <v>0</v>
      </c>
      <c r="AF16" s="442">
        <f>IF(TransitInputs[[#This Row],[New Transit Service or Infrastructure Type]]="Ferry",'Transit Emissions'!S68,IF(TransitInputs[[#This Row],[New Transit Service or Infrastructure Type]]="Light Rail",'Transit Emissions'!Q36,IF(TransitInputs[[#This Row],[New Transit Service or Infrastructure Type]]="Local Bus",'Transit Emissions'!S12,IF(TransitInputs[[#This Row],[New Transit Service or Infrastructure Type]]="Long-distance Commuter Bus",'Transit Emissions'!S20,(IF(TransitInputs[[#This Row],[New Transit Service or Infrastructure Type]]="Shuttle",'Transit Emissions'!S60,IF(TransitInputs[[#This Row],[New Transit Service or Infrastructure Type]]="Streetcar, Cable Car, or Trolley Bus",'Transit Emissions'!Q28,IF(TransitInputs[[#This Row],[New Transit Service or Infrastructure Type]]="Heavy Rail",'Transit Emissions'!R44,IF(TransitInputs[[#This Row],[New Transit Service or Infrastructure Type]]="Vanpool",'Transit Emissions'!Q52,0)))))))))</f>
        <v>0</v>
      </c>
      <c r="AG16" s="442" t="str">
        <f>IFERROR(TransitInputs[[#This Row],[Auto GHG Emission Reductions (MTCO2e)]]-TransitInputs[[#This Row],[Transit Vehicle GHG Emissions (MTCO2e)]],"")</f>
        <v/>
      </c>
      <c r="AH16" s="442" t="str">
        <f>IFERROR(TransitInputs[[#This Row],[Auto ROG Emission Reductions (lbs)]]-TransitInputs[[#This Row],[Transit Vehicle ROG Emissions (lbs)]],"")</f>
        <v/>
      </c>
      <c r="AI16" s="442" t="str">
        <f>IFERROR(TransitInputs[[#This Row],[Auto NOx Emission Reductions (lbs)]]-TransitInputs[[#This Row],[Transit Vehicle NOx Emissions (lbs)]],"")</f>
        <v/>
      </c>
      <c r="AJ16" s="442" t="str">
        <f>IFERROR(TransitInputs[[#This Row],[Auto PM2.5 Emission Reductions (lbs)]]-TransitInputs[[#This Row],[Transit Vehicle PM2.5 Emissions (lbs)]],"")</f>
        <v/>
      </c>
      <c r="AK16" s="442" t="str">
        <f>IFERROR(TransitInputs[[#This Row],[Auto Diesel PM10 Emission Reductions (lbs)]]-TransitInputs[[#This Row],[Transit Vehicle Diesel PM10 Emissions (lbs)]],"")</f>
        <v/>
      </c>
      <c r="AL16" s="441" t="str">
        <f>IFERROR(TransitInputs[[#This Row],[Auto Fossil Fuel Use Reductions (gal)]]-TransitInputs[[#This Row],[Transit Vehicle Fossil Fuel Use (gal)]],"")</f>
        <v/>
      </c>
    </row>
    <row r="17" spans="1:38" ht="18.75" customHeight="1" x14ac:dyDescent="0.25">
      <c r="B17" s="23"/>
      <c r="C17" s="640"/>
      <c r="D17" s="24"/>
      <c r="E17" s="24"/>
      <c r="F17" s="24"/>
      <c r="G17" s="641"/>
      <c r="H17" s="642"/>
      <c r="I17" s="24"/>
      <c r="J17" s="818"/>
      <c r="K17" s="24"/>
      <c r="L17" s="24"/>
      <c r="M17" s="24"/>
      <c r="N17" s="641"/>
      <c r="O17" s="641"/>
      <c r="P17" s="24"/>
      <c r="Q17" s="24"/>
      <c r="R17" s="440" t="str">
        <f>IF(TransitInputs[Annual Days of Operation]*TransitInputs[Year 1 Daily Ridership Increase (trips/day)]*TransitInputs[Adjustment Factor]*TransitInputs[Length of Average Auto Trip Reduced (miles)]&lt;&gt;0,TransitInputs[Annual Days of Operation]*TransitInputs[Year 1 Daily Ridership Increase (trips/day)]*TransitInputs[Adjustment Factor]*TransitInputs[Length of Average Auto Trip Reduced (miles)],"")</f>
        <v/>
      </c>
      <c r="S17" s="440" t="str">
        <f>IF(TransitInputs[Annual Days of Operation]*TransitInputs[Year F Daily Ridership Increase (trips/day)]*TransitInputs[Adjustment Factor]*TransitInputs[Length of Average Auto Trip Reduced (miles)]&lt;&gt;0,TransitInputs[Annual Days of Operation]*TransitInputs[Year F Daily Ridership Increase (trips/day)]*TransitInputs[Adjustment Factor]*TransitInputs[Length of Average Auto Trip Reduced (miles)],"")</f>
        <v/>
      </c>
      <c r="T17" s="441" t="str">
        <f>IFERROR(((TransitInputs[Year 1 Auto VMT Reductions]+TransitInputs[Year F Auto VMT Reductions])/2)*(TransitInputs[Final Year Operational]-TransitInputs[First Year Operational]),"")</f>
        <v/>
      </c>
      <c r="U17" s="441" t="str">
        <f>IFERROR(AVERAGE(VLOOKUP(CONCATENATE(County,"_",TransitInputs[First Year Operational]),'Passenger Auto GHG'!$D$31:$E$2731,2,FALSE)*TransitInputs[Year 1 Auto VMT Reductions],VLOOKUP(CONCATENATE(County,"_",IF(TransitInputs[Final Year Operational]&gt;2050,2050,TransitInputs[Final Year Operational])),'Passenger Auto GHG'!$D$31:$E$2731,2,FALSE)*TransitInputs[Year F Auto VMT Reductions])*(TransitInputs[Final Year Operational]-TransitInputs[First Year Operational])/1000000,"")</f>
        <v/>
      </c>
      <c r="V17" s="441" t="str">
        <f>IFERROR(AVERAGE(VLOOKUP(CONCATENATE(County,"_",TransitInputs[First Year Operational]),'Passenger Auto Criteria &amp; Toxic'!$D$32:$K$2732,3,FALSE)*TransitInputs[Year 1 Auto VMT Reductions],VLOOKUP(CONCATENATE(County,"_",IF(TransitInputs[Final Year Operational]&gt;2050,2050,TransitInputs[Final Year Operational])),'Passenger Auto Criteria &amp; Toxic'!$D$32:$K$2732,3,FALSE)*TransitInputs[Year F Auto VMT Reductions])*(TransitInputs[Final Year Operational]-TransitInputs[First Year Operational])/453.59,"")</f>
        <v/>
      </c>
      <c r="W17" s="441" t="str">
        <f>IFERROR(AVERAGE(VLOOKUP(CONCATENATE(County,"_",TransitInputs[First Year Operational]),'Passenger Auto Criteria &amp; Toxic'!$D$32:$K$2732,4,FALSE)*TransitInputs[Year 1 Auto VMT Reductions],VLOOKUP(CONCATENATE(County,"_",IF(TransitInputs[Final Year Operational]&gt;2050,2050,TransitInputs[Final Year Operational])),'Passenger Auto Criteria &amp; Toxic'!$D$32:$K$2732,4,FALSE)*TransitInputs[Year F Auto VMT Reductions])*(TransitInputs[Final Year Operational]-TransitInputs[First Year Operational])/453.59,"")</f>
        <v/>
      </c>
      <c r="X17" s="441" t="str">
        <f>IFERROR(AVERAGE((VLOOKUP(CONCATENATE(County,"_",TransitInputs[First Year Operational]),'Passenger Auto Criteria &amp; Toxic'!$D$32:$K$2732,5,FALSE)+'Passenger Auto Criteria &amp; Toxic'!$M$33+'Passenger Auto Criteria &amp; Toxic'!$N$33)*TransitInputs[Year 1 Auto VMT Reductions],(VLOOKUP(CONCATENATE(County,"_",IF(TransitInputs[Final Year Operational]&gt;2050,2050,TransitInputs[Final Year Operational])),'Passenger Auto Criteria &amp; Toxic'!$D$32:$K$2732,5,FALSE)+'Passenger Auto Criteria &amp; Toxic'!$M$33+'Passenger Auto Criteria &amp; Toxic'!$N$33)*TransitInputs[Year F Auto VMT Reductions])*(TransitInputs[Final Year Operational]-TransitInputs[First Year Operational])/453.59,"")</f>
        <v/>
      </c>
      <c r="Y17" s="441" t="str">
        <f>IFERROR(AVERAGE(VLOOKUP(CONCATENATE(County,"_",TransitInputs[First Year Operational]),'Passenger Auto Criteria &amp; Toxic'!$D$32:$K$2732,8,FALSE)*TransitInputs[Year 1 Auto VMT Reductions],VLOOKUP(CONCATENATE(County,"_",IF(TransitInputs[Final Year Operational]&gt;2050,2050,TransitInputs[Final Year Operational])),'Passenger Auto Criteria &amp; Toxic'!$D$32:$K$2732,8,FALSE)*TransitInputs[Year F Auto VMT Reductions])*(TransitInputs[Final Year Operational]-TransitInputs[First Year Operational])/453.59,"")</f>
        <v/>
      </c>
      <c r="Z17" s="441" t="str">
        <f>IFERROR(AVERAGE(VLOOKUP(CONCATENATE(County,"_",TransitInputs[First Year Operational]),'Passenger Auto Criteria &amp; Toxic'!$D$32:$K$2732,2,FALSE)*TransitInputs[Year 1 Auto VMT Reductions],VLOOKUP(CONCATENATE(County,"_",IF(TransitInputs[Final Year Operational]&gt;2050,2050,TransitInputs[Final Year Operational])),'Passenger Auto Criteria &amp; Toxic'!$D$32:$K$2732,2,FALSE)*TransitInputs[Year F Auto VMT Reductions])*(TransitInputs[Final Year Operational]-TransitInputs[First Year Operational]),"")</f>
        <v/>
      </c>
      <c r="AA17" s="441">
        <f>IF(TransitInputs[[#This Row],[New Transit Service or Infrastructure Type]]="Ferry",'Transit Emissions'!J69,IF(TransitInputs[[#This Row],[New Transit Service or Infrastructure Type]]="Light Rail",'Transit Emissions'!H37,IF(TransitInputs[[#This Row],[New Transit Service or Infrastructure Type]]="Local Bus",'Transit Emissions'!J13,IF(TransitInputs[[#This Row],[New Transit Service or Infrastructure Type]]="Long-distance Commuter Bus",'Transit Emissions'!J21,(IF(TransitInputs[[#This Row],[New Transit Service or Infrastructure Type]]="Shuttle",'Transit Emissions'!J61,IF(TransitInputs[[#This Row],[New Transit Service or Infrastructure Type]]="Streetcar, Cable Car, or Trolley Bus",'Transit Emissions'!H29,IF(TransitInputs[[#This Row],[New Transit Service or Infrastructure Type]]="Heavy Rail",'Transit Emissions'!I45,IF(TransitInputs[[#This Row],[New Transit Service or Infrastructure Type]]="Vanpool",'Transit Emissions'!J53,0)))))))))</f>
        <v>0</v>
      </c>
      <c r="AB17" s="441">
        <f>IF(TransitInputs[[#This Row],[New Transit Service or Infrastructure Type]]="Ferry",'Transit Emissions'!L69,IF(TransitInputs[[#This Row],[New Transit Service or Infrastructure Type]]="Light Rail",'Transit Emissions'!J37,IF(TransitInputs[[#This Row],[New Transit Service or Infrastructure Type]]="Local Bus",'Transit Emissions'!L13,IF(TransitInputs[[#This Row],[New Transit Service or Infrastructure Type]]="Long-distance Commuter Bus",'Transit Emissions'!L21,(IF(TransitInputs[[#This Row],[New Transit Service or Infrastructure Type]]="Shuttle",'Transit Emissions'!L61,IF(TransitInputs[[#This Row],[New Transit Service or Infrastructure Type]]="Streetcar, Cable Car, or Trolley Bus",'Transit Emissions'!J29,IF(TransitInputs[[#This Row],[New Transit Service or Infrastructure Type]]="Heavy Rail",'Transit Emissions'!K45,IF(TransitInputs[[#This Row],[New Transit Service or Infrastructure Type]]="Vanpool",'Transit Emissions'!L53,0)))))))))</f>
        <v>0</v>
      </c>
      <c r="AC17" s="441">
        <f>IF(TransitInputs[[#This Row],[New Transit Service or Infrastructure Type]]="Ferry",'Transit Emissions'!N69,IF(TransitInputs[[#This Row],[New Transit Service or Infrastructure Type]]="Light Rail",'Transit Emissions'!L37,IF(TransitInputs[[#This Row],[New Transit Service or Infrastructure Type]]="Local Bus",'Transit Emissions'!N13,IF(TransitInputs[[#This Row],[New Transit Service or Infrastructure Type]]="Long-distance Commuter Bus",'Transit Emissions'!N21,(IF(TransitInputs[[#This Row],[New Transit Service or Infrastructure Type]]="Shuttle",'Transit Emissions'!N61,IF(TransitInputs[[#This Row],[New Transit Service or Infrastructure Type]]="Streetcar, Cable Car, or Trolley Bus",'Transit Emissions'!L29,IF(TransitInputs[[#This Row],[New Transit Service or Infrastructure Type]]="Heavy Rail",'Transit Emissions'!M45,IF(TransitInputs[[#This Row],[New Transit Service or Infrastructure Type]]="Vanpool",'Transit Emissions'!N53,0)))))))))</f>
        <v>0</v>
      </c>
      <c r="AD17" s="441">
        <f>IF(TransitInputs[[#This Row],[New Transit Service or Infrastructure Type]]="Ferry",'Transit Emissions'!P69,IF(TransitInputs[[#This Row],[New Transit Service or Infrastructure Type]]="Light Rail",'Transit Emissions'!N37,IF(TransitInputs[[#This Row],[New Transit Service or Infrastructure Type]]="Local Bus",'Transit Emissions'!P13,IF(TransitInputs[[#This Row],[New Transit Service or Infrastructure Type]]="Long-distance Commuter Bus",'Transit Emissions'!P21,(IF(TransitInputs[[#This Row],[New Transit Service or Infrastructure Type]]="Shuttle",'Transit Emissions'!P61,IF(TransitInputs[[#This Row],[New Transit Service or Infrastructure Type]]="Streetcar, Cable Car, or Trolley Bus",'Transit Emissions'!N29,IF(TransitInputs[[#This Row],[New Transit Service or Infrastructure Type]]="Heavy Rail",'Transit Emissions'!O45,IF(TransitInputs[[#This Row],[New Transit Service or Infrastructure Type]]="Vanpool",'Transit Emissions'!P53,0)))))))))</f>
        <v>0</v>
      </c>
      <c r="AE17" s="442">
        <f>IF(TransitInputs[[#This Row],[New Transit Service or Infrastructure Type]]="Ferry",'Transit Emissions'!R69,IF(TransitInputs[[#This Row],[New Transit Service or Infrastructure Type]]="Light Rail",'Transit Emissions'!P37,IF(TransitInputs[[#This Row],[New Transit Service or Infrastructure Type]]="Local Bus",'Transit Emissions'!R13,IF(TransitInputs[[#This Row],[New Transit Service or Infrastructure Type]]="Long-distance Commuter Bus",'Transit Emissions'!R21,(IF(TransitInputs[[#This Row],[New Transit Service or Infrastructure Type]]="Shuttle",'Transit Emissions'!R61,IF(TransitInputs[[#This Row],[New Transit Service or Infrastructure Type]]="Streetcar, Cable Car, or Trolley Bus",'Transit Emissions'!P29,IF(TransitInputs[[#This Row],[New Transit Service or Infrastructure Type]]="Heavy Rail",'Transit Emissions'!Q45,IF(TransitInputs[[#This Row],[New Transit Service or Infrastructure Type]]="Vanpool",'Transit Emissions'!R53,0)))))))))</f>
        <v>0</v>
      </c>
      <c r="AF17" s="442">
        <f>IF(TransitInputs[[#This Row],[New Transit Service or Infrastructure Type]]="Ferry",'Transit Emissions'!S69,IF(TransitInputs[[#This Row],[New Transit Service or Infrastructure Type]]="Light Rail",'Transit Emissions'!Q37,IF(TransitInputs[[#This Row],[New Transit Service or Infrastructure Type]]="Local Bus",'Transit Emissions'!S13,IF(TransitInputs[[#This Row],[New Transit Service or Infrastructure Type]]="Long-distance Commuter Bus",'Transit Emissions'!S21,(IF(TransitInputs[[#This Row],[New Transit Service or Infrastructure Type]]="Shuttle",'Transit Emissions'!S61,IF(TransitInputs[[#This Row],[New Transit Service or Infrastructure Type]]="Streetcar, Cable Car, or Trolley Bus",'Transit Emissions'!Q29,IF(TransitInputs[[#This Row],[New Transit Service or Infrastructure Type]]="Heavy Rail",'Transit Emissions'!R45,IF(TransitInputs[[#This Row],[New Transit Service or Infrastructure Type]]="Vanpool",'Transit Emissions'!Q53,0)))))))))</f>
        <v>0</v>
      </c>
      <c r="AG17" s="442" t="str">
        <f>IFERROR(TransitInputs[[#This Row],[Auto GHG Emission Reductions (MTCO2e)]]-TransitInputs[[#This Row],[Transit Vehicle GHG Emissions (MTCO2e)]],"")</f>
        <v/>
      </c>
      <c r="AH17" s="442" t="str">
        <f>IFERROR(TransitInputs[[#This Row],[Auto ROG Emission Reductions (lbs)]]-TransitInputs[[#This Row],[Transit Vehicle ROG Emissions (lbs)]],"")</f>
        <v/>
      </c>
      <c r="AI17" s="442" t="str">
        <f>IFERROR(TransitInputs[[#This Row],[Auto NOx Emission Reductions (lbs)]]-TransitInputs[[#This Row],[Transit Vehicle NOx Emissions (lbs)]],"")</f>
        <v/>
      </c>
      <c r="AJ17" s="442" t="str">
        <f>IFERROR(TransitInputs[[#This Row],[Auto PM2.5 Emission Reductions (lbs)]]-TransitInputs[[#This Row],[Transit Vehicle PM2.5 Emissions (lbs)]],"")</f>
        <v/>
      </c>
      <c r="AK17" s="442" t="str">
        <f>IFERROR(TransitInputs[[#This Row],[Auto Diesel PM10 Emission Reductions (lbs)]]-TransitInputs[[#This Row],[Transit Vehicle Diesel PM10 Emissions (lbs)]],"")</f>
        <v/>
      </c>
      <c r="AL17" s="441" t="str">
        <f>IFERROR(TransitInputs[[#This Row],[Auto Fossil Fuel Use Reductions (gal)]]-TransitInputs[[#This Row],[Transit Vehicle Fossil Fuel Use (gal)]],"")</f>
        <v/>
      </c>
    </row>
    <row r="18" spans="1:38" ht="18.75" customHeight="1" x14ac:dyDescent="0.25">
      <c r="B18" s="21"/>
      <c r="C18" s="643"/>
      <c r="D18" s="24"/>
      <c r="E18" s="24"/>
      <c r="F18" s="22"/>
      <c r="G18" s="644"/>
      <c r="H18" s="645"/>
      <c r="I18" s="22"/>
      <c r="J18" s="819"/>
      <c r="K18" s="22"/>
      <c r="L18" s="22"/>
      <c r="M18" s="22"/>
      <c r="N18" s="644"/>
      <c r="O18" s="644"/>
      <c r="P18" s="22"/>
      <c r="Q18" s="22"/>
      <c r="R18" s="443" t="str">
        <f>IF(TransitInputs[Annual Days of Operation]*TransitInputs[Year 1 Daily Ridership Increase (trips/day)]*TransitInputs[Adjustment Factor]*TransitInputs[Length of Average Auto Trip Reduced (miles)]&lt;&gt;0,TransitInputs[Annual Days of Operation]*TransitInputs[Year 1 Daily Ridership Increase (trips/day)]*TransitInputs[Adjustment Factor]*TransitInputs[Length of Average Auto Trip Reduced (miles)],"")</f>
        <v/>
      </c>
      <c r="S18" s="443" t="str">
        <f>IF(TransitInputs[Annual Days of Operation]*TransitInputs[Year F Daily Ridership Increase (trips/day)]*TransitInputs[Adjustment Factor]*TransitInputs[Length of Average Auto Trip Reduced (miles)]&lt;&gt;0,TransitInputs[Annual Days of Operation]*TransitInputs[Year F Daily Ridership Increase (trips/day)]*TransitInputs[Adjustment Factor]*TransitInputs[Length of Average Auto Trip Reduced (miles)],"")</f>
        <v/>
      </c>
      <c r="T18" s="444" t="str">
        <f>IFERROR(((TransitInputs[Year 1 Auto VMT Reductions]+TransitInputs[Year F Auto VMT Reductions])/2)*(TransitInputs[Final Year Operational]-TransitInputs[First Year Operational]),"")</f>
        <v/>
      </c>
      <c r="U18" s="444" t="str">
        <f>IFERROR(AVERAGE(VLOOKUP(CONCATENATE(County,"_",TransitInputs[First Year Operational]),'Passenger Auto GHG'!$D$31:$E$2731,2,FALSE)*TransitInputs[Year 1 Auto VMT Reductions],VLOOKUP(CONCATENATE(County,"_",IF(TransitInputs[Final Year Operational]&gt;2050,2050,TransitInputs[Final Year Operational])),'Passenger Auto GHG'!$D$31:$E$2731,2,FALSE)*TransitInputs[Year F Auto VMT Reductions])*(TransitInputs[Final Year Operational]-TransitInputs[First Year Operational])/1000000,"")</f>
        <v/>
      </c>
      <c r="V18" s="444" t="str">
        <f>IFERROR(AVERAGE(VLOOKUP(CONCATENATE(County,"_",TransitInputs[First Year Operational]),'Passenger Auto Criteria &amp; Toxic'!$D$32:$K$2732,3,FALSE)*TransitInputs[Year 1 Auto VMT Reductions],VLOOKUP(CONCATENATE(County,"_",IF(TransitInputs[Final Year Operational]&gt;2050,2050,TransitInputs[Final Year Operational])),'Passenger Auto Criteria &amp; Toxic'!$D$32:$K$2732,3,FALSE)*TransitInputs[Year F Auto VMT Reductions])*(TransitInputs[Final Year Operational]-TransitInputs[First Year Operational])/453.59,"")</f>
        <v/>
      </c>
      <c r="W18" s="444" t="str">
        <f>IFERROR(AVERAGE(VLOOKUP(CONCATENATE(County,"_",TransitInputs[First Year Operational]),'Passenger Auto Criteria &amp; Toxic'!$D$32:$K$2732,4,FALSE)*TransitInputs[Year 1 Auto VMT Reductions],VLOOKUP(CONCATENATE(County,"_",IF(TransitInputs[Final Year Operational]&gt;2050,2050,TransitInputs[Final Year Operational])),'Passenger Auto Criteria &amp; Toxic'!$D$32:$K$2732,4,FALSE)*TransitInputs[Year F Auto VMT Reductions])*(TransitInputs[Final Year Operational]-TransitInputs[First Year Operational])/453.59,"")</f>
        <v/>
      </c>
      <c r="X18" s="444" t="str">
        <f>IFERROR(AVERAGE((VLOOKUP(CONCATENATE(County,"_",TransitInputs[First Year Operational]),'Passenger Auto Criteria &amp; Toxic'!$D$32:$K$2732,5,FALSE)+'Passenger Auto Criteria &amp; Toxic'!$M$33+'Passenger Auto Criteria &amp; Toxic'!$N$33)*TransitInputs[Year 1 Auto VMT Reductions],(VLOOKUP(CONCATENATE(County,"_",IF(TransitInputs[Final Year Operational]&gt;2050,2050,TransitInputs[Final Year Operational])),'Passenger Auto Criteria &amp; Toxic'!$D$32:$K$2732,5,FALSE)+'Passenger Auto Criteria &amp; Toxic'!$M$33+'Passenger Auto Criteria &amp; Toxic'!$N$33)*TransitInputs[Year F Auto VMT Reductions])*(TransitInputs[Final Year Operational]-TransitInputs[First Year Operational])/453.59,"")</f>
        <v/>
      </c>
      <c r="Y18" s="444" t="str">
        <f>IFERROR(AVERAGE(VLOOKUP(CONCATENATE(County,"_",TransitInputs[First Year Operational]),'Passenger Auto Criteria &amp; Toxic'!$D$32:$K$2732,8,FALSE)*TransitInputs[Year 1 Auto VMT Reductions],VLOOKUP(CONCATENATE(County,"_",IF(TransitInputs[Final Year Operational]&gt;2050,2050,TransitInputs[Final Year Operational])),'Passenger Auto Criteria &amp; Toxic'!$D$32:$K$2732,8,FALSE)*TransitInputs[Year F Auto VMT Reductions])*(TransitInputs[Final Year Operational]-TransitInputs[First Year Operational])/453.59,"")</f>
        <v/>
      </c>
      <c r="Z18" s="444" t="str">
        <f>IFERROR(AVERAGE(VLOOKUP(CONCATENATE(County,"_",TransitInputs[First Year Operational]),'Passenger Auto Criteria &amp; Toxic'!$D$32:$K$2732,2,FALSE)*TransitInputs[Year 1 Auto VMT Reductions],VLOOKUP(CONCATENATE(County,"_",IF(TransitInputs[Final Year Operational]&gt;2050,2050,TransitInputs[Final Year Operational])),'Passenger Auto Criteria &amp; Toxic'!$D$32:$K$2732,2,FALSE)*TransitInputs[Year F Auto VMT Reductions])*(TransitInputs[Final Year Operational]-TransitInputs[First Year Operational]),"")</f>
        <v/>
      </c>
      <c r="AA18" s="444">
        <f>IF(TransitInputs[[#This Row],[New Transit Service or Infrastructure Type]]="Ferry",'Transit Emissions'!J70,IF(TransitInputs[[#This Row],[New Transit Service or Infrastructure Type]]="Light Rail",'Transit Emissions'!H38,IF(TransitInputs[[#This Row],[New Transit Service or Infrastructure Type]]="Local Bus",'Transit Emissions'!J14,IF(TransitInputs[[#This Row],[New Transit Service or Infrastructure Type]]="Long-distance Commuter Bus",'Transit Emissions'!J22,(IF(TransitInputs[[#This Row],[New Transit Service or Infrastructure Type]]="Shuttle",'Transit Emissions'!J62,IF(TransitInputs[[#This Row],[New Transit Service or Infrastructure Type]]="Streetcar, Cable Car, or Trolley Bus",'Transit Emissions'!H30,IF(TransitInputs[[#This Row],[New Transit Service or Infrastructure Type]]="Heavy Rail",'Transit Emissions'!I46,IF(TransitInputs[[#This Row],[New Transit Service or Infrastructure Type]]="Vanpool",'Transit Emissions'!J54,0)))))))))</f>
        <v>0</v>
      </c>
      <c r="AB18" s="444">
        <f>IF(TransitInputs[[#This Row],[New Transit Service or Infrastructure Type]]="Ferry",'Transit Emissions'!L70,IF(TransitInputs[[#This Row],[New Transit Service or Infrastructure Type]]="Light Rail",'Transit Emissions'!J38,IF(TransitInputs[[#This Row],[New Transit Service or Infrastructure Type]]="Local Bus",'Transit Emissions'!L14,IF(TransitInputs[[#This Row],[New Transit Service or Infrastructure Type]]="Long-distance Commuter Bus",'Transit Emissions'!L22,(IF(TransitInputs[[#This Row],[New Transit Service or Infrastructure Type]]="Shuttle",'Transit Emissions'!L62,IF(TransitInputs[[#This Row],[New Transit Service or Infrastructure Type]]="Streetcar, Cable Car, or Trolley Bus",'Transit Emissions'!J30,IF(TransitInputs[[#This Row],[New Transit Service or Infrastructure Type]]="Heavy Rail",'Transit Emissions'!K46,IF(TransitInputs[[#This Row],[New Transit Service or Infrastructure Type]]="Vanpool",'Transit Emissions'!L54,0)))))))))</f>
        <v>0</v>
      </c>
      <c r="AC18" s="444">
        <f>IF(TransitInputs[[#This Row],[New Transit Service or Infrastructure Type]]="Ferry",'Transit Emissions'!N70,IF(TransitInputs[[#This Row],[New Transit Service or Infrastructure Type]]="Light Rail",'Transit Emissions'!L38,IF(TransitInputs[[#This Row],[New Transit Service or Infrastructure Type]]="Local Bus",'Transit Emissions'!N14,IF(TransitInputs[[#This Row],[New Transit Service or Infrastructure Type]]="Long-distance Commuter Bus",'Transit Emissions'!N22,(IF(TransitInputs[[#This Row],[New Transit Service or Infrastructure Type]]="Shuttle",'Transit Emissions'!N62,IF(TransitInputs[[#This Row],[New Transit Service or Infrastructure Type]]="Streetcar, Cable Car, or Trolley Bus",'Transit Emissions'!L30,IF(TransitInputs[[#This Row],[New Transit Service or Infrastructure Type]]="Heavy Rail",'Transit Emissions'!M46,IF(TransitInputs[[#This Row],[New Transit Service or Infrastructure Type]]="Vanpool",'Transit Emissions'!N54,0)))))))))</f>
        <v>0</v>
      </c>
      <c r="AD18" s="444">
        <f>IF(TransitInputs[[#This Row],[New Transit Service or Infrastructure Type]]="Ferry",'Transit Emissions'!P70,IF(TransitInputs[[#This Row],[New Transit Service or Infrastructure Type]]="Light Rail",'Transit Emissions'!N38,IF(TransitInputs[[#This Row],[New Transit Service or Infrastructure Type]]="Local Bus",'Transit Emissions'!P14,IF(TransitInputs[[#This Row],[New Transit Service or Infrastructure Type]]="Long-distance Commuter Bus",'Transit Emissions'!P22,(IF(TransitInputs[[#This Row],[New Transit Service or Infrastructure Type]]="Shuttle",'Transit Emissions'!P62,IF(TransitInputs[[#This Row],[New Transit Service or Infrastructure Type]]="Streetcar, Cable Car, or Trolley Bus",'Transit Emissions'!N30,IF(TransitInputs[[#This Row],[New Transit Service or Infrastructure Type]]="Heavy Rail",'Transit Emissions'!O46,IF(TransitInputs[[#This Row],[New Transit Service or Infrastructure Type]]="Vanpool",'Transit Emissions'!P54,0)))))))))</f>
        <v>0</v>
      </c>
      <c r="AE18" s="445">
        <f>IF(TransitInputs[[#This Row],[New Transit Service or Infrastructure Type]]="Ferry",'Transit Emissions'!R70,IF(TransitInputs[[#This Row],[New Transit Service or Infrastructure Type]]="Light Rail",'Transit Emissions'!P38,IF(TransitInputs[[#This Row],[New Transit Service or Infrastructure Type]]="Local Bus",'Transit Emissions'!R14,IF(TransitInputs[[#This Row],[New Transit Service or Infrastructure Type]]="Long-distance Commuter Bus",'Transit Emissions'!R22,(IF(TransitInputs[[#This Row],[New Transit Service or Infrastructure Type]]="Shuttle",'Transit Emissions'!R62,IF(TransitInputs[[#This Row],[New Transit Service or Infrastructure Type]]="Streetcar, Cable Car, or Trolley Bus",'Transit Emissions'!P30,IF(TransitInputs[[#This Row],[New Transit Service or Infrastructure Type]]="Heavy Rail",'Transit Emissions'!Q46,IF(TransitInputs[[#This Row],[New Transit Service or Infrastructure Type]]="Vanpool",'Transit Emissions'!R54,0)))))))))</f>
        <v>0</v>
      </c>
      <c r="AF18" s="445">
        <f>IF(TransitInputs[[#This Row],[New Transit Service or Infrastructure Type]]="Ferry",'Transit Emissions'!S70,IF(TransitInputs[[#This Row],[New Transit Service or Infrastructure Type]]="Light Rail",'Transit Emissions'!Q38,IF(TransitInputs[[#This Row],[New Transit Service or Infrastructure Type]]="Local Bus",'Transit Emissions'!S14,IF(TransitInputs[[#This Row],[New Transit Service or Infrastructure Type]]="Long-distance Commuter Bus",'Transit Emissions'!S22,(IF(TransitInputs[[#This Row],[New Transit Service or Infrastructure Type]]="Shuttle",'Transit Emissions'!S62,IF(TransitInputs[[#This Row],[New Transit Service or Infrastructure Type]]="Streetcar, Cable Car, or Trolley Bus",'Transit Emissions'!Q30,IF(TransitInputs[[#This Row],[New Transit Service or Infrastructure Type]]="Heavy Rail",'Transit Emissions'!R46,IF(TransitInputs[[#This Row],[New Transit Service or Infrastructure Type]]="Vanpool",'Transit Emissions'!Q54,0)))))))))</f>
        <v>0</v>
      </c>
      <c r="AG18" s="445" t="str">
        <f>IFERROR(TransitInputs[[#This Row],[Auto GHG Emission Reductions (MTCO2e)]]-TransitInputs[[#This Row],[Transit Vehicle GHG Emissions (MTCO2e)]],"")</f>
        <v/>
      </c>
      <c r="AH18" s="445" t="str">
        <f>IFERROR(TransitInputs[[#This Row],[Auto ROG Emission Reductions (lbs)]]-TransitInputs[[#This Row],[Transit Vehicle ROG Emissions (lbs)]],"")</f>
        <v/>
      </c>
      <c r="AI18" s="445" t="str">
        <f>IFERROR(TransitInputs[[#This Row],[Auto NOx Emission Reductions (lbs)]]-TransitInputs[[#This Row],[Transit Vehicle NOx Emissions (lbs)]],"")</f>
        <v/>
      </c>
      <c r="AJ18" s="445" t="str">
        <f>IFERROR(TransitInputs[[#This Row],[Auto PM2.5 Emission Reductions (lbs)]]-TransitInputs[[#This Row],[Transit Vehicle PM2.5 Emissions (lbs)]],"")</f>
        <v/>
      </c>
      <c r="AK18" s="445" t="str">
        <f>IFERROR(TransitInputs[[#This Row],[Auto Diesel PM10 Emission Reductions (lbs)]]-TransitInputs[[#This Row],[Transit Vehicle Diesel PM10 Emissions (lbs)]],"")</f>
        <v/>
      </c>
      <c r="AL18" s="444" t="str">
        <f>IFERROR(TransitInputs[[#This Row],[Auto Fossil Fuel Use Reductions (gal)]]-TransitInputs[[#This Row],[Transit Vehicle Fossil Fuel Use (gal)]],"")</f>
        <v/>
      </c>
    </row>
    <row r="19" spans="1:38" ht="15" customHeight="1" x14ac:dyDescent="0.25"/>
    <row r="20" spans="1:38" ht="15" customHeight="1" thickBot="1" x14ac:dyDescent="0.3">
      <c r="B20" s="14" t="s">
        <v>4696</v>
      </c>
    </row>
    <row r="21" spans="1:38" ht="31.5" x14ac:dyDescent="0.25">
      <c r="B21" s="472" t="s">
        <v>4697</v>
      </c>
    </row>
    <row r="22" spans="1:38" ht="18.75" customHeight="1" thickBot="1" x14ac:dyDescent="0.3">
      <c r="B22" s="1145"/>
    </row>
    <row r="23" spans="1:38" ht="15" customHeight="1" x14ac:dyDescent="0.25"/>
    <row r="24" spans="1:38" ht="15" customHeight="1" x14ac:dyDescent="0.25">
      <c r="A24" s="14"/>
      <c r="B24" s="30"/>
      <c r="C24" s="14"/>
    </row>
    <row r="25" spans="1:38" ht="15" customHeight="1" x14ac:dyDescent="0.25">
      <c r="A25" s="25"/>
      <c r="C25" s="26"/>
      <c r="D25" s="26"/>
    </row>
    <row r="26" spans="1:38" ht="15" customHeight="1" x14ac:dyDescent="0.25">
      <c r="A26" s="25"/>
      <c r="B26" s="26"/>
      <c r="C26" s="26"/>
      <c r="D26" s="26"/>
    </row>
    <row r="27" spans="1:38" ht="15" customHeight="1" x14ac:dyDescent="0.25">
      <c r="A27" s="25"/>
      <c r="B27" s="26"/>
      <c r="C27" s="26"/>
      <c r="D27" s="26"/>
    </row>
    <row r="28" spans="1:38" ht="15" customHeight="1" x14ac:dyDescent="0.25">
      <c r="A28" s="25"/>
      <c r="B28" s="26"/>
      <c r="C28" s="26"/>
      <c r="D28" s="26"/>
    </row>
    <row r="29" spans="1:38" ht="15" customHeight="1" x14ac:dyDescent="0.25">
      <c r="A29" s="25"/>
      <c r="B29" s="26"/>
      <c r="C29" s="26"/>
      <c r="D29" s="26"/>
    </row>
    <row r="30" spans="1:38" ht="15" customHeight="1" x14ac:dyDescent="0.25">
      <c r="A30" s="25"/>
      <c r="B30" s="26"/>
      <c r="C30" s="26"/>
      <c r="D30" s="26"/>
    </row>
    <row r="31" spans="1:38" ht="15" customHeight="1" x14ac:dyDescent="0.25">
      <c r="A31" s="25"/>
      <c r="B31" s="28"/>
      <c r="C31" s="28"/>
      <c r="D31" s="28"/>
    </row>
    <row r="32" spans="1:38" ht="15" customHeight="1" x14ac:dyDescent="0.25">
      <c r="A32" s="15"/>
      <c r="B32" s="28"/>
      <c r="C32" s="28"/>
      <c r="D32" s="28"/>
    </row>
    <row r="33" spans="1:4" ht="15" customHeight="1" x14ac:dyDescent="0.25">
      <c r="A33" s="32"/>
      <c r="B33" s="29"/>
      <c r="C33" s="29"/>
      <c r="D33" s="28"/>
    </row>
    <row r="34" spans="1:4" ht="15" customHeight="1" x14ac:dyDescent="0.25">
      <c r="A34" s="26"/>
    </row>
    <row r="35" spans="1:4" ht="15" customHeight="1" x14ac:dyDescent="0.25">
      <c r="A35" s="26"/>
    </row>
    <row r="36" spans="1:4" ht="15" customHeight="1" x14ac:dyDescent="0.25">
      <c r="A36" s="26"/>
    </row>
    <row r="37" spans="1:4" ht="15" customHeight="1" x14ac:dyDescent="0.25">
      <c r="A37" s="26"/>
    </row>
    <row r="38" spans="1:4" ht="15" customHeight="1" x14ac:dyDescent="0.25">
      <c r="A38" s="26"/>
    </row>
    <row r="39" spans="1:4" ht="15" customHeight="1" x14ac:dyDescent="0.25">
      <c r="A39" s="26"/>
    </row>
    <row r="40" spans="1:4" ht="15" customHeight="1" x14ac:dyDescent="0.25">
      <c r="A40" s="26"/>
    </row>
    <row r="41" spans="1:4" ht="15" customHeight="1" x14ac:dyDescent="0.25">
      <c r="A41" s="26"/>
    </row>
    <row r="42" spans="1:4" ht="15" customHeight="1" x14ac:dyDescent="0.25">
      <c r="A42" s="28"/>
    </row>
    <row r="43" spans="1:4" ht="15" customHeight="1" x14ac:dyDescent="0.25">
      <c r="A43" s="28"/>
    </row>
    <row r="44" spans="1:4" ht="15" customHeight="1" x14ac:dyDescent="0.25">
      <c r="A44" s="29"/>
    </row>
    <row r="45" spans="1:4" ht="15" customHeight="1" x14ac:dyDescent="0.25"/>
    <row r="46" spans="1:4" ht="15" customHeight="1" x14ac:dyDescent="0.25"/>
    <row r="47" spans="1:4" ht="15" customHeight="1" x14ac:dyDescent="0.25"/>
    <row r="48" spans="1:4"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sheetData>
  <sheetProtection algorithmName="SHA-512" hashValue="uUpBuhsuMEddK4w8j7SA5yXVxDbh5jvQ7LfAff+8OV4xD53TKBdY2/7lAxO60d9A86IY2XMK1IWKIChddKKAFA==" saltValue="/WY9s9rhasiR+kc3w/FD0A==" spinCount="100000" sheet="1" objects="1" scenarios="1"/>
  <sortState ref="B24:B34">
    <sortCondition ref="B24"/>
  </sortState>
  <conditionalFormatting sqref="C14:Q18">
    <cfRule type="expression" dxfId="378" priority="41">
      <formula>OR($B14="")</formula>
    </cfRule>
  </conditionalFormatting>
  <conditionalFormatting sqref="K14:L18">
    <cfRule type="expression" dxfId="377" priority="40">
      <formula>OR($B14="Capital Improvement")</formula>
    </cfRule>
  </conditionalFormatting>
  <conditionalFormatting sqref="N14:N18">
    <cfRule type="expression" dxfId="376" priority="38">
      <formula>OR($B14="Capital Improvement",$B14="Ferry")</formula>
    </cfRule>
  </conditionalFormatting>
  <conditionalFormatting sqref="O14:O18">
    <cfRule type="expression" dxfId="375" priority="37">
      <formula>NOT($B14="Ferry")</formula>
    </cfRule>
  </conditionalFormatting>
  <conditionalFormatting sqref="M14:M18">
    <cfRule type="expression" dxfId="374" priority="36">
      <formula>OR($B14="Heavy Rail",$B14="Capital Improvement",$B14="Light Rail", $B14="Streetcar, Cable Car, or Trolley Bus")</formula>
    </cfRule>
  </conditionalFormatting>
  <conditionalFormatting sqref="M18">
    <cfRule type="expression" dxfId="373" priority="3">
      <formula>OR($B18="Heavy Rail",$B18="Ferry",$B18="Capital Improvement",$B18="Light Rail",$B18 = "Streetcar, Cable Car, or Trolley Bus")</formula>
    </cfRule>
  </conditionalFormatting>
  <conditionalFormatting sqref="C15:Q15">
    <cfRule type="expression" dxfId="372" priority="22">
      <formula>OR($B15="")</formula>
    </cfRule>
  </conditionalFormatting>
  <conditionalFormatting sqref="K15:L15">
    <cfRule type="expression" dxfId="371" priority="21">
      <formula>OR($B15="Capital Improvement")</formula>
    </cfRule>
  </conditionalFormatting>
  <conditionalFormatting sqref="N15">
    <cfRule type="expression" dxfId="370" priority="20">
      <formula>OR($B15="Capital Improvement",$B15="Ferry")</formula>
    </cfRule>
  </conditionalFormatting>
  <conditionalFormatting sqref="O15">
    <cfRule type="expression" dxfId="369" priority="19">
      <formula>NOT($B15="Ferry")</formula>
    </cfRule>
  </conditionalFormatting>
  <conditionalFormatting sqref="M15">
    <cfRule type="expression" dxfId="368" priority="18">
      <formula>OR($B15="Heavy Rail",$B15="Ferry",$B15="Capital Improvement")</formula>
    </cfRule>
  </conditionalFormatting>
  <conditionalFormatting sqref="C16:Q16">
    <cfRule type="expression" dxfId="367" priority="17">
      <formula>OR($B16="")</formula>
    </cfRule>
  </conditionalFormatting>
  <conditionalFormatting sqref="K16:L16">
    <cfRule type="expression" dxfId="366" priority="16">
      <formula>OR($B16="Capital Improvement")</formula>
    </cfRule>
  </conditionalFormatting>
  <conditionalFormatting sqref="N16">
    <cfRule type="expression" dxfId="365" priority="15">
      <formula>OR($B16="Capital Improvement",$B16="Ferry")</formula>
    </cfRule>
  </conditionalFormatting>
  <conditionalFormatting sqref="O16">
    <cfRule type="expression" dxfId="364" priority="14">
      <formula>NOT($B16="Ferry")</formula>
    </cfRule>
  </conditionalFormatting>
  <conditionalFormatting sqref="M16">
    <cfRule type="expression" dxfId="363" priority="13">
      <formula>OR($B16="Heavy Rail",$B16="Ferry",$B16="Capital Improvement")</formula>
    </cfRule>
  </conditionalFormatting>
  <conditionalFormatting sqref="C17:Q17">
    <cfRule type="expression" dxfId="362" priority="12">
      <formula>OR($B17="")</formula>
    </cfRule>
  </conditionalFormatting>
  <conditionalFormatting sqref="K17:L17">
    <cfRule type="expression" dxfId="361" priority="11">
      <formula>OR($B17="Capital Improvement")</formula>
    </cfRule>
  </conditionalFormatting>
  <conditionalFormatting sqref="N17">
    <cfRule type="expression" dxfId="360" priority="10">
      <formula>OR($B17="Capital Improvement",$B17="Ferry")</formula>
    </cfRule>
  </conditionalFormatting>
  <conditionalFormatting sqref="O17">
    <cfRule type="expression" dxfId="359" priority="9">
      <formula>NOT($B17="Ferry")</formula>
    </cfRule>
  </conditionalFormatting>
  <conditionalFormatting sqref="M17">
    <cfRule type="expression" dxfId="358" priority="8">
      <formula>OR($B17="Heavy Rail",$B17="Ferry",$B17="Capital Improvement")</formula>
    </cfRule>
  </conditionalFormatting>
  <conditionalFormatting sqref="C18:Q18">
    <cfRule type="expression" dxfId="357" priority="7">
      <formula>OR($B18="")</formula>
    </cfRule>
  </conditionalFormatting>
  <conditionalFormatting sqref="K18:L18">
    <cfRule type="expression" dxfId="356" priority="6">
      <formula>OR($B18="Capital Improvement")</formula>
    </cfRule>
  </conditionalFormatting>
  <conditionalFormatting sqref="N18">
    <cfRule type="expression" dxfId="355" priority="5">
      <formula>OR($B18="Capital Improvement",$B18="Ferry")</formula>
    </cfRule>
  </conditionalFormatting>
  <conditionalFormatting sqref="O18">
    <cfRule type="expression" dxfId="354" priority="4">
      <formula>NOT($B18="Ferry")</formula>
    </cfRule>
  </conditionalFormatting>
  <conditionalFormatting sqref="L14:L18">
    <cfRule type="expression" dxfId="353" priority="2">
      <formula>OR($K14="Electric",$K14="Hydrogen")</formula>
    </cfRule>
  </conditionalFormatting>
  <dataValidations count="15">
    <dataValidation type="decimal" allowBlank="1" showInputMessage="1" showErrorMessage="1" promptTitle="Defaults:" prompt="Bus Rapid Transit:  0.542_x000a_Cable Car, Streetcar, Trolley Bus:  0.479_x000a_Commuter Rail:  0.867_x000a_Ferry:  1_x000a_Local Bus:  0.561_x000a_Long-distance Commuter Bus:  0.705_x000a_Rail:  0.794 (Heavy), 0.685 (Light)_x000a_Shuttle:  0.585_x000a_Vanpool:  0.879" sqref="I14:I18">
      <formula1>0</formula1>
      <formula2>1</formula2>
    </dataValidation>
    <dataValidation type="whole" allowBlank="1" showInputMessage="1" showErrorMessage="1" prompt="Days of service per year" sqref="F14:F18">
      <formula1>1</formula1>
      <formula2>365</formula2>
    </dataValidation>
    <dataValidation type="list" allowBlank="1" showInputMessage="1" showErrorMessage="1" sqref="L14:L18">
      <formula1>"Yes, No"</formula1>
    </dataValidation>
    <dataValidation type="decimal" operator="greaterThan" allowBlank="1" showInputMessage="1" showErrorMessage="1" promptTitle="Defaults:" prompt="Bus Rapid Transit:  6.56_x000a_Cable Car:  1.26_x000a_Commuter Rail:  25.69_x000a_Ferry:  10.85_x000a_Local Bus:  3.77_x000a_Long-distance Commuter Bus:  17.57_x000a_Rail:  11.48 (Heavy), 5.44 (Light)_x000a_Shuttle:  9.08_x000a_Streetcar:  1.43_x000a_Trolley Bus:  1.48 _x000a_Vanpool:  42.28" sqref="J14:J18">
      <formula1>0</formula1>
    </dataValidation>
    <dataValidation type="whole" operator="greaterThanOrEqual" allowBlank="1" showInputMessage="1" showErrorMessage="1" prompt="Increase in daily ridership as a result of new or expanded transit service or capital improvements, excluding baseline ridership" sqref="G14:H18">
      <formula1>0</formula1>
    </dataValidation>
    <dataValidation type="list" allowBlank="1" showInputMessage="1" showErrorMessage="1" sqref="M14:M18">
      <formula1>"2030,2029,2028,2027,2026,2025,2024,2023,2022,2021,2020,2019,2018,2017,2016,2015"</formula1>
    </dataValidation>
    <dataValidation type="whole" operator="greaterThan" allowBlank="1" showInputMessage="1" showErrorMessage="1" prompt="Increase in miles traveled by transit vehicles to provide new or expanded service" sqref="N14:N18">
      <formula1>0</formula1>
    </dataValidation>
    <dataValidation type="whole" allowBlank="1" showInputMessage="1" showErrorMessage="1" promptTitle="Maximum Years of Useful Life:" prompt="Bus:  12_x000a_Ferry:  25_x000a_Rail Vehicle:  25_x000a_Shuttle:  10_x000a_Structure:  40_x000a_Van:  4" sqref="E14:E18">
      <formula1>2020</formula1>
      <formula2>2100</formula2>
    </dataValidation>
    <dataValidation type="whole" allowBlank="1" showInputMessage="1" showErrorMessage="1" prompt="First year service or infracture will be open to users" sqref="D14:D18">
      <formula1>2020</formula1>
      <formula2>2050</formula2>
    </dataValidation>
    <dataValidation type="list" allowBlank="1" showInputMessage="1" showErrorMessage="1" sqref="J23">
      <formula1>TransitTypes</formula1>
    </dataValidation>
    <dataValidation type="list" allowBlank="1" showInputMessage="1" showErrorMessage="1" promptTitle="Note:" prompt="Selection locks after fuel type is identified" sqref="B14:B18">
      <formula1>IF($K14="",TransitTypes,0)</formula1>
    </dataValidation>
    <dataValidation type="whole" operator="greaterThan" allowBlank="1" showInputMessage="1" showErrorMessage="1" promptTitle="Units:" prompt="Biodiesel, diesel, and renewable diesel:  gal_x000a_Compressed natural gas and renewable natural gas:  scf_x000a_Electric:  kWh_x000a_Hydrogen:  kg_x000a_Liquefied natural gas:  gal_x000a_Increase in fuel consumed by ferry to provide new or expanded service" sqref="O14:O18">
      <formula1>0</formula1>
    </dataValidation>
    <dataValidation allowBlank="1" showInputMessage="1" showErrorMessage="1" prompt="Average _x000a_one-way fare across system" sqref="B22"/>
    <dataValidation type="list" allowBlank="1" showInputMessage="1" showErrorMessage="1" prompt="Do transit riders on this route avoid a toll bridge or road?" sqref="P14:P18">
      <formula1>"Yes, No"</formula1>
    </dataValidation>
    <dataValidation type="list" allowBlank="1" showInputMessage="1" showErrorMessage="1" prompt="Do transit riders on this route pay to park at the facility where the service originates?" sqref="Q14:Q18">
      <formula1>"Yes, No"</formula1>
    </dataValidation>
  </dataValidations>
  <pageMargins left="0.7" right="0.7" top="0.98479166666666662" bottom="0.75" header="0.3" footer="0.3"/>
  <pageSetup scale="65" fitToWidth="0" fitToHeight="0" orientation="landscape" r:id="rId1"/>
  <headerFooter>
    <oddFooter>&amp;L&amp;"Avenir LT Std 55 Roman,Regular"&amp;12&amp;K000000FINAL November 1, 2019&amp;C&amp;"Avenir LT Std 55 Roman,Regular"&amp;12Page &amp;P of &amp;N&amp;R&amp;"Avenir LT Std 55 Roman,Regular"&amp;12&amp;K000000&amp;A</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promptTitle="Note:" prompt="Selection locks after hybrid is identified">
          <x14:formula1>
            <xm:f>IF($L14="",INDIRECT(HLOOKUP($B14,'Energy, Fuel, &amp; Travel Prices'!$B$9:$I$10,2,FALSE)),0)</xm:f>
          </x14:formula1>
          <xm:sqref>K14:K18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T62"/>
  <sheetViews>
    <sheetView showGridLines="0" zoomScaleNormal="100" workbookViewId="0">
      <selection activeCell="C13" sqref="C13"/>
    </sheetView>
  </sheetViews>
  <sheetFormatPr defaultColWidth="9.140625" defaultRowHeight="15.75" x14ac:dyDescent="0.25"/>
  <cols>
    <col min="1" max="1" width="2.85546875" style="18" customWidth="1"/>
    <col min="2" max="2" width="53.42578125" style="18" customWidth="1"/>
    <col min="3" max="3" width="19.7109375" style="18" customWidth="1"/>
    <col min="4" max="4" width="8" style="18" customWidth="1"/>
    <col min="5" max="5" width="44.28515625" style="18" customWidth="1"/>
    <col min="6" max="6" width="23.7109375" style="18" customWidth="1"/>
    <col min="7" max="7" width="3.7109375" style="18" customWidth="1"/>
    <col min="8" max="16384" width="9.140625" style="18"/>
  </cols>
  <sheetData>
    <row r="1" spans="1:6" ht="18.75" customHeight="1" x14ac:dyDescent="0.25">
      <c r="A1" s="626"/>
      <c r="B1" s="626"/>
      <c r="C1" s="626"/>
      <c r="D1" s="626"/>
      <c r="E1" s="626"/>
    </row>
    <row r="2" spans="1:6" ht="15" customHeight="1" x14ac:dyDescent="0.25">
      <c r="A2" s="91"/>
      <c r="B2" s="91"/>
      <c r="C2" s="91"/>
      <c r="D2" s="91"/>
      <c r="E2" s="91"/>
    </row>
    <row r="3" spans="1:6" ht="18.75" customHeight="1" x14ac:dyDescent="0.25">
      <c r="A3" s="626"/>
      <c r="B3" s="626"/>
      <c r="C3" s="626"/>
      <c r="D3" s="626"/>
      <c r="E3" s="626"/>
    </row>
    <row r="4" spans="1:6" ht="18.75" customHeight="1" x14ac:dyDescent="0.25">
      <c r="A4" s="628"/>
      <c r="B4" s="628"/>
      <c r="C4" s="628"/>
      <c r="D4" s="628"/>
      <c r="E4" s="628"/>
      <c r="F4" s="30"/>
    </row>
    <row r="5" spans="1:6" ht="15" customHeight="1" x14ac:dyDescent="0.25">
      <c r="A5" s="91"/>
      <c r="B5" s="91"/>
      <c r="C5" s="91"/>
      <c r="D5" s="91"/>
      <c r="E5" s="91"/>
    </row>
    <row r="6" spans="1:6" ht="18.75" customHeight="1" x14ac:dyDescent="0.25">
      <c r="A6" s="626"/>
      <c r="B6" s="626"/>
      <c r="C6" s="626"/>
      <c r="D6" s="626"/>
      <c r="E6" s="626"/>
    </row>
    <row r="7" spans="1:6" ht="15" customHeight="1" x14ac:dyDescent="0.25"/>
    <row r="8" spans="1:6" ht="15" customHeight="1" x14ac:dyDescent="0.25">
      <c r="A8" s="16"/>
      <c r="B8" s="14" t="s">
        <v>4825</v>
      </c>
      <c r="C8" s="14"/>
    </row>
    <row r="9" spans="1:6" ht="15" customHeight="1" x14ac:dyDescent="0.25">
      <c r="A9" s="16"/>
      <c r="B9" s="14"/>
      <c r="C9" s="14"/>
    </row>
    <row r="10" spans="1:6" ht="15" customHeight="1" x14ac:dyDescent="0.25">
      <c r="A10" s="16"/>
      <c r="B10" s="14"/>
      <c r="C10" s="14"/>
    </row>
    <row r="11" spans="1:6" ht="15" customHeight="1" x14ac:dyDescent="0.25">
      <c r="A11" s="17"/>
    </row>
    <row r="12" spans="1:6" ht="15" customHeight="1" thickBot="1" x14ac:dyDescent="0.3">
      <c r="B12" s="422" t="s">
        <v>109</v>
      </c>
      <c r="E12" s="14" t="s">
        <v>4804</v>
      </c>
    </row>
    <row r="13" spans="1:6" ht="18.75" customHeight="1" x14ac:dyDescent="0.25">
      <c r="B13" s="433" t="s">
        <v>113</v>
      </c>
      <c r="C13" s="434"/>
      <c r="E13" s="433" t="s">
        <v>4577</v>
      </c>
      <c r="F13" s="839" t="str">
        <f ca="1">IFERROR(TotalkWh*'Grid Electricity'!$C$20,"")</f>
        <v/>
      </c>
    </row>
    <row r="14" spans="1:6" ht="18.75" customHeight="1" x14ac:dyDescent="0.25">
      <c r="A14" s="38"/>
      <c r="B14" s="435" t="s">
        <v>115</v>
      </c>
      <c r="C14" s="436"/>
      <c r="D14" s="38"/>
      <c r="E14" s="435" t="s">
        <v>5077</v>
      </c>
      <c r="F14" s="447" t="str">
        <f ca="1">IFERROR(TotalkWh*'Grid Electricity'!$D$40,"")</f>
        <v/>
      </c>
    </row>
    <row r="15" spans="1:6" ht="18.75" customHeight="1" thickBot="1" x14ac:dyDescent="0.3">
      <c r="B15" s="437" t="s">
        <v>114</v>
      </c>
      <c r="C15" s="646" t="str">
        <f ca="1">IF(OR(AnnualkWh="",ElectricityUse=""),"",AnnualkWh*(SUMPRODUCT((1-0.5%)^ROW(INDIRECT("1:"&amp;30-1)))+1))</f>
        <v/>
      </c>
      <c r="D15" s="38"/>
      <c r="E15" s="435" t="s">
        <v>5076</v>
      </c>
      <c r="F15" s="447" t="str">
        <f ca="1">IFERROR(TotalkWh*'Grid Electricity'!$E$40,"")</f>
        <v/>
      </c>
    </row>
    <row r="16" spans="1:6" ht="18.75" customHeight="1" thickBot="1" x14ac:dyDescent="0.3">
      <c r="E16" s="437" t="s">
        <v>5075</v>
      </c>
      <c r="F16" s="646" t="str">
        <f ca="1">IFERROR(TotalkWh*'Grid Electricity'!$H$40,"")</f>
        <v/>
      </c>
    </row>
    <row r="17" spans="1:20" ht="20.25" customHeight="1" x14ac:dyDescent="0.25"/>
    <row r="18" spans="1:20" ht="20.25" customHeight="1" x14ac:dyDescent="0.25">
      <c r="F18" s="30"/>
      <c r="G18" s="30"/>
      <c r="H18" s="30"/>
      <c r="I18" s="30"/>
      <c r="J18" s="30"/>
      <c r="K18" s="30"/>
      <c r="L18" s="30"/>
      <c r="M18" s="30"/>
      <c r="N18" s="30"/>
      <c r="O18" s="30"/>
      <c r="P18" s="30"/>
      <c r="Q18" s="30"/>
      <c r="R18" s="50"/>
      <c r="S18" s="50"/>
      <c r="T18" s="30"/>
    </row>
    <row r="19" spans="1:20" ht="20.25" customHeight="1" x14ac:dyDescent="0.25"/>
    <row r="20" spans="1:20" ht="15" customHeight="1" x14ac:dyDescent="0.25">
      <c r="B20" s="38"/>
      <c r="C20" s="38"/>
    </row>
    <row r="21" spans="1:20" ht="15" customHeight="1" x14ac:dyDescent="0.25"/>
    <row r="22" spans="1:20" ht="15" customHeight="1" x14ac:dyDescent="0.25">
      <c r="A22" s="14"/>
      <c r="B22" s="14"/>
      <c r="C22" s="14"/>
      <c r="D22" s="14"/>
      <c r="E22" s="14"/>
    </row>
    <row r="23" spans="1:20" ht="15" customHeight="1" x14ac:dyDescent="0.25">
      <c r="A23" s="25"/>
      <c r="B23" s="25"/>
      <c r="C23" s="25"/>
      <c r="D23" s="25"/>
      <c r="E23" s="25"/>
    </row>
    <row r="24" spans="1:20" ht="15" customHeight="1" x14ac:dyDescent="0.25">
      <c r="A24" s="25"/>
      <c r="B24" s="25"/>
      <c r="C24" s="25"/>
      <c r="D24" s="25"/>
      <c r="E24" s="25"/>
    </row>
    <row r="25" spans="1:20" ht="15" customHeight="1" x14ac:dyDescent="0.25">
      <c r="A25" s="25"/>
      <c r="B25" s="25"/>
      <c r="C25" s="14"/>
      <c r="D25" s="25"/>
      <c r="E25" s="25"/>
    </row>
    <row r="26" spans="1:20" ht="15" customHeight="1" x14ac:dyDescent="0.25">
      <c r="A26" s="25"/>
      <c r="B26" s="25"/>
      <c r="C26" s="25"/>
      <c r="D26" s="25"/>
      <c r="E26" s="25"/>
    </row>
    <row r="27" spans="1:20" ht="15" customHeight="1" x14ac:dyDescent="0.25">
      <c r="A27" s="25"/>
      <c r="B27" s="25"/>
      <c r="C27" s="25"/>
      <c r="D27" s="25"/>
      <c r="E27" s="25"/>
    </row>
    <row r="28" spans="1:20" ht="15" customHeight="1" x14ac:dyDescent="0.25">
      <c r="A28" s="25"/>
      <c r="B28" s="25"/>
      <c r="C28" s="25"/>
      <c r="D28" s="25"/>
      <c r="E28" s="25"/>
    </row>
    <row r="29" spans="1:20" ht="15" customHeight="1" x14ac:dyDescent="0.25">
      <c r="A29" s="25"/>
      <c r="B29" s="25"/>
      <c r="C29" s="25"/>
      <c r="D29" s="25"/>
      <c r="E29" s="25"/>
    </row>
    <row r="30" spans="1:20" ht="15" customHeight="1" x14ac:dyDescent="0.25">
      <c r="A30" s="15"/>
      <c r="B30" s="15"/>
      <c r="C30" s="15"/>
      <c r="D30" s="15"/>
      <c r="E30" s="15"/>
    </row>
    <row r="31" spans="1:20" ht="15" customHeight="1" x14ac:dyDescent="0.25">
      <c r="A31" s="32"/>
      <c r="B31" s="32"/>
      <c r="C31" s="32"/>
      <c r="D31" s="32"/>
      <c r="E31" s="32"/>
    </row>
    <row r="32" spans="1:20" ht="15" customHeight="1" x14ac:dyDescent="0.25">
      <c r="A32" s="26"/>
      <c r="B32" s="26"/>
      <c r="C32" s="26"/>
      <c r="D32" s="26"/>
      <c r="E32" s="26"/>
    </row>
    <row r="33" spans="1:5" ht="15" customHeight="1" x14ac:dyDescent="0.25">
      <c r="A33" s="26"/>
      <c r="B33" s="26"/>
      <c r="C33" s="26"/>
      <c r="D33" s="26"/>
      <c r="E33" s="26"/>
    </row>
    <row r="34" spans="1:5" ht="15" customHeight="1" x14ac:dyDescent="0.25">
      <c r="A34" s="26"/>
      <c r="B34" s="26"/>
      <c r="C34" s="26"/>
      <c r="D34" s="26"/>
      <c r="E34" s="26"/>
    </row>
    <row r="35" spans="1:5" ht="15" customHeight="1" x14ac:dyDescent="0.25">
      <c r="A35" s="26"/>
      <c r="B35" s="26"/>
      <c r="C35" s="26"/>
      <c r="D35" s="26"/>
      <c r="E35" s="26"/>
    </row>
    <row r="36" spans="1:5" ht="15" customHeight="1" x14ac:dyDescent="0.25">
      <c r="A36" s="26"/>
      <c r="B36" s="26"/>
      <c r="C36" s="26"/>
      <c r="D36" s="26"/>
      <c r="E36" s="26"/>
    </row>
    <row r="37" spans="1:5" ht="15" customHeight="1" x14ac:dyDescent="0.25">
      <c r="A37" s="26"/>
      <c r="B37" s="26"/>
      <c r="C37" s="26"/>
      <c r="D37" s="26"/>
      <c r="E37" s="26"/>
    </row>
    <row r="38" spans="1:5" ht="15" customHeight="1" x14ac:dyDescent="0.25">
      <c r="A38" s="26"/>
      <c r="B38" s="26"/>
      <c r="C38" s="26"/>
      <c r="D38" s="26"/>
      <c r="E38" s="26"/>
    </row>
    <row r="39" spans="1:5" ht="15" customHeight="1" x14ac:dyDescent="0.25">
      <c r="A39" s="26"/>
      <c r="B39" s="26"/>
      <c r="C39" s="26"/>
      <c r="D39" s="26"/>
      <c r="E39" s="26"/>
    </row>
    <row r="40" spans="1:5" ht="15" customHeight="1" x14ac:dyDescent="0.25">
      <c r="A40" s="28"/>
      <c r="B40" s="28"/>
      <c r="C40" s="28"/>
      <c r="D40" s="28"/>
      <c r="E40" s="28"/>
    </row>
    <row r="41" spans="1:5" ht="15" customHeight="1" x14ac:dyDescent="0.25">
      <c r="A41" s="28"/>
      <c r="B41" s="28"/>
      <c r="C41" s="28"/>
      <c r="D41" s="28"/>
      <c r="E41" s="28"/>
    </row>
    <row r="42" spans="1:5" ht="15" customHeight="1" x14ac:dyDescent="0.25">
      <c r="A42" s="29"/>
      <c r="B42" s="29"/>
      <c r="C42" s="29"/>
      <c r="D42" s="29"/>
      <c r="E42" s="28"/>
    </row>
    <row r="43" spans="1:5" ht="15" customHeight="1" x14ac:dyDescent="0.25"/>
    <row r="44" spans="1:5" ht="15" customHeight="1" x14ac:dyDescent="0.25"/>
    <row r="45" spans="1:5" ht="15" customHeight="1" x14ac:dyDescent="0.25"/>
    <row r="46" spans="1:5" ht="15" customHeight="1" x14ac:dyDescent="0.25"/>
    <row r="47" spans="1:5" ht="15" customHeight="1" x14ac:dyDescent="0.25"/>
    <row r="48" spans="1:5"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sheetData>
  <sheetProtection algorithmName="SHA-512" hashValue="zvU3IEX+CsfsmIoKdfNCxwTd2LBjJGXHrCY+0uMSdhEDa/Wjd9GFDl7EdXb+y8b2Ux9dMKU709gjZwsL07WCaA==" saltValue="kNFFzgmSZeZzHiMeL5Srnw==" spinCount="100000" sheet="1" objects="1" scenarios="1"/>
  <conditionalFormatting sqref="C14">
    <cfRule type="expression" dxfId="310" priority="1">
      <formula>OR($C$13="",$C$13=0)</formula>
    </cfRule>
  </conditionalFormatting>
  <dataValidations count="2">
    <dataValidation type="whole" operator="greaterThanOrEqual" allowBlank="1" showInputMessage="1" showErrorMessage="1" prompt="Annual solar PV electricity production estimated using PVWatts Calculator" sqref="C13">
      <formula1>0</formula1>
    </dataValidation>
    <dataValidation type="list" allowBlank="1" showInputMessage="1" showErrorMessage="1" prompt="Sector which will consume the majority of the electricity generated" sqref="C14">
      <formula1>"Commercial, Residential, Transportation"</formula1>
    </dataValidation>
  </dataValidations>
  <pageMargins left="0.7" right="0.7" top="0.98479166666666662" bottom="0.75" header="0.3" footer="0.3"/>
  <pageSetup scale="65" fitToHeight="0" orientation="landscape" r:id="rId1"/>
  <headerFooter>
    <oddFooter>&amp;L&amp;"Avenir LT Std 55 Roman,Regular"&amp;12&amp;K000000FINAL November 1, 2019&amp;C&amp;"Avenir LT Std 55 Roman,Regular"&amp;12Page &amp;P of &amp;N&amp;R&amp;"Avenir LT Std 55 Roman,Regular"&amp;12&amp;K000000&amp;A</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2" tint="-9.9978637043366805E-2"/>
  </sheetPr>
  <dimension ref="B1:X162"/>
  <sheetViews>
    <sheetView showGridLines="0" zoomScaleNormal="100" workbookViewId="0"/>
  </sheetViews>
  <sheetFormatPr defaultColWidth="9.140625" defaultRowHeight="15.75" x14ac:dyDescent="0.25"/>
  <cols>
    <col min="1" max="1" width="4.28515625" style="18" customWidth="1"/>
    <col min="2" max="2" width="74" style="18" customWidth="1"/>
    <col min="3" max="3" width="46.42578125" style="18" customWidth="1"/>
    <col min="4" max="4" width="9.42578125" style="18" customWidth="1"/>
    <col min="5" max="5" width="34.5703125" style="18" bestFit="1" customWidth="1"/>
    <col min="6" max="6" width="19.42578125" style="18" customWidth="1"/>
    <col min="7" max="7" width="16.85546875" style="18" customWidth="1"/>
    <col min="8" max="8" width="14.140625" style="18" customWidth="1"/>
    <col min="9" max="9" width="31.7109375" style="18" customWidth="1"/>
    <col min="10" max="16384" width="9.140625" style="18"/>
  </cols>
  <sheetData>
    <row r="1" spans="2:24" ht="18.75" customHeight="1" x14ac:dyDescent="0.25">
      <c r="B1" s="626"/>
      <c r="C1" s="626"/>
    </row>
    <row r="2" spans="2:24" ht="15" customHeight="1" x14ac:dyDescent="0.25">
      <c r="B2" s="91"/>
      <c r="C2" s="91"/>
    </row>
    <row r="3" spans="2:24" ht="18.75" customHeight="1" x14ac:dyDescent="0.25">
      <c r="B3" s="626"/>
      <c r="C3" s="626"/>
    </row>
    <row r="4" spans="2:24" ht="18.75" customHeight="1" x14ac:dyDescent="0.25">
      <c r="B4" s="628"/>
      <c r="C4" s="628"/>
    </row>
    <row r="5" spans="2:24" ht="15" customHeight="1" x14ac:dyDescent="0.25">
      <c r="B5" s="91"/>
      <c r="C5" s="91"/>
    </row>
    <row r="6" spans="2:24" ht="18.75" customHeight="1" x14ac:dyDescent="0.25">
      <c r="B6" s="626"/>
      <c r="C6" s="626"/>
    </row>
    <row r="7" spans="2:24" ht="15" customHeight="1" x14ac:dyDescent="0.25"/>
    <row r="8" spans="2:24" ht="15" customHeight="1" thickBot="1" x14ac:dyDescent="0.3">
      <c r="B8" s="615" t="s">
        <v>0</v>
      </c>
      <c r="C8" s="615"/>
    </row>
    <row r="9" spans="2:24" ht="18.75" customHeight="1" x14ac:dyDescent="0.25">
      <c r="B9" s="611" t="s">
        <v>1</v>
      </c>
      <c r="C9" s="592" t="str">
        <f>IF(ProjectName="","",ProjectName)</f>
        <v/>
      </c>
    </row>
    <row r="10" spans="2:24" ht="18.75" customHeight="1" x14ac:dyDescent="0.25">
      <c r="B10" s="612" t="s">
        <v>4861</v>
      </c>
      <c r="C10" s="649" t="str">
        <f>IF(AHSCFunds="","",AHSCFunds)</f>
        <v/>
      </c>
    </row>
    <row r="11" spans="2:24" ht="18.75" customHeight="1" x14ac:dyDescent="0.25">
      <c r="B11" s="613" t="s">
        <v>4843</v>
      </c>
      <c r="C11" s="649" t="str">
        <f>IF(OtherGGRFFunds="","",OtherGGRFFunds)</f>
        <v/>
      </c>
    </row>
    <row r="12" spans="2:24" ht="18.75" customHeight="1" thickBot="1" x14ac:dyDescent="0.3">
      <c r="B12" s="614" t="s">
        <v>4808</v>
      </c>
      <c r="C12" s="650" t="str">
        <f>TotalFunds</f>
        <v/>
      </c>
    </row>
    <row r="13" spans="2:24" x14ac:dyDescent="0.25">
      <c r="B13" s="432"/>
      <c r="C13" s="432"/>
      <c r="D13" s="30"/>
      <c r="E13" s="30"/>
      <c r="F13" s="30"/>
      <c r="G13" s="30"/>
      <c r="H13" s="30"/>
      <c r="I13" s="30"/>
      <c r="J13" s="30"/>
      <c r="K13" s="30"/>
      <c r="L13" s="30"/>
      <c r="M13" s="30"/>
      <c r="N13" s="30"/>
      <c r="O13" s="30"/>
      <c r="P13" s="30"/>
      <c r="Q13" s="30"/>
      <c r="R13" s="30"/>
      <c r="S13" s="30"/>
      <c r="T13" s="30"/>
      <c r="U13" s="30"/>
      <c r="V13" s="50"/>
      <c r="W13" s="50"/>
      <c r="X13" s="30"/>
    </row>
    <row r="14" spans="2:24" ht="18.75" customHeight="1" thickBot="1" x14ac:dyDescent="0.3">
      <c r="B14" s="615" t="s">
        <v>2</v>
      </c>
      <c r="C14" s="615"/>
      <c r="D14" s="30"/>
      <c r="E14" s="30"/>
      <c r="F14" s="30"/>
      <c r="G14" s="30"/>
      <c r="H14" s="30"/>
    </row>
    <row r="15" spans="2:24" s="705" customFormat="1" ht="18.75" customHeight="1" x14ac:dyDescent="0.25">
      <c r="B15" s="428" t="s">
        <v>4575</v>
      </c>
      <c r="C15" s="430" t="str">
        <f ca="1">IFERROR(IF(SUM(AHDGHGReductions)+SUM('Active Transportation Inputs'!$S$14:$S$28)+SUM('Transit Inputs'!AG14:AG18)+SUM(SolarGHG)=0,"",SUM(AHDGHGReductions)+SUM('Active Transportation Inputs'!$S$14:$S$28)+SUM('Transit Inputs'!AG14:AG18)+SUM(SolarGHG)),"")</f>
        <v/>
      </c>
      <c r="D15" s="429"/>
      <c r="E15" s="429"/>
      <c r="F15" s="429"/>
      <c r="G15" s="429"/>
      <c r="H15" s="429"/>
    </row>
    <row r="16" spans="2:24" s="705" customFormat="1" ht="18.75" customHeight="1" x14ac:dyDescent="0.25">
      <c r="B16" s="331" t="s">
        <v>4859</v>
      </c>
      <c r="C16" s="447" t="str">
        <f ca="1">IFERROR(IF(TotalGHG="","",TotalGHG*(AHSCFunds/TotalFunds)),"")</f>
        <v/>
      </c>
      <c r="D16" s="429"/>
      <c r="E16" s="429"/>
      <c r="F16" s="429"/>
      <c r="G16" s="429"/>
      <c r="H16" s="429"/>
    </row>
    <row r="17" spans="2:8" s="705" customFormat="1" ht="18.75" customHeight="1" x14ac:dyDescent="0.25">
      <c r="B17" s="616" t="s">
        <v>4576</v>
      </c>
      <c r="C17" s="619" t="str">
        <f ca="1">IFERROR(TotalGHG/TotalFunds,"")</f>
        <v/>
      </c>
      <c r="D17" s="429"/>
      <c r="E17" s="429"/>
      <c r="F17" s="429"/>
      <c r="G17" s="429"/>
      <c r="H17" s="429"/>
    </row>
    <row r="18" spans="2:8" s="705" customFormat="1" ht="18.75" customHeight="1" thickBot="1" x14ac:dyDescent="0.3">
      <c r="B18" s="617" t="s">
        <v>4860</v>
      </c>
      <c r="C18" s="618" t="str">
        <f ca="1">IFERROR(TotalGHG/AHSCFunds,"")</f>
        <v/>
      </c>
      <c r="D18" s="429"/>
      <c r="E18" s="429"/>
      <c r="F18" s="429"/>
      <c r="G18" s="429"/>
      <c r="H18" s="429"/>
    </row>
    <row r="19" spans="2:8" ht="15" customHeight="1" x14ac:dyDescent="0.25">
      <c r="B19" s="25"/>
      <c r="C19" s="25"/>
      <c r="D19" s="30"/>
      <c r="E19" s="30"/>
      <c r="F19" s="30"/>
      <c r="G19" s="30"/>
      <c r="H19" s="30"/>
    </row>
    <row r="20" spans="2:8" ht="15" customHeight="1" x14ac:dyDescent="0.25">
      <c r="B20" s="25"/>
      <c r="C20" s="25"/>
      <c r="D20" s="30"/>
      <c r="E20" s="30"/>
      <c r="F20" s="30"/>
      <c r="G20" s="30"/>
      <c r="H20" s="30"/>
    </row>
    <row r="21" spans="2:8" ht="15" customHeight="1" x14ac:dyDescent="0.25">
      <c r="B21" s="25"/>
      <c r="C21" s="25"/>
      <c r="D21" s="30"/>
      <c r="E21" s="30"/>
      <c r="F21" s="30"/>
      <c r="G21" s="30"/>
      <c r="H21" s="30"/>
    </row>
    <row r="22" spans="2:8" ht="15" customHeight="1" x14ac:dyDescent="0.25">
      <c r="B22" s="25"/>
      <c r="C22" s="25"/>
      <c r="D22" s="30"/>
      <c r="E22" s="30"/>
      <c r="F22" s="30"/>
      <c r="G22" s="30"/>
      <c r="H22" s="30"/>
    </row>
    <row r="23" spans="2:8" ht="15" customHeight="1" x14ac:dyDescent="0.25">
      <c r="B23" s="25"/>
      <c r="C23" s="25"/>
      <c r="D23" s="30"/>
      <c r="E23" s="30"/>
      <c r="F23" s="30"/>
      <c r="G23" s="30"/>
      <c r="H23" s="30"/>
    </row>
    <row r="24" spans="2:8" ht="15" customHeight="1" x14ac:dyDescent="0.25">
      <c r="B24" s="25"/>
      <c r="C24" s="25"/>
      <c r="D24" s="30"/>
      <c r="E24" s="30"/>
      <c r="F24" s="30"/>
      <c r="G24" s="30"/>
      <c r="H24" s="30"/>
    </row>
    <row r="25" spans="2:8" ht="15" customHeight="1" x14ac:dyDescent="0.25">
      <c r="B25" s="15"/>
      <c r="C25" s="15"/>
      <c r="D25" s="30"/>
      <c r="E25" s="30"/>
      <c r="F25" s="30"/>
      <c r="G25" s="30"/>
      <c r="H25" s="30"/>
    </row>
    <row r="26" spans="2:8" ht="15" customHeight="1" x14ac:dyDescent="0.25">
      <c r="B26" s="32"/>
      <c r="C26" s="32"/>
      <c r="D26" s="30"/>
      <c r="E26" s="30"/>
      <c r="F26" s="30"/>
      <c r="G26" s="30"/>
      <c r="H26" s="30"/>
    </row>
    <row r="27" spans="2:8" ht="15" customHeight="1" x14ac:dyDescent="0.25">
      <c r="B27" s="26"/>
      <c r="C27" s="26"/>
      <c r="D27" s="30"/>
      <c r="E27" s="30"/>
      <c r="F27" s="30"/>
      <c r="G27" s="30"/>
      <c r="H27" s="30"/>
    </row>
    <row r="28" spans="2:8" ht="15" customHeight="1" x14ac:dyDescent="0.25">
      <c r="B28" s="26"/>
      <c r="C28" s="26"/>
      <c r="D28" s="30"/>
      <c r="E28" s="30"/>
      <c r="F28" s="30"/>
      <c r="G28" s="30"/>
      <c r="H28" s="30"/>
    </row>
    <row r="29" spans="2:8" ht="15" customHeight="1" x14ac:dyDescent="0.25">
      <c r="B29" s="26"/>
      <c r="C29" s="26"/>
      <c r="D29" s="30"/>
      <c r="E29" s="30"/>
      <c r="F29" s="30"/>
      <c r="G29" s="30"/>
      <c r="H29" s="30"/>
    </row>
    <row r="30" spans="2:8" ht="15" customHeight="1" x14ac:dyDescent="0.25">
      <c r="B30" s="26"/>
      <c r="C30" s="26"/>
      <c r="D30" s="30"/>
      <c r="E30" s="30"/>
      <c r="F30" s="30"/>
      <c r="G30" s="30"/>
      <c r="H30" s="30"/>
    </row>
    <row r="31" spans="2:8" ht="15" customHeight="1" x14ac:dyDescent="0.25">
      <c r="B31" s="26"/>
      <c r="C31" s="26"/>
      <c r="D31" s="30"/>
      <c r="E31" s="30"/>
      <c r="F31" s="30"/>
      <c r="G31" s="30"/>
      <c r="H31" s="30"/>
    </row>
    <row r="32" spans="2:8" ht="15" customHeight="1" x14ac:dyDescent="0.25">
      <c r="B32" s="26"/>
      <c r="C32" s="26"/>
      <c r="D32" s="30"/>
      <c r="E32" s="30"/>
      <c r="F32" s="30"/>
      <c r="G32" s="30"/>
      <c r="H32" s="30"/>
    </row>
    <row r="33" spans="2:8" ht="15" customHeight="1" x14ac:dyDescent="0.25">
      <c r="B33" s="26"/>
      <c r="C33" s="26"/>
      <c r="D33" s="30"/>
      <c r="E33" s="30"/>
      <c r="F33" s="30"/>
      <c r="G33" s="30"/>
      <c r="H33" s="30"/>
    </row>
    <row r="34" spans="2:8" ht="15" customHeight="1" x14ac:dyDescent="0.25">
      <c r="B34" s="26"/>
      <c r="C34" s="26"/>
      <c r="D34" s="30"/>
      <c r="E34" s="30"/>
      <c r="F34" s="30"/>
      <c r="G34" s="30"/>
      <c r="H34" s="30"/>
    </row>
    <row r="35" spans="2:8" ht="15" customHeight="1" x14ac:dyDescent="0.25">
      <c r="B35" s="28"/>
      <c r="C35" s="28"/>
      <c r="D35" s="30"/>
      <c r="E35" s="30"/>
      <c r="F35" s="30"/>
      <c r="G35" s="30"/>
      <c r="H35" s="30"/>
    </row>
    <row r="36" spans="2:8" ht="15" customHeight="1" x14ac:dyDescent="0.25">
      <c r="B36" s="28"/>
      <c r="C36" s="28"/>
      <c r="D36" s="30"/>
      <c r="E36" s="30"/>
      <c r="F36" s="30"/>
      <c r="G36" s="30"/>
      <c r="H36" s="30"/>
    </row>
    <row r="37" spans="2:8" ht="15" customHeight="1" x14ac:dyDescent="0.25">
      <c r="B37" s="29"/>
      <c r="C37" s="29"/>
      <c r="D37" s="30"/>
      <c r="E37" s="30"/>
      <c r="F37" s="30"/>
      <c r="G37" s="30"/>
      <c r="H37" s="30"/>
    </row>
    <row r="38" spans="2:8" ht="15" customHeight="1" x14ac:dyDescent="0.25">
      <c r="D38" s="30"/>
      <c r="E38" s="30"/>
      <c r="F38" s="30"/>
      <c r="G38" s="30"/>
      <c r="H38" s="30"/>
    </row>
    <row r="39" spans="2:8" ht="15" customHeight="1" x14ac:dyDescent="0.25">
      <c r="D39" s="30"/>
      <c r="E39" s="30"/>
      <c r="F39" s="30"/>
      <c r="G39" s="30"/>
      <c r="H39" s="30"/>
    </row>
    <row r="40" spans="2:8" ht="15" customHeight="1" x14ac:dyDescent="0.25">
      <c r="D40" s="30"/>
      <c r="E40" s="30"/>
      <c r="F40" s="30"/>
      <c r="G40" s="30"/>
      <c r="H40" s="30"/>
    </row>
    <row r="41" spans="2:8" ht="15" customHeight="1" x14ac:dyDescent="0.25">
      <c r="D41" s="30"/>
      <c r="E41" s="30"/>
      <c r="F41" s="30"/>
      <c r="G41" s="30"/>
      <c r="H41" s="30"/>
    </row>
    <row r="42" spans="2:8" ht="15" customHeight="1" x14ac:dyDescent="0.25">
      <c r="D42" s="30"/>
      <c r="E42" s="30"/>
      <c r="F42" s="30"/>
      <c r="G42" s="30"/>
      <c r="H42" s="30"/>
    </row>
    <row r="43" spans="2:8" ht="15" customHeight="1" x14ac:dyDescent="0.25">
      <c r="D43" s="30"/>
      <c r="E43" s="30"/>
      <c r="F43" s="30"/>
      <c r="G43" s="30"/>
      <c r="H43" s="30"/>
    </row>
    <row r="44" spans="2:8" ht="15" customHeight="1" x14ac:dyDescent="0.25">
      <c r="D44" s="30"/>
      <c r="E44" s="30"/>
      <c r="F44" s="30"/>
      <c r="G44" s="30"/>
      <c r="H44" s="30"/>
    </row>
    <row r="45" spans="2:8" ht="15" customHeight="1" x14ac:dyDescent="0.25">
      <c r="D45" s="30"/>
      <c r="E45" s="30"/>
      <c r="F45" s="30"/>
      <c r="G45" s="30"/>
      <c r="H45" s="30"/>
    </row>
    <row r="46" spans="2:8" ht="15" customHeight="1" x14ac:dyDescent="0.25">
      <c r="D46" s="30"/>
      <c r="E46" s="30"/>
      <c r="F46" s="30"/>
      <c r="G46" s="30"/>
      <c r="H46" s="30"/>
    </row>
    <row r="47" spans="2:8" ht="15" customHeight="1" x14ac:dyDescent="0.25">
      <c r="D47" s="30"/>
      <c r="E47" s="30"/>
      <c r="F47" s="30"/>
      <c r="G47" s="30"/>
      <c r="H47" s="30"/>
    </row>
    <row r="48" spans="2:8" ht="15" customHeight="1" x14ac:dyDescent="0.25">
      <c r="D48" s="30"/>
      <c r="E48" s="30"/>
      <c r="F48" s="30"/>
      <c r="G48" s="30"/>
      <c r="H48" s="30"/>
    </row>
    <row r="49" spans="4:8" ht="15" customHeight="1" x14ac:dyDescent="0.25">
      <c r="D49" s="30"/>
      <c r="E49" s="30"/>
      <c r="F49" s="30"/>
      <c r="G49" s="30"/>
      <c r="H49" s="30"/>
    </row>
    <row r="50" spans="4:8" ht="15" customHeight="1" x14ac:dyDescent="0.25">
      <c r="D50" s="30"/>
      <c r="E50" s="30"/>
      <c r="F50" s="30"/>
      <c r="G50" s="30"/>
      <c r="H50" s="30"/>
    </row>
    <row r="51" spans="4:8" ht="15" customHeight="1" x14ac:dyDescent="0.25">
      <c r="D51" s="30"/>
      <c r="E51" s="30"/>
      <c r="F51" s="30"/>
      <c r="G51" s="30"/>
      <c r="H51" s="30"/>
    </row>
    <row r="52" spans="4:8" ht="15" customHeight="1" x14ac:dyDescent="0.25">
      <c r="D52" s="30"/>
      <c r="E52" s="30"/>
      <c r="F52" s="30"/>
      <c r="G52" s="30"/>
      <c r="H52" s="30"/>
    </row>
    <row r="53" spans="4:8" ht="15" customHeight="1" x14ac:dyDescent="0.25">
      <c r="D53" s="30"/>
      <c r="E53" s="30"/>
      <c r="F53" s="30"/>
      <c r="G53" s="30"/>
      <c r="H53" s="30"/>
    </row>
    <row r="54" spans="4:8" ht="15" customHeight="1" x14ac:dyDescent="0.25">
      <c r="D54" s="30"/>
      <c r="E54" s="30"/>
      <c r="F54" s="30"/>
      <c r="G54" s="30"/>
      <c r="H54" s="30"/>
    </row>
    <row r="55" spans="4:8" ht="15" customHeight="1" x14ac:dyDescent="0.25">
      <c r="D55" s="30"/>
      <c r="E55" s="30"/>
      <c r="F55" s="30"/>
      <c r="G55" s="30"/>
      <c r="H55" s="30"/>
    </row>
    <row r="56" spans="4:8" ht="15" customHeight="1" x14ac:dyDescent="0.25">
      <c r="D56" s="30"/>
      <c r="E56" s="30"/>
      <c r="F56" s="30"/>
      <c r="G56" s="30"/>
      <c r="H56" s="30"/>
    </row>
    <row r="57" spans="4:8" ht="15" customHeight="1" x14ac:dyDescent="0.25">
      <c r="D57" s="30"/>
      <c r="E57" s="30"/>
      <c r="F57" s="30"/>
      <c r="G57" s="30"/>
      <c r="H57" s="30"/>
    </row>
    <row r="58" spans="4:8" x14ac:dyDescent="0.25">
      <c r="D58" s="30"/>
      <c r="E58" s="30"/>
      <c r="F58" s="30"/>
      <c r="G58" s="30"/>
      <c r="H58" s="30"/>
    </row>
    <row r="59" spans="4:8" x14ac:dyDescent="0.25">
      <c r="D59" s="30"/>
      <c r="E59" s="30"/>
      <c r="F59" s="30"/>
      <c r="G59" s="30"/>
      <c r="H59" s="30"/>
    </row>
    <row r="60" spans="4:8" x14ac:dyDescent="0.25">
      <c r="D60" s="30"/>
      <c r="E60" s="30"/>
      <c r="F60" s="30"/>
      <c r="G60" s="30"/>
      <c r="H60" s="30"/>
    </row>
    <row r="61" spans="4:8" x14ac:dyDescent="0.25">
      <c r="D61" s="30"/>
      <c r="E61" s="30"/>
      <c r="F61" s="30"/>
      <c r="G61" s="30"/>
      <c r="H61" s="30"/>
    </row>
    <row r="62" spans="4:8" x14ac:dyDescent="0.25">
      <c r="D62" s="30"/>
      <c r="E62" s="30"/>
      <c r="F62" s="30"/>
      <c r="G62" s="30"/>
      <c r="H62" s="30"/>
    </row>
    <row r="63" spans="4:8" x14ac:dyDescent="0.25">
      <c r="D63" s="30"/>
      <c r="E63" s="30"/>
      <c r="F63" s="30"/>
      <c r="G63" s="30"/>
      <c r="H63" s="30"/>
    </row>
    <row r="64" spans="4:8" x14ac:dyDescent="0.25">
      <c r="D64" s="30"/>
      <c r="E64" s="30"/>
      <c r="F64" s="30"/>
      <c r="G64" s="30"/>
      <c r="H64" s="30"/>
    </row>
    <row r="65" spans="4:8" x14ac:dyDescent="0.25">
      <c r="D65" s="30"/>
      <c r="E65" s="30"/>
      <c r="F65" s="30"/>
      <c r="G65" s="30"/>
      <c r="H65" s="30"/>
    </row>
    <row r="66" spans="4:8" x14ac:dyDescent="0.25">
      <c r="D66" s="30"/>
      <c r="E66" s="30"/>
      <c r="F66" s="30"/>
      <c r="G66" s="30"/>
      <c r="H66" s="30"/>
    </row>
    <row r="67" spans="4:8" x14ac:dyDescent="0.25">
      <c r="D67" s="30"/>
      <c r="E67" s="30"/>
      <c r="F67" s="30"/>
      <c r="G67" s="30"/>
      <c r="H67" s="30"/>
    </row>
    <row r="68" spans="4:8" x14ac:dyDescent="0.25">
      <c r="D68" s="30"/>
      <c r="E68" s="30"/>
      <c r="F68" s="30"/>
      <c r="G68" s="30"/>
      <c r="H68" s="30"/>
    </row>
    <row r="69" spans="4:8" x14ac:dyDescent="0.25">
      <c r="D69" s="30"/>
      <c r="E69" s="30"/>
      <c r="F69" s="30"/>
      <c r="G69" s="30"/>
      <c r="H69" s="30"/>
    </row>
    <row r="70" spans="4:8" x14ac:dyDescent="0.25">
      <c r="D70" s="30"/>
      <c r="E70" s="30"/>
      <c r="F70" s="30"/>
      <c r="G70" s="30"/>
      <c r="H70" s="30"/>
    </row>
    <row r="71" spans="4:8" x14ac:dyDescent="0.25">
      <c r="D71" s="30"/>
      <c r="E71" s="30"/>
      <c r="F71" s="30"/>
      <c r="G71" s="30"/>
      <c r="H71" s="30"/>
    </row>
    <row r="72" spans="4:8" x14ac:dyDescent="0.25">
      <c r="D72" s="30"/>
      <c r="E72" s="30"/>
      <c r="F72" s="30"/>
      <c r="G72" s="30"/>
      <c r="H72" s="30"/>
    </row>
    <row r="73" spans="4:8" x14ac:dyDescent="0.25">
      <c r="D73" s="30"/>
      <c r="E73" s="30"/>
      <c r="F73" s="30"/>
      <c r="G73" s="30"/>
      <c r="H73" s="30"/>
    </row>
    <row r="74" spans="4:8" x14ac:dyDescent="0.25">
      <c r="D74" s="30"/>
      <c r="E74" s="30"/>
      <c r="F74" s="30"/>
      <c r="G74" s="30"/>
      <c r="H74" s="30"/>
    </row>
    <row r="75" spans="4:8" x14ac:dyDescent="0.25">
      <c r="D75" s="30"/>
      <c r="E75" s="30"/>
      <c r="F75" s="30"/>
      <c r="G75" s="30"/>
      <c r="H75" s="30"/>
    </row>
    <row r="76" spans="4:8" x14ac:dyDescent="0.25">
      <c r="D76" s="30"/>
      <c r="E76" s="30"/>
      <c r="F76" s="30"/>
      <c r="G76" s="30"/>
      <c r="H76" s="30"/>
    </row>
    <row r="77" spans="4:8" x14ac:dyDescent="0.25">
      <c r="D77" s="30"/>
      <c r="E77" s="30"/>
      <c r="F77" s="30"/>
      <c r="G77" s="30"/>
      <c r="H77" s="30"/>
    </row>
    <row r="78" spans="4:8" x14ac:dyDescent="0.25">
      <c r="D78" s="30"/>
      <c r="E78" s="30"/>
      <c r="F78" s="30"/>
      <c r="G78" s="30"/>
      <c r="H78" s="30"/>
    </row>
    <row r="79" spans="4:8" x14ac:dyDescent="0.25">
      <c r="D79" s="30"/>
      <c r="E79" s="30"/>
      <c r="F79" s="30"/>
      <c r="G79" s="30"/>
      <c r="H79" s="30"/>
    </row>
    <row r="80" spans="4:8" x14ac:dyDescent="0.25">
      <c r="D80" s="30"/>
      <c r="E80" s="30"/>
      <c r="F80" s="30"/>
      <c r="G80" s="30"/>
      <c r="H80" s="30"/>
    </row>
    <row r="81" spans="4:8" x14ac:dyDescent="0.25">
      <c r="D81" s="30"/>
      <c r="E81" s="30"/>
      <c r="F81" s="30"/>
      <c r="G81" s="30"/>
      <c r="H81" s="30"/>
    </row>
    <row r="82" spans="4:8" x14ac:dyDescent="0.25">
      <c r="D82" s="30"/>
      <c r="E82" s="30"/>
      <c r="F82" s="30"/>
      <c r="G82" s="30"/>
      <c r="H82" s="30"/>
    </row>
    <row r="83" spans="4:8" x14ac:dyDescent="0.25">
      <c r="D83" s="30"/>
      <c r="E83" s="30"/>
      <c r="F83" s="30"/>
      <c r="G83" s="30"/>
      <c r="H83" s="30"/>
    </row>
    <row r="84" spans="4:8" x14ac:dyDescent="0.25">
      <c r="D84" s="30"/>
      <c r="E84" s="30"/>
      <c r="F84" s="30"/>
      <c r="G84" s="30"/>
      <c r="H84" s="30"/>
    </row>
    <row r="85" spans="4:8" x14ac:dyDescent="0.25">
      <c r="D85" s="30"/>
      <c r="E85" s="30"/>
      <c r="F85" s="30"/>
      <c r="G85" s="30"/>
      <c r="H85" s="30"/>
    </row>
    <row r="86" spans="4:8" x14ac:dyDescent="0.25">
      <c r="D86" s="30"/>
      <c r="E86" s="30"/>
      <c r="F86" s="30"/>
      <c r="G86" s="30"/>
      <c r="H86" s="30"/>
    </row>
    <row r="87" spans="4:8" x14ac:dyDescent="0.25">
      <c r="D87" s="30"/>
      <c r="E87" s="30"/>
      <c r="F87" s="30"/>
      <c r="G87" s="30"/>
      <c r="H87" s="30"/>
    </row>
    <row r="88" spans="4:8" x14ac:dyDescent="0.25">
      <c r="D88" s="30"/>
      <c r="E88" s="30"/>
      <c r="F88" s="30"/>
      <c r="G88" s="30"/>
      <c r="H88" s="30"/>
    </row>
    <row r="89" spans="4:8" x14ac:dyDescent="0.25">
      <c r="D89" s="30"/>
      <c r="E89" s="30"/>
      <c r="F89" s="30"/>
      <c r="G89" s="30"/>
      <c r="H89" s="30"/>
    </row>
    <row r="90" spans="4:8" x14ac:dyDescent="0.25">
      <c r="D90" s="30"/>
      <c r="E90" s="30"/>
      <c r="F90" s="30"/>
      <c r="G90" s="30"/>
      <c r="H90" s="30"/>
    </row>
    <row r="91" spans="4:8" x14ac:dyDescent="0.25">
      <c r="D91" s="30"/>
      <c r="E91" s="30"/>
      <c r="F91" s="30"/>
      <c r="G91" s="30"/>
      <c r="H91" s="30"/>
    </row>
    <row r="92" spans="4:8" x14ac:dyDescent="0.25">
      <c r="D92" s="30"/>
      <c r="E92" s="30"/>
      <c r="F92" s="30"/>
      <c r="G92" s="30"/>
      <c r="H92" s="30"/>
    </row>
    <row r="93" spans="4:8" x14ac:dyDescent="0.25">
      <c r="D93" s="30"/>
      <c r="E93" s="30"/>
      <c r="F93" s="30"/>
      <c r="G93" s="30"/>
      <c r="H93" s="30"/>
    </row>
    <row r="94" spans="4:8" x14ac:dyDescent="0.25">
      <c r="D94" s="30"/>
      <c r="E94" s="30"/>
      <c r="F94" s="30"/>
      <c r="G94" s="30"/>
      <c r="H94" s="30"/>
    </row>
    <row r="95" spans="4:8" x14ac:dyDescent="0.25">
      <c r="D95" s="30"/>
      <c r="E95" s="30"/>
      <c r="F95" s="30"/>
      <c r="G95" s="30"/>
      <c r="H95" s="30"/>
    </row>
    <row r="96" spans="4:8" x14ac:dyDescent="0.25">
      <c r="D96" s="30"/>
      <c r="E96" s="30"/>
      <c r="F96" s="30"/>
      <c r="G96" s="30"/>
      <c r="H96" s="30"/>
    </row>
    <row r="97" spans="4:8" x14ac:dyDescent="0.25">
      <c r="D97" s="30"/>
      <c r="E97" s="30"/>
      <c r="F97" s="30"/>
      <c r="G97" s="30"/>
      <c r="H97" s="30"/>
    </row>
    <row r="98" spans="4:8" x14ac:dyDescent="0.25">
      <c r="D98" s="30"/>
      <c r="E98" s="30"/>
      <c r="F98" s="30"/>
      <c r="G98" s="30"/>
      <c r="H98" s="30"/>
    </row>
    <row r="99" spans="4:8" x14ac:dyDescent="0.25">
      <c r="D99" s="30"/>
      <c r="E99" s="30"/>
      <c r="F99" s="30"/>
      <c r="G99" s="30"/>
      <c r="H99" s="30"/>
    </row>
    <row r="100" spans="4:8" x14ac:dyDescent="0.25">
      <c r="D100" s="30"/>
      <c r="E100" s="30"/>
      <c r="F100" s="30"/>
      <c r="G100" s="30"/>
      <c r="H100" s="30"/>
    </row>
    <row r="101" spans="4:8" x14ac:dyDescent="0.25">
      <c r="D101" s="30"/>
      <c r="E101" s="30"/>
      <c r="F101" s="30"/>
      <c r="G101" s="30"/>
      <c r="H101" s="30"/>
    </row>
    <row r="102" spans="4:8" x14ac:dyDescent="0.25">
      <c r="D102" s="30"/>
      <c r="E102" s="30"/>
      <c r="F102" s="30"/>
      <c r="G102" s="30"/>
      <c r="H102" s="30"/>
    </row>
    <row r="103" spans="4:8" x14ac:dyDescent="0.25">
      <c r="D103" s="30"/>
      <c r="E103" s="30"/>
      <c r="F103" s="30"/>
      <c r="G103" s="30"/>
      <c r="H103" s="30"/>
    </row>
    <row r="104" spans="4:8" x14ac:dyDescent="0.25">
      <c r="D104" s="30"/>
      <c r="E104" s="30"/>
      <c r="F104" s="30"/>
      <c r="G104" s="30"/>
      <c r="H104" s="30"/>
    </row>
    <row r="105" spans="4:8" x14ac:dyDescent="0.25">
      <c r="D105" s="30"/>
      <c r="E105" s="30"/>
      <c r="F105" s="30"/>
      <c r="G105" s="30"/>
      <c r="H105" s="30"/>
    </row>
    <row r="106" spans="4:8" x14ac:dyDescent="0.25">
      <c r="D106" s="30"/>
      <c r="E106" s="30"/>
      <c r="F106" s="30"/>
      <c r="G106" s="30"/>
      <c r="H106" s="30"/>
    </row>
    <row r="107" spans="4:8" x14ac:dyDescent="0.25">
      <c r="D107" s="30"/>
      <c r="E107" s="30"/>
      <c r="F107" s="30"/>
      <c r="G107" s="30"/>
      <c r="H107" s="30"/>
    </row>
    <row r="108" spans="4:8" x14ac:dyDescent="0.25">
      <c r="D108" s="30"/>
      <c r="E108" s="30"/>
      <c r="F108" s="30"/>
      <c r="G108" s="30"/>
      <c r="H108" s="30"/>
    </row>
    <row r="109" spans="4:8" x14ac:dyDescent="0.25">
      <c r="D109" s="30"/>
      <c r="E109" s="30"/>
      <c r="F109" s="30"/>
      <c r="G109" s="30"/>
      <c r="H109" s="30"/>
    </row>
    <row r="110" spans="4:8" x14ac:dyDescent="0.25">
      <c r="D110" s="30"/>
      <c r="E110" s="30"/>
      <c r="F110" s="30"/>
      <c r="G110" s="30"/>
      <c r="H110" s="30"/>
    </row>
    <row r="111" spans="4:8" x14ac:dyDescent="0.25">
      <c r="D111" s="30"/>
      <c r="E111" s="30"/>
      <c r="F111" s="30"/>
      <c r="G111" s="30"/>
      <c r="H111" s="30"/>
    </row>
    <row r="112" spans="4:8" x14ac:dyDescent="0.25">
      <c r="D112" s="30"/>
      <c r="E112" s="30"/>
      <c r="F112" s="30"/>
      <c r="G112" s="30"/>
      <c r="H112" s="30"/>
    </row>
    <row r="113" spans="4:8" x14ac:dyDescent="0.25">
      <c r="D113" s="30"/>
      <c r="E113" s="30"/>
      <c r="F113" s="30"/>
      <c r="G113" s="30"/>
      <c r="H113" s="30"/>
    </row>
    <row r="114" spans="4:8" x14ac:dyDescent="0.25">
      <c r="D114" s="30"/>
      <c r="E114" s="30"/>
      <c r="F114" s="30"/>
      <c r="G114" s="30"/>
      <c r="H114" s="30"/>
    </row>
    <row r="115" spans="4:8" x14ac:dyDescent="0.25">
      <c r="D115" s="30"/>
      <c r="E115" s="30"/>
      <c r="F115" s="30"/>
      <c r="G115" s="30"/>
      <c r="H115" s="30"/>
    </row>
    <row r="116" spans="4:8" x14ac:dyDescent="0.25">
      <c r="D116" s="30"/>
      <c r="E116" s="30"/>
      <c r="F116" s="30"/>
      <c r="G116" s="30"/>
      <c r="H116" s="30"/>
    </row>
    <row r="117" spans="4:8" x14ac:dyDescent="0.25">
      <c r="D117" s="30"/>
      <c r="E117" s="30"/>
      <c r="F117" s="30"/>
      <c r="G117" s="30"/>
      <c r="H117" s="30"/>
    </row>
    <row r="118" spans="4:8" x14ac:dyDescent="0.25">
      <c r="D118" s="30"/>
      <c r="E118" s="30"/>
      <c r="F118" s="30"/>
      <c r="G118" s="30"/>
      <c r="H118" s="30"/>
    </row>
    <row r="119" spans="4:8" x14ac:dyDescent="0.25">
      <c r="D119" s="30"/>
      <c r="E119" s="30"/>
      <c r="F119" s="30"/>
      <c r="G119" s="30"/>
      <c r="H119" s="30"/>
    </row>
    <row r="120" spans="4:8" x14ac:dyDescent="0.25">
      <c r="D120" s="30"/>
      <c r="E120" s="30"/>
      <c r="F120" s="30"/>
      <c r="G120" s="30"/>
      <c r="H120" s="30"/>
    </row>
    <row r="121" spans="4:8" x14ac:dyDescent="0.25">
      <c r="D121" s="30"/>
      <c r="E121" s="30"/>
      <c r="F121" s="30"/>
      <c r="G121" s="30"/>
      <c r="H121" s="30"/>
    </row>
    <row r="122" spans="4:8" x14ac:dyDescent="0.25">
      <c r="D122" s="30"/>
      <c r="E122" s="30"/>
      <c r="F122" s="30"/>
      <c r="G122" s="30"/>
      <c r="H122" s="30"/>
    </row>
    <row r="123" spans="4:8" x14ac:dyDescent="0.25">
      <c r="D123" s="30"/>
      <c r="E123" s="30"/>
      <c r="F123" s="30"/>
      <c r="G123" s="30"/>
      <c r="H123" s="30"/>
    </row>
    <row r="124" spans="4:8" x14ac:dyDescent="0.25">
      <c r="D124" s="30"/>
      <c r="E124" s="30"/>
      <c r="F124" s="30"/>
      <c r="G124" s="30"/>
      <c r="H124" s="30"/>
    </row>
    <row r="125" spans="4:8" x14ac:dyDescent="0.25">
      <c r="D125" s="30"/>
      <c r="E125" s="30"/>
      <c r="F125" s="30"/>
      <c r="G125" s="30"/>
      <c r="H125" s="30"/>
    </row>
    <row r="126" spans="4:8" x14ac:dyDescent="0.25">
      <c r="D126" s="30"/>
      <c r="E126" s="30"/>
      <c r="F126" s="30"/>
      <c r="G126" s="30"/>
      <c r="H126" s="30"/>
    </row>
    <row r="127" spans="4:8" x14ac:dyDescent="0.25">
      <c r="D127" s="30"/>
      <c r="E127" s="30"/>
      <c r="F127" s="30"/>
      <c r="G127" s="30"/>
      <c r="H127" s="30"/>
    </row>
    <row r="128" spans="4:8" x14ac:dyDescent="0.25">
      <c r="D128" s="30"/>
      <c r="E128" s="30"/>
      <c r="F128" s="30"/>
      <c r="G128" s="30"/>
      <c r="H128" s="30"/>
    </row>
    <row r="129" spans="4:8" x14ac:dyDescent="0.25">
      <c r="D129" s="30"/>
      <c r="E129" s="30"/>
      <c r="F129" s="30"/>
      <c r="G129" s="30"/>
      <c r="H129" s="30"/>
    </row>
    <row r="130" spans="4:8" x14ac:dyDescent="0.25">
      <c r="D130" s="30"/>
      <c r="E130" s="30"/>
      <c r="F130" s="30"/>
      <c r="G130" s="30"/>
      <c r="H130" s="30"/>
    </row>
    <row r="131" spans="4:8" x14ac:dyDescent="0.25">
      <c r="D131" s="30"/>
      <c r="E131" s="30"/>
      <c r="F131" s="30"/>
      <c r="G131" s="30"/>
      <c r="H131" s="30"/>
    </row>
    <row r="132" spans="4:8" x14ac:dyDescent="0.25">
      <c r="D132" s="30"/>
      <c r="E132" s="30"/>
      <c r="F132" s="30"/>
      <c r="G132" s="30"/>
      <c r="H132" s="30"/>
    </row>
    <row r="133" spans="4:8" x14ac:dyDescent="0.25">
      <c r="D133" s="30"/>
      <c r="E133" s="30"/>
      <c r="F133" s="30"/>
      <c r="G133" s="30"/>
      <c r="H133" s="30"/>
    </row>
    <row r="134" spans="4:8" x14ac:dyDescent="0.25">
      <c r="D134" s="30"/>
      <c r="E134" s="30"/>
      <c r="F134" s="30"/>
      <c r="G134" s="30"/>
      <c r="H134" s="30"/>
    </row>
    <row r="135" spans="4:8" x14ac:dyDescent="0.25">
      <c r="D135" s="30"/>
      <c r="E135" s="30"/>
      <c r="F135" s="30"/>
      <c r="G135" s="30"/>
      <c r="H135" s="30"/>
    </row>
    <row r="136" spans="4:8" x14ac:dyDescent="0.25">
      <c r="D136" s="30"/>
      <c r="E136" s="30"/>
      <c r="F136" s="30"/>
      <c r="G136" s="30"/>
      <c r="H136" s="30"/>
    </row>
    <row r="137" spans="4:8" x14ac:dyDescent="0.25">
      <c r="D137" s="30"/>
      <c r="E137" s="30"/>
      <c r="F137" s="30"/>
      <c r="G137" s="30"/>
      <c r="H137" s="30"/>
    </row>
    <row r="138" spans="4:8" x14ac:dyDescent="0.25">
      <c r="D138" s="30"/>
      <c r="E138" s="30"/>
      <c r="F138" s="30"/>
      <c r="G138" s="30"/>
      <c r="H138" s="30"/>
    </row>
    <row r="139" spans="4:8" x14ac:dyDescent="0.25">
      <c r="D139" s="30"/>
      <c r="E139" s="30"/>
      <c r="F139" s="30"/>
      <c r="G139" s="30"/>
      <c r="H139" s="30"/>
    </row>
    <row r="140" spans="4:8" x14ac:dyDescent="0.25">
      <c r="D140" s="30"/>
      <c r="E140" s="30"/>
      <c r="F140" s="30"/>
      <c r="G140" s="30"/>
      <c r="H140" s="30"/>
    </row>
    <row r="141" spans="4:8" x14ac:dyDescent="0.25">
      <c r="D141" s="30"/>
      <c r="E141" s="30"/>
      <c r="F141" s="30"/>
      <c r="G141" s="30"/>
      <c r="H141" s="30"/>
    </row>
    <row r="142" spans="4:8" x14ac:dyDescent="0.25">
      <c r="D142" s="30"/>
      <c r="E142" s="30"/>
      <c r="F142" s="30"/>
      <c r="G142" s="30"/>
      <c r="H142" s="30"/>
    </row>
    <row r="143" spans="4:8" x14ac:dyDescent="0.25">
      <c r="D143" s="30"/>
      <c r="E143" s="30"/>
      <c r="F143" s="30"/>
      <c r="G143" s="30"/>
      <c r="H143" s="30"/>
    </row>
    <row r="144" spans="4:8" x14ac:dyDescent="0.25">
      <c r="D144" s="30"/>
      <c r="E144" s="30"/>
      <c r="F144" s="30"/>
      <c r="G144" s="30"/>
      <c r="H144" s="30"/>
    </row>
    <row r="145" spans="4:8" x14ac:dyDescent="0.25">
      <c r="D145" s="30"/>
      <c r="E145" s="30"/>
      <c r="F145" s="30"/>
      <c r="G145" s="30"/>
      <c r="H145" s="30"/>
    </row>
    <row r="146" spans="4:8" x14ac:dyDescent="0.25">
      <c r="D146" s="30"/>
      <c r="E146" s="30"/>
      <c r="F146" s="30"/>
      <c r="G146" s="30"/>
      <c r="H146" s="30"/>
    </row>
    <row r="147" spans="4:8" x14ac:dyDescent="0.25">
      <c r="D147" s="30"/>
      <c r="E147" s="30"/>
      <c r="F147" s="30"/>
      <c r="G147" s="30"/>
      <c r="H147" s="30"/>
    </row>
    <row r="148" spans="4:8" x14ac:dyDescent="0.25">
      <c r="D148" s="30"/>
      <c r="E148" s="30"/>
      <c r="F148" s="30"/>
      <c r="G148" s="30"/>
      <c r="H148" s="30"/>
    </row>
    <row r="149" spans="4:8" x14ac:dyDescent="0.25">
      <c r="D149" s="30"/>
      <c r="E149" s="30"/>
      <c r="F149" s="30"/>
      <c r="G149" s="30"/>
      <c r="H149" s="30"/>
    </row>
    <row r="150" spans="4:8" x14ac:dyDescent="0.25">
      <c r="D150" s="30"/>
      <c r="E150" s="30"/>
      <c r="F150" s="30"/>
      <c r="G150" s="30"/>
      <c r="H150" s="30"/>
    </row>
    <row r="151" spans="4:8" x14ac:dyDescent="0.25">
      <c r="D151" s="30"/>
      <c r="E151" s="30"/>
      <c r="F151" s="30"/>
      <c r="G151" s="30"/>
      <c r="H151" s="30"/>
    </row>
    <row r="152" spans="4:8" x14ac:dyDescent="0.25">
      <c r="D152" s="30"/>
      <c r="E152" s="30"/>
      <c r="F152" s="30"/>
      <c r="G152" s="30"/>
      <c r="H152" s="30"/>
    </row>
    <row r="153" spans="4:8" x14ac:dyDescent="0.25">
      <c r="D153" s="30"/>
      <c r="E153" s="30"/>
      <c r="F153" s="30"/>
      <c r="G153" s="30"/>
      <c r="H153" s="30"/>
    </row>
    <row r="154" spans="4:8" x14ac:dyDescent="0.25">
      <c r="D154" s="30"/>
      <c r="E154" s="30"/>
      <c r="F154" s="30"/>
      <c r="G154" s="30"/>
      <c r="H154" s="30"/>
    </row>
    <row r="155" spans="4:8" x14ac:dyDescent="0.25">
      <c r="D155" s="30"/>
      <c r="E155" s="30"/>
      <c r="F155" s="30"/>
      <c r="G155" s="30"/>
      <c r="H155" s="30"/>
    </row>
    <row r="156" spans="4:8" x14ac:dyDescent="0.25">
      <c r="D156" s="30"/>
      <c r="E156" s="30"/>
      <c r="F156" s="30"/>
      <c r="G156" s="30"/>
      <c r="H156" s="30"/>
    </row>
    <row r="157" spans="4:8" x14ac:dyDescent="0.25">
      <c r="D157" s="30"/>
      <c r="E157" s="30"/>
      <c r="F157" s="30"/>
      <c r="G157" s="30"/>
      <c r="H157" s="30"/>
    </row>
    <row r="158" spans="4:8" x14ac:dyDescent="0.25">
      <c r="D158" s="30"/>
      <c r="E158" s="30"/>
      <c r="F158" s="30"/>
      <c r="G158" s="30"/>
      <c r="H158" s="30"/>
    </row>
    <row r="159" spans="4:8" x14ac:dyDescent="0.25">
      <c r="D159" s="30"/>
      <c r="E159" s="30"/>
      <c r="F159" s="30"/>
      <c r="G159" s="30"/>
      <c r="H159" s="30"/>
    </row>
    <row r="160" spans="4:8" x14ac:dyDescent="0.25">
      <c r="D160" s="30"/>
      <c r="E160" s="30"/>
      <c r="F160" s="30"/>
      <c r="G160" s="30"/>
      <c r="H160" s="30"/>
    </row>
    <row r="161" spans="4:8" x14ac:dyDescent="0.25">
      <c r="D161" s="30"/>
      <c r="E161" s="30"/>
      <c r="F161" s="30"/>
      <c r="G161" s="30"/>
      <c r="H161" s="30"/>
    </row>
    <row r="162" spans="4:8" x14ac:dyDescent="0.25">
      <c r="D162" s="30"/>
      <c r="E162" s="30"/>
      <c r="F162" s="30"/>
      <c r="G162" s="30"/>
      <c r="H162" s="30"/>
    </row>
  </sheetData>
  <sheetProtection algorithmName="SHA-512" hashValue="ogoZ4KKX+xU+dbnQ5uao/IY3aJgCEEfmPPPCJJhCHB2SP6GEOWZDaFeD4vrLop8MzeIlzLVKutgDlWpP9KCuwQ==" saltValue="KLIOzpCC0rHEicqQWi9YyQ==" spinCount="100000" sheet="1" objects="1" scenarios="1"/>
  <pageMargins left="0.7" right="0.7" top="0.98479166666666662" bottom="0.75" header="0.3" footer="0.3"/>
  <pageSetup scale="65" fitToHeight="0" orientation="landscape" r:id="rId1"/>
  <headerFooter>
    <oddFooter>&amp;L&amp;"Avenir LT Std 55 Roman,Regular"&amp;12&amp;K000000FINAL November 1, 2019&amp;C&amp;"Avenir LT Std 55 Roman,Regular"&amp;12Page &amp;P of &amp;N&amp;R&amp;"Avenir LT Std 55 Roman,Regular"&amp;12&amp;K000000&amp;A</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9.9978637043366805E-2"/>
  </sheetPr>
  <dimension ref="B1:G133"/>
  <sheetViews>
    <sheetView showGridLines="0" zoomScaleNormal="100" workbookViewId="0"/>
  </sheetViews>
  <sheetFormatPr defaultColWidth="9.140625" defaultRowHeight="15.75" x14ac:dyDescent="0.25"/>
  <cols>
    <col min="1" max="1" width="4.28515625" style="18" customWidth="1"/>
    <col min="2" max="2" width="47.5703125" style="18" customWidth="1"/>
    <col min="3" max="3" width="29.7109375" style="18" customWidth="1"/>
    <col min="4" max="4" width="29.42578125" style="18" customWidth="1"/>
    <col min="5" max="5" width="22.140625" style="18" customWidth="1"/>
    <col min="6" max="6" width="12.7109375" style="18" customWidth="1"/>
    <col min="7" max="7" width="4.28515625" style="18" customWidth="1"/>
    <col min="8" max="16384" width="9.140625" style="18"/>
  </cols>
  <sheetData>
    <row r="1" spans="2:7" ht="18.75" customHeight="1" x14ac:dyDescent="0.25">
      <c r="B1" s="626"/>
      <c r="C1" s="626"/>
      <c r="D1" s="626"/>
      <c r="E1" s="626"/>
      <c r="F1" s="626"/>
    </row>
    <row r="2" spans="2:7" ht="15" customHeight="1" x14ac:dyDescent="0.25">
      <c r="B2" s="91"/>
      <c r="C2" s="91"/>
      <c r="D2" s="91"/>
      <c r="E2" s="91"/>
      <c r="F2" s="91"/>
    </row>
    <row r="3" spans="2:7" ht="18.75" customHeight="1" x14ac:dyDescent="0.25">
      <c r="B3" s="626"/>
      <c r="C3" s="626"/>
      <c r="D3" s="626"/>
      <c r="E3" s="626"/>
      <c r="F3" s="626"/>
    </row>
    <row r="4" spans="2:7" ht="18.75" customHeight="1" x14ac:dyDescent="0.25">
      <c r="B4" s="628"/>
      <c r="C4" s="628"/>
      <c r="D4" s="628"/>
      <c r="E4" s="628"/>
      <c r="F4" s="628"/>
    </row>
    <row r="5" spans="2:7" ht="15" customHeight="1" x14ac:dyDescent="0.25">
      <c r="B5" s="91"/>
      <c r="C5" s="91"/>
      <c r="D5" s="91"/>
      <c r="E5" s="91"/>
      <c r="F5" s="91"/>
    </row>
    <row r="6" spans="2:7" ht="18.75" customHeight="1" x14ac:dyDescent="0.25">
      <c r="B6" s="626"/>
      <c r="C6" s="626"/>
      <c r="D6" s="626"/>
      <c r="E6" s="626"/>
      <c r="F6" s="626"/>
    </row>
    <row r="7" spans="2:7" ht="15" customHeight="1" x14ac:dyDescent="0.25"/>
    <row r="8" spans="2:7" ht="15" customHeight="1" thickBot="1" x14ac:dyDescent="0.3">
      <c r="B8" s="427" t="s">
        <v>4777</v>
      </c>
      <c r="C8" s="427" t="s">
        <v>4778</v>
      </c>
      <c r="D8" s="427" t="s">
        <v>4779</v>
      </c>
      <c r="E8" s="427"/>
      <c r="G8" s="30"/>
    </row>
    <row r="9" spans="2:7" s="705" customFormat="1" ht="18.75" customHeight="1" x14ac:dyDescent="0.25">
      <c r="B9" s="428" t="s">
        <v>150</v>
      </c>
      <c r="C9" s="606" t="str">
        <f ca="1">IFERROR(IF(SUM(AHDVMTReductions)+SUM(ATInputs[Passenger VMT Reductions (miles)])+SUM(TransitInputs[Passenger VMT Reductions (miles)])=0,"",SUM(AHDVMTReductions)+SUM(ATInputs[Passenger VMT Reductions (miles)])+SUM(TransitInputs[Passenger VMT Reductions (miles)])),"")</f>
        <v/>
      </c>
      <c r="D9" s="603" t="str">
        <f ca="1">IFERROR(C9*(AHSCFunds/TotalFunds),"")</f>
        <v/>
      </c>
      <c r="E9" s="429"/>
    </row>
    <row r="10" spans="2:7" s="705" customFormat="1" ht="18.75" customHeight="1" x14ac:dyDescent="0.25">
      <c r="B10" s="594" t="s">
        <v>116</v>
      </c>
      <c r="C10" s="607" t="str">
        <f>IF(Density=0,"",Density)</f>
        <v/>
      </c>
      <c r="D10" s="604" t="str">
        <f>IF(Density&lt;&gt;0,Density,"")</f>
        <v/>
      </c>
      <c r="E10" s="429"/>
    </row>
    <row r="11" spans="2:7" s="705" customFormat="1" ht="18.75" customHeight="1" x14ac:dyDescent="0.25">
      <c r="B11" s="331" t="s">
        <v>148</v>
      </c>
      <c r="C11" s="608" t="str">
        <f ca="1">TotalkWh</f>
        <v/>
      </c>
      <c r="D11" s="605" t="str">
        <f t="shared" ref="D11:D21" ca="1" si="0">IFERROR(C11*(AHSCFunds/TotalFunds),"")</f>
        <v/>
      </c>
      <c r="E11" s="429"/>
    </row>
    <row r="12" spans="2:7" s="705" customFormat="1" ht="18.75" customHeight="1" x14ac:dyDescent="0.25">
      <c r="B12" s="331" t="s">
        <v>152</v>
      </c>
      <c r="C12" s="609" t="str">
        <f ca="1">IFERROR(IF(SUM(AHDROGReductions)+SUM(ATInputs[Local ROG Emission Reductions (lbs)])+SUM(TransitInputs[Local ROG Emission Reductions (lbs)])=0,"",SUM(AHDROGReductions)+SUM(ATInputs[Local ROG Emission Reductions (lbs)])+SUM(TransitInputs[Local ROG Emission Reductions (lbs)])),"")</f>
        <v/>
      </c>
      <c r="D12" s="605" t="str">
        <f t="shared" ca="1" si="0"/>
        <v/>
      </c>
      <c r="E12" s="429"/>
    </row>
    <row r="13" spans="2:7" s="705" customFormat="1" ht="18.75" customHeight="1" x14ac:dyDescent="0.25">
      <c r="B13" s="331" t="s">
        <v>4573</v>
      </c>
      <c r="C13" s="609" t="str">
        <f ca="1">IFERROR(IF(SUM(AHDNOxReductions)+SUM(ATInputs[Local NOx Emission Reductions (lbs)])+SUM(TransitInputs[Local NOx Emission Reductions (lbs)])=0,"",SUM(AHDNOxReductions)+SUM(ATInputs[Local NOx Emission Reductions (lbs)])+SUM(TransitInputs[Local NOx Emission Reductions (lbs)])),"")</f>
        <v/>
      </c>
      <c r="D13" s="605" t="str">
        <f t="shared" ca="1" si="0"/>
        <v/>
      </c>
      <c r="E13" s="429"/>
    </row>
    <row r="14" spans="2:7" s="705" customFormat="1" ht="18.75" customHeight="1" x14ac:dyDescent="0.25">
      <c r="B14" s="331" t="s">
        <v>4574</v>
      </c>
      <c r="C14" s="609" t="str">
        <f ca="1">IFERROR(IF(SUM(AHDPM2.5Reductions)+SUM(ATInputs[Local PM2.5 Emission Reductions (lbs)])+SUM(TransitInputs[Local  PM2.5 Emissions (lbs)])=0,"",SUM(AHDPM2.5Reductions)+SUM(ATInputs[Local PM2.5 Emission Reductions (lbs)])+SUM(TransitInputs[Local  PM2.5 Emissions (lbs)])),"")</f>
        <v/>
      </c>
      <c r="D14" s="605" t="str">
        <f t="shared" ca="1" si="0"/>
        <v/>
      </c>
      <c r="E14" s="429"/>
    </row>
    <row r="15" spans="2:7" s="705" customFormat="1" ht="18.75" customHeight="1" x14ac:dyDescent="0.25">
      <c r="B15" s="331" t="s">
        <v>4684</v>
      </c>
      <c r="C15" s="610" t="str">
        <f ca="1">IFERROR(IF(SUM(AHDPM10Reductions)+SUM(ATInputs[Local Diesel PM10 Emission Reductions (lbs)])+SUM(TransitInputs[Local Diesel PM10 Emissions (lbs)])=0,"",SUM(AHDPM10Reductions)+SUM(ATInputs[Local Diesel PM10 Emission Reductions (lbs)])+SUM(TransitInputs[Local Diesel PM10 Emissions (lbs)])),"")</f>
        <v/>
      </c>
      <c r="D15" s="605" t="str">
        <f t="shared" ca="1" si="0"/>
        <v/>
      </c>
      <c r="E15" s="429"/>
    </row>
    <row r="16" spans="2:7" s="705" customFormat="1" ht="18.75" customHeight="1" x14ac:dyDescent="0.25">
      <c r="B16" s="855" t="s">
        <v>5077</v>
      </c>
      <c r="C16" s="609" t="str">
        <f ca="1">RemoteROG</f>
        <v/>
      </c>
      <c r="D16" s="605" t="str">
        <f t="shared" ca="1" si="0"/>
        <v/>
      </c>
      <c r="E16" s="429"/>
    </row>
    <row r="17" spans="2:7" s="705" customFormat="1" ht="18.75" customHeight="1" x14ac:dyDescent="0.25">
      <c r="B17" s="855" t="s">
        <v>5078</v>
      </c>
      <c r="C17" s="609" t="str">
        <f ca="1">RemoteNOx</f>
        <v/>
      </c>
      <c r="D17" s="605" t="str">
        <f t="shared" ca="1" si="0"/>
        <v/>
      </c>
      <c r="E17" s="429"/>
    </row>
    <row r="18" spans="2:7" s="705" customFormat="1" ht="18.75" customHeight="1" x14ac:dyDescent="0.25">
      <c r="B18" s="855" t="s">
        <v>5079</v>
      </c>
      <c r="C18" s="609" t="str">
        <f ca="1">RemotePM2.5</f>
        <v/>
      </c>
      <c r="D18" s="605" t="str">
        <f t="shared" ca="1" si="0"/>
        <v/>
      </c>
      <c r="E18" s="429"/>
    </row>
    <row r="19" spans="2:7" s="705" customFormat="1" ht="18.75" customHeight="1" x14ac:dyDescent="0.25">
      <c r="B19" s="331" t="s">
        <v>149</v>
      </c>
      <c r="C19" s="609" t="str">
        <f ca="1">IFERROR(IF(SUM(AHDFuelReductions)+SUM(ATInputs[Fossil Fuel Use Reductions (gal)])+SUM(TransitInputs[Fossil Fuel Use Reductions (gal)])=0,"",SUM(AHDFuelReductions)+SUM(ATInputs[Fossil Fuel Use Reductions (gal)])+SUM(TransitInputs[Fossil Fuel Use Reductions (gal)])),"")</f>
        <v/>
      </c>
      <c r="D19" s="605" t="str">
        <f t="shared" ca="1" si="0"/>
        <v/>
      </c>
      <c r="E19" s="429"/>
    </row>
    <row r="20" spans="2:7" s="705" customFormat="1" ht="18.75" customHeight="1" x14ac:dyDescent="0.25">
      <c r="B20" s="331" t="s">
        <v>153</v>
      </c>
      <c r="C20" s="651" t="str">
        <f>TravelCostSavings</f>
        <v/>
      </c>
      <c r="D20" s="649" t="str">
        <f t="shared" si="0"/>
        <v/>
      </c>
      <c r="E20" s="429"/>
    </row>
    <row r="21" spans="2:7" s="705" customFormat="1" ht="18.75" customHeight="1" thickBot="1" x14ac:dyDescent="0.3">
      <c r="B21" s="431" t="s">
        <v>154</v>
      </c>
      <c r="C21" s="647" t="str">
        <f ca="1">EnergyFuelCostSavings</f>
        <v/>
      </c>
      <c r="D21" s="648" t="str">
        <f t="shared" ca="1" si="0"/>
        <v/>
      </c>
      <c r="E21" s="429"/>
    </row>
    <row r="22" spans="2:7" ht="15" customHeight="1" x14ac:dyDescent="0.25">
      <c r="G22" s="30"/>
    </row>
    <row r="23" spans="2:7" ht="15" customHeight="1" x14ac:dyDescent="0.25">
      <c r="G23" s="30"/>
    </row>
    <row r="24" spans="2:7" ht="15" customHeight="1" x14ac:dyDescent="0.25">
      <c r="G24" s="30"/>
    </row>
    <row r="25" spans="2:7" ht="15" customHeight="1" x14ac:dyDescent="0.25">
      <c r="G25" s="30"/>
    </row>
    <row r="26" spans="2:7" ht="15" customHeight="1" x14ac:dyDescent="0.25">
      <c r="G26" s="30"/>
    </row>
    <row r="27" spans="2:7" ht="15" customHeight="1" x14ac:dyDescent="0.25">
      <c r="G27" s="30"/>
    </row>
    <row r="28" spans="2:7" ht="15" customHeight="1" x14ac:dyDescent="0.25">
      <c r="G28" s="30"/>
    </row>
    <row r="29" spans="2:7" x14ac:dyDescent="0.25">
      <c r="G29" s="30"/>
    </row>
    <row r="30" spans="2:7" x14ac:dyDescent="0.25">
      <c r="G30" s="30"/>
    </row>
    <row r="31" spans="2:7" x14ac:dyDescent="0.25">
      <c r="G31" s="30"/>
    </row>
    <row r="32" spans="2:7" x14ac:dyDescent="0.25">
      <c r="G32" s="30"/>
    </row>
    <row r="33" spans="7:7" x14ac:dyDescent="0.25">
      <c r="G33" s="30"/>
    </row>
    <row r="34" spans="7:7" x14ac:dyDescent="0.25">
      <c r="G34" s="30"/>
    </row>
    <row r="35" spans="7:7" x14ac:dyDescent="0.25">
      <c r="G35" s="30"/>
    </row>
    <row r="36" spans="7:7" x14ac:dyDescent="0.25">
      <c r="G36" s="30"/>
    </row>
    <row r="37" spans="7:7" x14ac:dyDescent="0.25">
      <c r="G37" s="30"/>
    </row>
    <row r="38" spans="7:7" x14ac:dyDescent="0.25">
      <c r="G38" s="30"/>
    </row>
    <row r="39" spans="7:7" x14ac:dyDescent="0.25">
      <c r="G39" s="30"/>
    </row>
    <row r="40" spans="7:7" x14ac:dyDescent="0.25">
      <c r="G40" s="30"/>
    </row>
    <row r="41" spans="7:7" x14ac:dyDescent="0.25">
      <c r="G41" s="30"/>
    </row>
    <row r="42" spans="7:7" x14ac:dyDescent="0.25">
      <c r="G42" s="30"/>
    </row>
    <row r="43" spans="7:7" x14ac:dyDescent="0.25">
      <c r="G43" s="30"/>
    </row>
    <row r="44" spans="7:7" x14ac:dyDescent="0.25">
      <c r="G44" s="30"/>
    </row>
    <row r="45" spans="7:7" x14ac:dyDescent="0.25">
      <c r="G45" s="30"/>
    </row>
    <row r="46" spans="7:7" x14ac:dyDescent="0.25">
      <c r="G46" s="30"/>
    </row>
    <row r="47" spans="7:7" x14ac:dyDescent="0.25">
      <c r="G47" s="30"/>
    </row>
    <row r="48" spans="7:7" x14ac:dyDescent="0.25">
      <c r="G48" s="30"/>
    </row>
    <row r="49" spans="7:7" x14ac:dyDescent="0.25">
      <c r="G49" s="30"/>
    </row>
    <row r="50" spans="7:7" x14ac:dyDescent="0.25">
      <c r="G50" s="30"/>
    </row>
    <row r="51" spans="7:7" x14ac:dyDescent="0.25">
      <c r="G51" s="30"/>
    </row>
    <row r="52" spans="7:7" x14ac:dyDescent="0.25">
      <c r="G52" s="30"/>
    </row>
    <row r="53" spans="7:7" x14ac:dyDescent="0.25">
      <c r="G53" s="30"/>
    </row>
    <row r="54" spans="7:7" x14ac:dyDescent="0.25">
      <c r="G54" s="30"/>
    </row>
    <row r="55" spans="7:7" x14ac:dyDescent="0.25">
      <c r="G55" s="30"/>
    </row>
    <row r="56" spans="7:7" x14ac:dyDescent="0.25">
      <c r="G56" s="30"/>
    </row>
    <row r="57" spans="7:7" x14ac:dyDescent="0.25">
      <c r="G57" s="30"/>
    </row>
    <row r="58" spans="7:7" x14ac:dyDescent="0.25">
      <c r="G58" s="30"/>
    </row>
    <row r="59" spans="7:7" x14ac:dyDescent="0.25">
      <c r="G59" s="30"/>
    </row>
    <row r="60" spans="7:7" x14ac:dyDescent="0.25">
      <c r="G60" s="30"/>
    </row>
    <row r="61" spans="7:7" x14ac:dyDescent="0.25">
      <c r="G61" s="30"/>
    </row>
    <row r="62" spans="7:7" x14ac:dyDescent="0.25">
      <c r="G62" s="30"/>
    </row>
    <row r="63" spans="7:7" x14ac:dyDescent="0.25">
      <c r="G63" s="30"/>
    </row>
    <row r="64" spans="7:7" x14ac:dyDescent="0.25">
      <c r="G64" s="30"/>
    </row>
    <row r="65" spans="7:7" x14ac:dyDescent="0.25">
      <c r="G65" s="30"/>
    </row>
    <row r="66" spans="7:7" x14ac:dyDescent="0.25">
      <c r="G66" s="30"/>
    </row>
    <row r="67" spans="7:7" x14ac:dyDescent="0.25">
      <c r="G67" s="30"/>
    </row>
    <row r="68" spans="7:7" x14ac:dyDescent="0.25">
      <c r="G68" s="30"/>
    </row>
    <row r="69" spans="7:7" x14ac:dyDescent="0.25">
      <c r="G69" s="30"/>
    </row>
    <row r="70" spans="7:7" x14ac:dyDescent="0.25">
      <c r="G70" s="30"/>
    </row>
    <row r="71" spans="7:7" x14ac:dyDescent="0.25">
      <c r="G71" s="30"/>
    </row>
    <row r="72" spans="7:7" x14ac:dyDescent="0.25">
      <c r="G72" s="30"/>
    </row>
    <row r="73" spans="7:7" x14ac:dyDescent="0.25">
      <c r="G73" s="30"/>
    </row>
    <row r="74" spans="7:7" x14ac:dyDescent="0.25">
      <c r="G74" s="30"/>
    </row>
    <row r="75" spans="7:7" x14ac:dyDescent="0.25">
      <c r="G75" s="30"/>
    </row>
    <row r="76" spans="7:7" x14ac:dyDescent="0.25">
      <c r="G76" s="30"/>
    </row>
    <row r="77" spans="7:7" x14ac:dyDescent="0.25">
      <c r="G77" s="30"/>
    </row>
    <row r="78" spans="7:7" x14ac:dyDescent="0.25">
      <c r="G78" s="30"/>
    </row>
    <row r="79" spans="7:7" x14ac:dyDescent="0.25">
      <c r="G79" s="30"/>
    </row>
    <row r="80" spans="7:7" x14ac:dyDescent="0.25">
      <c r="G80" s="30"/>
    </row>
    <row r="81" spans="7:7" x14ac:dyDescent="0.25">
      <c r="G81" s="30"/>
    </row>
    <row r="82" spans="7:7" x14ac:dyDescent="0.25">
      <c r="G82" s="30"/>
    </row>
    <row r="83" spans="7:7" x14ac:dyDescent="0.25">
      <c r="G83" s="30"/>
    </row>
    <row r="84" spans="7:7" x14ac:dyDescent="0.25">
      <c r="G84" s="30"/>
    </row>
    <row r="85" spans="7:7" x14ac:dyDescent="0.25">
      <c r="G85" s="30"/>
    </row>
    <row r="86" spans="7:7" x14ac:dyDescent="0.25">
      <c r="G86" s="30"/>
    </row>
    <row r="87" spans="7:7" x14ac:dyDescent="0.25">
      <c r="G87" s="30"/>
    </row>
    <row r="88" spans="7:7" x14ac:dyDescent="0.25">
      <c r="G88" s="30"/>
    </row>
    <row r="89" spans="7:7" x14ac:dyDescent="0.25">
      <c r="G89" s="30"/>
    </row>
    <row r="90" spans="7:7" x14ac:dyDescent="0.25">
      <c r="G90" s="30"/>
    </row>
    <row r="91" spans="7:7" x14ac:dyDescent="0.25">
      <c r="G91" s="30"/>
    </row>
    <row r="92" spans="7:7" x14ac:dyDescent="0.25">
      <c r="G92" s="30"/>
    </row>
    <row r="93" spans="7:7" x14ac:dyDescent="0.25">
      <c r="G93" s="30"/>
    </row>
    <row r="94" spans="7:7" x14ac:dyDescent="0.25">
      <c r="G94" s="30"/>
    </row>
    <row r="95" spans="7:7" x14ac:dyDescent="0.25">
      <c r="G95" s="30"/>
    </row>
    <row r="96" spans="7:7" x14ac:dyDescent="0.25">
      <c r="G96" s="30"/>
    </row>
    <row r="97" spans="7:7" x14ac:dyDescent="0.25">
      <c r="G97" s="30"/>
    </row>
    <row r="98" spans="7:7" x14ac:dyDescent="0.25">
      <c r="G98" s="30"/>
    </row>
    <row r="99" spans="7:7" x14ac:dyDescent="0.25">
      <c r="G99" s="30"/>
    </row>
    <row r="100" spans="7:7" x14ac:dyDescent="0.25">
      <c r="G100" s="30"/>
    </row>
    <row r="101" spans="7:7" x14ac:dyDescent="0.25">
      <c r="G101" s="30"/>
    </row>
    <row r="102" spans="7:7" x14ac:dyDescent="0.25">
      <c r="G102" s="30"/>
    </row>
    <row r="103" spans="7:7" x14ac:dyDescent="0.25">
      <c r="G103" s="30"/>
    </row>
    <row r="104" spans="7:7" x14ac:dyDescent="0.25">
      <c r="G104" s="30"/>
    </row>
    <row r="105" spans="7:7" x14ac:dyDescent="0.25">
      <c r="G105" s="30"/>
    </row>
    <row r="106" spans="7:7" x14ac:dyDescent="0.25">
      <c r="G106" s="30"/>
    </row>
    <row r="107" spans="7:7" x14ac:dyDescent="0.25">
      <c r="G107" s="30"/>
    </row>
    <row r="108" spans="7:7" x14ac:dyDescent="0.25">
      <c r="G108" s="30"/>
    </row>
    <row r="109" spans="7:7" x14ac:dyDescent="0.25">
      <c r="G109" s="30"/>
    </row>
    <row r="110" spans="7:7" x14ac:dyDescent="0.25">
      <c r="G110" s="30"/>
    </row>
    <row r="111" spans="7:7" x14ac:dyDescent="0.25">
      <c r="G111" s="30"/>
    </row>
    <row r="112" spans="7:7" x14ac:dyDescent="0.25">
      <c r="G112" s="30"/>
    </row>
    <row r="113" spans="7:7" x14ac:dyDescent="0.25">
      <c r="G113" s="30"/>
    </row>
    <row r="114" spans="7:7" x14ac:dyDescent="0.25">
      <c r="G114" s="30"/>
    </row>
    <row r="115" spans="7:7" x14ac:dyDescent="0.25">
      <c r="G115" s="30"/>
    </row>
    <row r="116" spans="7:7" x14ac:dyDescent="0.25">
      <c r="G116" s="30"/>
    </row>
    <row r="117" spans="7:7" x14ac:dyDescent="0.25">
      <c r="G117" s="30"/>
    </row>
    <row r="118" spans="7:7" x14ac:dyDescent="0.25">
      <c r="G118" s="30"/>
    </row>
    <row r="119" spans="7:7" x14ac:dyDescent="0.25">
      <c r="G119" s="30"/>
    </row>
    <row r="120" spans="7:7" x14ac:dyDescent="0.25">
      <c r="G120" s="30"/>
    </row>
    <row r="121" spans="7:7" x14ac:dyDescent="0.25">
      <c r="G121" s="30"/>
    </row>
    <row r="122" spans="7:7" x14ac:dyDescent="0.25">
      <c r="G122" s="30"/>
    </row>
    <row r="123" spans="7:7" x14ac:dyDescent="0.25">
      <c r="G123" s="30"/>
    </row>
    <row r="124" spans="7:7" x14ac:dyDescent="0.25">
      <c r="G124" s="30"/>
    </row>
    <row r="125" spans="7:7" x14ac:dyDescent="0.25">
      <c r="G125" s="30"/>
    </row>
    <row r="126" spans="7:7" x14ac:dyDescent="0.25">
      <c r="G126" s="30"/>
    </row>
    <row r="127" spans="7:7" x14ac:dyDescent="0.25">
      <c r="G127" s="30"/>
    </row>
    <row r="128" spans="7:7" x14ac:dyDescent="0.25">
      <c r="G128" s="30"/>
    </row>
    <row r="129" spans="7:7" x14ac:dyDescent="0.25">
      <c r="G129" s="30"/>
    </row>
    <row r="130" spans="7:7" x14ac:dyDescent="0.25">
      <c r="G130" s="30"/>
    </row>
    <row r="131" spans="7:7" x14ac:dyDescent="0.25">
      <c r="G131" s="30"/>
    </row>
    <row r="132" spans="7:7" x14ac:dyDescent="0.25">
      <c r="G132" s="30"/>
    </row>
    <row r="133" spans="7:7" x14ac:dyDescent="0.25">
      <c r="G133" s="30"/>
    </row>
  </sheetData>
  <sheetProtection algorithmName="SHA-512" hashValue="52e4PAzDtOnYNmH2gEd9q4IViK7ubnQnDpSfU5IUriGit/ex50dr2vAUGu9NoJ/xytkf5C0LxIM1P3Q+vKIcDw==" saltValue="4aaIcNm8BHPlLgSynCfqVw==" spinCount="100000" sheet="1" objects="1" scenarios="1"/>
  <pageMargins left="0.7" right="0.7" top="0.98479166666666662" bottom="0.75" header="0.3" footer="0.3"/>
  <pageSetup scale="65" fitToHeight="0" orientation="landscape" r:id="rId1"/>
  <headerFooter>
    <oddFooter>&amp;L&amp;"Avenir LT Std 55 Roman,Regular"&amp;12&amp;K000000FINAL November 1, 2019&amp;C&amp;"Avenir LT Std 55 Roman,Regular"&amp;12Page &amp;P of &amp;N&amp;R&amp;"Avenir LT Std 55 Roman,Regular"&amp;12&amp;K000000&amp;A</oddFooter>
  </headerFooter>
  <ignoredErrors>
    <ignoredError sqref="D10" formula="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66"/>
  </sheetPr>
  <dimension ref="A1:M103"/>
  <sheetViews>
    <sheetView showGridLines="0" zoomScaleNormal="100" workbookViewId="0">
      <selection activeCell="E17" sqref="E17"/>
    </sheetView>
  </sheetViews>
  <sheetFormatPr defaultColWidth="9.140625" defaultRowHeight="15.75" x14ac:dyDescent="0.25"/>
  <cols>
    <col min="1" max="1" width="3.28515625" style="18" customWidth="1"/>
    <col min="2" max="2" width="4" style="18" customWidth="1"/>
    <col min="3" max="3" width="2.5703125" style="18" customWidth="1"/>
    <col min="4" max="4" width="120.28515625" style="18" customWidth="1"/>
    <col min="5" max="5" width="14.7109375" style="18" customWidth="1"/>
    <col min="6" max="6" width="15.42578125" style="18" customWidth="1"/>
    <col min="7" max="7" width="6.7109375" style="18" customWidth="1"/>
    <col min="8" max="8" width="9.140625" style="18" customWidth="1"/>
    <col min="9" max="9" width="34.5703125" style="18" bestFit="1" customWidth="1"/>
    <col min="10" max="10" width="19.42578125" style="18" customWidth="1"/>
    <col min="11" max="11" width="16.85546875" style="18" customWidth="1"/>
    <col min="12" max="12" width="14.140625" style="18" customWidth="1"/>
    <col min="13" max="13" width="31.7109375" style="18" customWidth="1"/>
    <col min="14" max="16384" width="9.140625" style="18"/>
  </cols>
  <sheetData>
    <row r="1" spans="1:13" ht="18.75" customHeight="1" x14ac:dyDescent="0.25">
      <c r="B1" s="626"/>
      <c r="C1" s="626"/>
      <c r="D1" s="626"/>
      <c r="E1" s="626"/>
      <c r="F1" s="626"/>
    </row>
    <row r="2" spans="1:13" ht="15" customHeight="1" x14ac:dyDescent="0.25">
      <c r="B2" s="91"/>
      <c r="C2" s="91"/>
      <c r="D2" s="91"/>
      <c r="E2" s="91"/>
      <c r="F2" s="91"/>
    </row>
    <row r="3" spans="1:13" ht="18.75" customHeight="1" x14ac:dyDescent="0.25">
      <c r="B3" s="626"/>
      <c r="C3" s="626"/>
      <c r="D3" s="626"/>
      <c r="E3" s="626"/>
      <c r="F3" s="626"/>
    </row>
    <row r="4" spans="1:13" ht="18.75" customHeight="1" x14ac:dyDescent="0.25">
      <c r="B4" s="815"/>
      <c r="C4" s="628"/>
      <c r="D4" s="628"/>
      <c r="E4" s="628"/>
      <c r="F4" s="628"/>
    </row>
    <row r="5" spans="1:13" ht="15" customHeight="1" x14ac:dyDescent="0.25">
      <c r="B5" s="91"/>
      <c r="C5" s="91"/>
      <c r="D5" s="91"/>
      <c r="E5" s="91"/>
      <c r="F5" s="91"/>
    </row>
    <row r="6" spans="1:13" ht="18.75" customHeight="1" x14ac:dyDescent="0.25">
      <c r="B6" s="626"/>
      <c r="C6" s="626"/>
      <c r="D6" s="626"/>
      <c r="E6" s="626"/>
      <c r="F6" s="626"/>
    </row>
    <row r="7" spans="1:13" ht="15" customHeight="1" x14ac:dyDescent="0.25">
      <c r="B7" s="91"/>
      <c r="C7" s="91"/>
      <c r="D7" s="91"/>
      <c r="E7" s="91"/>
      <c r="F7" s="91"/>
      <c r="I7" s="1120"/>
    </row>
    <row r="8" spans="1:13" ht="15" customHeight="1" x14ac:dyDescent="0.25">
      <c r="B8" s="1111"/>
      <c r="C8" s="1111"/>
      <c r="D8" s="1111"/>
      <c r="E8" s="1111"/>
      <c r="F8" s="1111"/>
      <c r="I8" s="1112"/>
    </row>
    <row r="9" spans="1:13" ht="15" customHeight="1" x14ac:dyDescent="0.25">
      <c r="B9" s="1111"/>
      <c r="C9" s="1111"/>
      <c r="D9" s="1111"/>
      <c r="E9" s="1111"/>
      <c r="F9" s="1111"/>
    </row>
    <row r="10" spans="1:13" ht="15" customHeight="1" x14ac:dyDescent="0.25">
      <c r="B10" s="1111"/>
      <c r="C10" s="1111"/>
      <c r="D10" s="1111"/>
      <c r="E10" s="1111"/>
      <c r="F10" s="1111"/>
    </row>
    <row r="11" spans="1:13" ht="20.25" customHeight="1" x14ac:dyDescent="0.25">
      <c r="B11" s="1111"/>
      <c r="C11" s="1111"/>
      <c r="D11" s="1111"/>
      <c r="E11" s="1111"/>
      <c r="F11" s="1111"/>
    </row>
    <row r="12" spans="1:13" ht="15" customHeight="1" x14ac:dyDescent="0.25">
      <c r="B12" s="26"/>
      <c r="C12" s="26"/>
      <c r="D12" s="26"/>
      <c r="E12" s="26"/>
      <c r="F12" s="26"/>
    </row>
    <row r="13" spans="1:13" ht="18" customHeight="1" x14ac:dyDescent="0.25">
      <c r="B13" s="53"/>
      <c r="C13" s="53"/>
      <c r="D13" s="53"/>
      <c r="E13" s="53"/>
      <c r="F13" s="53"/>
    </row>
    <row r="14" spans="1:13" ht="35.25" customHeight="1" x14ac:dyDescent="0.25">
      <c r="A14" s="87"/>
      <c r="B14" s="1121"/>
      <c r="C14" s="26"/>
      <c r="D14" s="26"/>
      <c r="E14" s="26"/>
      <c r="F14" s="26"/>
    </row>
    <row r="15" spans="1:13" ht="15" customHeight="1" x14ac:dyDescent="0.25">
      <c r="B15" s="701"/>
      <c r="C15" s="701"/>
      <c r="D15" s="701"/>
      <c r="E15" s="701"/>
      <c r="F15" s="701"/>
    </row>
    <row r="16" spans="1:13" ht="16.5" thickBot="1" x14ac:dyDescent="0.3">
      <c r="C16" s="1116" t="s">
        <v>4812</v>
      </c>
      <c r="D16" s="1116"/>
      <c r="E16" s="1114" t="s">
        <v>9</v>
      </c>
      <c r="H16" s="30"/>
      <c r="I16" s="30"/>
      <c r="J16" s="30"/>
      <c r="K16" s="30"/>
      <c r="L16" s="30"/>
      <c r="M16" s="30"/>
    </row>
    <row r="17" spans="2:13" ht="25.5" customHeight="1" x14ac:dyDescent="0.25">
      <c r="C17" s="1117">
        <v>1</v>
      </c>
      <c r="D17" s="1123" t="s">
        <v>4809</v>
      </c>
      <c r="E17" s="1146"/>
      <c r="H17" s="30"/>
      <c r="I17" s="30"/>
      <c r="J17" s="30"/>
      <c r="K17" s="30"/>
      <c r="L17" s="30"/>
      <c r="M17" s="30"/>
    </row>
    <row r="18" spans="2:13" ht="37.5" customHeight="1" x14ac:dyDescent="0.25">
      <c r="C18" s="657">
        <v>2</v>
      </c>
      <c r="D18" s="1124" t="s">
        <v>5045</v>
      </c>
      <c r="E18" s="1147"/>
      <c r="H18" s="30"/>
      <c r="I18" s="30"/>
      <c r="J18" s="30"/>
      <c r="K18" s="30"/>
      <c r="L18" s="30"/>
      <c r="M18" s="30"/>
    </row>
    <row r="19" spans="2:13" ht="40.5" customHeight="1" x14ac:dyDescent="0.25">
      <c r="C19" s="657">
        <v>3</v>
      </c>
      <c r="D19" s="1125" t="s">
        <v>4810</v>
      </c>
      <c r="E19" s="1147"/>
      <c r="F19" s="14"/>
      <c r="H19" s="30"/>
      <c r="I19" s="30"/>
      <c r="J19" s="30"/>
      <c r="K19" s="30"/>
      <c r="L19" s="30"/>
      <c r="M19" s="30"/>
    </row>
    <row r="20" spans="2:13" ht="35.25" customHeight="1" thickBot="1" x14ac:dyDescent="0.3">
      <c r="C20" s="658">
        <v>4</v>
      </c>
      <c r="D20" s="1126" t="s">
        <v>4811</v>
      </c>
      <c r="E20" s="1148"/>
      <c r="F20" s="25"/>
      <c r="G20" s="25"/>
      <c r="H20" s="30"/>
      <c r="I20" s="30"/>
      <c r="J20" s="30"/>
      <c r="K20" s="30"/>
      <c r="L20" s="30"/>
      <c r="M20" s="30"/>
    </row>
    <row r="21" spans="2:13" ht="15" customHeight="1" x14ac:dyDescent="0.25">
      <c r="B21" s="25"/>
      <c r="C21" s="25"/>
      <c r="D21" s="25"/>
      <c r="E21" s="25"/>
      <c r="F21" s="25"/>
      <c r="G21" s="30"/>
      <c r="H21" s="30"/>
      <c r="I21" s="30"/>
      <c r="J21" s="30"/>
      <c r="K21" s="30"/>
      <c r="L21" s="30"/>
    </row>
    <row r="22" spans="2:13" ht="18" customHeight="1" x14ac:dyDescent="0.25">
      <c r="B22" s="53"/>
      <c r="C22" s="53"/>
      <c r="D22" s="53"/>
      <c r="E22" s="53"/>
      <c r="F22" s="53"/>
    </row>
    <row r="23" spans="2:13" ht="15" customHeight="1" x14ac:dyDescent="0.25">
      <c r="B23" s="1121"/>
      <c r="C23" s="26"/>
      <c r="D23" s="26"/>
      <c r="E23" s="26"/>
      <c r="F23" s="26"/>
    </row>
    <row r="24" spans="2:13" ht="18" customHeight="1" x14ac:dyDescent="0.25">
      <c r="B24" s="26"/>
      <c r="C24" s="26"/>
      <c r="D24" s="26"/>
      <c r="E24" s="26"/>
      <c r="F24" s="26"/>
      <c r="G24" s="30"/>
      <c r="H24" s="30"/>
      <c r="I24" s="30"/>
      <c r="J24" s="30"/>
      <c r="K24" s="30"/>
      <c r="L24" s="30"/>
    </row>
    <row r="25" spans="2:13" ht="15" customHeight="1" x14ac:dyDescent="0.25">
      <c r="B25" s="25"/>
      <c r="C25" s="25"/>
      <c r="D25" s="25"/>
      <c r="E25" s="25"/>
      <c r="F25" s="25"/>
      <c r="G25" s="30"/>
      <c r="H25" s="30"/>
      <c r="I25" s="30"/>
      <c r="J25" s="30"/>
      <c r="K25" s="30"/>
      <c r="L25" s="30"/>
    </row>
    <row r="26" spans="2:13" ht="20.25" customHeight="1" thickBot="1" x14ac:dyDescent="0.3">
      <c r="B26" s="25"/>
      <c r="C26" s="1119" t="s">
        <v>4813</v>
      </c>
      <c r="D26" s="615"/>
      <c r="E26" s="1114" t="s">
        <v>9</v>
      </c>
      <c r="F26" s="25"/>
      <c r="G26" s="30"/>
      <c r="H26" s="30"/>
      <c r="I26" s="30"/>
      <c r="J26" s="30"/>
      <c r="K26" s="30"/>
      <c r="L26" s="30"/>
    </row>
    <row r="27" spans="2:13" ht="20.25" customHeight="1" x14ac:dyDescent="0.25">
      <c r="B27" s="25"/>
      <c r="C27" s="1118">
        <v>1</v>
      </c>
      <c r="D27" s="1127" t="s">
        <v>4814</v>
      </c>
      <c r="E27" s="1146"/>
      <c r="F27" s="25"/>
      <c r="G27" s="30"/>
      <c r="H27" s="30"/>
      <c r="I27" s="30"/>
      <c r="J27" s="30"/>
      <c r="K27" s="30"/>
      <c r="L27" s="30"/>
    </row>
    <row r="28" spans="2:13" ht="36.75" customHeight="1" x14ac:dyDescent="0.25">
      <c r="B28" s="15"/>
      <c r="C28" s="656">
        <v>2</v>
      </c>
      <c r="D28" s="1138" t="s">
        <v>5146</v>
      </c>
      <c r="E28" s="1147"/>
      <c r="F28" s="15"/>
      <c r="G28" s="30"/>
      <c r="H28" s="30"/>
      <c r="I28" s="30"/>
      <c r="J28" s="30"/>
      <c r="K28" s="30"/>
      <c r="L28" s="30"/>
    </row>
    <row r="29" spans="2:13" ht="39.75" customHeight="1" x14ac:dyDescent="0.25">
      <c r="B29" s="32"/>
      <c r="C29" s="656">
        <v>3</v>
      </c>
      <c r="D29" s="1128" t="s">
        <v>4871</v>
      </c>
      <c r="E29" s="1147"/>
      <c r="F29" s="32"/>
      <c r="G29" s="30"/>
      <c r="H29" s="30"/>
      <c r="I29" s="30"/>
      <c r="J29" s="30"/>
      <c r="K29" s="30"/>
      <c r="L29" s="30"/>
    </row>
    <row r="30" spans="2:13" ht="36.75" customHeight="1" x14ac:dyDescent="0.25">
      <c r="B30" s="26"/>
      <c r="C30" s="656">
        <v>4</v>
      </c>
      <c r="D30" s="1134" t="s">
        <v>4872</v>
      </c>
      <c r="E30" s="1147"/>
      <c r="F30" s="26"/>
      <c r="G30" s="30"/>
      <c r="H30" s="30"/>
      <c r="I30" s="30"/>
      <c r="J30" s="30"/>
      <c r="K30" s="30"/>
      <c r="L30" s="30"/>
    </row>
    <row r="31" spans="2:13" ht="33.75" customHeight="1" thickBot="1" x14ac:dyDescent="0.3">
      <c r="B31" s="26"/>
      <c r="C31" s="703">
        <v>5</v>
      </c>
      <c r="D31" s="1129" t="s">
        <v>4873</v>
      </c>
      <c r="E31" s="1148"/>
      <c r="F31" s="26"/>
      <c r="G31" s="30"/>
      <c r="H31" s="30"/>
      <c r="I31" s="30"/>
      <c r="J31" s="30"/>
      <c r="K31" s="30"/>
      <c r="L31" s="30"/>
    </row>
    <row r="32" spans="2:13" ht="19.5" customHeight="1" x14ac:dyDescent="0.25">
      <c r="B32" s="26"/>
      <c r="C32" s="659"/>
      <c r="D32" s="702"/>
      <c r="E32" s="666"/>
      <c r="F32" s="26"/>
      <c r="G32" s="30"/>
      <c r="H32" s="30"/>
      <c r="I32" s="30"/>
      <c r="J32" s="30"/>
      <c r="K32" s="30"/>
      <c r="L32" s="30"/>
    </row>
    <row r="33" spans="2:12" ht="16.5" thickBot="1" x14ac:dyDescent="0.3">
      <c r="B33" s="26"/>
      <c r="C33" s="1119" t="s">
        <v>4874</v>
      </c>
      <c r="D33" s="615"/>
      <c r="E33" s="1114" t="s">
        <v>9</v>
      </c>
      <c r="F33" s="26"/>
      <c r="G33" s="30"/>
      <c r="H33" s="30"/>
      <c r="I33" s="30"/>
      <c r="J33" s="30"/>
      <c r="K33" s="30"/>
      <c r="L33" s="30"/>
    </row>
    <row r="34" spans="2:12" ht="35.25" customHeight="1" x14ac:dyDescent="0.25">
      <c r="B34" s="26"/>
      <c r="C34" s="1118">
        <v>1</v>
      </c>
      <c r="D34" s="1139" t="s">
        <v>5147</v>
      </c>
      <c r="E34" s="1146"/>
      <c r="F34" s="26"/>
      <c r="G34" s="30"/>
      <c r="H34" s="30"/>
      <c r="I34" s="30"/>
      <c r="J34" s="30"/>
      <c r="K34" s="30"/>
      <c r="L34" s="30"/>
    </row>
    <row r="35" spans="2:12" ht="36.75" customHeight="1" x14ac:dyDescent="0.25">
      <c r="B35" s="26"/>
      <c r="C35" s="656">
        <v>2</v>
      </c>
      <c r="D35" s="1122" t="s">
        <v>4815</v>
      </c>
      <c r="E35" s="1147"/>
      <c r="F35" s="26"/>
      <c r="G35" s="30"/>
      <c r="H35" s="30"/>
      <c r="I35" s="30"/>
      <c r="J35" s="30"/>
      <c r="K35" s="30"/>
      <c r="L35" s="30"/>
    </row>
    <row r="36" spans="2:12" ht="73.5" customHeight="1" x14ac:dyDescent="0.25">
      <c r="B36" s="26"/>
      <c r="C36" s="656">
        <v>3</v>
      </c>
      <c r="D36" s="1122" t="s">
        <v>4875</v>
      </c>
      <c r="E36" s="1147"/>
      <c r="F36" s="26"/>
      <c r="G36" s="30"/>
      <c r="H36" s="30"/>
      <c r="I36" s="30"/>
      <c r="J36" s="30"/>
      <c r="K36" s="30"/>
      <c r="L36" s="30"/>
    </row>
    <row r="37" spans="2:12" ht="22.5" customHeight="1" x14ac:dyDescent="0.25">
      <c r="C37" s="656">
        <v>4</v>
      </c>
      <c r="D37" s="1128" t="s">
        <v>4816</v>
      </c>
      <c r="E37" s="1147"/>
      <c r="G37" s="30"/>
      <c r="H37" s="30"/>
      <c r="I37" s="30"/>
      <c r="J37" s="30"/>
      <c r="K37" s="30"/>
      <c r="L37" s="30"/>
    </row>
    <row r="38" spans="2:12" ht="51.75" customHeight="1" thickBot="1" x14ac:dyDescent="0.3">
      <c r="C38" s="703">
        <v>5</v>
      </c>
      <c r="D38" s="1130" t="s">
        <v>5048</v>
      </c>
      <c r="E38" s="1148"/>
      <c r="G38" s="30"/>
      <c r="H38" s="30"/>
      <c r="I38" s="30"/>
      <c r="J38" s="30"/>
      <c r="K38" s="30"/>
      <c r="L38" s="30"/>
    </row>
    <row r="39" spans="2:12" x14ac:dyDescent="0.25">
      <c r="E39" s="87"/>
      <c r="G39" s="30"/>
      <c r="H39" s="30"/>
      <c r="I39" s="30"/>
      <c r="J39" s="30"/>
      <c r="K39" s="30"/>
      <c r="L39" s="30"/>
    </row>
    <row r="40" spans="2:12" ht="20.25" customHeight="1" thickBot="1" x14ac:dyDescent="0.3">
      <c r="C40" s="615" t="s">
        <v>4817</v>
      </c>
      <c r="D40" s="615"/>
      <c r="E40" s="1114" t="s">
        <v>9</v>
      </c>
      <c r="G40" s="30"/>
      <c r="H40" s="30"/>
      <c r="I40" s="30"/>
      <c r="J40" s="30"/>
      <c r="K40" s="30"/>
      <c r="L40" s="30"/>
    </row>
    <row r="41" spans="2:12" ht="18" customHeight="1" x14ac:dyDescent="0.25">
      <c r="C41" s="1113">
        <v>1</v>
      </c>
      <c r="D41" s="1131" t="s">
        <v>4818</v>
      </c>
      <c r="E41" s="1149"/>
      <c r="G41" s="30"/>
      <c r="H41" s="30"/>
      <c r="I41" s="30"/>
      <c r="J41" s="30"/>
      <c r="K41" s="30"/>
      <c r="L41" s="30"/>
    </row>
    <row r="42" spans="2:12" ht="36.75" customHeight="1" thickBot="1" x14ac:dyDescent="0.3">
      <c r="C42" s="660">
        <v>2</v>
      </c>
      <c r="D42" s="1132" t="s">
        <v>5046</v>
      </c>
      <c r="E42" s="1148"/>
      <c r="G42" s="30"/>
      <c r="H42" s="30"/>
      <c r="I42" s="30"/>
      <c r="J42" s="30"/>
      <c r="K42" s="30"/>
      <c r="L42" s="30"/>
    </row>
    <row r="43" spans="2:12" x14ac:dyDescent="0.25">
      <c r="E43" s="87"/>
      <c r="G43" s="30"/>
      <c r="H43" s="30"/>
      <c r="I43" s="30"/>
      <c r="J43" s="30"/>
      <c r="K43" s="30"/>
      <c r="L43" s="30"/>
    </row>
    <row r="44" spans="2:12" ht="20.25" customHeight="1" thickBot="1" x14ac:dyDescent="0.3">
      <c r="C44" s="615" t="s">
        <v>4819</v>
      </c>
      <c r="D44" s="615"/>
      <c r="E44" s="1114" t="s">
        <v>9</v>
      </c>
      <c r="G44" s="30"/>
      <c r="H44" s="30"/>
      <c r="I44" s="30"/>
      <c r="J44" s="30"/>
      <c r="K44" s="30"/>
      <c r="L44" s="30"/>
    </row>
    <row r="45" spans="2:12" ht="36.75" customHeight="1" thickBot="1" x14ac:dyDescent="0.3">
      <c r="C45" s="1115">
        <v>1</v>
      </c>
      <c r="D45" s="1133" t="s">
        <v>4821</v>
      </c>
      <c r="E45" s="1150"/>
      <c r="G45" s="30"/>
      <c r="H45" s="30"/>
      <c r="I45" s="30"/>
      <c r="J45" s="30"/>
      <c r="K45" s="30"/>
      <c r="L45" s="30"/>
    </row>
    <row r="46" spans="2:12" x14ac:dyDescent="0.25">
      <c r="G46" s="30"/>
      <c r="H46" s="30"/>
      <c r="I46" s="30"/>
      <c r="J46" s="30"/>
      <c r="K46" s="30"/>
      <c r="L46" s="30"/>
    </row>
    <row r="47" spans="2:12" x14ac:dyDescent="0.25">
      <c r="G47" s="30"/>
      <c r="H47" s="30"/>
      <c r="I47" s="30"/>
      <c r="J47" s="30"/>
      <c r="K47" s="30"/>
      <c r="L47" s="30"/>
    </row>
    <row r="48" spans="2:12" x14ac:dyDescent="0.25">
      <c r="G48" s="30"/>
      <c r="H48" s="30"/>
      <c r="I48" s="30"/>
      <c r="J48" s="30"/>
      <c r="K48" s="30"/>
      <c r="L48" s="30"/>
    </row>
    <row r="49" spans="7:12" x14ac:dyDescent="0.25">
      <c r="G49" s="30"/>
      <c r="H49" s="30"/>
      <c r="I49" s="30"/>
      <c r="J49" s="30"/>
      <c r="K49" s="30"/>
      <c r="L49" s="30"/>
    </row>
    <row r="50" spans="7:12" x14ac:dyDescent="0.25">
      <c r="G50" s="30"/>
      <c r="H50" s="30"/>
      <c r="I50" s="30"/>
      <c r="J50" s="30"/>
      <c r="K50" s="30"/>
      <c r="L50" s="30"/>
    </row>
    <row r="51" spans="7:12" x14ac:dyDescent="0.25">
      <c r="G51" s="30"/>
      <c r="H51" s="30"/>
      <c r="I51" s="30"/>
      <c r="J51" s="30"/>
      <c r="K51" s="30"/>
      <c r="L51" s="30"/>
    </row>
    <row r="52" spans="7:12" x14ac:dyDescent="0.25">
      <c r="G52" s="30"/>
      <c r="H52" s="30"/>
      <c r="I52" s="30"/>
      <c r="J52" s="30"/>
      <c r="K52" s="30"/>
      <c r="L52" s="30"/>
    </row>
    <row r="53" spans="7:12" x14ac:dyDescent="0.25">
      <c r="G53" s="30"/>
      <c r="H53" s="30"/>
      <c r="I53" s="30"/>
      <c r="J53" s="30"/>
      <c r="K53" s="30"/>
      <c r="L53" s="30"/>
    </row>
    <row r="54" spans="7:12" x14ac:dyDescent="0.25">
      <c r="G54" s="30"/>
      <c r="H54" s="30"/>
      <c r="I54" s="30"/>
      <c r="J54" s="30"/>
      <c r="K54" s="30"/>
      <c r="L54" s="30"/>
    </row>
    <row r="55" spans="7:12" x14ac:dyDescent="0.25">
      <c r="G55" s="30"/>
      <c r="H55" s="30"/>
      <c r="I55" s="30"/>
      <c r="J55" s="30"/>
      <c r="K55" s="30"/>
      <c r="L55" s="30"/>
    </row>
    <row r="56" spans="7:12" x14ac:dyDescent="0.25">
      <c r="G56" s="30"/>
      <c r="H56" s="30"/>
      <c r="I56" s="30"/>
      <c r="J56" s="30"/>
      <c r="K56" s="30"/>
      <c r="L56" s="30"/>
    </row>
    <row r="57" spans="7:12" x14ac:dyDescent="0.25">
      <c r="G57" s="30"/>
      <c r="H57" s="30"/>
      <c r="I57" s="30"/>
      <c r="J57" s="30"/>
      <c r="K57" s="30"/>
      <c r="L57" s="30"/>
    </row>
    <row r="58" spans="7:12" x14ac:dyDescent="0.25">
      <c r="G58" s="30"/>
      <c r="H58" s="30"/>
      <c r="I58" s="30"/>
      <c r="J58" s="30"/>
      <c r="K58" s="30"/>
      <c r="L58" s="30"/>
    </row>
    <row r="59" spans="7:12" x14ac:dyDescent="0.25">
      <c r="G59" s="30"/>
      <c r="H59" s="30"/>
      <c r="I59" s="30"/>
      <c r="J59" s="30"/>
      <c r="K59" s="30"/>
      <c r="L59" s="30"/>
    </row>
    <row r="60" spans="7:12" x14ac:dyDescent="0.25">
      <c r="G60" s="30"/>
      <c r="H60" s="30"/>
      <c r="I60" s="30"/>
      <c r="J60" s="30"/>
      <c r="K60" s="30"/>
      <c r="L60" s="30"/>
    </row>
    <row r="61" spans="7:12" x14ac:dyDescent="0.25">
      <c r="G61" s="30"/>
      <c r="H61" s="30"/>
      <c r="I61" s="30"/>
      <c r="J61" s="30"/>
      <c r="K61" s="30"/>
      <c r="L61" s="30"/>
    </row>
    <row r="62" spans="7:12" x14ac:dyDescent="0.25">
      <c r="G62" s="30"/>
      <c r="H62" s="30"/>
      <c r="I62" s="30"/>
      <c r="J62" s="30"/>
      <c r="K62" s="30"/>
      <c r="L62" s="30"/>
    </row>
    <row r="63" spans="7:12" x14ac:dyDescent="0.25">
      <c r="G63" s="30"/>
      <c r="H63" s="30"/>
      <c r="I63" s="30"/>
      <c r="J63" s="30"/>
      <c r="K63" s="30"/>
      <c r="L63" s="30"/>
    </row>
    <row r="64" spans="7:12" x14ac:dyDescent="0.25">
      <c r="G64" s="30"/>
      <c r="H64" s="30"/>
      <c r="I64" s="30"/>
      <c r="J64" s="30"/>
      <c r="K64" s="30"/>
      <c r="L64" s="30"/>
    </row>
    <row r="65" spans="7:12" x14ac:dyDescent="0.25">
      <c r="G65" s="30"/>
      <c r="H65" s="30"/>
      <c r="I65" s="30"/>
      <c r="J65" s="30"/>
      <c r="K65" s="30"/>
      <c r="L65" s="30"/>
    </row>
    <row r="66" spans="7:12" x14ac:dyDescent="0.25">
      <c r="G66" s="30"/>
      <c r="H66" s="30"/>
      <c r="I66" s="30"/>
      <c r="J66" s="30"/>
      <c r="K66" s="30"/>
      <c r="L66" s="30"/>
    </row>
    <row r="67" spans="7:12" x14ac:dyDescent="0.25">
      <c r="G67" s="30"/>
      <c r="H67" s="30"/>
      <c r="I67" s="30"/>
      <c r="J67" s="30"/>
      <c r="K67" s="30"/>
      <c r="L67" s="30"/>
    </row>
    <row r="68" spans="7:12" x14ac:dyDescent="0.25">
      <c r="G68" s="30"/>
      <c r="H68" s="30"/>
      <c r="I68" s="30"/>
      <c r="J68" s="30"/>
      <c r="K68" s="30"/>
      <c r="L68" s="30"/>
    </row>
    <row r="69" spans="7:12" x14ac:dyDescent="0.25">
      <c r="G69" s="30"/>
      <c r="H69" s="30"/>
      <c r="I69" s="30"/>
      <c r="J69" s="30"/>
      <c r="K69" s="30"/>
      <c r="L69" s="30"/>
    </row>
    <row r="70" spans="7:12" x14ac:dyDescent="0.25">
      <c r="G70" s="30"/>
      <c r="H70" s="30"/>
      <c r="I70" s="30"/>
      <c r="J70" s="30"/>
      <c r="K70" s="30"/>
      <c r="L70" s="30"/>
    </row>
    <row r="71" spans="7:12" x14ac:dyDescent="0.25">
      <c r="G71" s="30"/>
      <c r="H71" s="30"/>
      <c r="I71" s="30"/>
      <c r="J71" s="30"/>
      <c r="K71" s="30"/>
      <c r="L71" s="30"/>
    </row>
    <row r="72" spans="7:12" x14ac:dyDescent="0.25">
      <c r="G72" s="30"/>
      <c r="H72" s="30"/>
      <c r="I72" s="30"/>
      <c r="J72" s="30"/>
      <c r="K72" s="30"/>
      <c r="L72" s="30"/>
    </row>
    <row r="73" spans="7:12" x14ac:dyDescent="0.25">
      <c r="G73" s="30"/>
      <c r="H73" s="30"/>
      <c r="I73" s="30"/>
      <c r="J73" s="30"/>
      <c r="K73" s="30"/>
      <c r="L73" s="30"/>
    </row>
    <row r="74" spans="7:12" x14ac:dyDescent="0.25">
      <c r="G74" s="30"/>
      <c r="H74" s="30"/>
      <c r="I74" s="30"/>
      <c r="J74" s="30"/>
      <c r="K74" s="30"/>
      <c r="L74" s="30"/>
    </row>
    <row r="75" spans="7:12" x14ac:dyDescent="0.25">
      <c r="G75" s="30"/>
      <c r="H75" s="30"/>
      <c r="I75" s="30"/>
      <c r="J75" s="30"/>
      <c r="K75" s="30"/>
      <c r="L75" s="30"/>
    </row>
    <row r="76" spans="7:12" x14ac:dyDescent="0.25">
      <c r="G76" s="30"/>
      <c r="H76" s="30"/>
      <c r="I76" s="30"/>
      <c r="J76" s="30"/>
      <c r="K76" s="30"/>
      <c r="L76" s="30"/>
    </row>
    <row r="77" spans="7:12" x14ac:dyDescent="0.25">
      <c r="G77" s="30"/>
      <c r="H77" s="30"/>
      <c r="I77" s="30"/>
      <c r="J77" s="30"/>
      <c r="K77" s="30"/>
      <c r="L77" s="30"/>
    </row>
    <row r="78" spans="7:12" x14ac:dyDescent="0.25">
      <c r="G78" s="30"/>
      <c r="H78" s="30"/>
      <c r="I78" s="30"/>
      <c r="J78" s="30"/>
      <c r="K78" s="30"/>
      <c r="L78" s="30"/>
    </row>
    <row r="79" spans="7:12" x14ac:dyDescent="0.25">
      <c r="G79" s="30"/>
      <c r="H79" s="30"/>
      <c r="I79" s="30"/>
      <c r="J79" s="30"/>
      <c r="K79" s="30"/>
      <c r="L79" s="30"/>
    </row>
    <row r="80" spans="7:12" x14ac:dyDescent="0.25">
      <c r="G80" s="30"/>
      <c r="H80" s="30"/>
      <c r="I80" s="30"/>
      <c r="J80" s="30"/>
      <c r="K80" s="30"/>
      <c r="L80" s="30"/>
    </row>
    <row r="81" spans="7:12" x14ac:dyDescent="0.25">
      <c r="G81" s="30"/>
      <c r="H81" s="30"/>
      <c r="I81" s="30"/>
      <c r="J81" s="30"/>
      <c r="K81" s="30"/>
      <c r="L81" s="30"/>
    </row>
    <row r="82" spans="7:12" x14ac:dyDescent="0.25">
      <c r="G82" s="30"/>
      <c r="H82" s="30"/>
      <c r="I82" s="30"/>
      <c r="J82" s="30"/>
      <c r="K82" s="30"/>
      <c r="L82" s="30"/>
    </row>
    <row r="83" spans="7:12" x14ac:dyDescent="0.25">
      <c r="G83" s="30"/>
      <c r="H83" s="30"/>
      <c r="I83" s="30"/>
      <c r="J83" s="30"/>
      <c r="K83" s="30"/>
      <c r="L83" s="30"/>
    </row>
    <row r="84" spans="7:12" x14ac:dyDescent="0.25">
      <c r="G84" s="30"/>
      <c r="H84" s="30"/>
      <c r="I84" s="30"/>
      <c r="J84" s="30"/>
      <c r="K84" s="30"/>
      <c r="L84" s="30"/>
    </row>
    <row r="85" spans="7:12" x14ac:dyDescent="0.25">
      <c r="G85" s="30"/>
      <c r="H85" s="30"/>
      <c r="I85" s="30"/>
      <c r="J85" s="30"/>
      <c r="K85" s="30"/>
      <c r="L85" s="30"/>
    </row>
    <row r="86" spans="7:12" x14ac:dyDescent="0.25">
      <c r="G86" s="30"/>
      <c r="H86" s="30"/>
      <c r="I86" s="30"/>
      <c r="J86" s="30"/>
      <c r="K86" s="30"/>
      <c r="L86" s="30"/>
    </row>
    <row r="87" spans="7:12" x14ac:dyDescent="0.25">
      <c r="G87" s="30"/>
      <c r="H87" s="30"/>
      <c r="I87" s="30"/>
      <c r="J87" s="30"/>
      <c r="K87" s="30"/>
      <c r="L87" s="30"/>
    </row>
    <row r="88" spans="7:12" x14ac:dyDescent="0.25">
      <c r="G88" s="30"/>
      <c r="H88" s="30"/>
      <c r="I88" s="30"/>
      <c r="J88" s="30"/>
      <c r="K88" s="30"/>
      <c r="L88" s="30"/>
    </row>
    <row r="89" spans="7:12" x14ac:dyDescent="0.25">
      <c r="G89" s="30"/>
      <c r="H89" s="30"/>
      <c r="I89" s="30"/>
      <c r="J89" s="30"/>
      <c r="K89" s="30"/>
      <c r="L89" s="30"/>
    </row>
    <row r="90" spans="7:12" x14ac:dyDescent="0.25">
      <c r="G90" s="30"/>
      <c r="H90" s="30"/>
      <c r="I90" s="30"/>
      <c r="J90" s="30"/>
      <c r="K90" s="30"/>
      <c r="L90" s="30"/>
    </row>
    <row r="91" spans="7:12" x14ac:dyDescent="0.25">
      <c r="G91" s="30"/>
      <c r="H91" s="30"/>
      <c r="I91" s="30"/>
      <c r="J91" s="30"/>
      <c r="K91" s="30"/>
      <c r="L91" s="30"/>
    </row>
    <row r="92" spans="7:12" x14ac:dyDescent="0.25">
      <c r="G92" s="30"/>
      <c r="H92" s="30"/>
      <c r="I92" s="30"/>
      <c r="J92" s="30"/>
      <c r="K92" s="30"/>
      <c r="L92" s="30"/>
    </row>
    <row r="93" spans="7:12" x14ac:dyDescent="0.25">
      <c r="G93" s="30"/>
      <c r="H93" s="30"/>
      <c r="I93" s="30"/>
      <c r="J93" s="30"/>
      <c r="K93" s="30"/>
      <c r="L93" s="30"/>
    </row>
    <row r="94" spans="7:12" x14ac:dyDescent="0.25">
      <c r="G94" s="30"/>
      <c r="H94" s="30"/>
      <c r="I94" s="30"/>
      <c r="J94" s="30"/>
      <c r="K94" s="30"/>
      <c r="L94" s="30"/>
    </row>
    <row r="95" spans="7:12" x14ac:dyDescent="0.25">
      <c r="G95" s="30"/>
      <c r="H95" s="30"/>
      <c r="I95" s="30"/>
      <c r="J95" s="30"/>
      <c r="K95" s="30"/>
      <c r="L95" s="30"/>
    </row>
    <row r="96" spans="7:12" x14ac:dyDescent="0.25">
      <c r="G96" s="30"/>
      <c r="H96" s="30"/>
      <c r="I96" s="30"/>
      <c r="J96" s="30"/>
      <c r="K96" s="30"/>
      <c r="L96" s="30"/>
    </row>
    <row r="97" spans="7:12" x14ac:dyDescent="0.25">
      <c r="G97" s="30"/>
      <c r="H97" s="30"/>
      <c r="I97" s="30"/>
      <c r="J97" s="30"/>
      <c r="K97" s="30"/>
      <c r="L97" s="30"/>
    </row>
    <row r="98" spans="7:12" x14ac:dyDescent="0.25">
      <c r="G98" s="30"/>
      <c r="H98" s="30"/>
      <c r="I98" s="30"/>
      <c r="J98" s="30"/>
      <c r="K98" s="30"/>
      <c r="L98" s="30"/>
    </row>
    <row r="99" spans="7:12" x14ac:dyDescent="0.25">
      <c r="G99" s="30"/>
      <c r="H99" s="30"/>
      <c r="I99" s="30"/>
      <c r="J99" s="30"/>
      <c r="K99" s="30"/>
      <c r="L99" s="30"/>
    </row>
    <row r="100" spans="7:12" x14ac:dyDescent="0.25">
      <c r="G100" s="30"/>
      <c r="H100" s="30"/>
      <c r="I100" s="30"/>
      <c r="J100" s="30"/>
      <c r="K100" s="30"/>
      <c r="L100" s="30"/>
    </row>
    <row r="101" spans="7:12" x14ac:dyDescent="0.25">
      <c r="G101" s="30"/>
      <c r="H101" s="30"/>
      <c r="I101" s="30"/>
      <c r="J101" s="30"/>
      <c r="K101" s="30"/>
      <c r="L101" s="30"/>
    </row>
    <row r="102" spans="7:12" x14ac:dyDescent="0.25">
      <c r="G102" s="30"/>
      <c r="H102" s="30"/>
      <c r="I102" s="30"/>
      <c r="J102" s="30"/>
      <c r="K102" s="30"/>
      <c r="L102" s="30"/>
    </row>
    <row r="103" spans="7:12" x14ac:dyDescent="0.25">
      <c r="G103" s="30"/>
      <c r="H103" s="30"/>
      <c r="I103" s="30"/>
      <c r="J103" s="30"/>
      <c r="K103" s="30"/>
      <c r="L103" s="30"/>
    </row>
  </sheetData>
  <sheetProtection algorithmName="SHA-512" hashValue="+TnEgv4+XRz0c92Lvgi0uWQALcdZOux9PTKeiFVQwdRUnylc6OTRwmwCX84l5Q7CW9KKnLNoY1PZvvd2r/UsGg==" saltValue="6WLH3RDJHEEuffzjyUYyhw==" spinCount="100000" sheet="1" objects="1" scenarios="1"/>
  <dataValidations count="2">
    <dataValidation type="list" allowBlank="1" showInputMessage="1" showErrorMessage="1" sqref="E17:E20 E28 E30 E45">
      <formula1>"Yes,No"</formula1>
    </dataValidation>
    <dataValidation type="list" allowBlank="1" showInputMessage="1" showErrorMessage="1" sqref="E27 E29 E31 E34:E38 E41:E42">
      <formula1>"Yes,No,N/A"</formula1>
    </dataValidation>
  </dataValidations>
  <hyperlinks>
    <hyperlink ref="D28" r:id="rId1" tooltip="Link to CARB map to measure distance to central business district" display="http://www.arb.ca.gov/cc/capandtrade/auctionproceeds/kml/jobcentermap.htm"/>
  </hyperlinks>
  <pageMargins left="0.7" right="0.7" top="0.98479166666666662" bottom="0.75" header="0.3" footer="0.3"/>
  <pageSetup scale="65" fitToHeight="0" orientation="landscape" r:id="rId2"/>
  <headerFooter>
    <oddFooter>&amp;L&amp;"Avenir LT Std 55 Roman,Regular"&amp;12&amp;K000000FINAL November 1, 2019&amp;C&amp;"Avenir LT Std 55 Roman,Regular"&amp;12Page &amp;P of &amp;N&amp;R&amp;"Avenir LT Std 55 Roman,Regular"&amp;12&amp;K000000&amp;A</oddFooter>
  </headerFooter>
  <rowBreaks count="1" manualBreakCount="1">
    <brk id="21"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109</vt:i4>
      </vt:variant>
    </vt:vector>
  </HeadingPairs>
  <TitlesOfParts>
    <vt:vector size="134" baseType="lpstr">
      <vt:lpstr>Read Me</vt:lpstr>
      <vt:lpstr>Project Info</vt:lpstr>
      <vt:lpstr>Affordable Housing Inputs</vt:lpstr>
      <vt:lpstr>Active Transportation Inputs</vt:lpstr>
      <vt:lpstr>Transit Inputs</vt:lpstr>
      <vt:lpstr>Solar PV Inputs</vt:lpstr>
      <vt:lpstr>GHG Summary</vt:lpstr>
      <vt:lpstr>Co-benefits Summary</vt:lpstr>
      <vt:lpstr>Documentation</vt:lpstr>
      <vt:lpstr>Costs</vt:lpstr>
      <vt:lpstr>Transit Emissions</vt:lpstr>
      <vt:lpstr>Trip Generation</vt:lpstr>
      <vt:lpstr>Energy, Fuel, &amp; Travel Prices</vt:lpstr>
      <vt:lpstr>Active Transportation Factors</vt:lpstr>
      <vt:lpstr>Fuel-specific GHG</vt:lpstr>
      <vt:lpstr>Modes of Transportation GHG</vt:lpstr>
      <vt:lpstr>Passenger Auto GHG</vt:lpstr>
      <vt:lpstr>Passenger Auto Criteria &amp; Toxic</vt:lpstr>
      <vt:lpstr>Coach Criteria &amp; Toxic</vt:lpstr>
      <vt:lpstr>Cut-a-way Criteria &amp; Toxic</vt:lpstr>
      <vt:lpstr>Ferry Criteria &amp; Toxic</vt:lpstr>
      <vt:lpstr>Locomotive Criteria &amp; Toxic</vt:lpstr>
      <vt:lpstr>Transit Bus Criteria &amp; Toxic</vt:lpstr>
      <vt:lpstr>Van Criteria &amp; Toxic</vt:lpstr>
      <vt:lpstr>Grid Electricity</vt:lpstr>
      <vt:lpstr>Affordability</vt:lpstr>
      <vt:lpstr>AffordableDUs</vt:lpstr>
      <vt:lpstr>AHDFuelReductions</vt:lpstr>
      <vt:lpstr>AHDGHGReductions</vt:lpstr>
      <vt:lpstr>AHDNOxReductions</vt:lpstr>
      <vt:lpstr>AHDPM10Reductions</vt:lpstr>
      <vt:lpstr>AHDPM2.5Reductions</vt:lpstr>
      <vt:lpstr>AHDROGReductions</vt:lpstr>
      <vt:lpstr>AHDVMTReductions</vt:lpstr>
      <vt:lpstr>AHDYear1</vt:lpstr>
      <vt:lpstr>AHSCFunds</vt:lpstr>
      <vt:lpstr>AnnualAvoidedVMT</vt:lpstr>
      <vt:lpstr>AnnualkWh</vt:lpstr>
      <vt:lpstr>AvoidedVMT</vt:lpstr>
      <vt:lpstr>CBD</vt:lpstr>
      <vt:lpstr>Coach</vt:lpstr>
      <vt:lpstr>Counties</vt:lpstr>
      <vt:lpstr>County</vt:lpstr>
      <vt:lpstr>DefaultParking</vt:lpstr>
      <vt:lpstr>Density</vt:lpstr>
      <vt:lpstr>DensityIncrease</vt:lpstr>
      <vt:lpstr>DUs</vt:lpstr>
      <vt:lpstr>DwellingType</vt:lpstr>
      <vt:lpstr>ElectricityCosts</vt:lpstr>
      <vt:lpstr>ElectricityUse</vt:lpstr>
      <vt:lpstr>EnergyFuelCostSavings</vt:lpstr>
      <vt:lpstr>Fare</vt:lpstr>
      <vt:lpstr>Ferry</vt:lpstr>
      <vt:lpstr>HeavyRail</vt:lpstr>
      <vt:lpstr>LightRail</vt:lpstr>
      <vt:lpstr>LUIndex</vt:lpstr>
      <vt:lpstr>LUT_1</vt:lpstr>
      <vt:lpstr>LUT_3</vt:lpstr>
      <vt:lpstr>LUT_4</vt:lpstr>
      <vt:lpstr>LUT_6</vt:lpstr>
      <vt:lpstr>LUTTotal</vt:lpstr>
      <vt:lpstr>MUDev</vt:lpstr>
      <vt:lpstr>MUPercent</vt:lpstr>
      <vt:lpstr>MUSpace</vt:lpstr>
      <vt:lpstr>OnStreetCost</vt:lpstr>
      <vt:lpstr>OtherGGRFFunds</vt:lpstr>
      <vt:lpstr>ParkingReduction</vt:lpstr>
      <vt:lpstr>ParkingSpaces</vt:lpstr>
      <vt:lpstr>PDT_1</vt:lpstr>
      <vt:lpstr>PDT_2</vt:lpstr>
      <vt:lpstr>PDT_3</vt:lpstr>
      <vt:lpstr>PDTTotal</vt:lpstr>
      <vt:lpstr>PercentSubsidies</vt:lpstr>
      <vt:lpstr>'Active Transportation Factors'!Print_Area</vt:lpstr>
      <vt:lpstr>'Active Transportation Inputs'!Print_Area</vt:lpstr>
      <vt:lpstr>'Affordable Housing Inputs'!Print_Area</vt:lpstr>
      <vt:lpstr>'Coach Criteria &amp; Toxic'!Print_Area</vt:lpstr>
      <vt:lpstr>'Co-benefits Summary'!Print_Area</vt:lpstr>
      <vt:lpstr>Costs!Print_Area</vt:lpstr>
      <vt:lpstr>'Cut-a-way Criteria &amp; Toxic'!Print_Area</vt:lpstr>
      <vt:lpstr>Documentation!Print_Area</vt:lpstr>
      <vt:lpstr>'Energy, Fuel, &amp; Travel Prices'!Print_Area</vt:lpstr>
      <vt:lpstr>'Ferry Criteria &amp; Toxic'!Print_Area</vt:lpstr>
      <vt:lpstr>'Fuel-specific GHG'!Print_Area</vt:lpstr>
      <vt:lpstr>'GHG Summary'!Print_Area</vt:lpstr>
      <vt:lpstr>'Grid Electricity'!Print_Area</vt:lpstr>
      <vt:lpstr>'Locomotive Criteria &amp; Toxic'!Print_Area</vt:lpstr>
      <vt:lpstr>'Modes of Transportation GHG'!Print_Area</vt:lpstr>
      <vt:lpstr>'Passenger Auto Criteria &amp; Toxic'!Print_Area</vt:lpstr>
      <vt:lpstr>'Passenger Auto GHG'!Print_Area</vt:lpstr>
      <vt:lpstr>'Project Info'!Print_Area</vt:lpstr>
      <vt:lpstr>'Read Me'!Print_Area</vt:lpstr>
      <vt:lpstr>'Solar PV Inputs'!Print_Area</vt:lpstr>
      <vt:lpstr>'Transit Bus Criteria &amp; Toxic'!Print_Area</vt:lpstr>
      <vt:lpstr>'Transit Emissions'!Print_Area</vt:lpstr>
      <vt:lpstr>'Transit Inputs'!Print_Area</vt:lpstr>
      <vt:lpstr>'Trip Generation'!Print_Area</vt:lpstr>
      <vt:lpstr>'Van Criteria &amp; Toxic'!Print_Area</vt:lpstr>
      <vt:lpstr>ProjectAreaType</vt:lpstr>
      <vt:lpstr>ProjectName</vt:lpstr>
      <vt:lpstr>ReductionsTotal</vt:lpstr>
      <vt:lpstr>RemoteNOx</vt:lpstr>
      <vt:lpstr>RemotePM2.5</vt:lpstr>
      <vt:lpstr>RemoteROG</vt:lpstr>
      <vt:lpstr>ResidentialDailyTrips</vt:lpstr>
      <vt:lpstr>ResidentialOverallTrip</vt:lpstr>
      <vt:lpstr>ResidentialPercent</vt:lpstr>
      <vt:lpstr>ResidentialPrimaryTrip</vt:lpstr>
      <vt:lpstr>ResidentialSpace</vt:lpstr>
      <vt:lpstr>ResidentialTrips</vt:lpstr>
      <vt:lpstr>ResidentialType</vt:lpstr>
      <vt:lpstr>ResidentialUnmitigatedVMT</vt:lpstr>
      <vt:lpstr>SDT_2</vt:lpstr>
      <vt:lpstr>Setting</vt:lpstr>
      <vt:lpstr>Shuttle</vt:lpstr>
      <vt:lpstr>SolarGHG</vt:lpstr>
      <vt:lpstr>Stories</vt:lpstr>
      <vt:lpstr>Streetcar</vt:lpstr>
      <vt:lpstr>Subsidies</vt:lpstr>
      <vt:lpstr>SubsidyDuration</vt:lpstr>
      <vt:lpstr>SubsidyTotal</vt:lpstr>
      <vt:lpstr>SubsidyValue</vt:lpstr>
      <vt:lpstr>TotalFunds</vt:lpstr>
      <vt:lpstr>TotalGHG</vt:lpstr>
      <vt:lpstr>TotalkWh</vt:lpstr>
      <vt:lpstr>TrafficCalming</vt:lpstr>
      <vt:lpstr>TransitBus</vt:lpstr>
      <vt:lpstr>TransitTypes</vt:lpstr>
      <vt:lpstr>TravelCostSavings</vt:lpstr>
      <vt:lpstr>TRT_4</vt:lpstr>
      <vt:lpstr>UmitigatedVMT</vt:lpstr>
      <vt:lpstr>UnbundledCost</vt:lpstr>
      <vt:lpstr>UnmitigatedVMT</vt:lpstr>
      <vt:lpstr>Vanpool</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AHSC Benefits Calculator Tool</dc:title>
  <dc:creator>Laila.Atalla@arb.ca.gov</dc:creator>
  <cp:lastModifiedBy>Atalla, Laila@ARB</cp:lastModifiedBy>
  <cp:lastPrinted>2019-03-15T00:00:32Z</cp:lastPrinted>
  <dcterms:created xsi:type="dcterms:W3CDTF">2017-06-22T18:28:37Z</dcterms:created>
  <dcterms:modified xsi:type="dcterms:W3CDTF">2019-11-01T20:34:36Z</dcterms:modified>
</cp:coreProperties>
</file>